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netflix_v5" sheetId="1" r:id="rId4"/>
    <sheet state="visible" name="imdb_netflix_v6" sheetId="2" r:id="rId5"/>
    <sheet state="visible" name="imdb_netflix_v7" sheetId="3" r:id="rId6"/>
    <sheet state="visible" name="Pivot Table 1" sheetId="4" r:id="rId7"/>
  </sheets>
  <definedNames>
    <definedName hidden="1" localSheetId="0" name="_xlnm._FilterDatabase">imdb_netflix_v5!$A$1:$G$7370</definedName>
    <definedName hidden="1" localSheetId="1" name="_xlnm._FilterDatabase">imdb_netflix_v6!$A$1:$Y$6401</definedName>
    <definedName hidden="1" localSheetId="2" name="_xlnm._FilterDatabase">imdb_netflix_v7!$A$1:$Y$6395</definedName>
    <definedName hidden="1" localSheetId="3" name="_xlnm._FilterDatabase">'Pivot Table 1'!$B$1:$B$1000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<sst xmlns="http://schemas.openxmlformats.org/spreadsheetml/2006/main" count="33824" uniqueCount="6316">
  <si>
    <t>clean_title</t>
  </si>
  <si>
    <t>type</t>
  </si>
  <si>
    <t>genres</t>
  </si>
  <si>
    <t>average_rating</t>
  </si>
  <si>
    <t>release_year</t>
  </si>
  <si>
    <t>end_year</t>
  </si>
  <si>
    <t>weekly_hours_viewed</t>
  </si>
  <si>
    <t>breaking bad</t>
  </si>
  <si>
    <t>TV Show</t>
  </si>
  <si>
    <t>Crime, Drama, Thriller</t>
  </si>
  <si>
    <t>NA</t>
  </si>
  <si>
    <t>planet earth ii</t>
  </si>
  <si>
    <t>Documentary</t>
  </si>
  <si>
    <t>band of brothers</t>
  </si>
  <si>
    <t>Action, Drama, History</t>
  </si>
  <si>
    <t>planet earth</t>
  </si>
  <si>
    <t>Documentary, Family</t>
  </si>
  <si>
    <t>tree of life</t>
  </si>
  <si>
    <t>Drama</t>
  </si>
  <si>
    <t>the shawshank redemption</t>
  </si>
  <si>
    <t>Movie</t>
  </si>
  <si>
    <t>chernobyl</t>
  </si>
  <si>
    <t>Drama, History, Thriller</t>
  </si>
  <si>
    <t>the wire</t>
  </si>
  <si>
    <t>avatar the last airbender</t>
  </si>
  <si>
    <t>Action, Adventure, Animation</t>
  </si>
  <si>
    <t>sapne vs everyone</t>
  </si>
  <si>
    <t>blue planet ii</t>
  </si>
  <si>
    <t>cosmos</t>
  </si>
  <si>
    <t>bluey</t>
  </si>
  <si>
    <t>Animation, Family</t>
  </si>
  <si>
    <t>bb ki vines</t>
  </si>
  <si>
    <t>Comedy</t>
  </si>
  <si>
    <t>game of thrones</t>
  </si>
  <si>
    <t>Action, Adventure, Drama</t>
  </si>
  <si>
    <t>the godfather</t>
  </si>
  <si>
    <t>Crime, Drama</t>
  </si>
  <si>
    <t>the sopranos</t>
  </si>
  <si>
    <t>aspirants</t>
  </si>
  <si>
    <t>scam 1992 the harshad mehta story</t>
  </si>
  <si>
    <t>Biography, Crime, Drama</t>
  </si>
  <si>
    <t>cosmos a spacetime odyssey</t>
  </si>
  <si>
    <t>our planet</t>
  </si>
  <si>
    <t>the chosen</t>
  </si>
  <si>
    <t>Drama, History</t>
  </si>
  <si>
    <t>the chaos class</t>
  </si>
  <si>
    <t>the filthy frank show</t>
  </si>
  <si>
    <t>Comedy, Short</t>
  </si>
  <si>
    <t>the world at war</t>
  </si>
  <si>
    <t>Documentary, History, War</t>
  </si>
  <si>
    <t>ramayana the legend of prince rama</t>
  </si>
  <si>
    <t>çilgin dersane at the university</t>
  </si>
  <si>
    <t>sherlock</t>
  </si>
  <si>
    <t>Crime, Drama, Mystery</t>
  </si>
  <si>
    <t>rick and morty</t>
  </si>
  <si>
    <t>Adventure, Animation, Comedy</t>
  </si>
  <si>
    <t>attack on titan</t>
  </si>
  <si>
    <t>arcane</t>
  </si>
  <si>
    <t>fullmetal alchemist brotherhood</t>
  </si>
  <si>
    <t>leyla and mecnun</t>
  </si>
  <si>
    <t>Adventure, Comedy, Drama</t>
  </si>
  <si>
    <t>sandeep bhaiya</t>
  </si>
  <si>
    <t>tvf pitchers</t>
  </si>
  <si>
    <t>Comedy, Drama</t>
  </si>
  <si>
    <t>life</t>
  </si>
  <si>
    <t>the vietnam war</t>
  </si>
  <si>
    <t>gullak</t>
  </si>
  <si>
    <t>Comedy, Drama, Family</t>
  </si>
  <si>
    <t>halka</t>
  </si>
  <si>
    <t>Action, Crime, Drama</t>
  </si>
  <si>
    <t>koombiyo</t>
  </si>
  <si>
    <t>critical role</t>
  </si>
  <si>
    <t>Adventure, Fantasy</t>
  </si>
  <si>
    <t>the legend of hanuman</t>
  </si>
  <si>
    <t>the silence of swastika</t>
  </si>
  <si>
    <t>Documentary, History</t>
  </si>
  <si>
    <t>the dark knight</t>
  </si>
  <si>
    <t>the lord of the rings the return of the king</t>
  </si>
  <si>
    <t>Adventure, Drama, Fantasy</t>
  </si>
  <si>
    <t>schindlers list</t>
  </si>
  <si>
    <t>Biography, Drama, History</t>
  </si>
  <si>
    <t>the godfather part ii</t>
  </si>
  <si>
    <t>12 angry men</t>
  </si>
  <si>
    <t>the office</t>
  </si>
  <si>
    <t>better call saul</t>
  </si>
  <si>
    <t>one piece</t>
  </si>
  <si>
    <t>the last dance</t>
  </si>
  <si>
    <t>Biography, Documentary, History</t>
  </si>
  <si>
    <t>hunter x hunter</t>
  </si>
  <si>
    <t>batman the animated series</t>
  </si>
  <si>
    <t>panchayat</t>
  </si>
  <si>
    <t>the twilight zone</t>
  </si>
  <si>
    <t>Drama, Fantasy, Horror</t>
  </si>
  <si>
    <t>kota factory</t>
  </si>
  <si>
    <t>clarksons farm</t>
  </si>
  <si>
    <t>Comedy, Documentary, Reality-TV</t>
  </si>
  <si>
    <t>only fools and horses</t>
  </si>
  <si>
    <t>bleach thousand-year blood war</t>
  </si>
  <si>
    <t>persona</t>
  </si>
  <si>
    <t>the blue planet</t>
  </si>
  <si>
    <t>ncr days</t>
  </si>
  <si>
    <t>frozen planet</t>
  </si>
  <si>
    <t>human planet</t>
  </si>
  <si>
    <t>as if</t>
  </si>
  <si>
    <t>ramayan</t>
  </si>
  <si>
    <t>Adventure, Drama, Family</t>
  </si>
  <si>
    <t>taskmaster</t>
  </si>
  <si>
    <t>Comedy, Game-Show</t>
  </si>
  <si>
    <t>the civil war</t>
  </si>
  <si>
    <t>apocalypse the second world war</t>
  </si>
  <si>
    <t>reply 1988</t>
  </si>
  <si>
    <t>mahabharat</t>
  </si>
  <si>
    <t>Drama, History, War</t>
  </si>
  <si>
    <t>my mister</t>
  </si>
  <si>
    <t>Drama, Family</t>
  </si>
  <si>
    <t>pulp fiction</t>
  </si>
  <si>
    <t>the lord of the rings the fellowship of the ring</t>
  </si>
  <si>
    <t>friends</t>
  </si>
  <si>
    <t>Comedy, Romance</t>
  </si>
  <si>
    <t>true detective</t>
  </si>
  <si>
    <t>fargo</t>
  </si>
  <si>
    <t>death note</t>
  </si>
  <si>
    <t>Animation, Crime, Drama</t>
  </si>
  <si>
    <t>seinfeld</t>
  </si>
  <si>
    <t>firefly</t>
  </si>
  <si>
    <t>Adventure, Drama, Sci-Fi</t>
  </si>
  <si>
    <t>gravity falls</t>
  </si>
  <si>
    <t>cowboy bebop</t>
  </si>
  <si>
    <t>the west wing</t>
  </si>
  <si>
    <t>nathan for you</t>
  </si>
  <si>
    <t>Comedy, Documentary</t>
  </si>
  <si>
    <t>the beatles get back</t>
  </si>
  <si>
    <t>Biography, Documentary, Music</t>
  </si>
  <si>
    <t>mirror game</t>
  </si>
  <si>
    <t>Crime, Mystery, Thriller</t>
  </si>
  <si>
    <t>dekalog</t>
  </si>
  <si>
    <t>frieren beyond journeys end</t>
  </si>
  <si>
    <t>undercover</t>
  </si>
  <si>
    <t>yeh meri family</t>
  </si>
  <si>
    <t>tosun pasha</t>
  </si>
  <si>
    <t>Comedy, History</t>
  </si>
  <si>
    <t>o.j. made in america</t>
  </si>
  <si>
    <t>Biography, Crime, Documentary</t>
  </si>
  <si>
    <t>sarabhai v/s sarabhai</t>
  </si>
  <si>
    <t>rocket boys</t>
  </si>
  <si>
    <t>africa</t>
  </si>
  <si>
    <t>the message</t>
  </si>
  <si>
    <t>Action, Adventure, Biography</t>
  </si>
  <si>
    <t>tash ma tash</t>
  </si>
  <si>
    <t>harga</t>
  </si>
  <si>
    <t>inception</t>
  </si>
  <si>
    <t>Action, Adventure, Sci-Fi</t>
  </si>
  <si>
    <t>fight club</t>
  </si>
  <si>
    <t>forrest gump</t>
  </si>
  <si>
    <t>Drama, Romance</t>
  </si>
  <si>
    <t>the lord of the rings the two towers</t>
  </si>
  <si>
    <t>the good, the bad and the ugly</t>
  </si>
  <si>
    <t>Adventure, Drama, Western</t>
  </si>
  <si>
    <t>ted lasso</t>
  </si>
  <si>
    <t>Comedy, Drama, Sport</t>
  </si>
  <si>
    <t>succession</t>
  </si>
  <si>
    <t>its always sunny in philadelphia</t>
  </si>
  <si>
    <t>bojack horseman</t>
  </si>
  <si>
    <t>Animation, Comedy, Drama</t>
  </si>
  <si>
    <t>freaks and geeks</t>
  </si>
  <si>
    <t>dragon ball z</t>
  </si>
  <si>
    <t>curb your enthusiasm</t>
  </si>
  <si>
    <t>when they see us</t>
  </si>
  <si>
    <t>12th fail</t>
  </si>
  <si>
    <t>Biography, Drama</t>
  </si>
  <si>
    <t>dhindora</t>
  </si>
  <si>
    <t>fawlty towers</t>
  </si>
  <si>
    <t>last week tonight with john oliver</t>
  </si>
  <si>
    <t>Comedy, News, Talk-Show</t>
  </si>
  <si>
    <t>pride and prejudice</t>
  </si>
  <si>
    <t>vinland saga</t>
  </si>
  <si>
    <t>monty pythons flying circus</t>
  </si>
  <si>
    <t>steins;gate</t>
  </si>
  <si>
    <t>chappelles show</t>
  </si>
  <si>
    <t>Comedy, Music</t>
  </si>
  <si>
    <t>blackadder goes forth</t>
  </si>
  <si>
    <t>Comedy, War</t>
  </si>
  <si>
    <t>x-men 97</t>
  </si>
  <si>
    <t>das boot</t>
  </si>
  <si>
    <t>Drama, War</t>
  </si>
  <si>
    <t>behzat ç an ankara detective story</t>
  </si>
  <si>
    <t>flames</t>
  </si>
  <si>
    <t>Comedy, Drama, Romance</t>
  </si>
  <si>
    <t>the chaos class failed the class</t>
  </si>
  <si>
    <t>the foster brothers</t>
  </si>
  <si>
    <t>i, claudius</t>
  </si>
  <si>
    <t>another love</t>
  </si>
  <si>
    <t>Crime, Drama, Romance</t>
  </si>
  <si>
    <t>campus diaries</t>
  </si>
  <si>
    <t>the marathon family</t>
  </si>
  <si>
    <t>#home</t>
  </si>
  <si>
    <t>azize</t>
  </si>
  <si>
    <t>black pearl</t>
  </si>
  <si>
    <t>pew news</t>
  </si>
  <si>
    <t>Comedy, News</t>
  </si>
  <si>
    <t>black sun</t>
  </si>
  <si>
    <t>balkan spy</t>
  </si>
  <si>
    <t>fighting spirit</t>
  </si>
  <si>
    <t>Action, Animation, Comedy</t>
  </si>
  <si>
    <t>not me</t>
  </si>
  <si>
    <t>Action, Crime, Romance</t>
  </si>
  <si>
    <t>the phantom of the opera at the royal albert hall</t>
  </si>
  <si>
    <t>Drama, Musical, Romance</t>
  </si>
  <si>
    <t>interstellar</t>
  </si>
  <si>
    <t>the matrix</t>
  </si>
  <si>
    <t>Action, Sci-Fi</t>
  </si>
  <si>
    <t>star wars episode v - the empire strikes back</t>
  </si>
  <si>
    <t>Action, Adventure, Fantasy</t>
  </si>
  <si>
    <t>stranger things</t>
  </si>
  <si>
    <t>goodfellas</t>
  </si>
  <si>
    <t>one flew over the cuckoos nest</t>
  </si>
  <si>
    <t>the boys</t>
  </si>
  <si>
    <t>Action, Comedy, Crime</t>
  </si>
  <si>
    <t>peaky blinders</t>
  </si>
  <si>
    <t>black mirror</t>
  </si>
  <si>
    <t>the last of us</t>
  </si>
  <si>
    <t>house</t>
  </si>
  <si>
    <t>Drama, Mystery</t>
  </si>
  <si>
    <t>narcos</t>
  </si>
  <si>
    <t>dark</t>
  </si>
  <si>
    <t>the simpsons</t>
  </si>
  <si>
    <t>Animation, Comedy</t>
  </si>
  <si>
    <t>south park</t>
  </si>
  <si>
    <t>arrested development</t>
  </si>
  <si>
    <t>mad men</t>
  </si>
  <si>
    <t>severance</t>
  </si>
  <si>
    <t>Drama, Mystery, Sci-Fi</t>
  </si>
  <si>
    <t>downton abbey</t>
  </si>
  <si>
    <t>invincible</t>
  </si>
  <si>
    <t>twin peaks</t>
  </si>
  <si>
    <t>jai bhim</t>
  </si>
  <si>
    <t>fleabag</t>
  </si>
  <si>
    <t>one punch man</t>
  </si>
  <si>
    <t>rome</t>
  </si>
  <si>
    <t>Action, Drama, Romance</t>
  </si>
  <si>
    <t>naruto shippuden</t>
  </si>
  <si>
    <t>battlestar galactica</t>
  </si>
  <si>
    <t>this is us</t>
  </si>
  <si>
    <t>six feet under</t>
  </si>
  <si>
    <t>the marvelous mrs. maisel</t>
  </si>
  <si>
    <t>the penguin</t>
  </si>
  <si>
    <t>star trek the next generation</t>
  </si>
  <si>
    <t>top gear</t>
  </si>
  <si>
    <t>Adventure, Sport, Talk-Show</t>
  </si>
  <si>
    <t>Drama, Western</t>
  </si>
  <si>
    <t>soorarai pottru</t>
  </si>
  <si>
    <t>oz</t>
  </si>
  <si>
    <t>the family man</t>
  </si>
  <si>
    <t>Action, Comedy, Drama</t>
  </si>
  <si>
    <t>the shield</t>
  </si>
  <si>
    <t>the grand tour</t>
  </si>
  <si>
    <t>Comedy, Sport, Talk-Show</t>
  </si>
  <si>
    <t>code geass</t>
  </si>
  <si>
    <t>Action, Animation, Drama</t>
  </si>
  <si>
    <t>blue eye samurai</t>
  </si>
  <si>
    <t>over the garden wall</t>
  </si>
  <si>
    <t>friday night lights</t>
  </si>
  <si>
    <t>Drama, Sport</t>
  </si>
  <si>
    <t>line of duty</t>
  </si>
  <si>
    <t>peep show</t>
  </si>
  <si>
    <t>berserk</t>
  </si>
  <si>
    <t>rocketry the nambi effect</t>
  </si>
  <si>
    <t>monster</t>
  </si>
  <si>
    <t>crash landing on you</t>
  </si>
  <si>
    <t>father ted</t>
  </si>
  <si>
    <t>777 charlie</t>
  </si>
  <si>
    <t>haikyu!!</t>
  </si>
  <si>
    <t>mr inbetween</t>
  </si>
  <si>
    <t>the thick of it</t>
  </si>
  <si>
    <t>demon slayer kimetsu no yaiba - tsuzumi mansion arc</t>
  </si>
  <si>
    <t>Action, Animation, Fantasy</t>
  </si>
  <si>
    <t>lonesome dove</t>
  </si>
  <si>
    <t>nayakan</t>
  </si>
  <si>
    <t>the adventures of sherlock holmes</t>
  </si>
  <si>
    <t>primal</t>
  </si>
  <si>
    <t>justice league unlimited</t>
  </si>
  <si>
    <t>stop making sense</t>
  </si>
  <si>
    <t>Documentary, Music</t>
  </si>
  <si>
    <t>lucky guy</t>
  </si>
  <si>
    <t>Comedy, Drama, Fantasy</t>
  </si>
  <si>
    <t>the chaos class is waking up</t>
  </si>
  <si>
    <t>alchemy of souls</t>
  </si>
  <si>
    <t>Action, Drama, Fantasy</t>
  </si>
  <si>
    <t>pariyerum perumal</t>
  </si>
  <si>
    <t>saban, son of saban</t>
  </si>
  <si>
    <t>kill bill the whole bloody affair</t>
  </si>
  <si>
    <t>Action, Crime, Thriller</t>
  </si>
  <si>
    <t>feyzo, the polite one</t>
  </si>
  <si>
    <t>gintama</t>
  </si>
  <si>
    <t>whos singin over there?</t>
  </si>
  <si>
    <t>demon slayer kimetsu no yaiba - mt. natagumo arc</t>
  </si>
  <si>
    <t>resurrection</t>
  </si>
  <si>
    <t>the broken landlord</t>
  </si>
  <si>
    <t>the bureau</t>
  </si>
  <si>
    <t>Drama, Thriller</t>
  </si>
  <si>
    <t>homicide life on the street</t>
  </si>
  <si>
    <t>dandadan</t>
  </si>
  <si>
    <t>how to with john wilson</t>
  </si>
  <si>
    <t>the return of sherlock holmes</t>
  </si>
  <si>
    <t>el chavo del ocho</t>
  </si>
  <si>
    <t>Comedy, Family</t>
  </si>
  <si>
    <t>daman</t>
  </si>
  <si>
    <t>Adventure, Drama</t>
  </si>
  <si>
    <t>manichithrathazhu</t>
  </si>
  <si>
    <t>Comedy, Horror, Mystery</t>
  </si>
  <si>
    <t>toma</t>
  </si>
  <si>
    <t>Biography, Drama, Music</t>
  </si>
  <si>
    <t>content cop</t>
  </si>
  <si>
    <t>Comedy, Crime, Talk-Show</t>
  </si>
  <si>
    <t>happy days</t>
  </si>
  <si>
    <t>umbre</t>
  </si>
  <si>
    <t>mr. sunshine</t>
  </si>
  <si>
    <t>shoah</t>
  </si>
  <si>
    <t>the untamed</t>
  </si>
  <si>
    <t>mind your language</t>
  </si>
  <si>
    <t>se7en</t>
  </si>
  <si>
    <t>the silence of the lambs</t>
  </si>
  <si>
    <t>saving private ryan</t>
  </si>
  <si>
    <t>star wars episode iv - a new hope</t>
  </si>
  <si>
    <t>the green mile</t>
  </si>
  <si>
    <t>Crime, Drama, Fantasy</t>
  </si>
  <si>
    <t>terminator 2 judgment day</t>
  </si>
  <si>
    <t>spirited away</t>
  </si>
  <si>
    <t>Adventure, Animation, Family</t>
  </si>
  <si>
    <t>city of god</t>
  </si>
  <si>
    <t>dexter</t>
  </si>
  <si>
    <t>life is beautiful</t>
  </si>
  <si>
    <t>the mandalorian</t>
  </si>
  <si>
    <t>house of cards</t>
  </si>
  <si>
    <t>its a wonderful life</t>
  </si>
  <si>
    <t>Drama, Family, Fantasy</t>
  </si>
  <si>
    <t>daredevil</t>
  </si>
  <si>
    <t>spider-man across the spider-verse</t>
  </si>
  <si>
    <t>seven samurai</t>
  </si>
  <si>
    <t>Action, Drama</t>
  </si>
  <si>
    <t>mindhunter</t>
  </si>
  <si>
    <t>sons of anarchy</t>
  </si>
  <si>
    <t>parks and recreation</t>
  </si>
  <si>
    <t>the crown</t>
  </si>
  <si>
    <t>the x-files</t>
  </si>
  <si>
    <t>Adventure, Crime, Drama</t>
  </si>
  <si>
    <t>yellowstone</t>
  </si>
  <si>
    <t>boardwalk empire</t>
  </si>
  <si>
    <t>shogun</t>
  </si>
  <si>
    <t>Adventure, Drama, History</t>
  </si>
  <si>
    <t>demon slayer kimetsu no yaiba</t>
  </si>
  <si>
    <t>archer</t>
  </si>
  <si>
    <t>mr. bean</t>
  </si>
  <si>
    <t>the newsroom</t>
  </si>
  <si>
    <t>justified</t>
  </si>
  <si>
    <t>deadwood</t>
  </si>
  <si>
    <t>Crime, Drama, History</t>
  </si>
  <si>
    <t>adventure time</t>
  </si>
  <si>
    <t>what we do in the shadows</t>
  </si>
  <si>
    <t>Comedy, Fantasy, Horror</t>
  </si>
  <si>
    <t>atlanta</t>
  </si>
  <si>
    <t>Comedy, Drama, Music</t>
  </si>
  <si>
    <t>dopesick</t>
  </si>
  <si>
    <t>the bridge</t>
  </si>
  <si>
    <t>harakiri</t>
  </si>
  <si>
    <t>anne with an e</t>
  </si>
  <si>
    <t>the jinx the life and deaths of robert durst</t>
  </si>
  <si>
    <t>poirot</t>
  </si>
  <si>
    <t>blackadder ii</t>
  </si>
  <si>
    <t>blackadder the third</t>
  </si>
  <si>
    <t>impractical jokers</t>
  </si>
  <si>
    <t>Comedy, Reality-TV</t>
  </si>
  <si>
    <t>young justice</t>
  </si>
  <si>
    <t>gomorrah</t>
  </si>
  <si>
    <t>the offer</t>
  </si>
  <si>
    <t>skam</t>
  </si>
  <si>
    <t>ezel</t>
  </si>
  <si>
    <t>its a sin</t>
  </si>
  <si>
    <t>special ops</t>
  </si>
  <si>
    <t>its okay to not be okay</t>
  </si>
  <si>
    <t>the bugs bunny show</t>
  </si>
  <si>
    <t>north &amp; south</t>
  </si>
  <si>
    <t>endeavour</t>
  </si>
  <si>
    <t>qi</t>
  </si>
  <si>
    <t>pose</t>
  </si>
  <si>
    <t>call the midwife</t>
  </si>
  <si>
    <t>letterkenny</t>
  </si>
  <si>
    <t>guardian the lonely and great god</t>
  </si>
  <si>
    <t>extraordinary attorney woo</t>
  </si>
  <si>
    <t>the venture bros.</t>
  </si>
  <si>
    <t>mystery science theater 3000</t>
  </si>
  <si>
    <t>Comedy, Sci-Fi</t>
  </si>
  <si>
    <t>permanent roommates</t>
  </si>
  <si>
    <t>anbe sivam</t>
  </si>
  <si>
    <t>scavengers reign</t>
  </si>
  <si>
    <t>Adventure, Animation, Drama</t>
  </si>
  <si>
    <t>wentworth</t>
  </si>
  <si>
    <t>detectorists</t>
  </si>
  <si>
    <t>im alan partridge</t>
  </si>
  <si>
    <t>the eric andre show</t>
  </si>
  <si>
    <t>Comedy, Talk-Show</t>
  </si>
  <si>
    <t>avrupa yakasi</t>
  </si>
  <si>
    <t>isler güçler</t>
  </si>
  <si>
    <t>the owl house</t>
  </si>
  <si>
    <t>my brilliant friend</t>
  </si>
  <si>
    <t>earthlings</t>
  </si>
  <si>
    <t>foyles war</t>
  </si>
  <si>
    <t>the chaos class is on vacation</t>
  </si>
  <si>
    <t>through the wormhole</t>
  </si>
  <si>
    <t>all creatures great &amp; small</t>
  </si>
  <si>
    <t>bandish bandits</t>
  </si>
  <si>
    <t>Drama, Music, Romance</t>
  </si>
  <si>
    <t>pretty village, pretty flame</t>
  </si>
  <si>
    <t>a dogs will</t>
  </si>
  <si>
    <t>yes minister</t>
  </si>
  <si>
    <t>kardes payi</t>
  </si>
  <si>
    <t>broken but beautiful</t>
  </si>
  <si>
    <t>rurouni kenshin trust and betrayal</t>
  </si>
  <si>
    <t>long way round</t>
  </si>
  <si>
    <t>Adventure, Documentary</t>
  </si>
  <si>
    <t>twenty five twenty one</t>
  </si>
  <si>
    <t>tear along the dotted line</t>
  </si>
  <si>
    <t>hilda</t>
  </si>
  <si>
    <t>from the earth to the moon</t>
  </si>
  <si>
    <t>the great british baking show</t>
  </si>
  <si>
    <t>Game-Show, Reality-TV</t>
  </si>
  <si>
    <t>yes, prime minister</t>
  </si>
  <si>
    <t>mouse</t>
  </si>
  <si>
    <t>Action, Crime, Mystery</t>
  </si>
  <si>
    <t>moon lovers scarlet heart ryeo</t>
  </si>
  <si>
    <t>brass eye</t>
  </si>
  <si>
    <t>greatest events of wwii in colour</t>
  </si>
  <si>
    <t>mr. queen</t>
  </si>
  <si>
    <t>Comedy, Fantasy, Romance</t>
  </si>
  <si>
    <t>the legend of maula jatt</t>
  </si>
  <si>
    <t>very parivarik</t>
  </si>
  <si>
    <t>my dear brother</t>
  </si>
  <si>
    <t>immature</t>
  </si>
  <si>
    <t>fruits basket</t>
  </si>
  <si>
    <t>merlí</t>
  </si>
  <si>
    <t>django unchained</t>
  </si>
  <si>
    <t>Comedy, Drama, Western</t>
  </si>
  <si>
    <t>gladiator</t>
  </si>
  <si>
    <t>the prestige</t>
  </si>
  <si>
    <t>the departed</t>
  </si>
  <si>
    <t>back to the future</t>
  </si>
  <si>
    <t>Adventure, Comedy, Sci-Fi</t>
  </si>
  <si>
    <t>léon the professional</t>
  </si>
  <si>
    <t>american history x</t>
  </si>
  <si>
    <t>the lion king</t>
  </si>
  <si>
    <t>the usual suspects</t>
  </si>
  <si>
    <t>whiplash</t>
  </si>
  <si>
    <t>Drama, Music</t>
  </si>
  <si>
    <t>parasite</t>
  </si>
  <si>
    <t>alien</t>
  </si>
  <si>
    <t>Horror, Sci-Fi</t>
  </si>
  <si>
    <t>the intouchables</t>
  </si>
  <si>
    <t>the pianist</t>
  </si>
  <si>
    <t>psycho</t>
  </si>
  <si>
    <t>Horror, Mystery, Thriller</t>
  </si>
  <si>
    <t>casablanca</t>
  </si>
  <si>
    <t>Drama, Romance, War</t>
  </si>
  <si>
    <t>vikings</t>
  </si>
  <si>
    <t>the queens gambit</t>
  </si>
  <si>
    <t>the kashmir files</t>
  </si>
  <si>
    <t>dune part two</t>
  </si>
  <si>
    <t>westworld</t>
  </si>
  <si>
    <t>rear window</t>
  </si>
  <si>
    <t>Drama, Mystery, Thriller</t>
  </si>
  <si>
    <t>modern family</t>
  </si>
  <si>
    <t>mr. robot</t>
  </si>
  <si>
    <t>ozark</t>
  </si>
  <si>
    <t>once upon a time in the west</t>
  </si>
  <si>
    <t>grave of the fireflies</t>
  </si>
  <si>
    <t>Animation, Drama, War</t>
  </si>
  <si>
    <t>the haunting of hill house</t>
  </si>
  <si>
    <t>Drama, Horror, Mystery</t>
  </si>
  <si>
    <t>shameless</t>
  </si>
  <si>
    <t>community</t>
  </si>
  <si>
    <t>cinema paradiso</t>
  </si>
  <si>
    <t>hannibal</t>
  </si>
  <si>
    <t>Crime, Drama, Horror</t>
  </si>
  <si>
    <t>modern times</t>
  </si>
  <si>
    <t>futurama</t>
  </si>
  <si>
    <t>spartacus</t>
  </si>
  <si>
    <t>the bear</t>
  </si>
  <si>
    <t>doctor who</t>
  </si>
  <si>
    <t>city lights</t>
  </si>
  <si>
    <t>person of interest</t>
  </si>
  <si>
    <t>the expanse</t>
  </si>
  <si>
    <t>the last kingdom</t>
  </si>
  <si>
    <t>silicon valley</t>
  </si>
  <si>
    <t>the it crowd</t>
  </si>
  <si>
    <t>schitts creek</t>
  </si>
  <si>
    <t>spartacus gods of the arena</t>
  </si>
  <si>
    <t>jujutsu kaisen</t>
  </si>
  <si>
    <t>making a murderer</t>
  </si>
  <si>
    <t>Crime, Documentary</t>
  </si>
  <si>
    <t>sacred games</t>
  </si>
  <si>
    <t>neon genesis evangelion</t>
  </si>
  <si>
    <t>bosch</t>
  </si>
  <si>
    <t>heartstopper</t>
  </si>
  <si>
    <t>louie</t>
  </si>
  <si>
    <t>fullmetal alchemist</t>
  </si>
  <si>
    <t>senna</t>
  </si>
  <si>
    <t>Biography, Documentary, Sport</t>
  </si>
  <si>
    <t>sita ramam</t>
  </si>
  <si>
    <t>Action, Drama, Mystery</t>
  </si>
  <si>
    <t>dragon ball</t>
  </si>
  <si>
    <t>kaiva</t>
  </si>
  <si>
    <t>happy valley</t>
  </si>
  <si>
    <t>flight of the conchords</t>
  </si>
  <si>
    <t>Comedy, Music, Musical</t>
  </si>
  <si>
    <t>asur welcome to your dark side</t>
  </si>
  <si>
    <t>derry girls</t>
  </si>
  <si>
    <t>m*a*s*h</t>
  </si>
  <si>
    <t>Comedy, Drama, War</t>
  </si>
  <si>
    <t>regular show</t>
  </si>
  <si>
    <t>samurai jack</t>
  </si>
  <si>
    <t>spaced</t>
  </si>
  <si>
    <t>samurai champloo</t>
  </si>
  <si>
    <t>maharaja</t>
  </si>
  <si>
    <t>justice league</t>
  </si>
  <si>
    <t>formula 1 drive to survive</t>
  </si>
  <si>
    <t>Documentary, Sport</t>
  </si>
  <si>
    <t>the knick</t>
  </si>
  <si>
    <t>trailer park boys</t>
  </si>
  <si>
    <t>Comedy, Crime</t>
  </si>
  <si>
    <t>mob psycho 100</t>
  </si>
  <si>
    <t>boston legal</t>
  </si>
  <si>
    <t>Comedy, Crime, Drama</t>
  </si>
  <si>
    <t>coupling</t>
  </si>
  <si>
    <t>whose line is it anyway?</t>
  </si>
  <si>
    <t>dear zachary a letter to a son about his father</t>
  </si>
  <si>
    <t>baraka</t>
  </si>
  <si>
    <t>your lie in april</t>
  </si>
  <si>
    <t>jojos bizarre adventure</t>
  </si>
  <si>
    <t>the boondocks</t>
  </si>
  <si>
    <t>mumbai diaries</t>
  </si>
  <si>
    <t>borgen</t>
  </si>
  <si>
    <t>ethos</t>
  </si>
  <si>
    <t>southland</t>
  </si>
  <si>
    <t>i love lucy</t>
  </si>
  <si>
    <t>the rehearsal</t>
  </si>
  <si>
    <t>delhi crime</t>
  </si>
  <si>
    <t>sarpatta parambarai</t>
  </si>
  <si>
    <t>Action, Drama, Sport</t>
  </si>
  <si>
    <t>the railway men</t>
  </si>
  <si>
    <t>jesus of nazareth</t>
  </si>
  <si>
    <t>the best of youth</t>
  </si>
  <si>
    <t>rupauls drag race</t>
  </si>
  <si>
    <t>20 days in mariupol</t>
  </si>
  <si>
    <t>Documentary, War</t>
  </si>
  <si>
    <t>jersey</t>
  </si>
  <si>
    <t>woman in the dunes</t>
  </si>
  <si>
    <t>anne of green gables</t>
  </si>
  <si>
    <t>home</t>
  </si>
  <si>
    <t>queer as folk</t>
  </si>
  <si>
    <t>kaguya-sama love is war</t>
  </si>
  <si>
    <t>Animation, Comedy, Romance</t>
  </si>
  <si>
    <t>the king of the street cleaners</t>
  </si>
  <si>
    <t>inside no. 9</t>
  </si>
  <si>
    <t>hostel daze</t>
  </si>
  <si>
    <t>queer eye</t>
  </si>
  <si>
    <t>Reality-TV</t>
  </si>
  <si>
    <t>ghost in the shell stand alone complex</t>
  </si>
  <si>
    <t>Action, Animation, Crime</t>
  </si>
  <si>
    <t>the hole</t>
  </si>
  <si>
    <t>rurouni kenshin</t>
  </si>
  <si>
    <t>heartland</t>
  </si>
  <si>
    <t>tvf tripling</t>
  </si>
  <si>
    <t>garth marenghis darkplace</t>
  </si>
  <si>
    <t>gol maal</t>
  </si>
  <si>
    <t>kingdom</t>
  </si>
  <si>
    <t>please like me</t>
  </si>
  <si>
    <t>smiling friends</t>
  </si>
  <si>
    <t>Animation, Comedy, Short</t>
  </si>
  <si>
    <t>alfred hitchcock presents</t>
  </si>
  <si>
    <t>kumbalangi nights</t>
  </si>
  <si>
    <t>barareh nights</t>
  </si>
  <si>
    <t>horace and pete</t>
  </si>
  <si>
    <t>scenes from a marriage</t>
  </si>
  <si>
    <t>the girl with the red scarf</t>
  </si>
  <si>
    <t>chefs table</t>
  </si>
  <si>
    <t>Biography, Documentary</t>
  </si>
  <si>
    <t>yu yu hakusho ghost files</t>
  </si>
  <si>
    <t>detective conan</t>
  </si>
  <si>
    <t>the angry video game nerd</t>
  </si>
  <si>
    <t>Action, Comedy, Fantasy</t>
  </si>
  <si>
    <t>the defiant ones</t>
  </si>
  <si>
    <t>deaths game</t>
  </si>
  <si>
    <t>Drama, Fantasy</t>
  </si>
  <si>
    <t>flower of evil</t>
  </si>
  <si>
    <t>Crime, Mystery, Romance</t>
  </si>
  <si>
    <t>the prisoner</t>
  </si>
  <si>
    <t>summer heights high</t>
  </si>
  <si>
    <t>mushi-shi</t>
  </si>
  <si>
    <t>Animation, Drama, Fantasy</t>
  </si>
  <si>
    <t>sixer</t>
  </si>
  <si>
    <t>thalapathi</t>
  </si>
  <si>
    <t>for sama</t>
  </si>
  <si>
    <t>Biography, Documentary, War</t>
  </si>
  <si>
    <t>mr bates vs. the post office</t>
  </si>
  <si>
    <t>great teacher onizuka</t>
  </si>
  <si>
    <t>zübük</t>
  </si>
  <si>
    <t>staged</t>
  </si>
  <si>
    <t>move to heaven</t>
  </si>
  <si>
    <t>the bugs bunny/road runner hour</t>
  </si>
  <si>
    <t>rupauls drag race all stars</t>
  </si>
  <si>
    <t>signal</t>
  </si>
  <si>
    <t>the dark knight rises</t>
  </si>
  <si>
    <t>Action, Drama, Thriller</t>
  </si>
  <si>
    <t>inglourious basterds</t>
  </si>
  <si>
    <t>Adventure, Drama, War</t>
  </si>
  <si>
    <t>joker</t>
  </si>
  <si>
    <t>memento</t>
  </si>
  <si>
    <t>Mystery, Thriller</t>
  </si>
  <si>
    <t>avengers endgame</t>
  </si>
  <si>
    <t>avengers infinity war</t>
  </si>
  <si>
    <t>wall·e</t>
  </si>
  <si>
    <t>the shining</t>
  </si>
  <si>
    <t>Drama, Horror</t>
  </si>
  <si>
    <t>raiders of the lost ark</t>
  </si>
  <si>
    <t>Action, Adventure</t>
  </si>
  <si>
    <t>aliens</t>
  </si>
  <si>
    <t>apocalypse now</t>
  </si>
  <si>
    <t>Drama, Mystery, War</t>
  </si>
  <si>
    <t>spider-man into the spider-verse</t>
  </si>
  <si>
    <t>coco</t>
  </si>
  <si>
    <t>suits</t>
  </si>
  <si>
    <t>supernatural</t>
  </si>
  <si>
    <t>3 idiots</t>
  </si>
  <si>
    <t>amadeus</t>
  </si>
  <si>
    <t>the lives of others</t>
  </si>
  <si>
    <t>brooklyn nine-nine</t>
  </si>
  <si>
    <t>your name.</t>
  </si>
  <si>
    <t>the punisher</t>
  </si>
  <si>
    <t>scrubs</t>
  </si>
  <si>
    <t>the handmaids tale</t>
  </si>
  <si>
    <t>Drama, Sci-Fi, Thriller</t>
  </si>
  <si>
    <t>fringe</t>
  </si>
  <si>
    <t>the great dictator</t>
  </si>
  <si>
    <t>sunset boulevard</t>
  </si>
  <si>
    <t>Drama, Film-Noir</t>
  </si>
  <si>
    <t>big little lies</t>
  </si>
  <si>
    <t>paths of glory</t>
  </si>
  <si>
    <t>cobra kai</t>
  </si>
  <si>
    <t>love, death &amp; robots</t>
  </si>
  <si>
    <t>mare of easttown</t>
  </si>
  <si>
    <t>andor</t>
  </si>
  <si>
    <t>entourage</t>
  </si>
  <si>
    <t>the night of</t>
  </si>
  <si>
    <t>the heroes</t>
  </si>
  <si>
    <t>Animation, Drama, History</t>
  </si>
  <si>
    <t>after life</t>
  </si>
  <si>
    <t>luther</t>
  </si>
  <si>
    <t>witness for the prosecution</t>
  </si>
  <si>
    <t>naruto</t>
  </si>
  <si>
    <t>broadchurch</t>
  </si>
  <si>
    <t>banshee</t>
  </si>
  <si>
    <t>star wars the clone wars</t>
  </si>
  <si>
    <t>the americans</t>
  </si>
  <si>
    <t>psych</t>
  </si>
  <si>
    <t>Comedy, Crime, Mystery</t>
  </si>
  <si>
    <t>capernaum</t>
  </si>
  <si>
    <t>stargate sg-1</t>
  </si>
  <si>
    <t>american crime story</t>
  </si>
  <si>
    <t>normal people</t>
  </si>
  <si>
    <t>the inbetweeners</t>
  </si>
  <si>
    <t>star trek</t>
  </si>
  <si>
    <t>mirzapur</t>
  </si>
  <si>
    <t>the good wife</t>
  </si>
  <si>
    <t>ash vs evil dead</t>
  </si>
  <si>
    <t>Action, Comedy, Horror</t>
  </si>
  <si>
    <t>veronica mars</t>
  </si>
  <si>
    <t>veep</t>
  </si>
  <si>
    <t>erased</t>
  </si>
  <si>
    <t>black books</t>
  </si>
  <si>
    <t>generation kill</t>
  </si>
  <si>
    <t>pushing daisies</t>
  </si>
  <si>
    <t>high and low</t>
  </si>
  <si>
    <t>utopia</t>
  </si>
  <si>
    <t>the cove</t>
  </si>
  <si>
    <t>x-men</t>
  </si>
  <si>
    <t>warrior</t>
  </si>
  <si>
    <t>carnivàle</t>
  </si>
  <si>
    <t>Drama, Fantasy, Mystery</t>
  </si>
  <si>
    <t>the legend of vox machina</t>
  </si>
  <si>
    <t>lost ladies</t>
  </si>
  <si>
    <t>kaithi</t>
  </si>
  <si>
    <t>the amazing world of gumball</t>
  </si>
  <si>
    <t>dr. horribles sing-along blog</t>
  </si>
  <si>
    <t>Comedy, Musical, Sci-Fi</t>
  </si>
  <si>
    <t>top boy</t>
  </si>
  <si>
    <t>drishyam 2</t>
  </si>
  <si>
    <t>the wonder years</t>
  </si>
  <si>
    <t>harley quinn</t>
  </si>
  <si>
    <t>the colbert report</t>
  </si>
  <si>
    <t>samsara</t>
  </si>
  <si>
    <t>red dwarf</t>
  </si>
  <si>
    <t>john adams</t>
  </si>
  <si>
    <t>broad city</t>
  </si>
  <si>
    <t>spider-man the animated series</t>
  </si>
  <si>
    <t>halt and catch fire</t>
  </si>
  <si>
    <t>snowfall</t>
  </si>
  <si>
    <t>babylon 5</t>
  </si>
  <si>
    <t>asuran</t>
  </si>
  <si>
    <t>life on mars</t>
  </si>
  <si>
    <t>generation war</t>
  </si>
  <si>
    <t>violet evergarden</t>
  </si>
  <si>
    <t>Animation, Drama, Family</t>
  </si>
  <si>
    <t>unforgotten</t>
  </si>
  <si>
    <t>vincenzo</t>
  </si>
  <si>
    <t>babylon berlin</t>
  </si>
  <si>
    <t>the killing</t>
  </si>
  <si>
    <t>bosch legacy</t>
  </si>
  <si>
    <t>ghosts</t>
  </si>
  <si>
    <t>Comedy, Fantasy</t>
  </si>
  <si>
    <t>the dark crystal age of resistance</t>
  </si>
  <si>
    <t>Adventure, Family, Fantasy</t>
  </si>
  <si>
    <t>allo allo!</t>
  </si>
  <si>
    <t>Comedy, History, War</t>
  </si>
  <si>
    <t>inside look the people v. o.j. simpson - american crime story</t>
  </si>
  <si>
    <t>Documentary, Short</t>
  </si>
  <si>
    <t>the muppet show</t>
  </si>
  <si>
    <t>Comedy, Family, Musical</t>
  </si>
  <si>
    <t>the mighty boosh</t>
  </si>
  <si>
    <t>Comedy, Fantasy, Musical</t>
  </si>
  <si>
    <t>the salt of the earth</t>
  </si>
  <si>
    <t>the lizard</t>
  </si>
  <si>
    <t>invader zim</t>
  </si>
  <si>
    <t>northern exposure</t>
  </si>
  <si>
    <t>my so-called life</t>
  </si>
  <si>
    <t>black friday</t>
  </si>
  <si>
    <t>thani oruvan</t>
  </si>
  <si>
    <t>police squad!</t>
  </si>
  <si>
    <t>doc martin</t>
  </si>
  <si>
    <t>vada chennai</t>
  </si>
  <si>
    <t>the spectacular spider-man</t>
  </si>
  <si>
    <t>the new batman adventures</t>
  </si>
  <si>
    <t>trollhunters tales of arcadia</t>
  </si>
  <si>
    <t>this is going to hurt</t>
  </si>
  <si>
    <t>Biography, Comedy, Drama</t>
  </si>
  <si>
    <t>all in the family</t>
  </si>
  <si>
    <t>roots</t>
  </si>
  <si>
    <t>my mad fat diary</t>
  </si>
  <si>
    <t>sansho the bailiff</t>
  </si>
  <si>
    <t>the andy griffith show</t>
  </si>
  <si>
    <t>the world of apu</t>
  </si>
  <si>
    <t>the ricky gervais show</t>
  </si>
  <si>
    <t>Animation, Comedy, Talk-Show</t>
  </si>
  <si>
    <t>mahanati</t>
  </si>
  <si>
    <t>operation y &amp; other shuriks adventures</t>
  </si>
  <si>
    <t>brassic</t>
  </si>
  <si>
    <t>pachinko</t>
  </si>
  <si>
    <t>the pinchcliffe grand prix</t>
  </si>
  <si>
    <t>Animation, Comedy, Family</t>
  </si>
  <si>
    <t>philanthropy</t>
  </si>
  <si>
    <t>a small light</t>
  </si>
  <si>
    <t>the graham norton show</t>
  </si>
  <si>
    <t>Comedy, Music, Talk-Show</t>
  </si>
  <si>
    <t>jeeves and wooster</t>
  </si>
  <si>
    <t>ranking of kings</t>
  </si>
  <si>
    <t>julie and the phantoms</t>
  </si>
  <si>
    <t>visaaranai</t>
  </si>
  <si>
    <t>the league of gentlemen</t>
  </si>
  <si>
    <t>Comedy, Horror</t>
  </si>
  <si>
    <t>steins;gate 0</t>
  </si>
  <si>
    <t>Animation, Drama, Mystery</t>
  </si>
  <si>
    <t>the dick van dyke show</t>
  </si>
  <si>
    <t>moving</t>
  </si>
  <si>
    <t>attack on titan chronicle</t>
  </si>
  <si>
    <t>mr. muhsin</t>
  </si>
  <si>
    <t>healer</t>
  </si>
  <si>
    <t>when i grow up, ill be a kangaroo</t>
  </si>
  <si>
    <t>the late late show with craig ferguson</t>
  </si>
  <si>
    <t>saint seiya knights of the zodiac</t>
  </si>
  <si>
    <t>terriers</t>
  </si>
  <si>
    <t>the kids in the hall</t>
  </si>
  <si>
    <t>prehistoric planet</t>
  </si>
  <si>
    <t>Animation, Documentary, History</t>
  </si>
  <si>
    <t>meiyazhagan</t>
  </si>
  <si>
    <t>stranger</t>
  </si>
  <si>
    <t>mr. show with bob and david</t>
  </si>
  <si>
    <t>anne of avonlea</t>
  </si>
  <si>
    <t>Drama, Family, Romance</t>
  </si>
  <si>
    <t>the adventures of pete &amp; pete</t>
  </si>
  <si>
    <t>infinity train</t>
  </si>
  <si>
    <t>american beauty</t>
  </si>
  <si>
    <t>up</t>
  </si>
  <si>
    <t>star wars episode vi - return of the jedi</t>
  </si>
  <si>
    <t>reservoir dogs</t>
  </si>
  <si>
    <t>Crime, Thriller</t>
  </si>
  <si>
    <t>braveheart</t>
  </si>
  <si>
    <t>Biography, Drama, War</t>
  </si>
  <si>
    <t>eternal sunshine of the spotless mind</t>
  </si>
  <si>
    <t>Drama, Romance, Sci-Fi</t>
  </si>
  <si>
    <t>good will hunting</t>
  </si>
  <si>
    <t>toy story</t>
  </si>
  <si>
    <t>scarface</t>
  </si>
  <si>
    <t>requiem for a dream</t>
  </si>
  <si>
    <t>toy story 3</t>
  </si>
  <si>
    <t>oppenheimer</t>
  </si>
  <si>
    <t>amélie</t>
  </si>
  <si>
    <t>how i met your mother</t>
  </si>
  <si>
    <t>2001 a space odyssey</t>
  </si>
  <si>
    <t>Adventure, Sci-Fi</t>
  </si>
  <si>
    <t>heat</t>
  </si>
  <si>
    <t>oldboy</t>
  </si>
  <si>
    <t>lost</t>
  </si>
  <si>
    <t>prison break</t>
  </si>
  <si>
    <t>dr. strangelove or how i learned to stop worrying and love the bomb</t>
  </si>
  <si>
    <t>citizen kane</t>
  </si>
  <si>
    <t>house of the dragon</t>
  </si>
  <si>
    <t>princess mononoke</t>
  </si>
  <si>
    <t>Adventure, Animation, Fantasy</t>
  </si>
  <si>
    <t>vertigo</t>
  </si>
  <si>
    <t>Mystery, Romance, Thriller</t>
  </si>
  <si>
    <t>once upon a time in america</t>
  </si>
  <si>
    <t>the hunt</t>
  </si>
  <si>
    <t>homeland</t>
  </si>
  <si>
    <t>north by northwest</t>
  </si>
  <si>
    <t>Adventure, Drama, Mystery</t>
  </si>
  <si>
    <t>to kill a mockingbird</t>
  </si>
  <si>
    <t>lawrence of arabia</t>
  </si>
  <si>
    <t>Adventure, Biography, Drama</t>
  </si>
  <si>
    <t>the sting</t>
  </si>
  <si>
    <t>fallout</t>
  </si>
  <si>
    <t>singin in the rain</t>
  </si>
  <si>
    <t>Comedy, Musical, Romance</t>
  </si>
  <si>
    <t>a separation</t>
  </si>
  <si>
    <t>euphoria</t>
  </si>
  <si>
    <t>dangal</t>
  </si>
  <si>
    <t>Action, Biography, Drama</t>
  </si>
  <si>
    <t>incendies</t>
  </si>
  <si>
    <t>like stars on earth</t>
  </si>
  <si>
    <t>the apartment</t>
  </si>
  <si>
    <t>metropolis</t>
  </si>
  <si>
    <t>Drama, Sci-Fi</t>
  </si>
  <si>
    <t>californication</t>
  </si>
  <si>
    <t>outlander</t>
  </si>
  <si>
    <t>bicycle thieves</t>
  </si>
  <si>
    <t>m</t>
  </si>
  <si>
    <t>double indemnity</t>
  </si>
  <si>
    <t>Crime, Drama, Film-Noir</t>
  </si>
  <si>
    <t>Action, Adventure, Comedy</t>
  </si>
  <si>
    <t>buffy the vampire slayer</t>
  </si>
  <si>
    <t>taboo</t>
  </si>
  <si>
    <t>the originals</t>
  </si>
  <si>
    <t>peacemaker</t>
  </si>
  <si>
    <t>the legend of korra</t>
  </si>
  <si>
    <t>dil bechara</t>
  </si>
  <si>
    <t>the pacific</t>
  </si>
  <si>
    <t>30 rock</t>
  </si>
  <si>
    <t>shershaah</t>
  </si>
  <si>
    <t>barry</t>
  </si>
  <si>
    <t>unbelievable</t>
  </si>
  <si>
    <t>hamilton</t>
  </si>
  <si>
    <t>orphan black</t>
  </si>
  <si>
    <t>the leftovers</t>
  </si>
  <si>
    <t>billions</t>
  </si>
  <si>
    <t>maid</t>
  </si>
  <si>
    <t>come and see</t>
  </si>
  <si>
    <t>Drama, Thriller, War</t>
  </si>
  <si>
    <t>slow horses</t>
  </si>
  <si>
    <t>narcos mexico</t>
  </si>
  <si>
    <t>ray donovan</t>
  </si>
  <si>
    <t>ikiru</t>
  </si>
  <si>
    <t>cyberpunk edgerunners</t>
  </si>
  <si>
    <t>judgment at nuremberg</t>
  </si>
  <si>
    <t>castlevania</t>
  </si>
  <si>
    <t>vikram</t>
  </si>
  <si>
    <t>chainsaw man</t>
  </si>
  <si>
    <t>Animation, Thriller</t>
  </si>
  <si>
    <t>chhichhore</t>
  </si>
  <si>
    <t>star trek strange new worlds</t>
  </si>
  <si>
    <t>extras</t>
  </si>
  <si>
    <t>blue mountain state</t>
  </si>
  <si>
    <t>Comedy, Sport</t>
  </si>
  <si>
    <t>Action, Drama, Horror</t>
  </si>
  <si>
    <t>hell on wheels</t>
  </si>
  <si>
    <t>mythbusters</t>
  </si>
  <si>
    <t>Documentary, Mystery, Reality-TV</t>
  </si>
  <si>
    <t>courage the cowardly dog</t>
  </si>
  <si>
    <t>parasyte the maxim</t>
  </si>
  <si>
    <t>raatchasan</t>
  </si>
  <si>
    <t>farzi</t>
  </si>
  <si>
    <t>the daily show</t>
  </si>
  <si>
    <t>the young pope</t>
  </si>
  <si>
    <t>sardar udham</t>
  </si>
  <si>
    <t>24 live another day</t>
  </si>
  <si>
    <t>spy x family</t>
  </si>
  <si>
    <t>drishyam</t>
  </si>
  <si>
    <t>columbo</t>
  </si>
  <si>
    <t>bad sisters</t>
  </si>
  <si>
    <t>Comedy, Drama, Thriller</t>
  </si>
  <si>
    <t>longmire</t>
  </si>
  <si>
    <t>farscape</t>
  </si>
  <si>
    <t>fauda</t>
  </si>
  <si>
    <t>dragon ball super</t>
  </si>
  <si>
    <t>parenthood</t>
  </si>
  <si>
    <t>poldark</t>
  </si>
  <si>
    <t>sugarland</t>
  </si>
  <si>
    <t>an idiot abroad</t>
  </si>
  <si>
    <t>Adventure, Comedy, Documentary</t>
  </si>
  <si>
    <t>years and years</t>
  </si>
  <si>
    <t>solo leveling</t>
  </si>
  <si>
    <t>the good fight</t>
  </si>
  <si>
    <t>why women kill</t>
  </si>
  <si>
    <t>winning time the rise of the lakers dynasty</t>
  </si>
  <si>
    <t>Biography, Drama, Sport</t>
  </si>
  <si>
    <t>the dragon prince</t>
  </si>
  <si>
    <t>college romance</t>
  </si>
  <si>
    <t>man with a movie camera</t>
  </si>
  <si>
    <t>hoop dreams</t>
  </si>
  <si>
    <t>Documentary, Drama, Sport</t>
  </si>
  <si>
    <t>rescue me</t>
  </si>
  <si>
    <t>rectify</t>
  </si>
  <si>
    <t>feud</t>
  </si>
  <si>
    <t>shetland</t>
  </si>
  <si>
    <t>wont you be my neighbor?</t>
  </si>
  <si>
    <t>olive kitteridge</t>
  </si>
  <si>
    <t>key and peele</t>
  </si>
  <si>
    <t>reservation dogs</t>
  </si>
  <si>
    <t>dragon ball z kai</t>
  </si>
  <si>
    <t>studio 60 on the sunset strip</t>
  </si>
  <si>
    <t>mushoku tensei jobless reincarnation</t>
  </si>
  <si>
    <t>premam</t>
  </si>
  <si>
    <t>bangalore days</t>
  </si>
  <si>
    <t>jane eyre</t>
  </si>
  <si>
    <t>hometown cha-cha-cha</t>
  </si>
  <si>
    <t>anniyan</t>
  </si>
  <si>
    <t>gurren lagann</t>
  </si>
  <si>
    <t>welcome to wrexham</t>
  </si>
  <si>
    <t>kursadzije</t>
  </si>
  <si>
    <t>Comedy, Drama, Horror</t>
  </si>
  <si>
    <t>red beard</t>
  </si>
  <si>
    <t>children of paradise</t>
  </si>
  <si>
    <t>the rescue</t>
  </si>
  <si>
    <t>Action, Documentary, Mystery</t>
  </si>
  <si>
    <t>to live</t>
  </si>
  <si>
    <t>winter on fire ukraines fight for freedom</t>
  </si>
  <si>
    <t>who is america?</t>
  </si>
  <si>
    <t>masum</t>
  </si>
  <si>
    <t>wayne</t>
  </si>
  <si>
    <t>Action, Comedy</t>
  </si>
  <si>
    <t>the cranes are flying</t>
  </si>
  <si>
    <t>the adventures of tintin</t>
  </si>
  <si>
    <t>operation mbbs</t>
  </si>
  <si>
    <t>mi-5</t>
  </si>
  <si>
    <t>in treatment</t>
  </si>
  <si>
    <t>metalocalypse</t>
  </si>
  <si>
    <t>Animation, Comedy, Music</t>
  </si>
  <si>
    <t>dirin dirin</t>
  </si>
  <si>
    <t>jana gana mana</t>
  </si>
  <si>
    <t>special ops 1.5 the himmat story</t>
  </si>
  <si>
    <t>the bugs bunny/looney tunes comedy hour</t>
  </si>
  <si>
    <t>agent sai srinivasa athreya</t>
  </si>
  <si>
    <t>call my agent!</t>
  </si>
  <si>
    <t>satya</t>
  </si>
  <si>
    <t>made in abyss</t>
  </si>
  <si>
    <t>the avengers earths mightiest heroes</t>
  </si>
  <si>
    <t>the diamond arm</t>
  </si>
  <si>
    <t>Adventure, Comedy, Crime</t>
  </si>
  <si>
    <t>treme</t>
  </si>
  <si>
    <t>sairat</t>
  </si>
  <si>
    <t>jaane bhi do yaaro</t>
  </si>
  <si>
    <t>this is england 86</t>
  </si>
  <si>
    <t>aruvi</t>
  </si>
  <si>
    <t>samurai rebellion</t>
  </si>
  <si>
    <t>bottom</t>
  </si>
  <si>
    <t>the look of silence</t>
  </si>
  <si>
    <t>weightlifting fairy kim bok-joo</t>
  </si>
  <si>
    <t>kaiju no. 8</t>
  </si>
  <si>
    <t>king of the doormen</t>
  </si>
  <si>
    <t>kidnapping, caucasian style</t>
  </si>
  <si>
    <t>julia</t>
  </si>
  <si>
    <t>lucia</t>
  </si>
  <si>
    <t>chupke chupke</t>
  </si>
  <si>
    <t>gentlemen of fortune</t>
  </si>
  <si>
    <t>wonderfalls</t>
  </si>
  <si>
    <t>amaran</t>
  </si>
  <si>
    <t>green wing</t>
  </si>
  <si>
    <t>ducktales</t>
  </si>
  <si>
    <t>perry mason</t>
  </si>
  <si>
    <t>wu-tang an american saga</t>
  </si>
  <si>
    <t>the disastrous life of saiki k.</t>
  </si>
  <si>
    <t>Animation, Comedy, Fantasy</t>
  </si>
  <si>
    <t>soodhu kavvum</t>
  </si>
  <si>
    <t>Comedy, Crime, Thriller</t>
  </si>
  <si>
    <t>from the village to the city</t>
  </si>
  <si>
    <t>law of the lawless</t>
  </si>
  <si>
    <t>baasha</t>
  </si>
  <si>
    <t>car masters rust to riches</t>
  </si>
  <si>
    <t>this is england 88</t>
  </si>
  <si>
    <t>gran hotel</t>
  </si>
  <si>
    <t>kaun pravin tambe?</t>
  </si>
  <si>
    <t>violet evergarden the movie</t>
  </si>
  <si>
    <t>landman</t>
  </si>
  <si>
    <t>cat city</t>
  </si>
  <si>
    <t>cranford</t>
  </si>
  <si>
    <t>bleak house</t>
  </si>
  <si>
    <t>maheshinte prathikaaram</t>
  </si>
  <si>
    <t>oshi no ko</t>
  </si>
  <si>
    <t>while you were sleeping</t>
  </si>
  <si>
    <t>state of play</t>
  </si>
  <si>
    <t>millennium</t>
  </si>
  <si>
    <t>feels like home</t>
  </si>
  <si>
    <t>the mary tyler moore show</t>
  </si>
  <si>
    <t>to your eternity</t>
  </si>
  <si>
    <t>frozen stiff</t>
  </si>
  <si>
    <t>a bit of fry and laurie</t>
  </si>
  <si>
    <t>the wolf of wall street</t>
  </si>
  <si>
    <t>Biography, Comedy, Crime</t>
  </si>
  <si>
    <t>batman begins</t>
  </si>
  <si>
    <t>shutter island</t>
  </si>
  <si>
    <t>the truman show</t>
  </si>
  <si>
    <t>kill bill vol. 1</t>
  </si>
  <si>
    <t>finding nemo</t>
  </si>
  <si>
    <t>jurassic park</t>
  </si>
  <si>
    <t>no country for old men</t>
  </si>
  <si>
    <t>the sixth sense</t>
  </si>
  <si>
    <t>a beautiful mind</t>
  </si>
  <si>
    <t>Biography, Drama, Mystery</t>
  </si>
  <si>
    <t>die hard</t>
  </si>
  <si>
    <t>Action, Thriller</t>
  </si>
  <si>
    <t>taxi driver</t>
  </si>
  <si>
    <t>snatch</t>
  </si>
  <si>
    <t>spider-man no way home</t>
  </si>
  <si>
    <t>a clockwork orange</t>
  </si>
  <si>
    <t>Crime, Sci-Fi</t>
  </si>
  <si>
    <t>prisoners</t>
  </si>
  <si>
    <t>indiana jones and the last crusade</t>
  </si>
  <si>
    <t>full metal jacket</t>
  </si>
  <si>
    <t>top gun maverick</t>
  </si>
  <si>
    <t>pans labyrinth</t>
  </si>
  <si>
    <t>Drama, Fantasy, War</t>
  </si>
  <si>
    <t>Action, Drama, War</t>
  </si>
  <si>
    <t>there will be blood</t>
  </si>
  <si>
    <t>l.a. confidential</t>
  </si>
  <si>
    <t>green book</t>
  </si>
  <si>
    <t>monty python and the holy grail</t>
  </si>
  <si>
    <t>Adventure, Comedy, Fantasy</t>
  </si>
  <si>
    <t>casino</t>
  </si>
  <si>
    <t>money heist</t>
  </si>
  <si>
    <t>the thing</t>
  </si>
  <si>
    <t>Horror, Mystery, Sci-Fi</t>
  </si>
  <si>
    <t>howls moving castle</t>
  </si>
  <si>
    <t>unforgiven</t>
  </si>
  <si>
    <t>loki</t>
  </si>
  <si>
    <t>downfall</t>
  </si>
  <si>
    <t>sex education</t>
  </si>
  <si>
    <t>gone with the wind</t>
  </si>
  <si>
    <t>some like it hot</t>
  </si>
  <si>
    <t>Comedy, Music, Romance</t>
  </si>
  <si>
    <t>for a few dollars more</t>
  </si>
  <si>
    <t>the elephant man</t>
  </si>
  <si>
    <t>the great escape</t>
  </si>
  <si>
    <t>Adventure, Drama, Thriller</t>
  </si>
  <si>
    <t>the secret in their eyes</t>
  </si>
  <si>
    <t>Drama, Mystery, Romance</t>
  </si>
  <si>
    <t>the mentalist</t>
  </si>
  <si>
    <t>the father</t>
  </si>
  <si>
    <t>klaus</t>
  </si>
  <si>
    <t>the good place</t>
  </si>
  <si>
    <t>dial m for murder</t>
  </si>
  <si>
    <t>rashomon</t>
  </si>
  <si>
    <t>sense8</t>
  </si>
  <si>
    <t>gilmore girls</t>
  </si>
  <si>
    <t>k.g.f chapter 2</t>
  </si>
  <si>
    <t>chuck</t>
  </si>
  <si>
    <t>malcolm in the middle</t>
  </si>
  <si>
    <t>white collar</t>
  </si>
  <si>
    <t>all about eve</t>
  </si>
  <si>
    <t>ran</t>
  </si>
  <si>
    <t>the kid</t>
  </si>
  <si>
    <t>watchmen</t>
  </si>
  <si>
    <t>the morning show</t>
  </si>
  <si>
    <t>the treasure of the sierra madre</t>
  </si>
  <si>
    <t>yojimbo</t>
  </si>
  <si>
    <t>penny dreadful</t>
  </si>
  <si>
    <t>baahubali 2 the conclusion</t>
  </si>
  <si>
    <t>black sails</t>
  </si>
  <si>
    <t>spongebob squarepants</t>
  </si>
  <si>
    <t>the mountain ii</t>
  </si>
  <si>
    <t>misfits</t>
  </si>
  <si>
    <t>atypical</t>
  </si>
  <si>
    <t>andhadhun</t>
  </si>
  <si>
    <t>gangs of wasseypur</t>
  </si>
  <si>
    <t>kantara</t>
  </si>
  <si>
    <t>k.g.f chapter 1</t>
  </si>
  <si>
    <t>swades</t>
  </si>
  <si>
    <t>Drama, Musical</t>
  </si>
  <si>
    <t>frasier</t>
  </si>
  <si>
    <t>the wild robot</t>
  </si>
  <si>
    <t>Animation, Sci-Fi</t>
  </si>
  <si>
    <t>bobs burgers</t>
  </si>
  <si>
    <t>my father and my son</t>
  </si>
  <si>
    <t>skins</t>
  </si>
  <si>
    <t>zindagi na milegi dobara</t>
  </si>
  <si>
    <t>Comedy, Drama, Musical</t>
  </si>
  <si>
    <t>my hero academia</t>
  </si>
  <si>
    <t>children of heaven</t>
  </si>
  <si>
    <t>Drama, Family, Sport</t>
  </si>
  <si>
    <t>godless</t>
  </si>
  <si>
    <t>Action, Drama, Western</t>
  </si>
  <si>
    <t>inside job</t>
  </si>
  <si>
    <t>demon slayer kimetsu no yaiba - the movie mugen train</t>
  </si>
  <si>
    <t>master of none</t>
  </si>
  <si>
    <t>bleach</t>
  </si>
  <si>
    <t>hera pheri</t>
  </si>
  <si>
    <t>uri the surgical strike</t>
  </si>
  <si>
    <t>searching for sugar man</t>
  </si>
  <si>
    <t>bhaag milkha bhaag</t>
  </si>
  <si>
    <t>tumbbad</t>
  </si>
  <si>
    <t>eastbound &amp; down</t>
  </si>
  <si>
    <t>forever</t>
  </si>
  <si>
    <t>sherlock jr.</t>
  </si>
  <si>
    <t>Action, Comedy, Romance</t>
  </si>
  <si>
    <t>grace and frankie</t>
  </si>
  <si>
    <t>miracle in cell no. 7</t>
  </si>
  <si>
    <t>mayor of kingstown</t>
  </si>
  <si>
    <t>the league</t>
  </si>
  <si>
    <t>vikram vedha</t>
  </si>
  <si>
    <t>the promised neverland</t>
  </si>
  <si>
    <t>final space</t>
  </si>
  <si>
    <t>the golden girls</t>
  </si>
  <si>
    <t>jury duty</t>
  </si>
  <si>
    <t>hacks</t>
  </si>
  <si>
    <t>young royals</t>
  </si>
  <si>
    <t>lessons in chemistry</t>
  </si>
  <si>
    <t>animal kingdom</t>
  </si>
  <si>
    <t>the kominsky method</t>
  </si>
  <si>
    <t>ayla the daughter of war</t>
  </si>
  <si>
    <t>koyaanisqatsi</t>
  </si>
  <si>
    <t>the act of killing</t>
  </si>
  <si>
    <t>steven universe</t>
  </si>
  <si>
    <t>abbott elementary</t>
  </si>
  <si>
    <t>pather panchali</t>
  </si>
  <si>
    <t>they shall not grow old</t>
  </si>
  <si>
    <t>black clover</t>
  </si>
  <si>
    <t>paan singh tomar</t>
  </si>
  <si>
    <t>Action, Biography, Crime</t>
  </si>
  <si>
    <t>13th</t>
  </si>
  <si>
    <t>Crime, Documentary, History</t>
  </si>
  <si>
    <t>party down</t>
  </si>
  <si>
    <t>quantum leap</t>
  </si>
  <si>
    <t>dersu uzala</t>
  </si>
  <si>
    <t>victoria</t>
  </si>
  <si>
    <t>the missing</t>
  </si>
  <si>
    <t>the day of the jackal</t>
  </si>
  <si>
    <t>the first born</t>
  </si>
  <si>
    <t>Documentary, News</t>
  </si>
  <si>
    <t>umberto d.</t>
  </si>
  <si>
    <t>time</t>
  </si>
  <si>
    <t>rangasthalam</t>
  </si>
  <si>
    <t>hellsing ultimate</t>
  </si>
  <si>
    <t>better off ted</t>
  </si>
  <si>
    <t>a man escaped</t>
  </si>
  <si>
    <t>the midnight gospel</t>
  </si>
  <si>
    <t>dave</t>
  </si>
  <si>
    <t>maanaadu</t>
  </si>
  <si>
    <t>kims convenience</t>
  </si>
  <si>
    <t>khosla ka ghosla!</t>
  </si>
  <si>
    <t>conan</t>
  </si>
  <si>
    <t>trigun</t>
  </si>
  <si>
    <t>undone</t>
  </si>
  <si>
    <t>catastrophe</t>
  </si>
  <si>
    <t>close-up</t>
  </si>
  <si>
    <t>the get down</t>
  </si>
  <si>
    <t>Drama, Music, Musical</t>
  </si>
  <si>
    <t>descendants of the sun</t>
  </si>
  <si>
    <t>manjummel boys</t>
  </si>
  <si>
    <t>hustle</t>
  </si>
  <si>
    <t>gavin &amp; stacey</t>
  </si>
  <si>
    <t>friday night dinner</t>
  </si>
  <si>
    <t>caliphate</t>
  </si>
  <si>
    <t>dororo</t>
  </si>
  <si>
    <t>rocco and his brothers</t>
  </si>
  <si>
    <t>Crime, Drama, Sport</t>
  </si>
  <si>
    <t>the young and the damned</t>
  </si>
  <si>
    <t>looking</t>
  </si>
  <si>
    <t>breathe</t>
  </si>
  <si>
    <t>absolutely fabulous</t>
  </si>
  <si>
    <t>vera</t>
  </si>
  <si>
    <t>itaewon class</t>
  </si>
  <si>
    <t>the 10th kingdom</t>
  </si>
  <si>
    <t>Adventure, Comedy, Family</t>
  </si>
  <si>
    <t>the kingdom</t>
  </si>
  <si>
    <t>leverage redemption</t>
  </si>
  <si>
    <t>genius</t>
  </si>
  <si>
    <t>apharan</t>
  </si>
  <si>
    <t>late spring</t>
  </si>
  <si>
    <t>strong girl bong-soon</t>
  </si>
  <si>
    <t>scooby-doo! mystery incorporated</t>
  </si>
  <si>
    <t>late night with conan obrien</t>
  </si>
  <si>
    <t>ivan vasilyevich changes his profession</t>
  </si>
  <si>
    <t>patriot</t>
  </si>
  <si>
    <t>hi nanna</t>
  </si>
  <si>
    <t>paris is burning</t>
  </si>
  <si>
    <t>paradise lost the child murders at robin hood hills</t>
  </si>
  <si>
    <t>super deluxe</t>
  </si>
  <si>
    <t>murdoch mysteries</t>
  </si>
  <si>
    <t>miss fishers murder mysteries</t>
  </si>
  <si>
    <t>life and a day</t>
  </si>
  <si>
    <t>shahid</t>
  </si>
  <si>
    <t>ghilli</t>
  </si>
  <si>
    <t>ordet</t>
  </si>
  <si>
    <t>lion of the desert</t>
  </si>
  <si>
    <t>a face in the crowd</t>
  </si>
  <si>
    <t>shaun the sheep</t>
  </si>
  <si>
    <t>miranda</t>
  </si>
  <si>
    <t>theeran adhigaram ondru</t>
  </si>
  <si>
    <t>dhuruvangal pathinaaru</t>
  </si>
  <si>
    <t>my love from another star</t>
  </si>
  <si>
    <t>ustad hotel</t>
  </si>
  <si>
    <t>farscape the peacekeeper wars</t>
  </si>
  <si>
    <t>the young ones</t>
  </si>
  <si>
    <t>are you afraid of the dark?</t>
  </si>
  <si>
    <t>aparajito</t>
  </si>
  <si>
    <t>gentleman jack</t>
  </si>
  <si>
    <t>inspector lewis</t>
  </si>
  <si>
    <t>queen of tears</t>
  </si>
  <si>
    <t>athadu</t>
  </si>
  <si>
    <t>fate/zero</t>
  </si>
  <si>
    <t>clannad</t>
  </si>
  <si>
    <t>the durrells</t>
  </si>
  <si>
    <t>inspector morse</t>
  </si>
  <si>
    <t>i am a fugitive from a chain gang</t>
  </si>
  <si>
    <t>vaaranam aayiram</t>
  </si>
  <si>
    <t>Action, Drama, Musical</t>
  </si>
  <si>
    <t>made in heaven</t>
  </si>
  <si>
    <t>exit</t>
  </si>
  <si>
    <t>pocket hercules naim süleymanoglu</t>
  </si>
  <si>
    <t>get smart</t>
  </si>
  <si>
    <t>jigarthanda</t>
  </si>
  <si>
    <t>fellow travelers</t>
  </si>
  <si>
    <t>taarak mehta ka ooltah chashmah</t>
  </si>
  <si>
    <t>a brighter summer day</t>
  </si>
  <si>
    <t>champion</t>
  </si>
  <si>
    <t>Biography, Drama, Romance</t>
  </si>
  <si>
    <t>in living color</t>
  </si>
  <si>
    <t>the easy life</t>
  </si>
  <si>
    <t>satantango</t>
  </si>
  <si>
    <t>baccano!</t>
  </si>
  <si>
    <t>kurokos basketball</t>
  </si>
  <si>
    <t>Animation, Comedy, Sport</t>
  </si>
  <si>
    <t>ouran high school host club</t>
  </si>
  <si>
    <t>puella magi madoka magica</t>
  </si>
  <si>
    <t>penn &amp; teller bullshit!</t>
  </si>
  <si>
    <t>ballad of a soldier</t>
  </si>
  <si>
    <t>the rockford files</t>
  </si>
  <si>
    <t>our beloved summer</t>
  </si>
  <si>
    <t>home movies</t>
  </si>
  <si>
    <t>i am cuba</t>
  </si>
  <si>
    <t>toast of london</t>
  </si>
  <si>
    <t>hill street blues</t>
  </si>
  <si>
    <t>yuri!!! on ice</t>
  </si>
  <si>
    <t>little dorrit</t>
  </si>
  <si>
    <t>office romance</t>
  </si>
  <si>
    <t>the ascent</t>
  </si>
  <si>
    <t>the guild</t>
  </si>
  <si>
    <t>hope</t>
  </si>
  <si>
    <t>bommarillu</t>
  </si>
  <si>
    <t>d.p.</t>
  </si>
  <si>
    <t>pirates of the caribbean the curse of the black pearl</t>
  </si>
  <si>
    <t>v for vendetta</t>
  </si>
  <si>
    <t>Action, Drama, Sci-Fi</t>
  </si>
  <si>
    <t>mad max fury road</t>
  </si>
  <si>
    <t>catch me if you can</t>
  </si>
  <si>
    <t>the walking dead</t>
  </si>
  <si>
    <t>Drama, Horror, Thriller</t>
  </si>
  <si>
    <t>gone girl</t>
  </si>
  <si>
    <t>monsters, inc.</t>
  </si>
  <si>
    <t>harry potter and the deathly hallows part 2</t>
  </si>
  <si>
    <t>the terminator</t>
  </si>
  <si>
    <t>the grand budapest hotel</t>
  </si>
  <si>
    <t>the big bang theory</t>
  </si>
  <si>
    <t>the big lebowski</t>
  </si>
  <si>
    <t>logan</t>
  </si>
  <si>
    <t>ratatouille</t>
  </si>
  <si>
    <t>inside out</t>
  </si>
  <si>
    <t>blade runner</t>
  </si>
  <si>
    <t>gran torino</t>
  </si>
  <si>
    <t>how to train your dragon</t>
  </si>
  <si>
    <t>12 years a slave</t>
  </si>
  <si>
    <t>trainspotting</t>
  </si>
  <si>
    <t>million dollar baby</t>
  </si>
  <si>
    <t>jaws</t>
  </si>
  <si>
    <t>Adventure, Drama, Horror</t>
  </si>
  <si>
    <t>into the wild</t>
  </si>
  <si>
    <t>rocky</t>
  </si>
  <si>
    <t>lock, stock and two smoking barrels</t>
  </si>
  <si>
    <t>hacksaw ridge</t>
  </si>
  <si>
    <t>dead poets society</t>
  </si>
  <si>
    <t>three billboards outside ebbing, missouri</t>
  </si>
  <si>
    <t>rush</t>
  </si>
  <si>
    <t>spotlight</t>
  </si>
  <si>
    <t>ford v ferrari</t>
  </si>
  <si>
    <t>the help</t>
  </si>
  <si>
    <t>the exorcist</t>
  </si>
  <si>
    <t>Horror</t>
  </si>
  <si>
    <t>room</t>
  </si>
  <si>
    <t>stand by me</t>
  </si>
  <si>
    <t>platoon</t>
  </si>
  <si>
    <t>the wizard of oz</t>
  </si>
  <si>
    <t>my neighbor totoro</t>
  </si>
  <si>
    <t>wednesday</t>
  </si>
  <si>
    <t>Comedy, Crime, Fantasy</t>
  </si>
  <si>
    <t>raging bull</t>
  </si>
  <si>
    <t>hotel rwanda</t>
  </si>
  <si>
    <t>family guy</t>
  </si>
  <si>
    <t>the deer hunter</t>
  </si>
  <si>
    <t>chinatown</t>
  </si>
  <si>
    <t>before sunrise</t>
  </si>
  <si>
    <t>hachi a dogs tale</t>
  </si>
  <si>
    <t>Biography, Drama, Family</t>
  </si>
  <si>
    <t>before sunset</t>
  </si>
  <si>
    <t>the sound of music</t>
  </si>
  <si>
    <t>ben-hur</t>
  </si>
  <si>
    <t>the bridge on the river kwai</t>
  </si>
  <si>
    <t>the iron giant</t>
  </si>
  <si>
    <t>memories of murder</t>
  </si>
  <si>
    <t>criminal minds</t>
  </si>
  <si>
    <t>wild tales</t>
  </si>
  <si>
    <t>pk</t>
  </si>
  <si>
    <t>Comedy, Drama, Sci-Fi</t>
  </si>
  <si>
    <t>la haine</t>
  </si>
  <si>
    <t>the seventh seal</t>
  </si>
  <si>
    <t>that 70s show</t>
  </si>
  <si>
    <t>in the name of the father</t>
  </si>
  <si>
    <t>mary and max</t>
  </si>
  <si>
    <t>barry lyndon</t>
  </si>
  <si>
    <t>the third man</t>
  </si>
  <si>
    <t>Drama, Film-Noir, Mystery</t>
  </si>
  <si>
    <t>the handmaiden</t>
  </si>
  <si>
    <t>Drama, Romance, Thriller</t>
  </si>
  <si>
    <t>castle</t>
  </si>
  <si>
    <t>only murders in the building</t>
  </si>
  <si>
    <t>network</t>
  </si>
  <si>
    <t>in the mood for love</t>
  </si>
  <si>
    <t>how to get away with murder</t>
  </si>
  <si>
    <t>on the waterfront</t>
  </si>
  <si>
    <t>rebecca</t>
  </si>
  <si>
    <t>silo</t>
  </si>
  <si>
    <t>killing eve</t>
  </si>
  <si>
    <t>law &amp; order special victims unit</t>
  </si>
  <si>
    <t>paris, texas</t>
  </si>
  <si>
    <t>mr. smith goes to washington</t>
  </si>
  <si>
    <t>the fall</t>
  </si>
  <si>
    <t>rang de basanti</t>
  </si>
  <si>
    <t>lagaan once upon a time in india</t>
  </si>
  <si>
    <t>Drama, Musical, Sport</t>
  </si>
  <si>
    <t>the gold rush</t>
  </si>
  <si>
    <t>bates motel</t>
  </si>
  <si>
    <t>wild strawberries</t>
  </si>
  <si>
    <t>black bird</t>
  </si>
  <si>
    <t>portrait of a lady on fire</t>
  </si>
  <si>
    <t>it happened one night</t>
  </si>
  <si>
    <t>married... with children</t>
  </si>
  <si>
    <t>three colors red</t>
  </si>
  <si>
    <t>a silent voice the movie</t>
  </si>
  <si>
    <t>Animation, Drama</t>
  </si>
  <si>
    <t>11.22.63</t>
  </si>
  <si>
    <t>the grapes of wrath</t>
  </si>
  <si>
    <t>bajrangi bhaijaan</t>
  </si>
  <si>
    <t>the general</t>
  </si>
  <si>
    <t>legion</t>
  </si>
  <si>
    <t>monk</t>
  </si>
  <si>
    <t>munna bhai m.b.b.s.</t>
  </si>
  <si>
    <t>barfi!</t>
  </si>
  <si>
    <t>chak de! india</t>
  </si>
  <si>
    <t>the man who shot liberty valance</t>
  </si>
  <si>
    <t>a wednesday</t>
  </si>
  <si>
    <t>the tudors</t>
  </si>
  <si>
    <t>Drama, History, Romance</t>
  </si>
  <si>
    <t>dara of jasenovac</t>
  </si>
  <si>
    <t>free solo</t>
  </si>
  <si>
    <t>Adventure, Documentary, Sport</t>
  </si>
  <si>
    <t>dil chahta hai</t>
  </si>
  <si>
    <t>for all mankind</t>
  </si>
  <si>
    <t>blackfish</t>
  </si>
  <si>
    <t>Documentary, Drama, Horror</t>
  </si>
  <si>
    <t>the bandit</t>
  </si>
  <si>
    <t>stargate atlantis</t>
  </si>
  <si>
    <t>star trek deep space nine</t>
  </si>
  <si>
    <t>the best years of our lives</t>
  </si>
  <si>
    <t>tokyo story</t>
  </si>
  <si>
    <t>diabolique</t>
  </si>
  <si>
    <t>queen</t>
  </si>
  <si>
    <t>all quiet on the western front</t>
  </si>
  <si>
    <t>the wages of fear</t>
  </si>
  <si>
    <t>fanny and alexander</t>
  </si>
  <si>
    <t>the battle of algiers</t>
  </si>
  <si>
    <t>resident alien</t>
  </si>
  <si>
    <t>Comedy, Drama, Mystery</t>
  </si>
  <si>
    <t>neon genesis evangelion the end of evangelion</t>
  </si>
  <si>
    <t>omg oh my god!</t>
  </si>
  <si>
    <t>kahaani</t>
  </si>
  <si>
    <t>paatal lok</t>
  </si>
  <si>
    <t>my octopus teacher</t>
  </si>
  <si>
    <t>Documentary, Drama</t>
  </si>
  <si>
    <t>manhunt</t>
  </si>
  <si>
    <t>the passion of joan of arc</t>
  </si>
  <si>
    <t>star wars rebels</t>
  </si>
  <si>
    <t>phineas and ferb</t>
  </si>
  <si>
    <t>sholay</t>
  </si>
  <si>
    <t>dirk gentlys holistic detective agency</t>
  </si>
  <si>
    <t>the great</t>
  </si>
  <si>
    <t>workaholics</t>
  </si>
  <si>
    <t>goliath</t>
  </si>
  <si>
    <t>taaza khabar</t>
  </si>
  <si>
    <t>sunrise</t>
  </si>
  <si>
    <t>ripley</t>
  </si>
  <si>
    <t>power</t>
  </si>
  <si>
    <t>one day</t>
  </si>
  <si>
    <t>paper moon</t>
  </si>
  <si>
    <t>nights of cabiria</t>
  </si>
  <si>
    <t>wolf children</t>
  </si>
  <si>
    <t>tokyo vice</t>
  </si>
  <si>
    <t>tangerines</t>
  </si>
  <si>
    <t>the righteous gemstones</t>
  </si>
  <si>
    <t>udaan</t>
  </si>
  <si>
    <t>chicago p.d.</t>
  </si>
  <si>
    <t>boy meets world</t>
  </si>
  <si>
    <t>what is a woman?</t>
  </si>
  <si>
    <t>to be or not to be</t>
  </si>
  <si>
    <t>Comedy, Romance, War</t>
  </si>
  <si>
    <t>dead like me</t>
  </si>
  <si>
    <t>happy!</t>
  </si>
  <si>
    <t>raising hope</t>
  </si>
  <si>
    <t>the red shoes</t>
  </si>
  <si>
    <t>daisy jones &amp; the six</t>
  </si>
  <si>
    <t>ace in the hole</t>
  </si>
  <si>
    <t>the grand illusion</t>
  </si>
  <si>
    <t>thuppakki</t>
  </si>
  <si>
    <t>guilty</t>
  </si>
  <si>
    <t>autumn sonata</t>
  </si>
  <si>
    <t>endless corridor</t>
  </si>
  <si>
    <t>star wars tales of the jedi</t>
  </si>
  <si>
    <t>beckham</t>
  </si>
  <si>
    <t>article 15</t>
  </si>
  <si>
    <t>rififi</t>
  </si>
  <si>
    <t>the circus</t>
  </si>
  <si>
    <t>Comedy, Family, Romance</t>
  </si>
  <si>
    <t>white heat</t>
  </si>
  <si>
    <t>black</t>
  </si>
  <si>
    <t>wild wild country</t>
  </si>
  <si>
    <t>the tashkent files</t>
  </si>
  <si>
    <t>derek</t>
  </si>
  <si>
    <t>raise the red lantern</t>
  </si>
  <si>
    <t>anand</t>
  </si>
  <si>
    <t>seaspiracy</t>
  </si>
  <si>
    <t>farewell my concubine</t>
  </si>
  <si>
    <t>strike back</t>
  </si>
  <si>
    <t>american vandal</t>
  </si>
  <si>
    <t>the lost room</t>
  </si>
  <si>
    <t>Action, Fantasy, Mystery</t>
  </si>
  <si>
    <t>inherit the wind</t>
  </si>
  <si>
    <t>time of the gypsies</t>
  </si>
  <si>
    <t>the glory</t>
  </si>
  <si>
    <t>major</t>
  </si>
  <si>
    <t>the deuce</t>
  </si>
  <si>
    <t>masaan</t>
  </si>
  <si>
    <t>z</t>
  </si>
  <si>
    <t>damages</t>
  </si>
  <si>
    <t>dr. stone</t>
  </si>
  <si>
    <t>batman beyond</t>
  </si>
  <si>
    <t>kaththi</t>
  </si>
  <si>
    <t>young rock</t>
  </si>
  <si>
    <t>Biography, Comedy</t>
  </si>
  <si>
    <t>zerozerozero</t>
  </si>
  <si>
    <t>the frog</t>
  </si>
  <si>
    <t>angels in america</t>
  </si>
  <si>
    <t>Drama, Fantasy, Romance</t>
  </si>
  <si>
    <t>yi yi</t>
  </si>
  <si>
    <t>youre the worst</t>
  </si>
  <si>
    <t>business proposal</t>
  </si>
  <si>
    <t>re zero - starting life in another world</t>
  </si>
  <si>
    <t>everythings gonna be great</t>
  </si>
  <si>
    <t>jean de florette</t>
  </si>
  <si>
    <t>daria</t>
  </si>
  <si>
    <t>apollo 11</t>
  </si>
  <si>
    <t>anora</t>
  </si>
  <si>
    <t>sarfarosh</t>
  </si>
  <si>
    <t>war &amp; peace</t>
  </si>
  <si>
    <t>i want to eat your pancreas</t>
  </si>
  <si>
    <t>vis a vis</t>
  </si>
  <si>
    <t>army of shadows</t>
  </si>
  <si>
    <t>cowspiracy the sustainability secret</t>
  </si>
  <si>
    <t>i may destroy you</t>
  </si>
  <si>
    <t>a short film about love</t>
  </si>
  <si>
    <t>viridiana</t>
  </si>
  <si>
    <t>ugetsu</t>
  </si>
  <si>
    <t>a christmas carol</t>
  </si>
  <si>
    <t>mozart in the jungle</t>
  </si>
  <si>
    <t>a moment to remember</t>
  </si>
  <si>
    <t>the twilight samurai</t>
  </si>
  <si>
    <t>cunk on earth</t>
  </si>
  <si>
    <t>the fog of war</t>
  </si>
  <si>
    <t>love doesnt understand words</t>
  </si>
  <si>
    <t>jo jeeta wohi sikandar</t>
  </si>
  <si>
    <t>i know this much is true</t>
  </si>
  <si>
    <t>hearts of darkness a filmmakers apocalypse</t>
  </si>
  <si>
    <t>turn washingtons spies</t>
  </si>
  <si>
    <t>the unit</t>
  </si>
  <si>
    <t>safety last!</t>
  </si>
  <si>
    <t>Action, Comedy, Thriller</t>
  </si>
  <si>
    <t>pardon</t>
  </si>
  <si>
    <t>psycho-pass</t>
  </si>
  <si>
    <t>man vs. wild</t>
  </si>
  <si>
    <t>Adventure, Reality-TV</t>
  </si>
  <si>
    <t>rogue heroes</t>
  </si>
  <si>
    <t>insecure</t>
  </si>
  <si>
    <t>ripper street</t>
  </si>
  <si>
    <t>the valley of the wolves</t>
  </si>
  <si>
    <t>godfather of harlem</t>
  </si>
  <si>
    <t>insider</t>
  </si>
  <si>
    <t>the dawn wall</t>
  </si>
  <si>
    <t>the miracle worker</t>
  </si>
  <si>
    <t>the last waltz</t>
  </si>
  <si>
    <t>innocence</t>
  </si>
  <si>
    <t>flcl</t>
  </si>
  <si>
    <t>criminal justice</t>
  </si>
  <si>
    <t>she-ra and the princesses of power</t>
  </si>
  <si>
    <t>where is the friends house?</t>
  </si>
  <si>
    <t>the new pope</t>
  </si>
  <si>
    <t>section 375</t>
  </si>
  <si>
    <t>one day at a time</t>
  </si>
  <si>
    <t>zeitgeist moving forward</t>
  </si>
  <si>
    <t>woodstock</t>
  </si>
  <si>
    <t>Documentary, History, Music</t>
  </si>
  <si>
    <t>serial experiments lain</t>
  </si>
  <si>
    <t>Animation, Drama, Horror</t>
  </si>
  <si>
    <t>the color of paradise</t>
  </si>
  <si>
    <t>boss</t>
  </si>
  <si>
    <t>emma</t>
  </si>
  <si>
    <t>superman the animated series</t>
  </si>
  <si>
    <t>zoeys extraordinary playlist</t>
  </si>
  <si>
    <t>iqbal</t>
  </si>
  <si>
    <t>the heiress</t>
  </si>
  <si>
    <t>that time i got reincarnated as a slime</t>
  </si>
  <si>
    <t>the legend of bhagat singh</t>
  </si>
  <si>
    <t>lucky baskhar</t>
  </si>
  <si>
    <t>blue lock</t>
  </si>
  <si>
    <t>Animation, Sport, Thriller</t>
  </si>
  <si>
    <t>the king eternal monarch</t>
  </si>
  <si>
    <t>Fantasy, Mystery, Romance</t>
  </si>
  <si>
    <t>faust</t>
  </si>
  <si>
    <t>hridayam</t>
  </si>
  <si>
    <t>hells paradise jigokuraku</t>
  </si>
  <si>
    <t>galavant</t>
  </si>
  <si>
    <t>a special day</t>
  </si>
  <si>
    <t>anohana the flower we saw that day</t>
  </si>
  <si>
    <t>still a michael j. fox movie</t>
  </si>
  <si>
    <t>the big c</t>
  </si>
  <si>
    <t>sesame street</t>
  </si>
  <si>
    <t>blue lights</t>
  </si>
  <si>
    <t>bloodhounds</t>
  </si>
  <si>
    <t>pluto</t>
  </si>
  <si>
    <t>rangitaranga</t>
  </si>
  <si>
    <t>indian</t>
  </si>
  <si>
    <t>karm yuddh</t>
  </si>
  <si>
    <t>pen15</t>
  </si>
  <si>
    <t>hotel del luna</t>
  </si>
  <si>
    <t>wolf hall</t>
  </si>
  <si>
    <t>candy</t>
  </si>
  <si>
    <t>Thriller</t>
  </si>
  <si>
    <t>the black donnellys</t>
  </si>
  <si>
    <t>the trials of gabriel fernandez</t>
  </si>
  <si>
    <t>roja</t>
  </si>
  <si>
    <t>bombay</t>
  </si>
  <si>
    <t>collective</t>
  </si>
  <si>
    <t>legend of the blue sea</t>
  </si>
  <si>
    <t>somebody somewhere</t>
  </si>
  <si>
    <t>snowdrop</t>
  </si>
  <si>
    <t>montevideo taste of a dream</t>
  </si>
  <si>
    <t>food wars shokugeki no soma</t>
  </si>
  <si>
    <t>cat</t>
  </si>
  <si>
    <t>helluva boss</t>
  </si>
  <si>
    <t>george harrison living in the material world</t>
  </si>
  <si>
    <t>outnumbered</t>
  </si>
  <si>
    <t>vagabond</t>
  </si>
  <si>
    <t>Action, Mystery, Thriller</t>
  </si>
  <si>
    <t>colin from accounts</t>
  </si>
  <si>
    <t>dorohedoro</t>
  </si>
  <si>
    <t>virunga</t>
  </si>
  <si>
    <t>day of the wacko</t>
  </si>
  <si>
    <t>north &amp; south book 1, north &amp; south</t>
  </si>
  <si>
    <t>khakee the bihar chapter</t>
  </si>
  <si>
    <t>the great weddings of munnes</t>
  </si>
  <si>
    <t>ashes to ashes</t>
  </si>
  <si>
    <t>maestro</t>
  </si>
  <si>
    <t>day of wrath</t>
  </si>
  <si>
    <t>high maintenance</t>
  </si>
  <si>
    <t>tacoma fd</t>
  </si>
  <si>
    <t>for my son</t>
  </si>
  <si>
    <t>dirty money</t>
  </si>
  <si>
    <t>power book iv force</t>
  </si>
  <si>
    <t>rita</t>
  </si>
  <si>
    <t>fight for my way</t>
  </si>
  <si>
    <t>the first slam dunk</t>
  </si>
  <si>
    <t>the great indian kitchen</t>
  </si>
  <si>
    <t>vicious</t>
  </si>
  <si>
    <t>kenny vs. spenny</t>
  </si>
  <si>
    <t>Comedy, Game-Show, Reality-TV</t>
  </si>
  <si>
    <t>the avengers</t>
  </si>
  <si>
    <t>guardians of the galaxy</t>
  </si>
  <si>
    <t>deadpool</t>
  </si>
  <si>
    <t>the martian</t>
  </si>
  <si>
    <t>dune part one</t>
  </si>
  <si>
    <t>the revenant</t>
  </si>
  <si>
    <t>slumdog millionaire</t>
  </si>
  <si>
    <t>donnie darko</t>
  </si>
  <si>
    <t>black swan</t>
  </si>
  <si>
    <t>the imitation game</t>
  </si>
  <si>
    <t>Biography, Drama, Thriller</t>
  </si>
  <si>
    <t>the incredibles</t>
  </si>
  <si>
    <t>kill bill vol. 2</t>
  </si>
  <si>
    <t>sin city</t>
  </si>
  <si>
    <t>the kings speech</t>
  </si>
  <si>
    <t>casino royale</t>
  </si>
  <si>
    <t>Action, Adventure, Thriller</t>
  </si>
  <si>
    <t>groundhog day</t>
  </si>
  <si>
    <t>la la land</t>
  </si>
  <si>
    <t>blade runner 2049</t>
  </si>
  <si>
    <t>her</t>
  </si>
  <si>
    <t>the bourne ultimatum</t>
  </si>
  <si>
    <t>12 monkeys</t>
  </si>
  <si>
    <t>Mystery, Sci-Fi, Thriller</t>
  </si>
  <si>
    <t>blood diamond</t>
  </si>
  <si>
    <t>the witcher</t>
  </si>
  <si>
    <t>squid game</t>
  </si>
  <si>
    <t>the pursuit of happyness</t>
  </si>
  <si>
    <t>zootopia</t>
  </si>
  <si>
    <t>rain man</t>
  </si>
  <si>
    <t>beauty and the beast</t>
  </si>
  <si>
    <t>Animation, Family, Fantasy</t>
  </si>
  <si>
    <t>aladdin</t>
  </si>
  <si>
    <t>big fish</t>
  </si>
  <si>
    <t>the princess bride</t>
  </si>
  <si>
    <t>monty pythons life of brian</t>
  </si>
  <si>
    <t>soul</t>
  </si>
  <si>
    <t>lucifer</t>
  </si>
  <si>
    <t>scent of a woman</t>
  </si>
  <si>
    <t>magnolia</t>
  </si>
  <si>
    <t>orange is the new black</t>
  </si>
  <si>
    <t>dances with wolves</t>
  </si>
  <si>
    <t>the graduate</t>
  </si>
  <si>
    <t>annie hall</t>
  </si>
  <si>
    <t>dog day afternoon</t>
  </si>
  <si>
    <t>amores perros</t>
  </si>
  <si>
    <t>lion</t>
  </si>
  <si>
    <t>rosemarys baby</t>
  </si>
  <si>
    <t>gandhi</t>
  </si>
  <si>
    <t>ip man</t>
  </si>
  <si>
    <t>reacher</t>
  </si>
  <si>
    <t>butch cassidy and the sundance kid</t>
  </si>
  <si>
    <t>the end of the f***ing world</t>
  </si>
  <si>
    <t>the white lotus</t>
  </si>
  <si>
    <t>akira</t>
  </si>
  <si>
    <t>planet of the apes</t>
  </si>
  <si>
    <t>cinderella man</t>
  </si>
  <si>
    <t>the invisible guest</t>
  </si>
  <si>
    <t>cool hand luke</t>
  </si>
  <si>
    <t>castle in the sky</t>
  </si>
  <si>
    <t>nausicaä of the valley of the wind</t>
  </si>
  <si>
    <t>Adventure, Animation, Sci-Fi</t>
  </si>
  <si>
    <t>tom clancys jack ryan</t>
  </si>
  <si>
    <t>jfk</t>
  </si>
  <si>
    <t>young frankenstein</t>
  </si>
  <si>
    <t>coda</t>
  </si>
  <si>
    <t>dogville</t>
  </si>
  <si>
    <t>bodyguard</t>
  </si>
  <si>
    <t>roman holiday</t>
  </si>
  <si>
    <t>bowling for columbine</t>
  </si>
  <si>
    <t>Crime, Documentary, Drama</t>
  </si>
  <si>
    <t>stalker</t>
  </si>
  <si>
    <t>the gentlemen</t>
  </si>
  <si>
    <t>beef</t>
  </si>
  <si>
    <t>baahubali the beginning</t>
  </si>
  <si>
    <t>papillon</t>
  </si>
  <si>
    <t>infernal affairs</t>
  </si>
  <si>
    <t>lie to me</t>
  </si>
  <si>
    <t>the 400 blows</t>
  </si>
  <si>
    <t>8½</t>
  </si>
  <si>
    <t>sharp objects</t>
  </si>
  <si>
    <t>the good doctor</t>
  </si>
  <si>
    <t>good omens</t>
  </si>
  <si>
    <t>elite squad</t>
  </si>
  <si>
    <t>touch of evil</t>
  </si>
  <si>
    <t>the diving bell and the butterfly</t>
  </si>
  <si>
    <t>dexter new blood</t>
  </si>
  <si>
    <t>the night manager</t>
  </si>
  <si>
    <t>the orville</t>
  </si>
  <si>
    <t>perfect blue</t>
  </si>
  <si>
    <t>persepolis</t>
  </si>
  <si>
    <t>Animation, Biography, Drama</t>
  </si>
  <si>
    <t>the night of the hunter</t>
  </si>
  <si>
    <t>sling blade</t>
  </si>
  <si>
    <t>chungking express</t>
  </si>
  <si>
    <t>the straight story</t>
  </si>
  <si>
    <t>the celebration</t>
  </si>
  <si>
    <t>unorthodox</t>
  </si>
  <si>
    <t>farha</t>
  </si>
  <si>
    <t>tulsa king</t>
  </si>
  <si>
    <t>elite squad 2 the enemy within</t>
  </si>
  <si>
    <t>spring, summer, fall, winter... and spring</t>
  </si>
  <si>
    <t>pink floyd the wall</t>
  </si>
  <si>
    <t>Drama, Fantasy, Music</t>
  </si>
  <si>
    <t>the sea inside</t>
  </si>
  <si>
    <t>the rookie</t>
  </si>
  <si>
    <t>shrinking</t>
  </si>
  <si>
    <t>whos afraid of virginia woolf?</t>
  </si>
  <si>
    <t>marco polo</t>
  </si>
  <si>
    <t>la dolce vita</t>
  </si>
  <si>
    <t>burn notice</t>
  </si>
  <si>
    <t>dilwale dulhania le jayenge</t>
  </si>
  <si>
    <t>sicko</t>
  </si>
  <si>
    <t>paranormal</t>
  </si>
  <si>
    <t>anatomy of a murder</t>
  </si>
  <si>
    <t>the diplomat</t>
  </si>
  <si>
    <t>the cabinet of dr. caligari</t>
  </si>
  <si>
    <t>the legend of 1900</t>
  </si>
  <si>
    <t>m.s. dhoni the untold story</t>
  </si>
  <si>
    <t>rio bravo</t>
  </si>
  <si>
    <t>Western</t>
  </si>
  <si>
    <t>g.o.r.a.</t>
  </si>
  <si>
    <t>la strada</t>
  </si>
  <si>
    <t>travelers</t>
  </si>
  <si>
    <t>chicago fire</t>
  </si>
  <si>
    <t>wicked</t>
  </si>
  <si>
    <t>Fantasy, Musical, Romance</t>
  </si>
  <si>
    <t>dont f**k with cats hunting an internet killer</t>
  </si>
  <si>
    <t>Crime, Documentary, Mystery</t>
  </si>
  <si>
    <t>song of the sea</t>
  </si>
  <si>
    <t>cheers</t>
  </si>
  <si>
    <t>what ever happened to baby jane?</t>
  </si>
  <si>
    <t>mommy</t>
  </si>
  <si>
    <t>underground</t>
  </si>
  <si>
    <t>waltz with bashir</t>
  </si>
  <si>
    <t>Animation, Biography, Documentary</t>
  </si>
  <si>
    <t>le samouraï</t>
  </si>
  <si>
    <t>special 26</t>
  </si>
  <si>
    <t>haider</t>
  </si>
  <si>
    <t>citizenfour</t>
  </si>
  <si>
    <t>andrei rublev</t>
  </si>
  <si>
    <t>throne of blood</t>
  </si>
  <si>
    <t>black cat, white cat</t>
  </si>
  <si>
    <t>Comedy, Crime, Romance</t>
  </si>
  <si>
    <t>winter sleep</t>
  </si>
  <si>
    <t>the tale of the princess kaguya</t>
  </si>
  <si>
    <t>andaz apna apna</t>
  </si>
  <si>
    <t>departures</t>
  </si>
  <si>
    <t>saturday night live</t>
  </si>
  <si>
    <t>the last picture show</t>
  </si>
  <si>
    <t>new amsterdam</t>
  </si>
  <si>
    <t>glow</t>
  </si>
  <si>
    <t>lage raho munna bhai</t>
  </si>
  <si>
    <t>pink</t>
  </si>
  <si>
    <t>fiddler on the roof</t>
  </si>
  <si>
    <t>Drama, Family, Musical</t>
  </si>
  <si>
    <t>secrets &amp; lies</t>
  </si>
  <si>
    <t>1 nenokkadine</t>
  </si>
  <si>
    <t>brief encounter</t>
  </si>
  <si>
    <t>central station</t>
  </si>
  <si>
    <t>gangs of london</t>
  </si>
  <si>
    <t>the hidden fortress</t>
  </si>
  <si>
    <t>f is for family</t>
  </si>
  <si>
    <t>sanjuro</t>
  </si>
  <si>
    <t>the goldbergs</t>
  </si>
  <si>
    <t>out of the past</t>
  </si>
  <si>
    <t>blackadder</t>
  </si>
  <si>
    <t>sneaky pete</t>
  </si>
  <si>
    <t>going clear scientology &amp; the prison of belief</t>
  </si>
  <si>
    <t>tae guk gi the brotherhood of war</t>
  </si>
  <si>
    <t>ivans childhood</t>
  </si>
  <si>
    <t>wolfwalkers</t>
  </si>
  <si>
    <t>the gilded age</t>
  </si>
  <si>
    <t>kind hearts and coronets</t>
  </si>
  <si>
    <t>the shop around the corner</t>
  </si>
  <si>
    <t>fitzcarraldo</t>
  </si>
  <si>
    <t>quo vadis, aida?</t>
  </si>
  <si>
    <t>vizontele</t>
  </si>
  <si>
    <t>Comedy, Drama, History</t>
  </si>
  <si>
    <t>touching the void</t>
  </si>
  <si>
    <t>Adventure, Documentary, Drama</t>
  </si>
  <si>
    <t>rise of empires ottoman</t>
  </si>
  <si>
    <t>Documentary, Drama, History</t>
  </si>
  <si>
    <t>the king of kong a fistful of quarters</t>
  </si>
  <si>
    <t>sweet smell of success</t>
  </si>
  <si>
    <t>au revoir les enfants</t>
  </si>
  <si>
    <t>the mechanism</t>
  </si>
  <si>
    <t>the exterminating angel</t>
  </si>
  <si>
    <t>the breath</t>
  </si>
  <si>
    <t>queen of the south</t>
  </si>
  <si>
    <t>the pillars of the earth</t>
  </si>
  <si>
    <t>patrick melrose</t>
  </si>
  <si>
    <t>vice principals</t>
  </si>
  <si>
    <t>nobody knows</t>
  </si>
  <si>
    <t>the virgin spring</t>
  </si>
  <si>
    <t>counterpart</t>
  </si>
  <si>
    <t>rome, open city</t>
  </si>
  <si>
    <t>a woman under the influence</t>
  </si>
  <si>
    <t>the blue elephant</t>
  </si>
  <si>
    <t>sirf ek bandaa kaafi hai</t>
  </si>
  <si>
    <t>the wild pear tree</t>
  </si>
  <si>
    <t>jodorowskys dune</t>
  </si>
  <si>
    <t>river</t>
  </si>
  <si>
    <t>tales from the crypt</t>
  </si>
  <si>
    <t>winter light</t>
  </si>
  <si>
    <t>a matter of life and death</t>
  </si>
  <si>
    <t>the keepers</t>
  </si>
  <si>
    <t>united states of tara</t>
  </si>
  <si>
    <t>trapped</t>
  </si>
  <si>
    <t>the ox-bow incident</t>
  </si>
  <si>
    <t>fail safe</t>
  </si>
  <si>
    <t>day for night</t>
  </si>
  <si>
    <t>ali fear eats the soul</t>
  </si>
  <si>
    <t>manon of the spring</t>
  </si>
  <si>
    <t>the capture</t>
  </si>
  <si>
    <t>the transformers</t>
  </si>
  <si>
    <t>karnan</t>
  </si>
  <si>
    <t>reno 911!</t>
  </si>
  <si>
    <t>taylor swift the eras tour</t>
  </si>
  <si>
    <t>Documentary, Music, Musical</t>
  </si>
  <si>
    <t>silenced</t>
  </si>
  <si>
    <t>lovesick</t>
  </si>
  <si>
    <t>a short film about killing</t>
  </si>
  <si>
    <t>love, victor</t>
  </si>
  <si>
    <t>arnold</t>
  </si>
  <si>
    <t>assasination classroom</t>
  </si>
  <si>
    <t>limelight</t>
  </si>
  <si>
    <t>i think you should leave with tim robinson</t>
  </si>
  <si>
    <t>omkara</t>
  </si>
  <si>
    <t>the addams family</t>
  </si>
  <si>
    <t>Comedy, Family, Horror</t>
  </si>
  <si>
    <t>crumb</t>
  </si>
  <si>
    <t>Biography, Comedy, Documentary</t>
  </si>
  <si>
    <t>the corporation</t>
  </si>
  <si>
    <t>maidaan</t>
  </si>
  <si>
    <t>the returned</t>
  </si>
  <si>
    <t>turtles can fly</t>
  </si>
  <si>
    <t>whats wrong with secretary kim</t>
  </si>
  <si>
    <t>Comedy, Mystery, Romance</t>
  </si>
  <si>
    <t>kidding</t>
  </si>
  <si>
    <t>manjhi the mountain man</t>
  </si>
  <si>
    <t>castaway on the moon</t>
  </si>
  <si>
    <t>honeyland</t>
  </si>
  <si>
    <t>gargoyles</t>
  </si>
  <si>
    <t>da ali g show</t>
  </si>
  <si>
    <t>rascal does not dream of bunny girl senpai</t>
  </si>
  <si>
    <t>the internets own boy the story of aaron swartz</t>
  </si>
  <si>
    <t>the looming tower</t>
  </si>
  <si>
    <t>newsradio</t>
  </si>
  <si>
    <t>life in pieces</t>
  </si>
  <si>
    <t>true beauty</t>
  </si>
  <si>
    <t>horimiya</t>
  </si>
  <si>
    <t>the life and death of colonel blimp</t>
  </si>
  <si>
    <t>the fool</t>
  </si>
  <si>
    <t>ramy</t>
  </si>
  <si>
    <t>my dress-up darling</t>
  </si>
  <si>
    <t>werckmeister harmonies</t>
  </si>
  <si>
    <t>love exposure</t>
  </si>
  <si>
    <t>company</t>
  </si>
  <si>
    <t>kin</t>
  </si>
  <si>
    <t>gulaal</t>
  </si>
  <si>
    <t>start-up</t>
  </si>
  <si>
    <t>pokiri</t>
  </si>
  <si>
    <t>love today</t>
  </si>
  <si>
    <t>the vicar of dibley</t>
  </si>
  <si>
    <t>claymore</t>
  </si>
  <si>
    <t>the last laugh</t>
  </si>
  <si>
    <t>shame</t>
  </si>
  <si>
    <t>deutschland 83</t>
  </si>
  <si>
    <t>evangelion 3.0+1.01 thrice upon a time</t>
  </si>
  <si>
    <t>w</t>
  </si>
  <si>
    <t>vaastav the reality</t>
  </si>
  <si>
    <t>looking for alaska</t>
  </si>
  <si>
    <t>paranoia agent</t>
  </si>
  <si>
    <t>yol</t>
  </si>
  <si>
    <t>moscow does not believe in tears</t>
  </si>
  <si>
    <t>quarry</t>
  </si>
  <si>
    <t>the phantom carriage</t>
  </si>
  <si>
    <t>the bad sleep well</t>
  </si>
  <si>
    <t>malik</t>
  </si>
  <si>
    <t>summer of soul (...or, when the revolution could not be televised)</t>
  </si>
  <si>
    <t>jonathan strange &amp; mr norrell</t>
  </si>
  <si>
    <t>Fantasy, War</t>
  </si>
  <si>
    <t>tomorrow</t>
  </si>
  <si>
    <t>investigation of a citizen above suspicion</t>
  </si>
  <si>
    <t>drops of god</t>
  </si>
  <si>
    <t>comedians in cars getting coffee</t>
  </si>
  <si>
    <t>Comedy, Family, Talk-Show</t>
  </si>
  <si>
    <t>the artful dodger</t>
  </si>
  <si>
    <t>code black</t>
  </si>
  <si>
    <t>charlie</t>
  </si>
  <si>
    <t>Adventure, Drama, Romance</t>
  </si>
  <si>
    <t>abhay</t>
  </si>
  <si>
    <t>trying</t>
  </si>
  <si>
    <t>the cameraman</t>
  </si>
  <si>
    <t>forbidden games</t>
  </si>
  <si>
    <t>sense &amp; sensibility</t>
  </si>
  <si>
    <t>metal a headbangers journey</t>
  </si>
  <si>
    <t>the uncanny counter</t>
  </si>
  <si>
    <t>Action, Fantasy, Horror</t>
  </si>
  <si>
    <t>maqbool</t>
  </si>
  <si>
    <t>wolverine and the x-men</t>
  </si>
  <si>
    <t>braindead</t>
  </si>
  <si>
    <t>stanley kubrick a life in pictures</t>
  </si>
  <si>
    <t>harvey birdman, attorney at law</t>
  </si>
  <si>
    <t>Animation, Comedy, Sci-Fi</t>
  </si>
  <si>
    <t>the red pill</t>
  </si>
  <si>
    <t>good behavior</t>
  </si>
  <si>
    <t>deewaar</t>
  </si>
  <si>
    <t>the wounds</t>
  </si>
  <si>
    <t>the hitch hikers guide to the galaxy</t>
  </si>
  <si>
    <t>shahrzad</t>
  </si>
  <si>
    <t>the hour</t>
  </si>
  <si>
    <t>the billion dollar code</t>
  </si>
  <si>
    <t>third watch</t>
  </si>
  <si>
    <t>wkrp in cincinnati</t>
  </si>
  <si>
    <t>jeen-yuhs a kanye trilogy</t>
  </si>
  <si>
    <t>my grandfathers people</t>
  </si>
  <si>
    <t>scott &amp; bailey</t>
  </si>
  <si>
    <t>the cremator</t>
  </si>
  <si>
    <t>abbas in flower</t>
  </si>
  <si>
    <t>the blue elephant 2</t>
  </si>
  <si>
    <t>ayyappanum koshiyum</t>
  </si>
  <si>
    <t>an autumn afternoon</t>
  </si>
  <si>
    <t>paradise lost 3 purgatory</t>
  </si>
  <si>
    <t>greed</t>
  </si>
  <si>
    <t>Drama, Thriller, Western</t>
  </si>
  <si>
    <t>por thozhil</t>
  </si>
  <si>
    <t>okkadu</t>
  </si>
  <si>
    <t>kaala paani</t>
  </si>
  <si>
    <t>the tattooist of auschwitz</t>
  </si>
  <si>
    <t>pagan peak</t>
  </si>
  <si>
    <t>minding the gap</t>
  </si>
  <si>
    <t>jigarthanda double x</t>
  </si>
  <si>
    <t>spawn</t>
  </si>
  <si>
    <t>heels</t>
  </si>
  <si>
    <t>rivals</t>
  </si>
  <si>
    <t>why we fight</t>
  </si>
  <si>
    <t>maamla legal hai</t>
  </si>
  <si>
    <t>voltron legendary defender</t>
  </si>
  <si>
    <t>explained</t>
  </si>
  <si>
    <t>requiem for the american dream</t>
  </si>
  <si>
    <t>Biography, Documentary, News</t>
  </si>
  <si>
    <t>avatar</t>
  </si>
  <si>
    <t>titanic</t>
  </si>
  <si>
    <t>iron man</t>
  </si>
  <si>
    <t>thor ragnarok</t>
  </si>
  <si>
    <t>knives out</t>
  </si>
  <si>
    <t>arrival</t>
  </si>
  <si>
    <t>x-men days of future past</t>
  </si>
  <si>
    <t>edge of tomorrow</t>
  </si>
  <si>
    <t>shrek</t>
  </si>
  <si>
    <t>district 9</t>
  </si>
  <si>
    <t>Action, Sci-Fi, Thriller</t>
  </si>
  <si>
    <t>harry potter and the prisoner of azkaban</t>
  </si>
  <si>
    <t>life of pi</t>
  </si>
  <si>
    <t>toy story 2</t>
  </si>
  <si>
    <t>bohemian rhapsody</t>
  </si>
  <si>
    <t>shaun of the dead</t>
  </si>
  <si>
    <t>the perks of being a wallflower</t>
  </si>
  <si>
    <t>children of men</t>
  </si>
  <si>
    <t>edward scissorhands</t>
  </si>
  <si>
    <t>dallas buyers club</t>
  </si>
  <si>
    <t>mystic river</t>
  </si>
  <si>
    <t>in bruges</t>
  </si>
  <si>
    <t>jojo rabbit</t>
  </si>
  <si>
    <t>zack snyders justice league</t>
  </si>
  <si>
    <t>e.t. the extra-terrestrial</t>
  </si>
  <si>
    <t>Adventure, Family, Sci-Fi</t>
  </si>
  <si>
    <t>guardians of the galaxy vol. 3</t>
  </si>
  <si>
    <t>mulholland drive</t>
  </si>
  <si>
    <t>the nightmare before christmas</t>
  </si>
  <si>
    <t>wandavision</t>
  </si>
  <si>
    <t>boyhood</t>
  </si>
  <si>
    <t>marriage story</t>
  </si>
  <si>
    <t>american horror story</t>
  </si>
  <si>
    <t>Drama, Horror, Sci-Fi</t>
  </si>
  <si>
    <t>the wrestler</t>
  </si>
  <si>
    <t>almost famous</t>
  </si>
  <si>
    <t>boogie nights</t>
  </si>
  <si>
    <t>the blacklist</t>
  </si>
  <si>
    <t>crouching tiger, hidden dragon</t>
  </si>
  <si>
    <t>fantastic mr. fox</t>
  </si>
  <si>
    <t>true blood</t>
  </si>
  <si>
    <t>true romance</t>
  </si>
  <si>
    <t>a fistful of dollars</t>
  </si>
  <si>
    <t>carlitos way</t>
  </si>
  <si>
    <t>the blues brothers</t>
  </si>
  <si>
    <t>altered carbon</t>
  </si>
  <si>
    <t>hero</t>
  </si>
  <si>
    <t>wonder</t>
  </si>
  <si>
    <t>the holdovers</t>
  </si>
  <si>
    <t>before midnight</t>
  </si>
  <si>
    <t>a christmas story</t>
  </si>
  <si>
    <t>the maltese falcon</t>
  </si>
  <si>
    <t>Crime, Film-Noir, Mystery</t>
  </si>
  <si>
    <t>ghost in the shell</t>
  </si>
  <si>
    <t>rope</t>
  </si>
  <si>
    <t>this is spinal tap</t>
  </si>
  <si>
    <t>the fresh prince of bel-air</t>
  </si>
  <si>
    <t>strangers on a train</t>
  </si>
  <si>
    <t>grimm</t>
  </si>
  <si>
    <t>the raid 2</t>
  </si>
  <si>
    <t>all the presidents men</t>
  </si>
  <si>
    <t>elementary</t>
  </si>
  <si>
    <t>the fall of the house of usher</t>
  </si>
  <si>
    <t>dancer in the dark</t>
  </si>
  <si>
    <t>Crime, Drama, Musical</t>
  </si>
  <si>
    <t>talk to her</t>
  </si>
  <si>
    <t>weeds</t>
  </si>
  <si>
    <t>my name is khan</t>
  </si>
  <si>
    <t>a streetcar named desire</t>
  </si>
  <si>
    <t>do the right thing</t>
  </si>
  <si>
    <t>the man in the high castle</t>
  </si>
  <si>
    <t>high noon</t>
  </si>
  <si>
    <t>the terminal list</t>
  </si>
  <si>
    <t>patton</t>
  </si>
  <si>
    <t>notorious</t>
  </si>
  <si>
    <t>Drama, Film-Noir, Romance</t>
  </si>
  <si>
    <t>amour</t>
  </si>
  <si>
    <t>dead to me</t>
  </si>
  <si>
    <t>sing street</t>
  </si>
  <si>
    <t>solaris</t>
  </si>
  <si>
    <t>short term 12</t>
  </si>
  <si>
    <t>king kong</t>
  </si>
  <si>
    <t>Adventure, Horror</t>
  </si>
  <si>
    <t>the big sleep</t>
  </si>
  <si>
    <t>the wild bunch</t>
  </si>
  <si>
    <t>shoplifters</t>
  </si>
  <si>
    <t>merlin</t>
  </si>
  <si>
    <t>the hustler</t>
  </si>
  <si>
    <t>in the heat of the night</t>
  </si>
  <si>
    <t>preacher</t>
  </si>
  <si>
    <t>doctor zhivago</t>
  </si>
  <si>
    <t>harold and maude</t>
  </si>
  <si>
    <t>the manchurian candidate</t>
  </si>
  <si>
    <t>da vincis demons</t>
  </si>
  <si>
    <t>star trek voyager</t>
  </si>
  <si>
    <t>wings of desire</t>
  </si>
  <si>
    <t>being there</t>
  </si>
  <si>
    <t>the ten commandments</t>
  </si>
  <si>
    <t>kal ho naa ho</t>
  </si>
  <si>
    <t>angel</t>
  </si>
  <si>
    <t>arsenic and old lace</t>
  </si>
  <si>
    <t>superstore</t>
  </si>
  <si>
    <t>er</t>
  </si>
  <si>
    <t>exit through the gift shop</t>
  </si>
  <si>
    <t>Comedy, Crime, Documentary</t>
  </si>
  <si>
    <t>perfect days</t>
  </si>
  <si>
    <t>karthikeya 2</t>
  </si>
  <si>
    <t>4 months, 3 weeks and 2 days</t>
  </si>
  <si>
    <t>battleship potemkin</t>
  </si>
  <si>
    <t>baby</t>
  </si>
  <si>
    <t>jane the virgin</t>
  </si>
  <si>
    <t>jab we met</t>
  </si>
  <si>
    <t>stalag 17</t>
  </si>
  <si>
    <t>eureka</t>
  </si>
  <si>
    <t>jericho</t>
  </si>
  <si>
    <t>airlift</t>
  </si>
  <si>
    <t>3-iron</t>
  </si>
  <si>
    <t>harvey</t>
  </si>
  <si>
    <t>head-on</t>
  </si>
  <si>
    <t>about elly</t>
  </si>
  <si>
    <t>nine queens</t>
  </si>
  <si>
    <t>togo</t>
  </si>
  <si>
    <t>miracle on 34th street</t>
  </si>
  <si>
    <t>the terror</t>
  </si>
  <si>
    <t>icarus</t>
  </si>
  <si>
    <t>the adventures of robin hood</t>
  </si>
  <si>
    <t>Action, Adventure, Romance</t>
  </si>
  <si>
    <t>dexters laboratory</t>
  </si>
  <si>
    <t>leverage</t>
  </si>
  <si>
    <t>the borgias</t>
  </si>
  <si>
    <t>cat on a hot tin roof</t>
  </si>
  <si>
    <t>mirror</t>
  </si>
  <si>
    <t>laura</t>
  </si>
  <si>
    <t>almost human</t>
  </si>
  <si>
    <t>the spy</t>
  </si>
  <si>
    <t>my sassy girl</t>
  </si>
  <si>
    <t>sleuth</t>
  </si>
  <si>
    <t>into the badlands</t>
  </si>
  <si>
    <t>the affair</t>
  </si>
  <si>
    <t>no mans land</t>
  </si>
  <si>
    <t>the return</t>
  </si>
  <si>
    <t>nobody wants this</t>
  </si>
  <si>
    <t>gully boy</t>
  </si>
  <si>
    <t>humans</t>
  </si>
  <si>
    <t>scooby doo, where are you!</t>
  </si>
  <si>
    <t>vishwaroopam</t>
  </si>
  <si>
    <t>midsomer murders</t>
  </si>
  <si>
    <t>the lost weekend</t>
  </si>
  <si>
    <t>resurrection ertugrul</t>
  </si>
  <si>
    <t>teen titans</t>
  </si>
  <si>
    <t>kagemusha the shadow warrior</t>
  </si>
  <si>
    <t>masters of sex</t>
  </si>
  <si>
    <t>badhaai ho</t>
  </si>
  <si>
    <t>teenage mutant ninja turtles</t>
  </si>
  <si>
    <t>super 30</t>
  </si>
  <si>
    <t>elfen lied</t>
  </si>
  <si>
    <t>cries &amp; whispers</t>
  </si>
  <si>
    <t>modern love</t>
  </si>
  <si>
    <t>once were warriors</t>
  </si>
  <si>
    <t>in a lonely place</t>
  </si>
  <si>
    <t>blood in, blood out</t>
  </si>
  <si>
    <t>the conformist</t>
  </si>
  <si>
    <t>bored to death</t>
  </si>
  <si>
    <t>the lion in winter</t>
  </si>
  <si>
    <t>black hawk down</t>
  </si>
  <si>
    <t>a taxi driver</t>
  </si>
  <si>
    <t>the thin man</t>
  </si>
  <si>
    <t>lilyhammer</t>
  </si>
  <si>
    <t>dev.d</t>
  </si>
  <si>
    <t>solar opposites</t>
  </si>
  <si>
    <t>ted</t>
  </si>
  <si>
    <t>the sacrifice</t>
  </si>
  <si>
    <t>the rules of the game</t>
  </si>
  <si>
    <t>the fosters</t>
  </si>
  <si>
    <t>nostalghia</t>
  </si>
  <si>
    <t>the leopard</t>
  </si>
  <si>
    <t>the big heat</t>
  </si>
  <si>
    <t>Crime, Film-Noir, Thriller</t>
  </si>
  <si>
    <t>in cold blood</t>
  </si>
  <si>
    <t>escape at dannemora</t>
  </si>
  <si>
    <t>hatfields &amp; mccoys</t>
  </si>
  <si>
    <t>pad man</t>
  </si>
  <si>
    <t>elevator to the gallows</t>
  </si>
  <si>
    <t>the red circle</t>
  </si>
  <si>
    <t>fairy tail</t>
  </si>
  <si>
    <t>mildred pierce</t>
  </si>
  <si>
    <t>sullivans travels</t>
  </si>
  <si>
    <t>arjun reddy</t>
  </si>
  <si>
    <t>the way he looks</t>
  </si>
  <si>
    <t>through a glass darkly</t>
  </si>
  <si>
    <t>my man godfrey</t>
  </si>
  <si>
    <t>the thin blue line</t>
  </si>
  <si>
    <t>waco</t>
  </si>
  <si>
    <t>animaniacs</t>
  </si>
  <si>
    <t>c.b. strike</t>
  </si>
  <si>
    <t>evangelion 2.0 you can (not) advance</t>
  </si>
  <si>
    <t>la notte</t>
  </si>
  <si>
    <t>ugly</t>
  </si>
  <si>
    <t>i am not your negro</t>
  </si>
  <si>
    <t>angels with dirty faces</t>
  </si>
  <si>
    <t>tampopo</t>
  </si>
  <si>
    <t>kes</t>
  </si>
  <si>
    <t>crazy ex-girlfriend</t>
  </si>
  <si>
    <t>Comedy, Musical</t>
  </si>
  <si>
    <t>onibaba</t>
  </si>
  <si>
    <t>the stoning of soraya m.</t>
  </si>
  <si>
    <t>rockos modern life</t>
  </si>
  <si>
    <t>the big country</t>
  </si>
  <si>
    <t>Drama, Romance, Western</t>
  </si>
  <si>
    <t>loudermilk</t>
  </si>
  <si>
    <t>kwaidan</t>
  </si>
  <si>
    <t>dont look now... were being shot at!</t>
  </si>
  <si>
    <t>Adventure, Comedy, War</t>
  </si>
  <si>
    <t>flee</t>
  </si>
  <si>
    <t>toradora!</t>
  </si>
  <si>
    <t>we bare bears</t>
  </si>
  <si>
    <t>star vs. the forces of evil</t>
  </si>
  <si>
    <t>boy swallows universe</t>
  </si>
  <si>
    <t>thundercats</t>
  </si>
  <si>
    <t>when we were kings</t>
  </si>
  <si>
    <t>now, voyager</t>
  </si>
  <si>
    <t>still walking</t>
  </si>
  <si>
    <t>versailles</t>
  </si>
  <si>
    <t>black lagoon</t>
  </si>
  <si>
    <t>better things</t>
  </si>
  <si>
    <t>inuyasha</t>
  </si>
  <si>
    <t>keeping up appearances</t>
  </si>
  <si>
    <t>from scratch</t>
  </si>
  <si>
    <t>border</t>
  </si>
  <si>
    <t>grantchester</t>
  </si>
  <si>
    <t>a night to remember</t>
  </si>
  <si>
    <t>undeclared</t>
  </si>
  <si>
    <t>kill la kill</t>
  </si>
  <si>
    <t>bts permission to dance on stage - seoul live viewing</t>
  </si>
  <si>
    <t>a million little things</t>
  </si>
  <si>
    <t>ergo proxy</t>
  </si>
  <si>
    <t>anvil the story of anvil</t>
  </si>
  <si>
    <t>Biography, Documentary, Drama</t>
  </si>
  <si>
    <t>suburra blood on rome</t>
  </si>
  <si>
    <t>ranneeti balakot &amp; beyond</t>
  </si>
  <si>
    <t>Action</t>
  </si>
  <si>
    <t>trouble in paradise</t>
  </si>
  <si>
    <t>on board</t>
  </si>
  <si>
    <t>how to make it in america</t>
  </si>
  <si>
    <t>thiruchitrambalam</t>
  </si>
  <si>
    <t>the roaring twenties</t>
  </si>
  <si>
    <t>the class</t>
  </si>
  <si>
    <t>night and the city</t>
  </si>
  <si>
    <t>Crime, Film-Noir, Sport</t>
  </si>
  <si>
    <t>leilas brothers</t>
  </si>
  <si>
    <t>when calls the heart</t>
  </si>
  <si>
    <t>the alpinist</t>
  </si>
  <si>
    <t>eternity and a day</t>
  </si>
  <si>
    <t>the loudest voice</t>
  </si>
  <si>
    <t>earth</t>
  </si>
  <si>
    <t>divorce italian style</t>
  </si>
  <si>
    <t>marley</t>
  </si>
  <si>
    <t>mishima a life in four chapters</t>
  </si>
  <si>
    <t>the bletchley circle</t>
  </si>
  <si>
    <t>the gone game</t>
  </si>
  <si>
    <t>hey ram</t>
  </si>
  <si>
    <t>dreamworks dragons</t>
  </si>
  <si>
    <t>kin-dza-dza!</t>
  </si>
  <si>
    <t>in the flesh</t>
  </si>
  <si>
    <t>letter from an unknown woman</t>
  </si>
  <si>
    <t>mrs. america</t>
  </si>
  <si>
    <t>the road runner show</t>
  </si>
  <si>
    <t>the greatest night in pop</t>
  </si>
  <si>
    <t>the testament of dr. mabuse</t>
  </si>
  <si>
    <t>ivy</t>
  </si>
  <si>
    <t>Drama, Fantasy, Thriller</t>
  </si>
  <si>
    <t>orpheus</t>
  </si>
  <si>
    <t>johnny gaddaar</t>
  </si>
  <si>
    <t>the little foxes</t>
  </si>
  <si>
    <t>silent witness</t>
  </si>
  <si>
    <t>sonchiriya</t>
  </si>
  <si>
    <t>red oaks</t>
  </si>
  <si>
    <t>the other me</t>
  </si>
  <si>
    <t>auntie mame</t>
  </si>
  <si>
    <t>ankhon dekhi</t>
  </si>
  <si>
    <t>cars of the revolution</t>
  </si>
  <si>
    <t>opening night</t>
  </si>
  <si>
    <t>inside edge</t>
  </si>
  <si>
    <t>winged migration</t>
  </si>
  <si>
    <t>the sword of doom</t>
  </si>
  <si>
    <t>show me a hero</t>
  </si>
  <si>
    <t>manam</t>
  </si>
  <si>
    <t>mission impossible</t>
  </si>
  <si>
    <t>Action, Adventure, Crime</t>
  </si>
  <si>
    <t>turning point 9/11 and the war on terror</t>
  </si>
  <si>
    <t>big deal on madonna street</t>
  </si>
  <si>
    <t>microcosmos</t>
  </si>
  <si>
    <t>goodbye, mr. chips</t>
  </si>
  <si>
    <t>the book of sun</t>
  </si>
  <si>
    <t>the honorable woman</t>
  </si>
  <si>
    <t>cría cuervos</t>
  </si>
  <si>
    <t>love letter</t>
  </si>
  <si>
    <t>tabula rasa</t>
  </si>
  <si>
    <t>the earrings of madame de...</t>
  </si>
  <si>
    <t>the song of sparrows</t>
  </si>
  <si>
    <t>marple</t>
  </si>
  <si>
    <t>ugly americans</t>
  </si>
  <si>
    <t>rubicon</t>
  </si>
  <si>
    <t>captains courageous</t>
  </si>
  <si>
    <t>sanford and son</t>
  </si>
  <si>
    <t>west of memphis</t>
  </si>
  <si>
    <t>undekhi</t>
  </si>
  <si>
    <t>Crime</t>
  </si>
  <si>
    <t>the tunnel</t>
  </si>
  <si>
    <t>deliver us from evil</t>
  </si>
  <si>
    <t>the split</t>
  </si>
  <si>
    <t>the face of another</t>
  </si>
  <si>
    <t>shekhar home</t>
  </si>
  <si>
    <t>the devil and daniel johnston</t>
  </si>
  <si>
    <t>scam 2003 - the telgi story</t>
  </si>
  <si>
    <t>the thorn birds</t>
  </si>
  <si>
    <t>the trap</t>
  </si>
  <si>
    <t>tale of the nine tailed</t>
  </si>
  <si>
    <t>Fantasy, History, Horror</t>
  </si>
  <si>
    <t>red band society</t>
  </si>
  <si>
    <t>salaam bombay!</t>
  </si>
  <si>
    <t>bob dylan dont look back</t>
  </si>
  <si>
    <t>landscape in the mist</t>
  </si>
  <si>
    <t>star wars episode vii - the force awakens</t>
  </si>
  <si>
    <t>the hobbit an unexpected journey</t>
  </si>
  <si>
    <t>captain america civil war</t>
  </si>
  <si>
    <t>the batman</t>
  </si>
  <si>
    <t>the social network</t>
  </si>
  <si>
    <t>dunkirk</t>
  </si>
  <si>
    <t>skyfall</t>
  </si>
  <si>
    <t>get out</t>
  </si>
  <si>
    <t>drive</t>
  </si>
  <si>
    <t>the hobbit the desolation of smaug</t>
  </si>
  <si>
    <t>the curious case of benjamin button</t>
  </si>
  <si>
    <t>rogue one a star wars story</t>
  </si>
  <si>
    <t>the hateful eight</t>
  </si>
  <si>
    <t>cast away</t>
  </si>
  <si>
    <t>the notebook</t>
  </si>
  <si>
    <t>nightcrawler</t>
  </si>
  <si>
    <t>back to the future part ii</t>
  </si>
  <si>
    <t>the bourne identity</t>
  </si>
  <si>
    <t>everything everywhere all at once</t>
  </si>
  <si>
    <t>hot fuzz</t>
  </si>
  <si>
    <t>Action, Comedy, Mystery</t>
  </si>
  <si>
    <t>little miss sunshine</t>
  </si>
  <si>
    <t>big hero 6</t>
  </si>
  <si>
    <t>the girl with the dragon tattoo</t>
  </si>
  <si>
    <t>captain phillips</t>
  </si>
  <si>
    <t>the big short</t>
  </si>
  <si>
    <t>training day</t>
  </si>
  <si>
    <t>the last samurai</t>
  </si>
  <si>
    <t>predator</t>
  </si>
  <si>
    <t>Action, Adventure, Horror</t>
  </si>
  <si>
    <t>american gangster</t>
  </si>
  <si>
    <t>ghostbusters</t>
  </si>
  <si>
    <t>the breakfast club</t>
  </si>
  <si>
    <t>the irishman</t>
  </si>
  <si>
    <t>Action, Crime</t>
  </si>
  <si>
    <t>about time</t>
  </si>
  <si>
    <t>ferris buellers day off</t>
  </si>
  <si>
    <t>the fighter</t>
  </si>
  <si>
    <t>moon</t>
  </si>
  <si>
    <t>how to train your dragon 2</t>
  </si>
  <si>
    <t>moonrise kingdom</t>
  </si>
  <si>
    <t>pride &amp; prejudice</t>
  </si>
  <si>
    <t>apocalypto</t>
  </si>
  <si>
    <t>the untouchables</t>
  </si>
  <si>
    <t>call me by your name</t>
  </si>
  <si>
    <t>the fugitive</t>
  </si>
  <si>
    <t>manchester by the sea</t>
  </si>
  <si>
    <t>poor things</t>
  </si>
  <si>
    <t>serenity</t>
  </si>
  <si>
    <t>atonement</t>
  </si>
  <si>
    <t>the umbrella academy</t>
  </si>
  <si>
    <t>coraline</t>
  </si>
  <si>
    <t>walk the line</t>
  </si>
  <si>
    <t>hidden figures</t>
  </si>
  <si>
    <t>little women</t>
  </si>
  <si>
    <t>new girl</t>
  </si>
  <si>
    <t>the artist</t>
  </si>
  <si>
    <t>gotham</t>
  </si>
  <si>
    <t>misery</t>
  </si>
  <si>
    <t>captain fantastic</t>
  </si>
  <si>
    <t>remember the titans</t>
  </si>
  <si>
    <t>willy wonka &amp; the chocolate factory</t>
  </si>
  <si>
    <t>let the right one in</t>
  </si>
  <si>
    <t>jessica jones</t>
  </si>
  <si>
    <t>straight outta compton</t>
  </si>
  <si>
    <t>brazil</t>
  </si>
  <si>
    <t>the man from earth</t>
  </si>
  <si>
    <t>isle of dogs</t>
  </si>
  <si>
    <t>puss in boots the last wish</t>
  </si>
  <si>
    <t>mary poppins</t>
  </si>
  <si>
    <t>Comedy, Family, Fantasy</t>
  </si>
  <si>
    <t>ed wood</t>
  </si>
  <si>
    <t>monsters</t>
  </si>
  <si>
    <t>the insider</t>
  </si>
  <si>
    <t>bones</t>
  </si>
  <si>
    <t>rrr</t>
  </si>
  <si>
    <t>tombstone</t>
  </si>
  <si>
    <t>kikis delivery service</t>
  </si>
  <si>
    <t>letters from iwo jima</t>
  </si>
  <si>
    <t>a bronx tale</t>
  </si>
  <si>
    <t>ncis</t>
  </si>
  <si>
    <t>awakenings</t>
  </si>
  <si>
    <t>boyz n the hood</t>
  </si>
  <si>
    <t>kramer vs. kramer</t>
  </si>
  <si>
    <t>society of the snow</t>
  </si>
  <si>
    <t>i saw the devil</t>
  </si>
  <si>
    <t>manhattan</t>
  </si>
  <si>
    <t>glory</t>
  </si>
  <si>
    <t>hunt for the wilderpeople</t>
  </si>
  <si>
    <t>the sinner</t>
  </si>
  <si>
    <t>night of the living dead</t>
  </si>
  <si>
    <t>Horror, Thriller</t>
  </si>
  <si>
    <t>past lives</t>
  </si>
  <si>
    <t>dawn of the dead</t>
  </si>
  <si>
    <t>the best offer</t>
  </si>
  <si>
    <t>revenge</t>
  </si>
  <si>
    <t>midnight cowboy</t>
  </si>
  <si>
    <t>the king of comedy</t>
  </si>
  <si>
    <t>once</t>
  </si>
  <si>
    <t>the oa</t>
  </si>
  <si>
    <t>from</t>
  </si>
  <si>
    <t>mississippi burning</t>
  </si>
  <si>
    <t>three colors blue</t>
  </si>
  <si>
    <t>Drama, Music, Mystery</t>
  </si>
  <si>
    <t>my name is earl</t>
  </si>
  <si>
    <t>nosferatu a symphony of horror</t>
  </si>
  <si>
    <t>Fantasy, Horror</t>
  </si>
  <si>
    <t>the sandlot</t>
  </si>
  <si>
    <t>all about my mother</t>
  </si>
  <si>
    <t>a prophet</t>
  </si>
  <si>
    <t>the wind rises</t>
  </si>
  <si>
    <t>october sky</t>
  </si>
  <si>
    <t>paddington 2</t>
  </si>
  <si>
    <t>the searchers</t>
  </si>
  <si>
    <t>yellowjackets</t>
  </si>
  <si>
    <t>big mouth</t>
  </si>
  <si>
    <t>agent carter</t>
  </si>
  <si>
    <t>one tree hill</t>
  </si>
  <si>
    <t>Drama, Romance, Sport</t>
  </si>
  <si>
    <t>his dark materials</t>
  </si>
  <si>
    <t>charade</t>
  </si>
  <si>
    <t>the remains of the day</t>
  </si>
  <si>
    <t>never have i ever</t>
  </si>
  <si>
    <t>upload</t>
  </si>
  <si>
    <t>Comedy, Mystery, Sci-Fi</t>
  </si>
  <si>
    <t>frankenstein</t>
  </si>
  <si>
    <t>the outlaw josey wales</t>
  </si>
  <si>
    <t>my left foot</t>
  </si>
  <si>
    <t>the white ribbon</t>
  </si>
  <si>
    <t>santa clarita diet</t>
  </si>
  <si>
    <t>hannah and her sisters</t>
  </si>
  <si>
    <t>ballers</t>
  </si>
  <si>
    <t>the lincoln lawyer</t>
  </si>
  <si>
    <t>izombie</t>
  </si>
  <si>
    <t>whisper of the heart</t>
  </si>
  <si>
    <t>the philadelphia story</t>
  </si>
  <si>
    <t>the chaser</t>
  </si>
  <si>
    <t>the muppet christmas carol</t>
  </si>
  <si>
    <t>breaking the waves</t>
  </si>
  <si>
    <t>defending jacob</t>
  </si>
  <si>
    <t>shadow of a doubt</t>
  </si>
  <si>
    <t>Film-Noir, Thriller</t>
  </si>
  <si>
    <t>thirteen lives</t>
  </si>
  <si>
    <t>the chorus</t>
  </si>
  <si>
    <t>bringing up baby</t>
  </si>
  <si>
    <t>the right stuff</t>
  </si>
  <si>
    <t>a discovery of witches</t>
  </si>
  <si>
    <t>i, daniel blake</t>
  </si>
  <si>
    <t>loving vincent</t>
  </si>
  <si>
    <t>his girl friday</t>
  </si>
  <si>
    <t>aguirre, the wrath of god</t>
  </si>
  <si>
    <t>grizzly man</t>
  </si>
  <si>
    <t>gangubai kathiawadi</t>
  </si>
  <si>
    <t>pride</t>
  </si>
  <si>
    <t>the lunchbox</t>
  </si>
  <si>
    <t>crimes and misdemeanors</t>
  </si>
  <si>
    <t>cabaret</t>
  </si>
  <si>
    <t>the killing fields</t>
  </si>
  <si>
    <t>bloodline</t>
  </si>
  <si>
    <t>the worlds fastest indian</t>
  </si>
  <si>
    <t>batman mask of the phantasm</t>
  </si>
  <si>
    <t>star wars the bad batch</t>
  </si>
  <si>
    <t>veer-zaara</t>
  </si>
  <si>
    <t>masters of the air</t>
  </si>
  <si>
    <t>3rd rock from the sun</t>
  </si>
  <si>
    <t>Comedy, Family, Sci-Fi</t>
  </si>
  <si>
    <t>amy</t>
  </si>
  <si>
    <t>stagecoach</t>
  </si>
  <si>
    <t>bride of frankenstein</t>
  </si>
  <si>
    <t>cowboy bebop the movie</t>
  </si>
  <si>
    <t>food, inc.</t>
  </si>
  <si>
    <t>freaks</t>
  </si>
  <si>
    <t>poker face</t>
  </si>
  <si>
    <t>rockstar</t>
  </si>
  <si>
    <t>once upon a time in anatolia</t>
  </si>
  <si>
    <t>lilya 4-ever</t>
  </si>
  <si>
    <t>guess whos coming to dinner</t>
  </si>
  <si>
    <t>east of eden</t>
  </si>
  <si>
    <t>tokyo godfathers</t>
  </si>
  <si>
    <t>amarcord</t>
  </si>
  <si>
    <t>the discreet charm of the bourgeoisie</t>
  </si>
  <si>
    <t>land of mine</t>
  </si>
  <si>
    <t>law &amp; order</t>
  </si>
  <si>
    <t>and then there were none</t>
  </si>
  <si>
    <t>jujutsu kaisen 0</t>
  </si>
  <si>
    <t>evil</t>
  </si>
  <si>
    <t>our flag means death</t>
  </si>
  <si>
    <t>wilfred</t>
  </si>
  <si>
    <t>mimi</t>
  </si>
  <si>
    <t>superman &amp; lois</t>
  </si>
  <si>
    <t>ninja scroll</t>
  </si>
  <si>
    <t>how to sell drugs online (fast)</t>
  </si>
  <si>
    <t>lethal weapon</t>
  </si>
  <si>
    <t>happy endings</t>
  </si>
  <si>
    <t>english vinglish</t>
  </si>
  <si>
    <t>close</t>
  </si>
  <si>
    <t>the act</t>
  </si>
  <si>
    <t>the postman</t>
  </si>
  <si>
    <t>the innocent</t>
  </si>
  <si>
    <t>kai po che</t>
  </si>
  <si>
    <t>to have and have not</t>
  </si>
  <si>
    <t>jiro dreams of sushi</t>
  </si>
  <si>
    <t>the resident</t>
  </si>
  <si>
    <t>hiroshima mon amour</t>
  </si>
  <si>
    <t>episodes</t>
  </si>
  <si>
    <t>all that jazz</t>
  </si>
  <si>
    <t>the walking dead the ones who live</t>
  </si>
  <si>
    <t>seal team</t>
  </si>
  <si>
    <t>vivre sa vie</t>
  </si>
  <si>
    <t>my name</t>
  </si>
  <si>
    <t>a night at the opera</t>
  </si>
  <si>
    <t>gaslight</t>
  </si>
  <si>
    <t>knockin on heavens door</t>
  </si>
  <si>
    <t>c.r.a.z.y.</t>
  </si>
  <si>
    <t>millennium actress</t>
  </si>
  <si>
    <t>pinky and the brain</t>
  </si>
  <si>
    <t>minnal murali</t>
  </si>
  <si>
    <t>hindi medium</t>
  </si>
  <si>
    <t>chandu champion</t>
  </si>
  <si>
    <t>the umbrellas of cherbourg</t>
  </si>
  <si>
    <t>akame ga kill!</t>
  </si>
  <si>
    <t>the asphalt jungle</t>
  </si>
  <si>
    <t>the dissident</t>
  </si>
  <si>
    <t>Crime, Documentary, Thriller</t>
  </si>
  <si>
    <t>the english</t>
  </si>
  <si>
    <t>startup</t>
  </si>
  <si>
    <t>my life as a zucchini</t>
  </si>
  <si>
    <t>secret superstar</t>
  </si>
  <si>
    <t>nurse jackie</t>
  </si>
  <si>
    <t>the sex lives of college girls</t>
  </si>
  <si>
    <t>the closer</t>
  </si>
  <si>
    <t>star wars clone wars</t>
  </si>
  <si>
    <t>fresh off the boat</t>
  </si>
  <si>
    <t>death in paradise</t>
  </si>
  <si>
    <t>like father, like son</t>
  </si>
  <si>
    <t>recess</t>
  </si>
  <si>
    <t>you cant take it with you</t>
  </si>
  <si>
    <t>cléo from 5 to 7</t>
  </si>
  <si>
    <t>hanu man</t>
  </si>
  <si>
    <t>the staircase</t>
  </si>
  <si>
    <t>mr. mercedes</t>
  </si>
  <si>
    <t>madam secretary</t>
  </si>
  <si>
    <t>tokyo revengers</t>
  </si>
  <si>
    <t>great expectations</t>
  </si>
  <si>
    <t>being human</t>
  </si>
  <si>
    <t>playtime</t>
  </si>
  <si>
    <t>star trek lower decks</t>
  </si>
  <si>
    <t>lakshya</t>
  </si>
  <si>
    <t>devious maids</t>
  </si>
  <si>
    <t>younger</t>
  </si>
  <si>
    <t>brother</t>
  </si>
  <si>
    <t>that obscure object of desire</t>
  </si>
  <si>
    <t>embrace of the serpent</t>
  </si>
  <si>
    <t>the bold type</t>
  </si>
  <si>
    <t>for love and honor</t>
  </si>
  <si>
    <t>hud</t>
  </si>
  <si>
    <t>the musketeers</t>
  </si>
  <si>
    <t>workin moms</t>
  </si>
  <si>
    <t>transparent</t>
  </si>
  <si>
    <t>eat drink man woman</t>
  </si>
  <si>
    <t>mr. deeds goes to town</t>
  </si>
  <si>
    <t>portlandia</t>
  </si>
  <si>
    <t>article 370</t>
  </si>
  <si>
    <t>ninotchka</t>
  </si>
  <si>
    <t>one, two, three</t>
  </si>
  <si>
    <t>aavesham</t>
  </si>
  <si>
    <t>medici</t>
  </si>
  <si>
    <t>to the forest of firefly lights</t>
  </si>
  <si>
    <t>ernest &amp; celestine</t>
  </si>
  <si>
    <t>babettes feast</t>
  </si>
  <si>
    <t>the game changers</t>
  </si>
  <si>
    <t>fi</t>
  </si>
  <si>
    <t>awake</t>
  </si>
  <si>
    <t>death parade</t>
  </si>
  <si>
    <t>they shoot horses, dont they?</t>
  </si>
  <si>
    <t>the ghost and mrs. muir</t>
  </si>
  <si>
    <t>the spirit of the beehive</t>
  </si>
  <si>
    <t>taken</t>
  </si>
  <si>
    <t>el chapo</t>
  </si>
  <si>
    <t>i vitelloni</t>
  </si>
  <si>
    <t>the mick</t>
  </si>
  <si>
    <t>on my block</t>
  </si>
  <si>
    <t>american movie</t>
  </si>
  <si>
    <t>noragami</t>
  </si>
  <si>
    <t>fresh meat</t>
  </si>
  <si>
    <t>the train</t>
  </si>
  <si>
    <t>Thriller, War</t>
  </si>
  <si>
    <t>birdman of alcatraz</t>
  </si>
  <si>
    <t>monsieur verdoux</t>
  </si>
  <si>
    <t>law of tehran</t>
  </si>
  <si>
    <t>stray dog</t>
  </si>
  <si>
    <t>the childrens hour</t>
  </si>
  <si>
    <t>johnny got his gun</t>
  </si>
  <si>
    <t>the rising of the shield hero</t>
  </si>
  <si>
    <t>flashpoint</t>
  </si>
  <si>
    <t>imitation of life</t>
  </si>
  <si>
    <t>pennyworth</t>
  </si>
  <si>
    <t>gangaajal</t>
  </si>
  <si>
    <t>nayak the real hero</t>
  </si>
  <si>
    <t>seven days in may</t>
  </si>
  <si>
    <t>v</t>
  </si>
  <si>
    <t>girls of the sun</t>
  </si>
  <si>
    <t>the phantom of liberty</t>
  </si>
  <si>
    <t>giri/haji</t>
  </si>
  <si>
    <t>the second mother</t>
  </si>
  <si>
    <t>the munsters</t>
  </si>
  <si>
    <t>the empress</t>
  </si>
  <si>
    <t>nanban</t>
  </si>
  <si>
    <t>kenan &amp; kel</t>
  </si>
  <si>
    <t>a man on the inside</t>
  </si>
  <si>
    <t>nypd blue</t>
  </si>
  <si>
    <t>wallander</t>
  </si>
  <si>
    <t>the bad and the beautiful</t>
  </si>
  <si>
    <t>son of the bride</t>
  </si>
  <si>
    <t>premalu</t>
  </si>
  <si>
    <t>the marvelous misadventures of flapjack</t>
  </si>
  <si>
    <t>burnt by the sun</t>
  </si>
  <si>
    <t>major crimes</t>
  </si>
  <si>
    <t>steamboat bill, jr.</t>
  </si>
  <si>
    <t>interstella 5555 the 5tory of the 5ecret 5tar 5ystem</t>
  </si>
  <si>
    <t>Adventure, Animation, Music</t>
  </si>
  <si>
    <t>konosuba gods blessing on this wonderful world!</t>
  </si>
  <si>
    <t>life itself</t>
  </si>
  <si>
    <t>the looney tunes show</t>
  </si>
  <si>
    <t>becket</t>
  </si>
  <si>
    <t>the death of mr. lazarescu</t>
  </si>
  <si>
    <t>before the rain</t>
  </si>
  <si>
    <t>monty python live at the hollywood bowl</t>
  </si>
  <si>
    <t>Comedy, Documentary, Musical</t>
  </si>
  <si>
    <t>father brown</t>
  </si>
  <si>
    <t>the amazing race</t>
  </si>
  <si>
    <t>Adventure, Family, Reality-TV</t>
  </si>
  <si>
    <t>the hill</t>
  </si>
  <si>
    <t>amar singh chamkila</t>
  </si>
  <si>
    <t>imposters</t>
  </si>
  <si>
    <t>ghost in the shell 2.0</t>
  </si>
  <si>
    <t>bhaukaal</t>
  </si>
  <si>
    <t>system crasher</t>
  </si>
  <si>
    <t>whitechapel</t>
  </si>
  <si>
    <t>boys over flowers</t>
  </si>
  <si>
    <t>soul eater</t>
  </si>
  <si>
    <t>my night at mauds</t>
  </si>
  <si>
    <t>breaker morant</t>
  </si>
  <si>
    <t>terror in resonance</t>
  </si>
  <si>
    <t>the servant</t>
  </si>
  <si>
    <t>days of wine and roses</t>
  </si>
  <si>
    <t>the court jester</t>
  </si>
  <si>
    <t>germany year zero</t>
  </si>
  <si>
    <t>oliver twist</t>
  </si>
  <si>
    <t>the beatles eight days a week - the touring years</t>
  </si>
  <si>
    <t>the lost flowers of alice hart</t>
  </si>
  <si>
    <t>fury</t>
  </si>
  <si>
    <t>poetry</t>
  </si>
  <si>
    <t>alice in the cities</t>
  </si>
  <si>
    <t>faces places</t>
  </si>
  <si>
    <t>x-men evolution</t>
  </si>
  <si>
    <t>close enough</t>
  </si>
  <si>
    <t>sound city</t>
  </si>
  <si>
    <t>gimme shelter</t>
  </si>
  <si>
    <t>Documentary, Music, Thriller</t>
  </si>
  <si>
    <t>drunk history</t>
  </si>
  <si>
    <t>oasis supersonic</t>
  </si>
  <si>
    <t>in this corner (and other corners) of the world</t>
  </si>
  <si>
    <t>hogans heroes</t>
  </si>
  <si>
    <t>brave and beautiful</t>
  </si>
  <si>
    <t>south wind</t>
  </si>
  <si>
    <t>the island</t>
  </si>
  <si>
    <t>the hunchback of notre dame</t>
  </si>
  <si>
    <t>bramayugam</t>
  </si>
  <si>
    <t>my best fiend</t>
  </si>
  <si>
    <t>ben 10 ultimate alien</t>
  </si>
  <si>
    <t>goodachari</t>
  </si>
  <si>
    <t>berserk the golden age arc iii - the advent</t>
  </si>
  <si>
    <t>the club</t>
  </si>
  <si>
    <t>cardinal</t>
  </si>
  <si>
    <t>seven chances</t>
  </si>
  <si>
    <t>inside bills brain decoding bill gates</t>
  </si>
  <si>
    <t>parking</t>
  </si>
  <si>
    <t>the magic school bus</t>
  </si>
  <si>
    <t>happiness</t>
  </si>
  <si>
    <t>good morning</t>
  </si>
  <si>
    <t>flesh and bone</t>
  </si>
  <si>
    <t>joji</t>
  </si>
  <si>
    <t>the other two</t>
  </si>
  <si>
    <t>le corbeau</t>
  </si>
  <si>
    <t>man seeking woman</t>
  </si>
  <si>
    <t>who killed captain alex?</t>
  </si>
  <si>
    <t>simon of the desert</t>
  </si>
  <si>
    <t>battlestar galactica the resistance</t>
  </si>
  <si>
    <t>Drama, Sci-Fi, Short</t>
  </si>
  <si>
    <t>lucky louie</t>
  </si>
  <si>
    <t>the fire within</t>
  </si>
  <si>
    <t>bungo stray dogs</t>
  </si>
  <si>
    <t>mamma roma</t>
  </si>
  <si>
    <t>take care of maya</t>
  </si>
  <si>
    <t>oasis</t>
  </si>
  <si>
    <t>taali</t>
  </si>
  <si>
    <t>lovelorn</t>
  </si>
  <si>
    <t>my hero academia heroes rising</t>
  </si>
  <si>
    <t>the k2</t>
  </si>
  <si>
    <t>the new tom &amp; jerry show</t>
  </si>
  <si>
    <t>the set-up</t>
  </si>
  <si>
    <t>the tick</t>
  </si>
  <si>
    <t>tanaav</t>
  </si>
  <si>
    <t>hit-monkey</t>
  </si>
  <si>
    <t>steins;gate the movie - load region of déjà vu</t>
  </si>
  <si>
    <t>Animation, Mystery, Sci-Fi</t>
  </si>
  <si>
    <t>mother india</t>
  </si>
  <si>
    <t>captain america the winter soldier</t>
  </si>
  <si>
    <t>harry potter and the sorcerers stone</t>
  </si>
  <si>
    <t>gravity</t>
  </si>
  <si>
    <t>the hangover</t>
  </si>
  <si>
    <t>silver linings playbook</t>
  </si>
  <si>
    <t>x-men first class</t>
  </si>
  <si>
    <t>kingsman the secret service</t>
  </si>
  <si>
    <t>harry potter and the goblet of fire</t>
  </si>
  <si>
    <t>birdman or (the unexpected virtue of ignorance)</t>
  </si>
  <si>
    <t>home alone</t>
  </si>
  <si>
    <t>argo</t>
  </si>
  <si>
    <t>oceans eleven</t>
  </si>
  <si>
    <t>zodiac</t>
  </si>
  <si>
    <t>harry potter and the deathly hallows part 1</t>
  </si>
  <si>
    <t>ex machina</t>
  </si>
  <si>
    <t>500 days of summer</t>
  </si>
  <si>
    <t>tangled</t>
  </si>
  <si>
    <t>lost in translation</t>
  </si>
  <si>
    <t>star trek into darkness</t>
  </si>
  <si>
    <t>the bourne supremacy</t>
  </si>
  <si>
    <t>sicario</t>
  </si>
  <si>
    <t>the theory of everything</t>
  </si>
  <si>
    <t>wreck-it ralph</t>
  </si>
  <si>
    <t>crash</t>
  </si>
  <si>
    <t>the game</t>
  </si>
  <si>
    <t>the fault in our stars</t>
  </si>
  <si>
    <t>man on fire</t>
  </si>
  <si>
    <t>the lego movie</t>
  </si>
  <si>
    <t>brokeback mountain</t>
  </si>
  <si>
    <t>mission impossible - fallout</t>
  </si>
  <si>
    <t>the vampire diaries</t>
  </si>
  <si>
    <t>being john malkovich</t>
  </si>
  <si>
    <t>donnie brasco</t>
  </si>
  <si>
    <t>o brother, where art thou?</t>
  </si>
  <si>
    <t>gattaca</t>
  </si>
  <si>
    <t>lucky number slevin</t>
  </si>
  <si>
    <t>mulan</t>
  </si>
  <si>
    <t>as good as it gets</t>
  </si>
  <si>
    <t>apollo 13</t>
  </si>
  <si>
    <t>halloween</t>
  </si>
  <si>
    <t>you</t>
  </si>
  <si>
    <t>the goonies</t>
  </si>
  <si>
    <t>a few good men</t>
  </si>
  <si>
    <t>wind river</t>
  </si>
  <si>
    <t>road to perdition</t>
  </si>
  <si>
    <t>first blood</t>
  </si>
  <si>
    <t>mission impossible - dead reckoning part one</t>
  </si>
  <si>
    <t>the banshees of inisherin</t>
  </si>
  <si>
    <t>airplane!</t>
  </si>
  <si>
    <t>changeling</t>
  </si>
  <si>
    <t>philadelphia</t>
  </si>
  <si>
    <t>whats eating gilbert grape</t>
  </si>
  <si>
    <t>the boy in the striped pajamas</t>
  </si>
  <si>
    <t>primal fear</t>
  </si>
  <si>
    <t>when harry met sally...</t>
  </si>
  <si>
    <t>mr. nobody</t>
  </si>
  <si>
    <t>once upon a time</t>
  </si>
  <si>
    <t>Adventure, Fantasy, Romance</t>
  </si>
  <si>
    <t>clerks</t>
  </si>
  <si>
    <t>who framed roger rabbit</t>
  </si>
  <si>
    <t>blue velvet</t>
  </si>
  <si>
    <t>south park bigger, longer &amp; uncut</t>
  </si>
  <si>
    <t>finding neverland</t>
  </si>
  <si>
    <t>goldfinger</t>
  </si>
  <si>
    <t>adaptation.</t>
  </si>
  <si>
    <t>another round</t>
  </si>
  <si>
    <t>the trial of the chicago 7</t>
  </si>
  <si>
    <t>evil dead ii</t>
  </si>
  <si>
    <t>the sandman</t>
  </si>
  <si>
    <t>dirty harry</t>
  </si>
  <si>
    <t>roma</t>
  </si>
  <si>
    <t>teen wolf</t>
  </si>
  <si>
    <t>blue is the warmest colour</t>
  </si>
  <si>
    <t>anatomy of a fall</t>
  </si>
  <si>
    <t>ray</t>
  </si>
  <si>
    <t>godzilla minus one</t>
  </si>
  <si>
    <t>baby reindeer</t>
  </si>
  <si>
    <t>blazing saddles</t>
  </si>
  <si>
    <t>Comedy, Western</t>
  </si>
  <si>
    <t>sound of metal</t>
  </si>
  <si>
    <t>good bye lenin!</t>
  </si>
  <si>
    <t>kung fu hustle</t>
  </si>
  <si>
    <t>midnight mass</t>
  </si>
  <si>
    <t>the count of monte cristo</t>
  </si>
  <si>
    <t>billy elliot</t>
  </si>
  <si>
    <t>millers crossing</t>
  </si>
  <si>
    <t>kubo and the two strings</t>
  </si>
  <si>
    <t>me and earl and the dying girl</t>
  </si>
  <si>
    <t>the french connection</t>
  </si>
  <si>
    <t>serpico</t>
  </si>
  <si>
    <t>empire of the sun</t>
  </si>
  <si>
    <t>star trek ii the wrath of khan</t>
  </si>
  <si>
    <t>y tu mamá también</t>
  </si>
  <si>
    <t>this is england</t>
  </si>
  <si>
    <t>sense and sensibility</t>
  </si>
  <si>
    <t>the conversation</t>
  </si>
  <si>
    <t>nebraska</t>
  </si>
  <si>
    <t>young sheldon</t>
  </si>
  <si>
    <t>bonnie and clyde</t>
  </si>
  <si>
    <t>the name of the rose</t>
  </si>
  <si>
    <t>glengarry glen ross</t>
  </si>
  <si>
    <t>gen v</t>
  </si>
  <si>
    <t>the last emperor</t>
  </si>
  <si>
    <t>russian doll</t>
  </si>
  <si>
    <t>porco rosso</t>
  </si>
  <si>
    <t>fantasia</t>
  </si>
  <si>
    <t>the worst person in the world</t>
  </si>
  <si>
    <t>the motorcycle diaries</t>
  </si>
  <si>
    <t>the magnificent seven</t>
  </si>
  <si>
    <t>malcolm x</t>
  </si>
  <si>
    <t>alice in borderland</t>
  </si>
  <si>
    <t>my fair lady</t>
  </si>
  <si>
    <t>detachment</t>
  </si>
  <si>
    <t>paprika</t>
  </si>
  <si>
    <t>flipped</t>
  </si>
  <si>
    <t>the great beauty</t>
  </si>
  <si>
    <t>the color purple</t>
  </si>
  <si>
    <t>the experiment</t>
  </si>
  <si>
    <t>csi crime scene investigation</t>
  </si>
  <si>
    <t>breathless</t>
  </si>
  <si>
    <t>beasts of no nation</t>
  </si>
  <si>
    <t>the day the earth stood still</t>
  </si>
  <si>
    <t>fried green tomatoes</t>
  </si>
  <si>
    <t>the african queen</t>
  </si>
  <si>
    <t>carnival row</t>
  </si>
  <si>
    <t>black book</t>
  </si>
  <si>
    <t>scandal</t>
  </si>
  <si>
    <t>the dirty dozen</t>
  </si>
  <si>
    <t>Action, Adventure, War</t>
  </si>
  <si>
    <t>badlands</t>
  </si>
  <si>
    <t>the man from nowhere</t>
  </si>
  <si>
    <t>sweet tooth</t>
  </si>
  <si>
    <t>open your eyes</t>
  </si>
  <si>
    <t>mother</t>
  </si>
  <si>
    <t>perfect strangers</t>
  </si>
  <si>
    <t>the girl who leapt through time</t>
  </si>
  <si>
    <t>a man called ove</t>
  </si>
  <si>
    <t>tokyo ghoul</t>
  </si>
  <si>
    <t>a series of unfortunate events</t>
  </si>
  <si>
    <t>waking life</t>
  </si>
  <si>
    <t>night on earth</t>
  </si>
  <si>
    <t>presumed innocent</t>
  </si>
  <si>
    <t>the salesman</t>
  </si>
  <si>
    <t>days of heaven</t>
  </si>
  <si>
    <t>duck soup</t>
  </si>
  <si>
    <t>good girls</t>
  </si>
  <si>
    <t>the alienist</t>
  </si>
  <si>
    <t>doom patrol</t>
  </si>
  <si>
    <t>the longest day</t>
  </si>
  <si>
    <t>nip/tuck</t>
  </si>
  <si>
    <t>man on wire</t>
  </si>
  <si>
    <t>the lady vanishes</t>
  </si>
  <si>
    <t>ordinary people</t>
  </si>
  <si>
    <t>lioness</t>
  </si>
  <si>
    <t>the triplets of belleville</t>
  </si>
  <si>
    <t>hart of dixie</t>
  </si>
  <si>
    <t>little fires everywhere</t>
  </si>
  <si>
    <t>the chestnut man</t>
  </si>
  <si>
    <t>invasion of the body snatchers</t>
  </si>
  <si>
    <t>the purple rose of cairo</t>
  </si>
  <si>
    <t>adams apples</t>
  </si>
  <si>
    <t>the middle</t>
  </si>
  <si>
    <t>hard boiled</t>
  </si>
  <si>
    <t>nikita</t>
  </si>
  <si>
    <t>the double life of véronique</t>
  </si>
  <si>
    <t>the man who would be king</t>
  </si>
  <si>
    <t>dark matter</t>
  </si>
  <si>
    <t>dollhouse</t>
  </si>
  <si>
    <t>the killer</t>
  </si>
  <si>
    <t>the past</t>
  </si>
  <si>
    <t>blue bloods</t>
  </si>
  <si>
    <t>the holy mountain</t>
  </si>
  <si>
    <t>the vanishing</t>
  </si>
  <si>
    <t>the verdict</t>
  </si>
  <si>
    <t>robot chicken</t>
  </si>
  <si>
    <t>vicky donor</t>
  </si>
  <si>
    <t>naked</t>
  </si>
  <si>
    <t>jules and jim</t>
  </si>
  <si>
    <t>key largo</t>
  </si>
  <si>
    <t>in america</t>
  </si>
  <si>
    <t>drake &amp; josh</t>
  </si>
  <si>
    <t>torchwood</t>
  </si>
  <si>
    <t>the broken circle breakdown</t>
  </si>
  <si>
    <t>zulu</t>
  </si>
  <si>
    <t>the quiet man</t>
  </si>
  <si>
    <t>confessions</t>
  </si>
  <si>
    <t>hamlet</t>
  </si>
  <si>
    <t>the seven deadly sins</t>
  </si>
  <si>
    <t>taste of cherry</t>
  </si>
  <si>
    <t>fantastic planet</t>
  </si>
  <si>
    <t>firefly lane</t>
  </si>
  <si>
    <t>a man for all seasons</t>
  </si>
  <si>
    <t>hedwig and the angry inch</t>
  </si>
  <si>
    <t>after the wedding</t>
  </si>
  <si>
    <t>the crowded room</t>
  </si>
  <si>
    <t>joint security area</t>
  </si>
  <si>
    <t>happy together</t>
  </si>
  <si>
    <t>red river</t>
  </si>
  <si>
    <t>wait until dark</t>
  </si>
  <si>
    <t>raazi</t>
  </si>
  <si>
    <t>the edge of heaven</t>
  </si>
  <si>
    <t>the innocents</t>
  </si>
  <si>
    <t>fireworks</t>
  </si>
  <si>
    <t>lavventura</t>
  </si>
  <si>
    <t>conversations with a killer the ted bundy tapes</t>
  </si>
  <si>
    <t>dragon ball super broly</t>
  </si>
  <si>
    <t>cape fear</t>
  </si>
  <si>
    <t>mythic quest</t>
  </si>
  <si>
    <t>udta punjab</t>
  </si>
  <si>
    <t>the white queen</t>
  </si>
  <si>
    <t>badla</t>
  </si>
  <si>
    <t>14 peaks nothing is impossible</t>
  </si>
  <si>
    <t>navalny</t>
  </si>
  <si>
    <t>the caine mutiny</t>
  </si>
  <si>
    <t>dreams</t>
  </si>
  <si>
    <t>sorcerer</t>
  </si>
  <si>
    <t>the l word</t>
  </si>
  <si>
    <t>kapoor &amp; sons</t>
  </si>
  <si>
    <t>the breadwinner</t>
  </si>
  <si>
    <t>the magdalene sisters</t>
  </si>
  <si>
    <t>black narcissus</t>
  </si>
  <si>
    <t>eega</t>
  </si>
  <si>
    <t>hazbin hotel</t>
  </si>
  <si>
    <t>Animation, Comedy, Crime</t>
  </si>
  <si>
    <t>whats up, doc?</t>
  </si>
  <si>
    <t>nashville</t>
  </si>
  <si>
    <t>marty</t>
  </si>
  <si>
    <t>the promised land</t>
  </si>
  <si>
    <t>aqua teen hunger force</t>
  </si>
  <si>
    <t>how green was my valley</t>
  </si>
  <si>
    <t>my dinner with andre</t>
  </si>
  <si>
    <t>little britain</t>
  </si>
  <si>
    <t>my darling clementine</t>
  </si>
  <si>
    <t>never look away</t>
  </si>
  <si>
    <t>switched at birth</t>
  </si>
  <si>
    <t>breaking away</t>
  </si>
  <si>
    <t>magadheera</t>
  </si>
  <si>
    <t>a place in the sun</t>
  </si>
  <si>
    <t>guru</t>
  </si>
  <si>
    <t>reaper</t>
  </si>
  <si>
    <t>vinyl</t>
  </si>
  <si>
    <t>bad day at black rock</t>
  </si>
  <si>
    <t>my uncle</t>
  </si>
  <si>
    <t>the quiet girl</t>
  </si>
  <si>
    <t>the killers</t>
  </si>
  <si>
    <t>prodigal son</t>
  </si>
  <si>
    <t>missing</t>
  </si>
  <si>
    <t>the lady eve</t>
  </si>
  <si>
    <t>tyrant</t>
  </si>
  <si>
    <t>big love</t>
  </si>
  <si>
    <t>my little pony friendship is magic</t>
  </si>
  <si>
    <t>au hasard balthazar</t>
  </si>
  <si>
    <t>splendor in the grass</t>
  </si>
  <si>
    <t>rock on!!</t>
  </si>
  <si>
    <t>leclisse</t>
  </si>
  <si>
    <t>kikujiro</t>
  </si>
  <si>
    <t>dear frankie</t>
  </si>
  <si>
    <t>corpus christi</t>
  </si>
  <si>
    <t>dota dragons blood</t>
  </si>
  <si>
    <t>vikingane</t>
  </si>
  <si>
    <t>the awful truth</t>
  </si>
  <si>
    <t>criminal uk</t>
  </si>
  <si>
    <t>the silence</t>
  </si>
  <si>
    <t>purple noon</t>
  </si>
  <si>
    <t>catch-22</t>
  </si>
  <si>
    <t>top hat</t>
  </si>
  <si>
    <t>seven seconds</t>
  </si>
  <si>
    <t>dickinson</t>
  </si>
  <si>
    <t>will trent</t>
  </si>
  <si>
    <t>dark winds</t>
  </si>
  <si>
    <t>sergeant york</t>
  </si>
  <si>
    <t>the turin horse</t>
  </si>
  <si>
    <t>scarlet street</t>
  </si>
  <si>
    <t>meru</t>
  </si>
  <si>
    <t>the music man</t>
  </si>
  <si>
    <t>scott pilgrim takes off</t>
  </si>
  <si>
    <t>encounters at the end of the world</t>
  </si>
  <si>
    <t>the devils</t>
  </si>
  <si>
    <t>the enigma of kaspar hauser</t>
  </si>
  <si>
    <t>hellsing</t>
  </si>
  <si>
    <t>sam bahadur</t>
  </si>
  <si>
    <t>human target</t>
  </si>
  <si>
    <t>sanditon</t>
  </si>
  <si>
    <t>rookie blue</t>
  </si>
  <si>
    <t>holiday</t>
  </si>
  <si>
    <t>the joy luck club</t>
  </si>
  <si>
    <t>f for fake</t>
  </si>
  <si>
    <t>the great silence</t>
  </si>
  <si>
    <t>sword of the stranger</t>
  </si>
  <si>
    <t>condor</t>
  </si>
  <si>
    <t>diego maradona</t>
  </si>
  <si>
    <t>the count of monte-cristo</t>
  </si>
  <si>
    <t>the time travelers wife</t>
  </si>
  <si>
    <t>night court</t>
  </si>
  <si>
    <t>oye lucky! lucky oye!</t>
  </si>
  <si>
    <t>smash</t>
  </si>
  <si>
    <t>the outlaws</t>
  </si>
  <si>
    <t>guns &amp; gulaabs</t>
  </si>
  <si>
    <t>stutz</t>
  </si>
  <si>
    <t>3 women</t>
  </si>
  <si>
    <t>extraordinary</t>
  </si>
  <si>
    <t>destiny</t>
  </si>
  <si>
    <t>fleishman is in trouble</t>
  </si>
  <si>
    <t>latalante</t>
  </si>
  <si>
    <t>the finder</t>
  </si>
  <si>
    <t>the jengaburu curse</t>
  </si>
  <si>
    <t>home for christmas</t>
  </si>
  <si>
    <t>mr selfridge</t>
  </si>
  <si>
    <t>intolerance</t>
  </si>
  <si>
    <t>swatantrya veer savarkar</t>
  </si>
  <si>
    <t>a very english scandal</t>
  </si>
  <si>
    <t>high fidelity</t>
  </si>
  <si>
    <t>mr. india</t>
  </si>
  <si>
    <t>the eight mountains</t>
  </si>
  <si>
    <t>a young doctors notebook &amp; other stories</t>
  </si>
  <si>
    <t>mankatha</t>
  </si>
  <si>
    <t>the blue angel</t>
  </si>
  <si>
    <t>inspector avinash</t>
  </si>
  <si>
    <t>modern love mumbai</t>
  </si>
  <si>
    <t>kolya</t>
  </si>
  <si>
    <t>captain blood</t>
  </si>
  <si>
    <t>Action, Adventure, History</t>
  </si>
  <si>
    <t>taxi</t>
  </si>
  <si>
    <t>aarya</t>
  </si>
  <si>
    <t>hello mini</t>
  </si>
  <si>
    <t>geetha govindam</t>
  </si>
  <si>
    <t>unreal</t>
  </si>
  <si>
    <t>rory oshea was here</t>
  </si>
  <si>
    <t>twelve oclock high</t>
  </si>
  <si>
    <t>classroom of the elite</t>
  </si>
  <si>
    <t>the deepest breath</t>
  </si>
  <si>
    <t>stroszek</t>
  </si>
  <si>
    <t>about dry grasses</t>
  </si>
  <si>
    <t>water</t>
  </si>
  <si>
    <t>the marriage of maria braun</t>
  </si>
  <si>
    <t>the women</t>
  </si>
  <si>
    <t>finding vivian maier</t>
  </si>
  <si>
    <t>Biography, Documentary, Mystery</t>
  </si>
  <si>
    <t>five days at memorial</t>
  </si>
  <si>
    <t>smiles of a summer night</t>
  </si>
  <si>
    <t>the brink</t>
  </si>
  <si>
    <t>ball of fire</t>
  </si>
  <si>
    <t>cocaine cowboys</t>
  </si>
  <si>
    <t>heartbreak high</t>
  </si>
  <si>
    <t>the outer limits</t>
  </si>
  <si>
    <t>the road home</t>
  </si>
  <si>
    <t>lets sin</t>
  </si>
  <si>
    <t>ashes and diamonds</t>
  </si>
  <si>
    <t>nightmare alley</t>
  </si>
  <si>
    <t>the unknown soldier</t>
  </si>
  <si>
    <t>beastars</t>
  </si>
  <si>
    <t>elmer gantry</t>
  </si>
  <si>
    <t>mouchette</t>
  </si>
  <si>
    <t>theres still tomorrow</t>
  </si>
  <si>
    <t>bang bang youre dead</t>
  </si>
  <si>
    <t>when the wind blows</t>
  </si>
  <si>
    <t>the gunfighter</t>
  </si>
  <si>
    <t>my demon</t>
  </si>
  <si>
    <t>diary of a country priest</t>
  </si>
  <si>
    <t>don</t>
  </si>
  <si>
    <t>the barber of siberia</t>
  </si>
  <si>
    <t>the paradise</t>
  </si>
  <si>
    <t>two women</t>
  </si>
  <si>
    <t>machuca</t>
  </si>
  <si>
    <t>forks over knives</t>
  </si>
  <si>
    <t>our hospitality</t>
  </si>
  <si>
    <t>Comedy, Romance, Thriller</t>
  </si>
  <si>
    <t>darker than black</t>
  </si>
  <si>
    <t>hell</t>
  </si>
  <si>
    <t>boruto naruto the movie</t>
  </si>
  <si>
    <t>beforeigners</t>
  </si>
  <si>
    <t>Crime, Drama, Sci-Fi</t>
  </si>
  <si>
    <t>the young girls of rochefort</t>
  </si>
  <si>
    <t>fed up</t>
  </si>
  <si>
    <t>le doulos</t>
  </si>
  <si>
    <t>sans soleil</t>
  </si>
  <si>
    <t>berserk the golden age arc ii - the battle for doldrey</t>
  </si>
  <si>
    <t>cyber vaar</t>
  </si>
  <si>
    <t>pandoras box</t>
  </si>
  <si>
    <t>pelle the conqueror</t>
  </si>
  <si>
    <t>city of life and death</t>
  </si>
  <si>
    <t>shall we dance?</t>
  </si>
  <si>
    <t>mephisto</t>
  </si>
  <si>
    <t>kuzey güney</t>
  </si>
  <si>
    <t>miss scarlet &amp; the duke</t>
  </si>
  <si>
    <t>always</t>
  </si>
  <si>
    <t>blind chance</t>
  </si>
  <si>
    <t>character</t>
  </si>
  <si>
    <t>physical 100</t>
  </si>
  <si>
    <t>aranyak</t>
  </si>
  <si>
    <t>human</t>
  </si>
  <si>
    <t>waterloo bridge</t>
  </si>
  <si>
    <t>the official story</t>
  </si>
  <si>
    <t>ivan the terrible, part i</t>
  </si>
  <si>
    <t>a letter to three wives</t>
  </si>
  <si>
    <t>mind game</t>
  </si>
  <si>
    <t>eli stone</t>
  </si>
  <si>
    <t>harlots</t>
  </si>
  <si>
    <t>the cure</t>
  </si>
  <si>
    <t>shark tank</t>
  </si>
  <si>
    <t>Family, Game-Show, Reality-TV</t>
  </si>
  <si>
    <t>three men and a leg</t>
  </si>
  <si>
    <t>law &amp; order organized crime</t>
  </si>
  <si>
    <t>chewing gum</t>
  </si>
  <si>
    <t>high potential</t>
  </si>
  <si>
    <t>nerkonda paarvai</t>
  </si>
  <si>
    <t>thou gildst the even</t>
  </si>
  <si>
    <t>the practice</t>
  </si>
  <si>
    <t>roadrunner a film about anthony bourdain</t>
  </si>
  <si>
    <t>zero days</t>
  </si>
  <si>
    <t>inside look the assassination of gianni versace - american crime story</t>
  </si>
  <si>
    <t>murderball</t>
  </si>
  <si>
    <t>through the olive trees</t>
  </si>
  <si>
    <t>komi cant communicate</t>
  </si>
  <si>
    <t>dodsworth</t>
  </si>
  <si>
    <t>saas, bahu aur flamingo</t>
  </si>
  <si>
    <t>the classic</t>
  </si>
  <si>
    <t>being erica</t>
  </si>
  <si>
    <t>when father was away on business</t>
  </si>
  <si>
    <t>one piece film z</t>
  </si>
  <si>
    <t>the serpent queen</t>
  </si>
  <si>
    <t>american crime</t>
  </si>
  <si>
    <t>port of shadows</t>
  </si>
  <si>
    <t>oceans</t>
  </si>
  <si>
    <t>baked</t>
  </si>
  <si>
    <t>wwe raw</t>
  </si>
  <si>
    <t>Action, Sport</t>
  </si>
  <si>
    <t>invisible life</t>
  </si>
  <si>
    <t>once upon a time... in hollywood</t>
  </si>
  <si>
    <t>star wars episode iii - revenge of the sith</t>
  </si>
  <si>
    <t>guardians of the galaxy vol. 2</t>
  </si>
  <si>
    <t>american psycho</t>
  </si>
  <si>
    <t>deadpool 2</t>
  </si>
  <si>
    <t>sherlock holmes</t>
  </si>
  <si>
    <t>Action, Adventure, Mystery</t>
  </si>
  <si>
    <t>superbad</t>
  </si>
  <si>
    <t>harry potter and the half-blood prince</t>
  </si>
  <si>
    <t>Action, Adventure, Family</t>
  </si>
  <si>
    <t>kick-ass</t>
  </si>
  <si>
    <t>despicable me</t>
  </si>
  <si>
    <t>minority report</t>
  </si>
  <si>
    <t>rise of the planet of the apes</t>
  </si>
  <si>
    <t>love actually</t>
  </si>
  <si>
    <t>kung fu panda</t>
  </si>
  <si>
    <t>the butterfly effect</t>
  </si>
  <si>
    <t>the fifth element</t>
  </si>
  <si>
    <t>dawn of the planet of the apes</t>
  </si>
  <si>
    <t>saw</t>
  </si>
  <si>
    <t>moneyball</t>
  </si>
  <si>
    <t>scott pilgrim vs. the world</t>
  </si>
  <si>
    <t>midnight in paris</t>
  </si>
  <si>
    <t>the godfather part iii</t>
  </si>
  <si>
    <t>a star is born</t>
  </si>
  <si>
    <t>the machinist</t>
  </si>
  <si>
    <t>deadpool &amp; wolverine</t>
  </si>
  <si>
    <t>die hard with a vengeance</t>
  </si>
  <si>
    <t>inside man</t>
  </si>
  <si>
    <t>the others</t>
  </si>
  <si>
    <t>moana</t>
  </si>
  <si>
    <t>the blind side</t>
  </si>
  <si>
    <t>true grit</t>
  </si>
  <si>
    <t>john wick chapter 4</t>
  </si>
  <si>
    <t>greys anatomy</t>
  </si>
  <si>
    <t>50/50</t>
  </si>
  <si>
    <t>lord of war</t>
  </si>
  <si>
    <t>310 to yuma</t>
  </si>
  <si>
    <t>bridge of spies</t>
  </si>
  <si>
    <t>seven pounds</t>
  </si>
  <si>
    <t>the royal tenenbaums</t>
  </si>
  <si>
    <t>creed</t>
  </si>
  <si>
    <t>moulin rouge!</t>
  </si>
  <si>
    <t>gone baby gone</t>
  </si>
  <si>
    <t>the little mermaid</t>
  </si>
  <si>
    <t>office space</t>
  </si>
  <si>
    <t>robocop</t>
  </si>
  <si>
    <t>Action, Crime, Sci-Fi</t>
  </si>
  <si>
    <t>toy story 4</t>
  </si>
  <si>
    <t>stardust</t>
  </si>
  <si>
    <t>end of watch</t>
  </si>
  <si>
    <t>train to busan</t>
  </si>
  <si>
    <t>Action, Horror, Thriller</t>
  </si>
  <si>
    <t>killers of the flower moon</t>
  </si>
  <si>
    <t>eastern promises</t>
  </si>
  <si>
    <t>the reader</t>
  </si>
  <si>
    <t>hell or high water</t>
  </si>
  <si>
    <t>the boondock saints</t>
  </si>
  <si>
    <t>21 grams</t>
  </si>
  <si>
    <t>the whale</t>
  </si>
  <si>
    <t>match point</t>
  </si>
  <si>
    <t>traffic</t>
  </si>
  <si>
    <t>close encounters of the third kind</t>
  </si>
  <si>
    <t>the raid redemption</t>
  </si>
  <si>
    <t>snow white and the seven dwarfs</t>
  </si>
  <si>
    <t>dark city</t>
  </si>
  <si>
    <t>Fantasy, Mystery, Sci-Fi</t>
  </si>
  <si>
    <t>falling down</t>
  </si>
  <si>
    <t>run lola run</t>
  </si>
  <si>
    <t>the fly</t>
  </si>
  <si>
    <t>the birds</t>
  </si>
  <si>
    <t>the road warrior</t>
  </si>
  <si>
    <t>dazed and confused</t>
  </si>
  <si>
    <t>the thin red line</t>
  </si>
  <si>
    <t>the jungle book</t>
  </si>
  <si>
    <t>rushmore</t>
  </si>
  <si>
    <t>the last king of scotland</t>
  </si>
  <si>
    <t>breakfast at tiffanys</t>
  </si>
  <si>
    <t>the last of the mohicans</t>
  </si>
  <si>
    <t>the naked gun from the files of police squad!</t>
  </si>
  <si>
    <t>25th hour</t>
  </si>
  <si>
    <t>inside out 2</t>
  </si>
  <si>
    <t>searching</t>
  </si>
  <si>
    <t>thelma &amp; louise</t>
  </si>
  <si>
    <t>the skin i live in</t>
  </si>
  <si>
    <t>ponyo</t>
  </si>
  <si>
    <t>planes, trains &amp; automobiles</t>
  </si>
  <si>
    <t>i am sam</t>
  </si>
  <si>
    <t>lost highway</t>
  </si>
  <si>
    <t>escape from alcatraz</t>
  </si>
  <si>
    <t>my cousin vinny</t>
  </si>
  <si>
    <t>gifted</t>
  </si>
  <si>
    <t>desperate housewives</t>
  </si>
  <si>
    <t>the two popes</t>
  </si>
  <si>
    <t>star trek first contact</t>
  </si>
  <si>
    <t>the florida project</t>
  </si>
  <si>
    <t>the mitchells vs. the machines</t>
  </si>
  <si>
    <t>barton fink</t>
  </si>
  <si>
    <t>sound of freedom</t>
  </si>
  <si>
    <t>west side story</t>
  </si>
  <si>
    <t>deliverance</t>
  </si>
  <si>
    <t>guillermo del toros pinocchio</t>
  </si>
  <si>
    <t>the wave</t>
  </si>
  <si>
    <t>enter the dragon</t>
  </si>
  <si>
    <t>frost/nixon</t>
  </si>
  <si>
    <t>united 93</t>
  </si>
  <si>
    <t>dark waters</t>
  </si>
  <si>
    <t>the peanut butter falcon</t>
  </si>
  <si>
    <t>volver</t>
  </si>
  <si>
    <t>the secret world of arrietty</t>
  </si>
  <si>
    <t>aftersun</t>
  </si>
  <si>
    <t>philomena</t>
  </si>
  <si>
    <t>the outsider</t>
  </si>
  <si>
    <t>the hurricane</t>
  </si>
  <si>
    <t>foundation</t>
  </si>
  <si>
    <t>see</t>
  </si>
  <si>
    <t>rebel without a cause</t>
  </si>
  <si>
    <t>the o.c.</t>
  </si>
  <si>
    <t>the iron claw</t>
  </si>
  <si>
    <t>american gods</t>
  </si>
  <si>
    <t>pushpa the rise - part 1</t>
  </si>
  <si>
    <t>the bridges of madison county</t>
  </si>
  <si>
    <t>the social dilemma</t>
  </si>
  <si>
    <t>maniac</t>
  </si>
  <si>
    <t>freedom writers</t>
  </si>
  <si>
    <t>after hours</t>
  </si>
  <si>
    <t>the peripheral</t>
  </si>
  <si>
    <t>the kite runner</t>
  </si>
  <si>
    <t>three colors white</t>
  </si>
  <si>
    <t>only the brave</t>
  </si>
  <si>
    <t>fearless</t>
  </si>
  <si>
    <t>mysterious skin</t>
  </si>
  <si>
    <t>just mercy</t>
  </si>
  <si>
    <t>a very long engagement</t>
  </si>
  <si>
    <t>your honor</t>
  </si>
  <si>
    <t>the station agent</t>
  </si>
  <si>
    <t>the body</t>
  </si>
  <si>
    <t>hotel mumbai</t>
  </si>
  <si>
    <t>limitless</t>
  </si>
  <si>
    <t>sabrina</t>
  </si>
  <si>
    <t>cell 211</t>
  </si>
  <si>
    <t>control</t>
  </si>
  <si>
    <t>the little prince</t>
  </si>
  <si>
    <t>queen charlotte a bridgerton story</t>
  </si>
  <si>
    <t>continuum</t>
  </si>
  <si>
    <t>where eagles dare</t>
  </si>
  <si>
    <t>all of us strangers</t>
  </si>
  <si>
    <t>terminator the sarah connor chronicles</t>
  </si>
  <si>
    <t>sanju</t>
  </si>
  <si>
    <t>the 39 steps</t>
  </si>
  <si>
    <t>flashforward</t>
  </si>
  <si>
    <t>star trek enterprise</t>
  </si>
  <si>
    <t>religulous</t>
  </si>
  <si>
    <t>Comedy, Documentary, War</t>
  </si>
  <si>
    <t>repulsion</t>
  </si>
  <si>
    <t>warehouse 13</t>
  </si>
  <si>
    <t>leviathan</t>
  </si>
  <si>
    <t>the magicians</t>
  </si>
  <si>
    <t>shine</t>
  </si>
  <si>
    <t>the old man</t>
  </si>
  <si>
    <t>down by law</t>
  </si>
  <si>
    <t>alias</t>
  </si>
  <si>
    <t>kellys heroes</t>
  </si>
  <si>
    <t>stargate universe</t>
  </si>
  <si>
    <t>white christmas</t>
  </si>
  <si>
    <t>from here to eternity</t>
  </si>
  <si>
    <t>devs</t>
  </si>
  <si>
    <t>the serpent</t>
  </si>
  <si>
    <t>belle de jour</t>
  </si>
  <si>
    <t>when marnie was there</t>
  </si>
  <si>
    <t>pokémon</t>
  </si>
  <si>
    <t>suzume</t>
  </si>
  <si>
    <t>timeless</t>
  </si>
  <si>
    <t>short cuts</t>
  </si>
  <si>
    <t>messiah</t>
  </si>
  <si>
    <t>love</t>
  </si>
  <si>
    <t>the boy who harnessed the wind</t>
  </si>
  <si>
    <t>le dîner de cons</t>
  </si>
  <si>
    <t>shane</t>
  </si>
  <si>
    <t>the visitor</t>
  </si>
  <si>
    <t>zelig</t>
  </si>
  <si>
    <t>ludo</t>
  </si>
  <si>
    <t>hanna</t>
  </si>
  <si>
    <t>everybody hates chris</t>
  </si>
  <si>
    <t>giant</t>
  </si>
  <si>
    <t>macgyver</t>
  </si>
  <si>
    <t>three identical strangers</t>
  </si>
  <si>
    <t>in a better world</t>
  </si>
  <si>
    <t>love and death</t>
  </si>
  <si>
    <t>mustang</t>
  </si>
  <si>
    <t>the invisible man</t>
  </si>
  <si>
    <t>peeping tom</t>
  </si>
  <si>
    <t>watership down</t>
  </si>
  <si>
    <t>the art of racing in the rain</t>
  </si>
  <si>
    <t>the muppet movie</t>
  </si>
  <si>
    <t>the commitments</t>
  </si>
  <si>
    <t>boy a</t>
  </si>
  <si>
    <t>alias grace</t>
  </si>
  <si>
    <t>rizzoli &amp; isles</t>
  </si>
  <si>
    <t>only yesterday</t>
  </si>
  <si>
    <t>Animation, Drama, Romance</t>
  </si>
  <si>
    <t>duck, you sucker!</t>
  </si>
  <si>
    <t>Drama, War, Western</t>
  </si>
  <si>
    <t>the odd couple</t>
  </si>
  <si>
    <t>station eleven</t>
  </si>
  <si>
    <t>transformers one</t>
  </si>
  <si>
    <t>the taking of pelham one two three</t>
  </si>
  <si>
    <t>a little princess</t>
  </si>
  <si>
    <t>hey arnold!</t>
  </si>
  <si>
    <t>gods own country</t>
  </si>
  <si>
    <t>vampire hunter d bloodlust</t>
  </si>
  <si>
    <t>ponniyin selvan part i</t>
  </si>
  <si>
    <t>legend of the seeker</t>
  </si>
  <si>
    <t>eyes without a face</t>
  </si>
  <si>
    <t>gilda</t>
  </si>
  <si>
    <t>loveless</t>
  </si>
  <si>
    <t>jeremiah johnson</t>
  </si>
  <si>
    <t>on golden pond</t>
  </si>
  <si>
    <t>raanjhanaa</t>
  </si>
  <si>
    <t>romeo and juliet</t>
  </si>
  <si>
    <t>wake up sid</t>
  </si>
  <si>
    <t>piku</t>
  </si>
  <si>
    <t>the red violin</t>
  </si>
  <si>
    <t>lupin iii the castle of cagliostro</t>
  </si>
  <si>
    <t>kill</t>
  </si>
  <si>
    <t>lost girl</t>
  </si>
  <si>
    <t>weekend</t>
  </si>
  <si>
    <t>delhi belly</t>
  </si>
  <si>
    <t>argentina, 1985</t>
  </si>
  <si>
    <t>cold case</t>
  </si>
  <si>
    <t>mortal world</t>
  </si>
  <si>
    <t>joyeux noel</t>
  </si>
  <si>
    <t>Drama, History, Music</t>
  </si>
  <si>
    <t>the ladykillers</t>
  </si>
  <si>
    <t>lifeboat</t>
  </si>
  <si>
    <t>mr. church</t>
  </si>
  <si>
    <t>gettysburg</t>
  </si>
  <si>
    <t>one cut of the dead</t>
  </si>
  <si>
    <t>miami vice</t>
  </si>
  <si>
    <t>highway</t>
  </si>
  <si>
    <t>chicago med</t>
  </si>
  <si>
    <t>devilman crybaby</t>
  </si>
  <si>
    <t>baazigar</t>
  </si>
  <si>
    <t>oslo, august 31st</t>
  </si>
  <si>
    <t>tanu weds manu returns</t>
  </si>
  <si>
    <t>marcel the shell with shoes on</t>
  </si>
  <si>
    <t>the devils hour</t>
  </si>
  <si>
    <t>future man</t>
  </si>
  <si>
    <t>we own this city</t>
  </si>
  <si>
    <t>les misérables</t>
  </si>
  <si>
    <t>sophie scholl the final days</t>
  </si>
  <si>
    <t>mccabe &amp; mrs. miller</t>
  </si>
  <si>
    <t>law &amp; order criminal intent</t>
  </si>
  <si>
    <t>play it again, sam</t>
  </si>
  <si>
    <t>jim &amp; andy the great beyond</t>
  </si>
  <si>
    <t>walkabout</t>
  </si>
  <si>
    <t>the boy and the beast</t>
  </si>
  <si>
    <t>the shootist</t>
  </si>
  <si>
    <t>capturing the friedmans</t>
  </si>
  <si>
    <t>band of outsiders</t>
  </si>
  <si>
    <t>vera drake</t>
  </si>
  <si>
    <t>the magnificent ambersons</t>
  </si>
  <si>
    <t>the grim adventures of billy &amp; mandy</t>
  </si>
  <si>
    <t>crashing</t>
  </si>
  <si>
    <t>the man without a past</t>
  </si>
  <si>
    <t>between family</t>
  </si>
  <si>
    <t>the long good friday</t>
  </si>
  <si>
    <t>sorry we missed you</t>
  </si>
  <si>
    <t>beautiful thing</t>
  </si>
  <si>
    <t>a thursday</t>
  </si>
  <si>
    <t>pickpocket</t>
  </si>
  <si>
    <t>bloody sunday</t>
  </si>
  <si>
    <t>darr</t>
  </si>
  <si>
    <t>madras cafe</t>
  </si>
  <si>
    <t>last year at marienbad</t>
  </si>
  <si>
    <t>parmanu the story of pokhran</t>
  </si>
  <si>
    <t>fosters home for imaginary friends</t>
  </si>
  <si>
    <t>a league of their own</t>
  </si>
  <si>
    <t>moonlight</t>
  </si>
  <si>
    <t>mutiny on the bounty</t>
  </si>
  <si>
    <t>greek</t>
  </si>
  <si>
    <t>bewitched</t>
  </si>
  <si>
    <t>moonlighting</t>
  </si>
  <si>
    <t>tehran</t>
  </si>
  <si>
    <t>the butterflys dream</t>
  </si>
  <si>
    <t>the trial</t>
  </si>
  <si>
    <t>shiddat</t>
  </si>
  <si>
    <t>Romance</t>
  </si>
  <si>
    <t>detective byomkesh bakshy!</t>
  </si>
  <si>
    <t>maurice</t>
  </si>
  <si>
    <t>checkmate</t>
  </si>
  <si>
    <t>shelter</t>
  </si>
  <si>
    <t>zorba the greek</t>
  </si>
  <si>
    <t>victor/victoria</t>
  </si>
  <si>
    <t>bad genius</t>
  </si>
  <si>
    <t>neerja</t>
  </si>
  <si>
    <t>the public enemy</t>
  </si>
  <si>
    <t>maudie</t>
  </si>
  <si>
    <t>seconds</t>
  </si>
  <si>
    <t>Sci-Fi, Thriller</t>
  </si>
  <si>
    <t>in july</t>
  </si>
  <si>
    <t>Adventure, Comedy, Romance</t>
  </si>
  <si>
    <t>pyaar ka punchnama</t>
  </si>
  <si>
    <t>my life as a dog</t>
  </si>
  <si>
    <t>carandiru</t>
  </si>
  <si>
    <t>doctor foster a woman scorned</t>
  </si>
  <si>
    <t>winchester 73</t>
  </si>
  <si>
    <t>laurence anyways</t>
  </si>
  <si>
    <t>the pink panther show</t>
  </si>
  <si>
    <t>chip n dale rescue rangers</t>
  </si>
  <si>
    <t>des</t>
  </si>
  <si>
    <t>the bishops wife</t>
  </si>
  <si>
    <t>newton</t>
  </si>
  <si>
    <t>indie game the movie</t>
  </si>
  <si>
    <t>dead set</t>
  </si>
  <si>
    <t>Drama, Horror, Reality-TV</t>
  </si>
  <si>
    <t>buena vista social club</t>
  </si>
  <si>
    <t>eddie murphy raw</t>
  </si>
  <si>
    <t>to sir, with love</t>
  </si>
  <si>
    <t>the pit</t>
  </si>
  <si>
    <t>ive loved you so long</t>
  </si>
  <si>
    <t>müslüm</t>
  </si>
  <si>
    <t>the incredible shrinking man</t>
  </si>
  <si>
    <t>enron the smartest guys in the room</t>
  </si>
  <si>
    <t>lovers of the arctic circle</t>
  </si>
  <si>
    <t>johnny guitar</t>
  </si>
  <si>
    <t>mrs. miniver</t>
  </si>
  <si>
    <t>kabhi haan kabhi naa</t>
  </si>
  <si>
    <t>the twelve tasks of asterix</t>
  </si>
  <si>
    <t>superman ii the richard donner cut</t>
  </si>
  <si>
    <t>no game, no life</t>
  </si>
  <si>
    <t>bilal a new breed of hero</t>
  </si>
  <si>
    <t>october</t>
  </si>
  <si>
    <t>breathe into the shadows</t>
  </si>
  <si>
    <t>the 36th chamber of shaolin</t>
  </si>
  <si>
    <t>afro samurai</t>
  </si>
  <si>
    <t>mister roberts</t>
  </si>
  <si>
    <t>the last naruto the movie</t>
  </si>
  <si>
    <t>karwaan</t>
  </si>
  <si>
    <t>running on empty</t>
  </si>
  <si>
    <t>Crime, Drama, Music</t>
  </si>
  <si>
    <t>the insult</t>
  </si>
  <si>
    <t>the woman in the window</t>
  </si>
  <si>
    <t>mass</t>
  </si>
  <si>
    <t>brat 2</t>
  </si>
  <si>
    <t>darkwing duck</t>
  </si>
  <si>
    <t>mahaan</t>
  </si>
  <si>
    <t>spinning out</t>
  </si>
  <si>
    <t>graceland</t>
  </si>
  <si>
    <t>the castle</t>
  </si>
  <si>
    <t>dr. death</t>
  </si>
  <si>
    <t>sanam teri kasam</t>
  </si>
  <si>
    <t>the seventh continent</t>
  </si>
  <si>
    <t>tell me who i am</t>
  </si>
  <si>
    <t>Documentary, Drama, Mystery</t>
  </si>
  <si>
    <t>sarkar</t>
  </si>
  <si>
    <t>robot dreams</t>
  </si>
  <si>
    <t>the english game</t>
  </si>
  <si>
    <t>Drama, History, Sport</t>
  </si>
  <si>
    <t>the wedding banquet</t>
  </si>
  <si>
    <t>häxan</t>
  </si>
  <si>
    <t>Documentary, Fantasy, Horror</t>
  </si>
  <si>
    <t>hungama</t>
  </si>
  <si>
    <t>mcmafia</t>
  </si>
  <si>
    <t>the north water</t>
  </si>
  <si>
    <t>yankee doodle dandy</t>
  </si>
  <si>
    <t>all that heaven allows</t>
  </si>
  <si>
    <t>lady snowblood</t>
  </si>
  <si>
    <t>angel beats!</t>
  </si>
  <si>
    <t>pickup on south street</t>
  </si>
  <si>
    <t>dr. jekyll and mr. hyde</t>
  </si>
  <si>
    <t>pina</t>
  </si>
  <si>
    <t>only angels have wings</t>
  </si>
  <si>
    <t>kedi</t>
  </si>
  <si>
    <t>forbidden love</t>
  </si>
  <si>
    <t>ghajini</t>
  </si>
  <si>
    <t>city on a hill</t>
  </si>
  <si>
    <t>the lovers on the bridge</t>
  </si>
  <si>
    <t>goosebumps</t>
  </si>
  <si>
    <t>shyam singha roy</t>
  </si>
  <si>
    <t>life in a day</t>
  </si>
  <si>
    <t>even stevens</t>
  </si>
  <si>
    <t>gun crazy</t>
  </si>
  <si>
    <t>hinterland</t>
  </si>
  <si>
    <t>leave her to heaven</t>
  </si>
  <si>
    <t>overlord</t>
  </si>
  <si>
    <t>meet john doe</t>
  </si>
  <si>
    <t>moonage daydream</t>
  </si>
  <si>
    <t>fire of love</t>
  </si>
  <si>
    <t>madaari</t>
  </si>
  <si>
    <t>rbg</t>
  </si>
  <si>
    <t>all american</t>
  </si>
  <si>
    <t>what happened, miss simone?</t>
  </si>
  <si>
    <t>degrassi the next generation</t>
  </si>
  <si>
    <t>teenage bounty hunters</t>
  </si>
  <si>
    <t>project blue book</t>
  </si>
  <si>
    <t>and then we danced</t>
  </si>
  <si>
    <t>lost horizon</t>
  </si>
  <si>
    <t>wake in fright</t>
  </si>
  <si>
    <t>the miracle</t>
  </si>
  <si>
    <t>franklin &amp; bash</t>
  </si>
  <si>
    <t>carlos</t>
  </si>
  <si>
    <t>the swimmer</t>
  </si>
  <si>
    <t>dahaad</t>
  </si>
  <si>
    <t>the color of pomegranates</t>
  </si>
  <si>
    <t>better days</t>
  </si>
  <si>
    <t>io capitano</t>
  </si>
  <si>
    <t>closely watched trains</t>
  </si>
  <si>
    <t>young woman and the sea</t>
  </si>
  <si>
    <t>soldier of orange</t>
  </si>
  <si>
    <t>search party</t>
  </si>
  <si>
    <t>the gospel according to st. matthew</t>
  </si>
  <si>
    <t>video game high school</t>
  </si>
  <si>
    <t>Action, Romance, Sci-Fi</t>
  </si>
  <si>
    <t>fireworks wednesday</t>
  </si>
  <si>
    <t>sipahi</t>
  </si>
  <si>
    <t>nanook of the north</t>
  </si>
  <si>
    <t>side by side</t>
  </si>
  <si>
    <t>drunken angel</t>
  </si>
  <si>
    <t>bob le flambeur</t>
  </si>
  <si>
    <t>it might get loud</t>
  </si>
  <si>
    <t>free to play</t>
  </si>
  <si>
    <t>Action, Documentary</t>
  </si>
  <si>
    <t>scum</t>
  </si>
  <si>
    <t>bheeshma parvam</t>
  </si>
  <si>
    <t>dogtown and z-boys</t>
  </si>
  <si>
    <t>magic city</t>
  </si>
  <si>
    <t>the night of the iguana</t>
  </si>
  <si>
    <t>sailor moon</t>
  </si>
  <si>
    <t>agni</t>
  </si>
  <si>
    <t>demon slayer kimetsu no yaiba - to the swordsmith village</t>
  </si>
  <si>
    <t>early edition</t>
  </si>
  <si>
    <t>baskets</t>
  </si>
  <si>
    <t>snabba cash</t>
  </si>
  <si>
    <t>athlete a</t>
  </si>
  <si>
    <t>Crime, Documentary, Sport</t>
  </si>
  <si>
    <t>my way</t>
  </si>
  <si>
    <t>destry rides again</t>
  </si>
  <si>
    <t>outsourced</t>
  </si>
  <si>
    <t>who killed the electric car?</t>
  </si>
  <si>
    <t>minx</t>
  </si>
  <si>
    <t>irudhi suttru</t>
  </si>
  <si>
    <t>bordertown</t>
  </si>
  <si>
    <t>dragon ball z fusion reborn</t>
  </si>
  <si>
    <t>Action, Animation, Sci-Fi</t>
  </si>
  <si>
    <t>spellbound</t>
  </si>
  <si>
    <t>Comedy, Documentary, Thriller</t>
  </si>
  <si>
    <t>fire force</t>
  </si>
  <si>
    <t>ghoomer</t>
  </si>
  <si>
    <t>after the thin man</t>
  </si>
  <si>
    <t>bheja fry</t>
  </si>
  <si>
    <t>the pride of the yankees</t>
  </si>
  <si>
    <t>cholera street</t>
  </si>
  <si>
    <t>tim and eric awesome show, great job!</t>
  </si>
  <si>
    <t>shooting dogs</t>
  </si>
  <si>
    <t>three wishes for cinderella</t>
  </si>
  <si>
    <t>odd man out</t>
  </si>
  <si>
    <t>ayan</t>
  </si>
  <si>
    <t>you are the apple of my eye</t>
  </si>
  <si>
    <t>the dresden files</t>
  </si>
  <si>
    <t>aamir</t>
  </si>
  <si>
    <t>joe pickett</t>
  </si>
  <si>
    <t>school spirits</t>
  </si>
  <si>
    <t>the man who copied</t>
  </si>
  <si>
    <t>somersault in a coffin</t>
  </si>
  <si>
    <t>the real ghostbusters</t>
  </si>
  <si>
    <t>a confession</t>
  </si>
  <si>
    <t>peppermint candy</t>
  </si>
  <si>
    <t>gasland</t>
  </si>
  <si>
    <t>chance</t>
  </si>
  <si>
    <t>a heart in winter</t>
  </si>
  <si>
    <t>the pawnbroker</t>
  </si>
  <si>
    <t>the sea hawk</t>
  </si>
  <si>
    <t>the green ray</t>
  </si>
  <si>
    <t>berlin station</t>
  </si>
  <si>
    <t>harrow</t>
  </si>
  <si>
    <t>the passion of anna</t>
  </si>
  <si>
    <t>a summers tale</t>
  </si>
  <si>
    <t>Drama, Family, History</t>
  </si>
  <si>
    <t>a sun</t>
  </si>
  <si>
    <t>weiner</t>
  </si>
  <si>
    <t>bhavesh joshi superhero</t>
  </si>
  <si>
    <t>the prime of miss jean brodie</t>
  </si>
  <si>
    <t>chimes at midnight</t>
  </si>
  <si>
    <t>accattone</t>
  </si>
  <si>
    <t>special</t>
  </si>
  <si>
    <t>when youre strange</t>
  </si>
  <si>
    <t>we will dance again</t>
  </si>
  <si>
    <t>lonely are the brave</t>
  </si>
  <si>
    <t>where the sidewalk ends</t>
  </si>
  <si>
    <t>khaleja</t>
  </si>
  <si>
    <t>karen pirie</t>
  </si>
  <si>
    <t>elsbeth</t>
  </si>
  <si>
    <t>extracurricular</t>
  </si>
  <si>
    <t>the taming of the scoundrel</t>
  </si>
  <si>
    <t>the sky is pink</t>
  </si>
  <si>
    <t>butterfly</t>
  </si>
  <si>
    <t>the fallen idol</t>
  </si>
  <si>
    <t>doctor strange</t>
  </si>
  <si>
    <t>the hunger games catching fire</t>
  </si>
  <si>
    <t>spider-man 2</t>
  </si>
  <si>
    <t>harry potter and the order of the phoenix</t>
  </si>
  <si>
    <t>zombieland</t>
  </si>
  <si>
    <t>baby driver</t>
  </si>
  <si>
    <t>a quiet place</t>
  </si>
  <si>
    <t>the conjuring</t>
  </si>
  <si>
    <t>source code</t>
  </si>
  <si>
    <t>indiana jones and the temple of doom</t>
  </si>
  <si>
    <t>ice age</t>
  </si>
  <si>
    <t>avatar the way of water</t>
  </si>
  <si>
    <t>gangs of new york</t>
  </si>
  <si>
    <t>the hurt locker</t>
  </si>
  <si>
    <t>28 days later</t>
  </si>
  <si>
    <t>arrow</t>
  </si>
  <si>
    <t>collateral</t>
  </si>
  <si>
    <t>the town</t>
  </si>
  <si>
    <t>batman</t>
  </si>
  <si>
    <t>the devils advocate</t>
  </si>
  <si>
    <t>127 hours</t>
  </si>
  <si>
    <t>the illusionist</t>
  </si>
  <si>
    <t>beetlejuice</t>
  </si>
  <si>
    <t>the aviator</t>
  </si>
  <si>
    <t>eyes wide shut</t>
  </si>
  <si>
    <t>jackie brown</t>
  </si>
  <si>
    <t>the flash</t>
  </si>
  <si>
    <t>total recall</t>
  </si>
  <si>
    <t>interview with the vampire</t>
  </si>
  <si>
    <t>incredibles 2</t>
  </si>
  <si>
    <t>hugo</t>
  </si>
  <si>
    <t>13 reasons why</t>
  </si>
  <si>
    <t>the greatest showman</t>
  </si>
  <si>
    <t>Biography, Drama, Musical</t>
  </si>
  <si>
    <t>babel</t>
  </si>
  <si>
    <t>lone survivor</t>
  </si>
  <si>
    <t>fear and loathing in las vegas</t>
  </si>
  <si>
    <t>contact</t>
  </si>
  <si>
    <t>blackkklansman</t>
  </si>
  <si>
    <t>the 100</t>
  </si>
  <si>
    <t>enemy at the gates</t>
  </si>
  <si>
    <t>blow</t>
  </si>
  <si>
    <t>perfume the story of a murderer</t>
  </si>
  <si>
    <t>heroes</t>
  </si>
  <si>
    <t>the impossible</t>
  </si>
  <si>
    <t>i, tonya</t>
  </si>
  <si>
    <t>munich</t>
  </si>
  <si>
    <t>master and commander the far side of the world</t>
  </si>
  <si>
    <t>the favourite</t>
  </si>
  <si>
    <t>sleepers</t>
  </si>
  <si>
    <t>furiosa a mad max saga</t>
  </si>
  <si>
    <t>kiss kiss bang bang</t>
  </si>
  <si>
    <t>stranger than fiction</t>
  </si>
  <si>
    <t>thank you for smoking</t>
  </si>
  <si>
    <t>agents of s.h.i.e.l.d.</t>
  </si>
  <si>
    <t>national lampoons christmas vacation</t>
  </si>
  <si>
    <t>hawkeye</t>
  </si>
  <si>
    <t>the hunt for red october</t>
  </si>
  <si>
    <t>promising young woman</t>
  </si>
  <si>
    <t>the crow</t>
  </si>
  <si>
    <t>upgrade</t>
  </si>
  <si>
    <t>sideways</t>
  </si>
  <si>
    <t>gossip girl</t>
  </si>
  <si>
    <t>tucker and dale vs evil</t>
  </si>
  <si>
    <t>the abyss</t>
  </si>
  <si>
    <t>battle royale</t>
  </si>
  <si>
    <t>the assassination of jesse james by the coward robert ford</t>
  </si>
  <si>
    <t>grindhouse</t>
  </si>
  <si>
    <t>legends of the fall</t>
  </si>
  <si>
    <t>a time to kill</t>
  </si>
  <si>
    <t>a man called otto</t>
  </si>
  <si>
    <t>milk</t>
  </si>
  <si>
    <t>guy ritchies the covenant</t>
  </si>
  <si>
    <t>we need to talk about kevin</t>
  </si>
  <si>
    <t>saving mr. banks</t>
  </si>
  <si>
    <t>trading places</t>
  </si>
  <si>
    <t>pinocchio</t>
  </si>
  <si>
    <t>a fish called wanda</t>
  </si>
  <si>
    <t>brooklyn</t>
  </si>
  <si>
    <t>3 body problem</t>
  </si>
  <si>
    <t>wallace &amp; gromit the curse of the were-rabbit</t>
  </si>
  <si>
    <t>the big sick</t>
  </si>
  <si>
    <t>still alice</t>
  </si>
  <si>
    <t>lupin</t>
  </si>
  <si>
    <t>the book thief</t>
  </si>
  <si>
    <t>king richard</t>
  </si>
  <si>
    <t>the hours</t>
  </si>
  <si>
    <t>robin hood</t>
  </si>
  <si>
    <t>smallville</t>
  </si>
  <si>
    <t>the omen</t>
  </si>
  <si>
    <t>Horror, Mystery</t>
  </si>
  <si>
    <t>doubt</t>
  </si>
  <si>
    <t>pleasantville</t>
  </si>
  <si>
    <t>leaving las vegas</t>
  </si>
  <si>
    <t>fahrenheit 9/11</t>
  </si>
  <si>
    <t>Documentary, Drama, War</t>
  </si>
  <si>
    <t>field of dreams</t>
  </si>
  <si>
    <t>love, simon</t>
  </si>
  <si>
    <t>the life of david gale</t>
  </si>
  <si>
    <t>monty pythons the meaning of life</t>
  </si>
  <si>
    <t>an american werewolf in london</t>
  </si>
  <si>
    <t>ahsoka</t>
  </si>
  <si>
    <t>the fabelmans</t>
  </si>
  <si>
    <t>tick, tick... boom!</t>
  </si>
  <si>
    <t>a single man</t>
  </si>
  <si>
    <t>the night agent</t>
  </si>
  <si>
    <t>shadow and bone</t>
  </si>
  <si>
    <t>little children</t>
  </si>
  <si>
    <t>house of flying daggers</t>
  </si>
  <si>
    <t>the man who wasnt there</t>
  </si>
  <si>
    <t>titans</t>
  </si>
  <si>
    <t>the warriors</t>
  </si>
  <si>
    <t>ip man 2</t>
  </si>
  <si>
    <t>lolita</t>
  </si>
  <si>
    <t>headhunters</t>
  </si>
  <si>
    <t>blood simple</t>
  </si>
  <si>
    <t>dead alive</t>
  </si>
  <si>
    <t>boys dont cry</t>
  </si>
  <si>
    <t>dead man</t>
  </si>
  <si>
    <t>dead man walking</t>
  </si>
  <si>
    <t>american fiction</t>
  </si>
  <si>
    <t>richard jewell</t>
  </si>
  <si>
    <t>synecdoche, new york</t>
  </si>
  <si>
    <t>ghost dog the way of the samurai</t>
  </si>
  <si>
    <t>midnight run</t>
  </si>
  <si>
    <t>the wicker man</t>
  </si>
  <si>
    <t>the piano</t>
  </si>
  <si>
    <t>star trek picard</t>
  </si>
  <si>
    <t>selma</t>
  </si>
  <si>
    <t>the fisher king</t>
  </si>
  <si>
    <t>la vie en rose</t>
  </si>
  <si>
    <t>delicatessen</t>
  </si>
  <si>
    <t>outer banks</t>
  </si>
  <si>
    <t>midnight express</t>
  </si>
  <si>
    <t>a perfect world</t>
  </si>
  <si>
    <t>tiger king</t>
  </si>
  <si>
    <t>funny games</t>
  </si>
  <si>
    <t>lady vengeance</t>
  </si>
  <si>
    <t>ginny &amp; georgia</t>
  </si>
  <si>
    <t>fruitvale station</t>
  </si>
  <si>
    <t>miss sloane</t>
  </si>
  <si>
    <t>unbreakable kimmy schmidt</t>
  </si>
  <si>
    <t>disconnect</t>
  </si>
  <si>
    <t>a simple plan</t>
  </si>
  <si>
    <t>i am not okay with this</t>
  </si>
  <si>
    <t>sympathy for mr. vengeance</t>
  </si>
  <si>
    <t>dangerous liaisons</t>
  </si>
  <si>
    <t>hunger</t>
  </si>
  <si>
    <t>quiz show</t>
  </si>
  <si>
    <t>the piano teacher</t>
  </si>
  <si>
    <t>house of sand and fog</t>
  </si>
  <si>
    <t>love me if you dare</t>
  </si>
  <si>
    <t>the farewell</t>
  </si>
  <si>
    <t>all of us are dead</t>
  </si>
  <si>
    <t>the city of lost children</t>
  </si>
  <si>
    <t>rudy</t>
  </si>
  <si>
    <t>drive my car</t>
  </si>
  <si>
    <t>13 assassins</t>
  </si>
  <si>
    <t>best in show</t>
  </si>
  <si>
    <t>the player</t>
  </si>
  <si>
    <t>riders of justice</t>
  </si>
  <si>
    <t>the guilty</t>
  </si>
  <si>
    <t>5 centimeters per second</t>
  </si>
  <si>
    <t>menace ii society</t>
  </si>
  <si>
    <t>the mauritanian</t>
  </si>
  <si>
    <t>pain and glory</t>
  </si>
  <si>
    <t>the last temptation of christ</t>
  </si>
  <si>
    <t>the great debaters</t>
  </si>
  <si>
    <t>chaplin</t>
  </si>
  <si>
    <t>secondhand lions</t>
  </si>
  <si>
    <t>cold war</t>
  </si>
  <si>
    <t>the producers</t>
  </si>
  <si>
    <t>march of the penguins</t>
  </si>
  <si>
    <t>miracle</t>
  </si>
  <si>
    <t>king of the hill</t>
  </si>
  <si>
    <t>weathering with you</t>
  </si>
  <si>
    <t>dead mans shoes</t>
  </si>
  <si>
    <t>tell no one</t>
  </si>
  <si>
    <t>kuch kuch hota hai</t>
  </si>
  <si>
    <t>constantine</t>
  </si>
  <si>
    <t>the adventures of priscilla, queen of the desert</t>
  </si>
  <si>
    <t>the guns of navarone</t>
  </si>
  <si>
    <t>the flowers of war</t>
  </si>
  <si>
    <t>show me love</t>
  </si>
  <si>
    <t>the big blue</t>
  </si>
  <si>
    <t>Adventure, Drama, Sport</t>
  </si>
  <si>
    <t>the wind that shakes the barley</t>
  </si>
  <si>
    <t>reign</t>
  </si>
  <si>
    <t>sword art online</t>
  </si>
  <si>
    <t>forbidden planet</t>
  </si>
  <si>
    <t>nimona</t>
  </si>
  <si>
    <t>sophies choice</t>
  </si>
  <si>
    <t>fallen angels</t>
  </si>
  <si>
    <t>castle rock</t>
  </si>
  <si>
    <t>a royal affair</t>
  </si>
  <si>
    <t>the imposter</t>
  </si>
  <si>
    <t>drunken master ii</t>
  </si>
  <si>
    <t>withnail and i</t>
  </si>
  <si>
    <t>a hard days night</t>
  </si>
  <si>
    <t>the tenant</t>
  </si>
  <si>
    <t>all the light we cannot see</t>
  </si>
  <si>
    <t>devdas</t>
  </si>
  <si>
    <t>women on the verge of a nervous breakdown</t>
  </si>
  <si>
    <t>the counterfeiters</t>
  </si>
  <si>
    <t>its a mad mad mad mad world</t>
  </si>
  <si>
    <t>the secret of nimh</t>
  </si>
  <si>
    <t>the damned united</t>
  </si>
  <si>
    <t>gilmore girls a year in the life</t>
  </si>
  <si>
    <t>lust, caution</t>
  </si>
  <si>
    <t>awkward.</t>
  </si>
  <si>
    <t>the time machine</t>
  </si>
  <si>
    <t>Adventure, Romance, Sci-Fi</t>
  </si>
  <si>
    <t>boiling point</t>
  </si>
  <si>
    <t>whale rider</t>
  </si>
  <si>
    <t>deep red</t>
  </si>
  <si>
    <t>omg 2</t>
  </si>
  <si>
    <t>a bittersweet life</t>
  </si>
  <si>
    <t>stree</t>
  </si>
  <si>
    <t>the ranch</t>
  </si>
  <si>
    <t>police story</t>
  </si>
  <si>
    <t>shooter</t>
  </si>
  <si>
    <t>the a-team</t>
  </si>
  <si>
    <t>the cook, the thief, his wife &amp; her lover</t>
  </si>
  <si>
    <t>haven</t>
  </si>
  <si>
    <t>the flintstones</t>
  </si>
  <si>
    <t>godzilla</t>
  </si>
  <si>
    <t>hair</t>
  </si>
  <si>
    <t>hollywood</t>
  </si>
  <si>
    <t>the hate u give</t>
  </si>
  <si>
    <t>love &amp; death</t>
  </si>
  <si>
    <t>the many adventures of winnie the pooh</t>
  </si>
  <si>
    <t>the red turtle</t>
  </si>
  <si>
    <t>the long goodbye</t>
  </si>
  <si>
    <t>mersal</t>
  </si>
  <si>
    <t>the secret of kells</t>
  </si>
  <si>
    <t>murder in mahim</t>
  </si>
  <si>
    <t>Mystery</t>
  </si>
  <si>
    <t>little big man</t>
  </si>
  <si>
    <t>the dropout</t>
  </si>
  <si>
    <t>stalingrad</t>
  </si>
  <si>
    <t>last man standing</t>
  </si>
  <si>
    <t>tora! tora! tora!</t>
  </si>
  <si>
    <t>interstate 60</t>
  </si>
  <si>
    <t>under the banner of heaven</t>
  </si>
  <si>
    <t>i lost my body</t>
  </si>
  <si>
    <t>tanhaji the unsung warrior</t>
  </si>
  <si>
    <t>mesrine killer instinct</t>
  </si>
  <si>
    <t>the mindy project</t>
  </si>
  <si>
    <t>jodhaa akbar</t>
  </si>
  <si>
    <t>beavis and butt-head</t>
  </si>
  <si>
    <t>bhool bhulaiyaa</t>
  </si>
  <si>
    <t>the lady from shanghai</t>
  </si>
  <si>
    <t>sin nombre</t>
  </si>
  <si>
    <t>tyrannosaur</t>
  </si>
  <si>
    <t>instructions not included</t>
  </si>
  <si>
    <t>waves</t>
  </si>
  <si>
    <t>cobain montage of heck</t>
  </si>
  <si>
    <t>henry v</t>
  </si>
  <si>
    <t>dil se..</t>
  </si>
  <si>
    <t>you can count on me</t>
  </si>
  <si>
    <t>monty pythons and now for something completely different</t>
  </si>
  <si>
    <t>husbands and wives</t>
  </si>
  <si>
    <t>evil genius the true story of americas most diabolical bank heist</t>
  </si>
  <si>
    <t>night stalker the hunt for a serial killer</t>
  </si>
  <si>
    <t>mystery train</t>
  </si>
  <si>
    <t>el dorado</t>
  </si>
  <si>
    <t>christiane f.</t>
  </si>
  <si>
    <t>roswell</t>
  </si>
  <si>
    <t>a hero</t>
  </si>
  <si>
    <t>them</t>
  </si>
  <si>
    <t>how to steal a million</t>
  </si>
  <si>
    <t>on body and soul</t>
  </si>
  <si>
    <t>the barbarian invasions</t>
  </si>
  <si>
    <t>ben 10</t>
  </si>
  <si>
    <t>boy</t>
  </si>
  <si>
    <t>to strike</t>
  </si>
  <si>
    <t>magnum, p.i.</t>
  </si>
  <si>
    <t>one life</t>
  </si>
  <si>
    <t>the walking dead daryl dixon</t>
  </si>
  <si>
    <t>the last detail</t>
  </si>
  <si>
    <t>evangelion 1.0 you are (not) alone</t>
  </si>
  <si>
    <t>meet me in st. louis</t>
  </si>
  <si>
    <t>remember</t>
  </si>
  <si>
    <t>survivor</t>
  </si>
  <si>
    <t>Adventure, Game-Show, Reality-TV</t>
  </si>
  <si>
    <t>little house on the prairie</t>
  </si>
  <si>
    <t>witches of east end</t>
  </si>
  <si>
    <t>roger &amp; me</t>
  </si>
  <si>
    <t>cure</t>
  </si>
  <si>
    <t>Crime, Horror, Mystery</t>
  </si>
  <si>
    <t>Action, Crime, Fantasy</t>
  </si>
  <si>
    <t>new world</t>
  </si>
  <si>
    <t>the passenger</t>
  </si>
  <si>
    <t>the brothers sun</t>
  </si>
  <si>
    <t>seeking true love</t>
  </si>
  <si>
    <t>cyrano de bergerac</t>
  </si>
  <si>
    <t>brothers &amp; sisters</t>
  </si>
  <si>
    <t>where to invade next</t>
  </si>
  <si>
    <t>chup</t>
  </si>
  <si>
    <t>red cliff ii</t>
  </si>
  <si>
    <t>mayans m.c.</t>
  </si>
  <si>
    <t>fist of legend</t>
  </si>
  <si>
    <t>the ren &amp; stimpy show</t>
  </si>
  <si>
    <t>the politician</t>
  </si>
  <si>
    <t>flickering lights</t>
  </si>
  <si>
    <t>blood of zeus</t>
  </si>
  <si>
    <t>the mountain</t>
  </si>
  <si>
    <t>santa sangre</t>
  </si>
  <si>
    <t>dash &amp; lily</t>
  </si>
  <si>
    <t>sonatine</t>
  </si>
  <si>
    <t>europa</t>
  </si>
  <si>
    <t>distant</t>
  </si>
  <si>
    <t>away from her</t>
  </si>
  <si>
    <t>hour of the wolf</t>
  </si>
  <si>
    <t>perception</t>
  </si>
  <si>
    <t>free fall</t>
  </si>
  <si>
    <t>the penguins of madagascar</t>
  </si>
  <si>
    <t>hum aapke hain koun..!</t>
  </si>
  <si>
    <t>the flight of the phoenix</t>
  </si>
  <si>
    <t>dark passage</t>
  </si>
  <si>
    <t>rocket singh salesman of the year</t>
  </si>
  <si>
    <t>kiss me deadly</t>
  </si>
  <si>
    <t>dinosaurs</t>
  </si>
  <si>
    <t>memories</t>
  </si>
  <si>
    <t>sivaji</t>
  </si>
  <si>
    <t>the namesake</t>
  </si>
  <si>
    <t>jolly llb</t>
  </si>
  <si>
    <t>american nightmare</t>
  </si>
  <si>
    <t>wadjda</t>
  </si>
  <si>
    <t>happy as lazzaro</t>
  </si>
  <si>
    <t>tickled</t>
  </si>
  <si>
    <t>the beasts</t>
  </si>
  <si>
    <t>my big fat bride</t>
  </si>
  <si>
    <t>monsieur lazhar</t>
  </si>
  <si>
    <t>drop dead diva</t>
  </si>
  <si>
    <t>disclaimer</t>
  </si>
  <si>
    <t>coal miners daughter</t>
  </si>
  <si>
    <t>go on</t>
  </si>
  <si>
    <t>songs from the second floor</t>
  </si>
  <si>
    <t>the phantom of the opera</t>
  </si>
  <si>
    <t>living in oblivion</t>
  </si>
  <si>
    <t>metallica some kind of monster</t>
  </si>
  <si>
    <t>he-man and the masters of the universe</t>
  </si>
  <si>
    <t>wuthering heights</t>
  </si>
  <si>
    <t>high sierra</t>
  </si>
  <si>
    <t>golmaal fun unlimited</t>
  </si>
  <si>
    <t>deadly class</t>
  </si>
  <si>
    <t>dead boy detectives</t>
  </si>
  <si>
    <t>another</t>
  </si>
  <si>
    <t>dhamaal</t>
  </si>
  <si>
    <t>the spy who came in from the cold</t>
  </si>
  <si>
    <t>miss lovely</t>
  </si>
  <si>
    <t>the consequences of love</t>
  </si>
  <si>
    <t>rurouni kenshin part ii kyoto inferno</t>
  </si>
  <si>
    <t>lootcase</t>
  </si>
  <si>
    <t>the concert</t>
  </si>
  <si>
    <t>as it is in heaven</t>
  </si>
  <si>
    <t>alex rider</t>
  </si>
  <si>
    <t>sarahs key</t>
  </si>
  <si>
    <t>redline</t>
  </si>
  <si>
    <t>shaadi mein zaroor aana</t>
  </si>
  <si>
    <t>lenny</t>
  </si>
  <si>
    <t>tokyo ghoul root a</t>
  </si>
  <si>
    <t>frantz</t>
  </si>
  <si>
    <t>suddenly, last summer</t>
  </si>
  <si>
    <t>threes company</t>
  </si>
  <si>
    <t>europa europa</t>
  </si>
  <si>
    <t>dolls</t>
  </si>
  <si>
    <t>iron monkey</t>
  </si>
  <si>
    <t>our little sister</t>
  </si>
  <si>
    <t>halston</t>
  </si>
  <si>
    <t>the pretender</t>
  </si>
  <si>
    <t>love life</t>
  </si>
  <si>
    <t>taxi to the dark side</t>
  </si>
  <si>
    <t>the sand pebbles</t>
  </si>
  <si>
    <t>lifes too short</t>
  </si>
  <si>
    <t>cable girls</t>
  </si>
  <si>
    <t>summer with monika</t>
  </si>
  <si>
    <t>miraculous tales of ladybug &amp; cat noir</t>
  </si>
  <si>
    <t>hush...hush, sweet charlotte</t>
  </si>
  <si>
    <t>sidewalls</t>
  </si>
  <si>
    <t>revanche</t>
  </si>
  <si>
    <t>the white princess</t>
  </si>
  <si>
    <t>talespin</t>
  </si>
  <si>
    <t>whisper if i forget</t>
  </si>
  <si>
    <t>grounded for life</t>
  </si>
  <si>
    <t>kleo</t>
  </si>
  <si>
    <t>elling</t>
  </si>
  <si>
    <t>the lavender hill mob</t>
  </si>
  <si>
    <t>sunshine</t>
  </si>
  <si>
    <t>the naked city</t>
  </si>
  <si>
    <t>in the dark</t>
  </si>
  <si>
    <t>omar</t>
  </si>
  <si>
    <t>grey gardens</t>
  </si>
  <si>
    <t>Comedy, Documentary, Drama</t>
  </si>
  <si>
    <t>life unexpected</t>
  </si>
  <si>
    <t>ben 10 alien force</t>
  </si>
  <si>
    <t>mondays in the sun</t>
  </si>
  <si>
    <t>everwood</t>
  </si>
  <si>
    <t>stolen kisses</t>
  </si>
  <si>
    <t>the devil next door</t>
  </si>
  <si>
    <t>the bastard son &amp; the devil himself</t>
  </si>
  <si>
    <t>fresh</t>
  </si>
  <si>
    <t>the petrified forest</t>
  </si>
  <si>
    <t>maxton hall the world between us</t>
  </si>
  <si>
    <t>murder, my sweet</t>
  </si>
  <si>
    <t>jeanne dielman, 23, quai du commerce, 1080 bruxelles</t>
  </si>
  <si>
    <t>rurouni kenshin the legend ends</t>
  </si>
  <si>
    <t>wings</t>
  </si>
  <si>
    <t>the letter</t>
  </si>
  <si>
    <t>the ghazi attack</t>
  </si>
  <si>
    <t>swing time</t>
  </si>
  <si>
    <t>the picture of dorian gray</t>
  </si>
  <si>
    <t>sexmission</t>
  </si>
  <si>
    <t>tekkonkinkreet</t>
  </si>
  <si>
    <t>get real</t>
  </si>
  <si>
    <t>a day at the races</t>
  </si>
  <si>
    <t>berserk the golden age arc i - the egg of the king</t>
  </si>
  <si>
    <t>kitchen nightmares</t>
  </si>
  <si>
    <t>dead of night</t>
  </si>
  <si>
    <t>val</t>
  </si>
  <si>
    <t>dogs of berlin</t>
  </si>
  <si>
    <t>high school dxd</t>
  </si>
  <si>
    <t>charley varrick</t>
  </si>
  <si>
    <t>tiny toon adventures</t>
  </si>
  <si>
    <t>girl on the bridge</t>
  </si>
  <si>
    <t>heirs</t>
  </si>
  <si>
    <t>the bands visit</t>
  </si>
  <si>
    <t>nowhere in africa</t>
  </si>
  <si>
    <t>la cérémonie</t>
  </si>
  <si>
    <t>stories we tell</t>
  </si>
  <si>
    <t>hichki</t>
  </si>
  <si>
    <t>feel good</t>
  </si>
  <si>
    <t>pokkiri</t>
  </si>
  <si>
    <t>lilies of the field</t>
  </si>
  <si>
    <t>vavien</t>
  </si>
  <si>
    <t>bigger stronger faster*</t>
  </si>
  <si>
    <t>balloon</t>
  </si>
  <si>
    <t>the distinguished citizen</t>
  </si>
  <si>
    <t>srimanthudu</t>
  </si>
  <si>
    <t>killing the shadows</t>
  </si>
  <si>
    <t>horse feathers</t>
  </si>
  <si>
    <t>deadloch</t>
  </si>
  <si>
    <t>life is a miracle</t>
  </si>
  <si>
    <t>stumptown</t>
  </si>
  <si>
    <t>birds of passage</t>
  </si>
  <si>
    <t>beyond the hills</t>
  </si>
  <si>
    <t>twin peaks the missing pieces</t>
  </si>
  <si>
    <t>invasion</t>
  </si>
  <si>
    <t>the palm beach story</t>
  </si>
  <si>
    <t>burning days</t>
  </si>
  <si>
    <t>scrooge</t>
  </si>
  <si>
    <t>a pure formality</t>
  </si>
  <si>
    <t>claires knee</t>
  </si>
  <si>
    <t>born yesterday</t>
  </si>
  <si>
    <t>secrets and lies</t>
  </si>
  <si>
    <t>alexander nevsky</t>
  </si>
  <si>
    <t>establishment osman</t>
  </si>
  <si>
    <t>tokyo sonata</t>
  </si>
  <si>
    <t>the five</t>
  </si>
  <si>
    <t>the match factory girl</t>
  </si>
  <si>
    <t>a man and a woman</t>
  </si>
  <si>
    <t>land and freedom</t>
  </si>
  <si>
    <t>the collector</t>
  </si>
  <si>
    <t>adventures of the gummi bears</t>
  </si>
  <si>
    <t>ratcatcher</t>
  </si>
  <si>
    <t>two lottery tickets</t>
  </si>
  <si>
    <t>all about lily chou-chou</t>
  </si>
  <si>
    <t>clouds</t>
  </si>
  <si>
    <t>brothers</t>
  </si>
  <si>
    <t>the nuns story</t>
  </si>
  <si>
    <t>bullet in the head</t>
  </si>
  <si>
    <t>brute force</t>
  </si>
  <si>
    <t>submarino</t>
  </si>
  <si>
    <t>blancanieves</t>
  </si>
  <si>
    <t>forgotten love</t>
  </si>
  <si>
    <t>jurassic world camp cretaceous</t>
  </si>
  <si>
    <t>all or nothing</t>
  </si>
  <si>
    <t>last life in the universe</t>
  </si>
  <si>
    <t>quiet on set the dark side of kids tv</t>
  </si>
  <si>
    <t>the bitter tears of petra von kant</t>
  </si>
  <si>
    <t>stateless</t>
  </si>
  <si>
    <t>to father with love</t>
  </si>
  <si>
    <t>sharmaji namkeen</t>
  </si>
  <si>
    <t>the navigator</t>
  </si>
  <si>
    <t>the mark of zorro</t>
  </si>
  <si>
    <t>a twelve-year night</t>
  </si>
  <si>
    <t>Adventure, Biography, Crime</t>
  </si>
  <si>
    <t>blue collar</t>
  </si>
  <si>
    <t>martin</t>
  </si>
  <si>
    <t>the magician</t>
  </si>
  <si>
    <t>the desperate hours</t>
  </si>
  <si>
    <t>copper</t>
  </si>
  <si>
    <t>open hearts</t>
  </si>
  <si>
    <t>murmur of the heart</t>
  </si>
  <si>
    <t>la femme nikita</t>
  </si>
  <si>
    <t>kirikou and the sorceress</t>
  </si>
  <si>
    <t>the jeffersons</t>
  </si>
  <si>
    <t>bang boom bang - ein todsicheres ding</t>
  </si>
  <si>
    <t>fear city a family-style comedy</t>
  </si>
  <si>
    <t>my family</t>
  </si>
  <si>
    <t>santa claus is a stinker</t>
  </si>
  <si>
    <t>dinner in america</t>
  </si>
  <si>
    <t>behzat ç. i buried you in my heart</t>
  </si>
  <si>
    <t>custody</t>
  </si>
  <si>
    <t>bad blood</t>
  </si>
  <si>
    <t>pindam</t>
  </si>
  <si>
    <t>make it or break it</t>
  </si>
  <si>
    <t>enlightened</t>
  </si>
  <si>
    <t>armadillo</t>
  </si>
  <si>
    <t>jean-claude van johnson</t>
  </si>
  <si>
    <t>wheel of fortune and fantasy</t>
  </si>
  <si>
    <t>the eighth day</t>
  </si>
  <si>
    <t>the comey rule</t>
  </si>
  <si>
    <t>sahara</t>
  </si>
  <si>
    <t>the son</t>
  </si>
  <si>
    <t>10 rillington place</t>
  </si>
  <si>
    <t>come fly with me</t>
  </si>
  <si>
    <t>the first day of the rest of your life</t>
  </si>
  <si>
    <t>alaska daily</t>
  </si>
  <si>
    <t>mokhtarnameh</t>
  </si>
  <si>
    <t>spider-man</t>
  </si>
  <si>
    <t>pirates of the caribbean dead mans chest</t>
  </si>
  <si>
    <t>john wick</t>
  </si>
  <si>
    <t>spider-man homecoming</t>
  </si>
  <si>
    <t>harry potter and the chamber of secrets</t>
  </si>
  <si>
    <t>frozen</t>
  </si>
  <si>
    <t>looper</t>
  </si>
  <si>
    <t>x2 x-men united</t>
  </si>
  <si>
    <t>the hobbit the battle of the five armies</t>
  </si>
  <si>
    <t>crazy, stupid, love.</t>
  </si>
  <si>
    <t>spider-man far from home</t>
  </si>
  <si>
    <t>juno</t>
  </si>
  <si>
    <t>mission impossible - ghost protocol</t>
  </si>
  <si>
    <t>john wick chapter 2</t>
  </si>
  <si>
    <t>shrek 2</t>
  </si>
  <si>
    <t>the terminal</t>
  </si>
  <si>
    <t>ready player one</t>
  </si>
  <si>
    <t>back to the future part iii</t>
  </si>
  <si>
    <t>sherlock holmes a game of shadows</t>
  </si>
  <si>
    <t>borat</t>
  </si>
  <si>
    <t>shang-chi and the legend of the ten rings</t>
  </si>
  <si>
    <t>john wick chapter 3 - parabellum</t>
  </si>
  <si>
    <t>mission impossible - rogue nation</t>
  </si>
  <si>
    <t>scream</t>
  </si>
  <si>
    <t>the nice guys</t>
  </si>
  <si>
    <t>cloud atlas</t>
  </si>
  <si>
    <t>the rock</t>
  </si>
  <si>
    <t>up in the air</t>
  </si>
  <si>
    <t>lady bird</t>
  </si>
  <si>
    <t>nobody</t>
  </si>
  <si>
    <t>uncut gems</t>
  </si>
  <si>
    <t>law abiding citizen</t>
  </si>
  <si>
    <t>zero dark thirty</t>
  </si>
  <si>
    <t>nocturnal animals</t>
  </si>
  <si>
    <t>predestination</t>
  </si>
  <si>
    <t>war for the planet of the apes</t>
  </si>
  <si>
    <t>corpse bride</t>
  </si>
  <si>
    <t>sully</t>
  </si>
  <si>
    <t>me before you</t>
  </si>
  <si>
    <t>a nightmare on elm street</t>
  </si>
  <si>
    <t>the lighthouse</t>
  </si>
  <si>
    <t>the bucket list</t>
  </si>
  <si>
    <t>a history of violence</t>
  </si>
  <si>
    <t>the talented mr. ripley</t>
  </si>
  <si>
    <t>bram stokers dracula</t>
  </si>
  <si>
    <t>Fantasy, Horror, Romance</t>
  </si>
  <si>
    <t>the evil dead</t>
  </si>
  <si>
    <t>the emperors new groove</t>
  </si>
  <si>
    <t>erin brockovich</t>
  </si>
  <si>
    <t>darkest hour</t>
  </si>
  <si>
    <t>garden state</t>
  </si>
  <si>
    <t>beverly hills cop</t>
  </si>
  <si>
    <t>carrie</t>
  </si>
  <si>
    <t>the judge</t>
  </si>
  <si>
    <t>the english patient</t>
  </si>
  <si>
    <t>luca</t>
  </si>
  <si>
    <t>rec</t>
  </si>
  <si>
    <t>army of darkness</t>
  </si>
  <si>
    <t>bridgerton</t>
  </si>
  <si>
    <t>k-pax</t>
  </si>
  <si>
    <t>the texas chain saw massacre</t>
  </si>
  <si>
    <t>mollys game</t>
  </si>
  <si>
    <t>palm springs</t>
  </si>
  <si>
    <t>Comedy, Fantasy, Mystery</t>
  </si>
  <si>
    <t>mud</t>
  </si>
  <si>
    <t>superman</t>
  </si>
  <si>
    <t>galaxy quest</t>
  </si>
  <si>
    <t>pretty little liars</t>
  </si>
  <si>
    <t>air</t>
  </si>
  <si>
    <t>onward</t>
  </si>
  <si>
    <t>the rocky horror picture show</t>
  </si>
  <si>
    <t>Comedy, Horror, Musical</t>
  </si>
  <si>
    <t>begin again</t>
  </si>
  <si>
    <t>the substance</t>
  </si>
  <si>
    <t>inside llewyn davis</t>
  </si>
  <si>
    <t>the orphanage</t>
  </si>
  <si>
    <t>green street hooligans</t>
  </si>
  <si>
    <t>the way way back</t>
  </si>
  <si>
    <t>how to train your dragon the hidden world</t>
  </si>
  <si>
    <t>phantom thread</t>
  </si>
  <si>
    <t>what if...?</t>
  </si>
  <si>
    <t>man on the moon</t>
  </si>
  <si>
    <t>american dad!</t>
  </si>
  <si>
    <t>the haunting of bly manor</t>
  </si>
  <si>
    <t>national lampoons animal house</t>
  </si>
  <si>
    <t>crimson tide</t>
  </si>
  <si>
    <t>jacobs ladder</t>
  </si>
  <si>
    <t>the zone of interest</t>
  </si>
  <si>
    <t>frequency</t>
  </si>
  <si>
    <t>tootsie</t>
  </si>
  <si>
    <t>malena</t>
  </si>
  <si>
    <t>chilling adventures of sabrina</t>
  </si>
  <si>
    <t>august rush</t>
  </si>
  <si>
    <t>the undoing</t>
  </si>
  <si>
    <t>designated survivor</t>
  </si>
  <si>
    <t>beautiful boy</t>
  </si>
  <si>
    <t>witness</t>
  </si>
  <si>
    <t>elizabeth</t>
  </si>
  <si>
    <t>the cider house rules</t>
  </si>
  <si>
    <t>following</t>
  </si>
  <si>
    <t>good night, and good luck.</t>
  </si>
  <si>
    <t>the land before time</t>
  </si>
  <si>
    <t>minari</t>
  </si>
  <si>
    <t>american graffiti</t>
  </si>
  <si>
    <t>reign over me</t>
  </si>
  <si>
    <t>tár</t>
  </si>
  <si>
    <t>the painted veil</t>
  </si>
  <si>
    <t>frances ha</t>
  </si>
  <si>
    <t>biutiful</t>
  </si>
  <si>
    <t>a monster calls</t>
  </si>
  <si>
    <t>judas and the black messiah</t>
  </si>
  <si>
    <t>the following</t>
  </si>
  <si>
    <t>tetris</t>
  </si>
  <si>
    <t>the king of queens</t>
  </si>
  <si>
    <t>raised by wolves</t>
  </si>
  <si>
    <t>Drama, Fantasy, Sci-Fi</t>
  </si>
  <si>
    <t>the wailing</t>
  </si>
  <si>
    <t>notes on a scandal</t>
  </si>
  <si>
    <t>an inconvenient truth</t>
  </si>
  <si>
    <t>trumbo</t>
  </si>
  <si>
    <t>master</t>
  </si>
  <si>
    <t>felon</t>
  </si>
  <si>
    <t>eighth grade</t>
  </si>
  <si>
    <t>the boy and the heron</t>
  </si>
  <si>
    <t>to catch a thief</t>
  </si>
  <si>
    <t>mid90s</t>
  </si>
  <si>
    <t>dirty rotten scoundrels</t>
  </si>
  <si>
    <t>open range</t>
  </si>
  <si>
    <t>hawaii five-0</t>
  </si>
  <si>
    <t>burning</t>
  </si>
  <si>
    <t>girls</t>
  </si>
  <si>
    <t>bullitt</t>
  </si>
  <si>
    <t>hijack</t>
  </si>
  <si>
    <t>the devils backbone</t>
  </si>
  <si>
    <t>marathon man</t>
  </si>
  <si>
    <t>the man who knew too much</t>
  </si>
  <si>
    <t>rust and bone</t>
  </si>
  <si>
    <t>blow-up</t>
  </si>
  <si>
    <t>the mission</t>
  </si>
  <si>
    <t>blow out</t>
  </si>
  <si>
    <t>terms of endearment</t>
  </si>
  <si>
    <t>mirage</t>
  </si>
  <si>
    <t>high plains drifter</t>
  </si>
  <si>
    <t>Drama, Mystery, Western</t>
  </si>
  <si>
    <t>straw dogs</t>
  </si>
  <si>
    <t>calvary</t>
  </si>
  <si>
    <t>the last ship</t>
  </si>
  <si>
    <t>the last man on earth</t>
  </si>
  <si>
    <t>vikings valhalla</t>
  </si>
  <si>
    <t>three days of the condor</t>
  </si>
  <si>
    <t>bad education</t>
  </si>
  <si>
    <t>who am i</t>
  </si>
  <si>
    <t>a bridge too far</t>
  </si>
  <si>
    <t>buffalo 66</t>
  </si>
  <si>
    <t>in the loop</t>
  </si>
  <si>
    <t>dasvi</t>
  </si>
  <si>
    <t>will &amp; grace</t>
  </si>
  <si>
    <t>ida</t>
  </si>
  <si>
    <t>dracula</t>
  </si>
  <si>
    <t>everything is illuminated</t>
  </si>
  <si>
    <t>kabhi khushi kabhie gham...</t>
  </si>
  <si>
    <t>mudbound</t>
  </si>
  <si>
    <t>the garden of words</t>
  </si>
  <si>
    <t>from up on poppy hill</t>
  </si>
  <si>
    <t>the natural</t>
  </si>
  <si>
    <t>virgin river</t>
  </si>
  <si>
    <t>american splendor</t>
  </si>
  <si>
    <t>son of saul</t>
  </si>
  <si>
    <t>black dynamite</t>
  </si>
  <si>
    <t>the blind swordsman zatoichi</t>
  </si>
  <si>
    <t>hoosiers</t>
  </si>
  <si>
    <t>forgotten</t>
  </si>
  <si>
    <t>frenzy</t>
  </si>
  <si>
    <t>dolores claiborne</t>
  </si>
  <si>
    <t>servant</t>
  </si>
  <si>
    <t>the recruit</t>
  </si>
  <si>
    <t>of mice and men</t>
  </si>
  <si>
    <t>a.r.o.g</t>
  </si>
  <si>
    <t>life as a house</t>
  </si>
  <si>
    <t>drunken master</t>
  </si>
  <si>
    <t>the party</t>
  </si>
  <si>
    <t>dear zindagi</t>
  </si>
  <si>
    <t>man bites dog</t>
  </si>
  <si>
    <t>capitalism a love story</t>
  </si>
  <si>
    <t>mcfarland, usa</t>
  </si>
  <si>
    <t>thesis</t>
  </si>
  <si>
    <t>the haunting</t>
  </si>
  <si>
    <t>love &amp; mercy</t>
  </si>
  <si>
    <t>searching for bobby fischer</t>
  </si>
  <si>
    <t>in the bedroom</t>
  </si>
  <si>
    <t>nosferatu the vampyre</t>
  </si>
  <si>
    <t>gallipoli</t>
  </si>
  <si>
    <t>bullets over broadway</t>
  </si>
  <si>
    <t>picnic at hanging rock</t>
  </si>
  <si>
    <t>oliver!</t>
  </si>
  <si>
    <t>thief</t>
  </si>
  <si>
    <t>five easy pieces</t>
  </si>
  <si>
    <t>ed, edd n eddy</t>
  </si>
  <si>
    <t>empire</t>
  </si>
  <si>
    <t>stranger than paradise</t>
  </si>
  <si>
    <t>and justice for all</t>
  </si>
  <si>
    <t>body heat</t>
  </si>
  <si>
    <t>ghost in the shell 2 innocence</t>
  </si>
  <si>
    <t>mom</t>
  </si>
  <si>
    <t>alf</t>
  </si>
  <si>
    <t>cmon cmon</t>
  </si>
  <si>
    <t>rugrats</t>
  </si>
  <si>
    <t>yahsi bati - the ottoman cowboys</t>
  </si>
  <si>
    <t>Adventure, Comedy, Western</t>
  </si>
  <si>
    <t>smoke</t>
  </si>
  <si>
    <t>top of the lake</t>
  </si>
  <si>
    <t>welcome to the dollhouse</t>
  </si>
  <si>
    <t>pierrot le fou</t>
  </si>
  <si>
    <t>the swimmers</t>
  </si>
  <si>
    <t>hunting season</t>
  </si>
  <si>
    <t>kaos</t>
  </si>
  <si>
    <t>the cosby show</t>
  </si>
  <si>
    <t>the sweet hereafter</t>
  </si>
  <si>
    <t>radio days</t>
  </si>
  <si>
    <t>contempt</t>
  </si>
  <si>
    <t>howards end</t>
  </si>
  <si>
    <t>rules of engagement</t>
  </si>
  <si>
    <t>maria full of grace</t>
  </si>
  <si>
    <t>magic carpet ride</t>
  </si>
  <si>
    <t>conclave</t>
  </si>
  <si>
    <t>sugar</t>
  </si>
  <si>
    <t>dark angel</t>
  </si>
  <si>
    <t>the greatest game ever played</t>
  </si>
  <si>
    <t>the china syndrome</t>
  </si>
  <si>
    <t>slc punk!</t>
  </si>
  <si>
    <t>an affair to remember</t>
  </si>
  <si>
    <t>tamasha</t>
  </si>
  <si>
    <t>lone star</t>
  </si>
  <si>
    <t>blindspotting</t>
  </si>
  <si>
    <t>downton abbey a new era</t>
  </si>
  <si>
    <t>the edukators</t>
  </si>
  <si>
    <t>the wrong man</t>
  </si>
  <si>
    <t>summer wars</t>
  </si>
  <si>
    <t>painkiller</t>
  </si>
  <si>
    <t>i killed my mother</t>
  </si>
  <si>
    <t>never rarely sometimes always</t>
  </si>
  <si>
    <t>mesrine public enemy no. 1</t>
  </si>
  <si>
    <t>another year</t>
  </si>
  <si>
    <t>waiting for guffman</t>
  </si>
  <si>
    <t>kyle xy</t>
  </si>
  <si>
    <t>kho gaye hum kahan</t>
  </si>
  <si>
    <t>rabbit-proof fence</t>
  </si>
  <si>
    <t>the good lie</t>
  </si>
  <si>
    <t>las vegas</t>
  </si>
  <si>
    <t>jesus christ superstar</t>
  </si>
  <si>
    <t>Drama, History, Musical</t>
  </si>
  <si>
    <t>a dogs journey</t>
  </si>
  <si>
    <t>cross of iron</t>
  </si>
  <si>
    <t>rurouni kenshin part i origins</t>
  </si>
  <si>
    <t>a hidden life</t>
  </si>
  <si>
    <t>vigil</t>
  </si>
  <si>
    <t>jesus camp</t>
  </si>
  <si>
    <t>the kid with a bike</t>
  </si>
  <si>
    <t>what maisie knew</t>
  </si>
  <si>
    <t>this film is not yet rated</t>
  </si>
  <si>
    <t>jaane tu... ya jaane na</t>
  </si>
  <si>
    <t>yellow submarine</t>
  </si>
  <si>
    <t>the nevers</t>
  </si>
  <si>
    <t>the king and i</t>
  </si>
  <si>
    <t>swamp thing</t>
  </si>
  <si>
    <t>homecoming</t>
  </si>
  <si>
    <t>lockwood &amp; co.</t>
  </si>
  <si>
    <t>harpers island</t>
  </si>
  <si>
    <t>the duellists</t>
  </si>
  <si>
    <t>broadway danny rose</t>
  </si>
  <si>
    <t>quicksand</t>
  </si>
  <si>
    <t>house of lies</t>
  </si>
  <si>
    <t>immortal beloved</t>
  </si>
  <si>
    <t>no</t>
  </si>
  <si>
    <t>the tin drum</t>
  </si>
  <si>
    <t>badlapur</t>
  </si>
  <si>
    <t>days of being wild</t>
  </si>
  <si>
    <t>a better tomorrow</t>
  </si>
  <si>
    <t>schumacher</t>
  </si>
  <si>
    <t>my life without me</t>
  </si>
  <si>
    <t>losers club</t>
  </si>
  <si>
    <t>amazing grace</t>
  </si>
  <si>
    <t>jhund</t>
  </si>
  <si>
    <t>they call me trinity</t>
  </si>
  <si>
    <t>funny girl</t>
  </si>
  <si>
    <t>miss americana</t>
  </si>
  <si>
    <t>if....</t>
  </si>
  <si>
    <t>wynonna earp</t>
  </si>
  <si>
    <t>little manhattan</t>
  </si>
  <si>
    <t>together</t>
  </si>
  <si>
    <t>restrepo</t>
  </si>
  <si>
    <t>sunflower</t>
  </si>
  <si>
    <t>foreign correspondent</t>
  </si>
  <si>
    <t>Action, Romance, Thriller</t>
  </si>
  <si>
    <t>paradise now</t>
  </si>
  <si>
    <t>american factory</t>
  </si>
  <si>
    <t>i</t>
  </si>
  <si>
    <t>tales from the loop</t>
  </si>
  <si>
    <t>knife in the water</t>
  </si>
  <si>
    <t>everything sucks!</t>
  </si>
  <si>
    <t>digimon digital monsters</t>
  </si>
  <si>
    <t>the teachers lounge</t>
  </si>
  <si>
    <t>salvador</t>
  </si>
  <si>
    <t>the postman always rings twice</t>
  </si>
  <si>
    <t>lean on me</t>
  </si>
  <si>
    <t>adams rib</t>
  </si>
  <si>
    <t>kesari</t>
  </si>
  <si>
    <t>tomboy</t>
  </si>
  <si>
    <t>suburra</t>
  </si>
  <si>
    <t>trainwreck woodstock 99</t>
  </si>
  <si>
    <t>monica, o my darling</t>
  </si>
  <si>
    <t>jackie chan adventures</t>
  </si>
  <si>
    <t>bring me the head of alfredo garcia</t>
  </si>
  <si>
    <t>akeelah and the bee</t>
  </si>
  <si>
    <t>rabbit hole</t>
  </si>
  <si>
    <t>Comedy, Family, Music</t>
  </si>
  <si>
    <t>shining girls</t>
  </si>
  <si>
    <t>vampyr</t>
  </si>
  <si>
    <t>the future diary</t>
  </si>
  <si>
    <t>shoot the piano player</t>
  </si>
  <si>
    <t>the rider</t>
  </si>
  <si>
    <t>aquarius</t>
  </si>
  <si>
    <t>true story</t>
  </si>
  <si>
    <t>sliders</t>
  </si>
  <si>
    <t>Adventure, Fantasy, Sci-Fi</t>
  </si>
  <si>
    <t>cruel summer</t>
  </si>
  <si>
    <t>crackdown</t>
  </si>
  <si>
    <t>la belle époque</t>
  </si>
  <si>
    <t>doug</t>
  </si>
  <si>
    <t>journal 64</t>
  </si>
  <si>
    <t>king of devils island</t>
  </si>
  <si>
    <t>fort apache</t>
  </si>
  <si>
    <t>straight from the heart</t>
  </si>
  <si>
    <t>guzaarish</t>
  </si>
  <si>
    <t>neds declassified school survival guide</t>
  </si>
  <si>
    <t>mortal kombat legends scorpions revenge</t>
  </si>
  <si>
    <t>bad monkey</t>
  </si>
  <si>
    <t>pillow talk</t>
  </si>
  <si>
    <t>rudderless</t>
  </si>
  <si>
    <t>raid</t>
  </si>
  <si>
    <t>the child</t>
  </si>
  <si>
    <t>doctor</t>
  </si>
  <si>
    <t>the american friend</t>
  </si>
  <si>
    <t>queen margot</t>
  </si>
  <si>
    <t>marianne</t>
  </si>
  <si>
    <t>queen of katwe</t>
  </si>
  <si>
    <t>bharath ane nenu</t>
  </si>
  <si>
    <t>once upon a time in mumbaai</t>
  </si>
  <si>
    <t>petite maman</t>
  </si>
  <si>
    <t>industry</t>
  </si>
  <si>
    <t>kaminey</t>
  </si>
  <si>
    <t>a.p. bio</t>
  </si>
  <si>
    <t>two guys, a girl and a pizza place</t>
  </si>
  <si>
    <t>my lady jane</t>
  </si>
  <si>
    <t>red desert</t>
  </si>
  <si>
    <t>before the fall</t>
  </si>
  <si>
    <t>Drama, Sport, Thriller</t>
  </si>
  <si>
    <t>cave of forgotten dreams</t>
  </si>
  <si>
    <t>i dream of jeannie</t>
  </si>
  <si>
    <t>love 101</t>
  </si>
  <si>
    <t>the professional</t>
  </si>
  <si>
    <t>baghban</t>
  </si>
  <si>
    <t>masculine feminine</t>
  </si>
  <si>
    <t>tru calling</t>
  </si>
  <si>
    <t>gilligans island</t>
  </si>
  <si>
    <t>robber</t>
  </si>
  <si>
    <t>code m</t>
  </si>
  <si>
    <t>all the kings men</t>
  </si>
  <si>
    <t>120 bpm</t>
  </si>
  <si>
    <t>khakee</t>
  </si>
  <si>
    <t>mediterraneo</t>
  </si>
  <si>
    <t>north face</t>
  </si>
  <si>
    <t>the goodbye girl</t>
  </si>
  <si>
    <t>arthur</t>
  </si>
  <si>
    <t>you, the living</t>
  </si>
  <si>
    <t>hot in cleveland</t>
  </si>
  <si>
    <t>castlevania nocturne</t>
  </si>
  <si>
    <t>the bad seed</t>
  </si>
  <si>
    <t>the cowboys</t>
  </si>
  <si>
    <t>shantaram</t>
  </si>
  <si>
    <t>the unknown woman</t>
  </si>
  <si>
    <t>curse of the demon</t>
  </si>
  <si>
    <t>Fantasy, Horror, Mystery</t>
  </si>
  <si>
    <t>sweet sixteen</t>
  </si>
  <si>
    <t>im not scared</t>
  </si>
  <si>
    <t>the responder</t>
  </si>
  <si>
    <t>rosetta</t>
  </si>
  <si>
    <t>the little drummer girl</t>
  </si>
  <si>
    <t>blue exorcist</t>
  </si>
  <si>
    <t>bagdad cafe</t>
  </si>
  <si>
    <t>animal crackers</t>
  </si>
  <si>
    <t>the playlist</t>
  </si>
  <si>
    <t>behzat ç. ankara is on fire</t>
  </si>
  <si>
    <t>jezebel</t>
  </si>
  <si>
    <t>macbeth</t>
  </si>
  <si>
    <t>mars</t>
  </si>
  <si>
    <t>ride the high country</t>
  </si>
  <si>
    <t>the mad adventures of rabbi jacob</t>
  </si>
  <si>
    <t>Adventure, Comedy</t>
  </si>
  <si>
    <t>the glades</t>
  </si>
  <si>
    <t>schmigadoon!</t>
  </si>
  <si>
    <t>the taste of things</t>
  </si>
  <si>
    <t>khuda haafiz chapter 2 - agni pariksha</t>
  </si>
  <si>
    <t>total drama</t>
  </si>
  <si>
    <t>a touch of spice</t>
  </si>
  <si>
    <t>juliet of the spirits</t>
  </si>
  <si>
    <t>the princess and the warrior</t>
  </si>
  <si>
    <t>two for the road</t>
  </si>
  <si>
    <t>the thief of bagdad</t>
  </si>
  <si>
    <t>lemonade</t>
  </si>
  <si>
    <t>cry freedom</t>
  </si>
  <si>
    <t>real time with bill maher</t>
  </si>
  <si>
    <t>la mante</t>
  </si>
  <si>
    <t>monkey business</t>
  </si>
  <si>
    <t>the black stallion</t>
  </si>
  <si>
    <t>Adventure, Family, Sport</t>
  </si>
  <si>
    <t>even the rain</t>
  </si>
  <si>
    <t>black spot</t>
  </si>
  <si>
    <t>alice</t>
  </si>
  <si>
    <t>dookudu</t>
  </si>
  <si>
    <t>hombre</t>
  </si>
  <si>
    <t>aankhen</t>
  </si>
  <si>
    <t>the royals</t>
  </si>
  <si>
    <t>places in the heart</t>
  </si>
  <si>
    <t>20 feet from stardom</t>
  </si>
  <si>
    <t>tpb afk the pirate bay away from keyboard</t>
  </si>
  <si>
    <t>downfall the case against boeing</t>
  </si>
  <si>
    <t>saving face</t>
  </si>
  <si>
    <t>takva a mans fear of god</t>
  </si>
  <si>
    <t>the diary of anne frank</t>
  </si>
  <si>
    <t>chachi 420</t>
  </si>
  <si>
    <t>hello ladies</t>
  </si>
  <si>
    <t>where do we go now?</t>
  </si>
  <si>
    <t>masters of horror</t>
  </si>
  <si>
    <t>holding the man</t>
  </si>
  <si>
    <t>legends</t>
  </si>
  <si>
    <t>ordinary angels</t>
  </si>
  <si>
    <t>snow cake</t>
  </si>
  <si>
    <t>house of secrets the burari deaths</t>
  </si>
  <si>
    <t>the night shift</t>
  </si>
  <si>
    <t>the secret life of words</t>
  </si>
  <si>
    <t>life in a metro</t>
  </si>
  <si>
    <t>sweet bean</t>
  </si>
  <si>
    <t>srikanth</t>
  </si>
  <si>
    <t>after the storm</t>
  </si>
  <si>
    <t>persian lessons</t>
  </si>
  <si>
    <t>support your local sheriff!</t>
  </si>
  <si>
    <t>tristana</t>
  </si>
  <si>
    <t>lawmen bass reeves</t>
  </si>
  <si>
    <t>in plain sight</t>
  </si>
  <si>
    <t>tyson</t>
  </si>
  <si>
    <t>peepli [live]</t>
  </si>
  <si>
    <t>the band wagon</t>
  </si>
  <si>
    <t>second chance</t>
  </si>
  <si>
    <t>the resort</t>
  </si>
  <si>
    <t>Comedy, Mystery, Thriller</t>
  </si>
  <si>
    <t>wheres firuze?</t>
  </si>
  <si>
    <t>noises off...</t>
  </si>
  <si>
    <t>power book ii ghost</t>
  </si>
  <si>
    <t>the wind will carry us</t>
  </si>
  <si>
    <t>dark victory</t>
  </si>
  <si>
    <t>black orpheus</t>
  </si>
  <si>
    <t>the friends of eddie coyle</t>
  </si>
  <si>
    <t>the enemy below</t>
  </si>
  <si>
    <t>the firemens ball</t>
  </si>
  <si>
    <t>trust</t>
  </si>
  <si>
    <t>home before dark</t>
  </si>
  <si>
    <t>targets</t>
  </si>
  <si>
    <t>the bible</t>
  </si>
  <si>
    <t>hand of god</t>
  </si>
  <si>
    <t>the murders at white house farm</t>
  </si>
  <si>
    <t>dragon ball z broly - the legendary super saiyan</t>
  </si>
  <si>
    <t>love &amp; anarchy</t>
  </si>
  <si>
    <t>happening</t>
  </si>
  <si>
    <t>largent</t>
  </si>
  <si>
    <t>american housewife</t>
  </si>
  <si>
    <t>20,000 days on earth</t>
  </si>
  <si>
    <t>Documentary, Drama, Music</t>
  </si>
  <si>
    <t>faces</t>
  </si>
  <si>
    <t>the hound of the baskervilles</t>
  </si>
  <si>
    <t>fantastic fungi</t>
  </si>
  <si>
    <t>project runway</t>
  </si>
  <si>
    <t>how to become a tyrant</t>
  </si>
  <si>
    <t>pollyanna</t>
  </si>
  <si>
    <t>the redeem team</t>
  </si>
  <si>
    <t>Documentary, History, Sport</t>
  </si>
  <si>
    <t>the specials</t>
  </si>
  <si>
    <t>waiting for superman</t>
  </si>
  <si>
    <t>lost in austen</t>
  </si>
  <si>
    <t>the dam busters</t>
  </si>
  <si>
    <t>marriage italian style</t>
  </si>
  <si>
    <t>p-valley</t>
  </si>
  <si>
    <t>84 charing cross road</t>
  </si>
  <si>
    <t>life is sweet</t>
  </si>
  <si>
    <t>the road to guantanamo</t>
  </si>
  <si>
    <t>woman at war</t>
  </si>
  <si>
    <t>is it wrong to try to pick up girls in a dungeon?</t>
  </si>
  <si>
    <t>qayamat se qayamat tak</t>
  </si>
  <si>
    <t>island of lost souls</t>
  </si>
  <si>
    <t>Film-Noir, Horror, Sci-Fi</t>
  </si>
  <si>
    <t>a chinese ghost story</t>
  </si>
  <si>
    <t>the strange love of martha ivers</t>
  </si>
  <si>
    <t>see you up there</t>
  </si>
  <si>
    <t>sherwood</t>
  </si>
  <si>
    <t>rurouni kenshin final chapter part ii - the beginning</t>
  </si>
  <si>
    <t>goblin slayer</t>
  </si>
  <si>
    <t>20th century girl</t>
  </si>
  <si>
    <t>were no angels</t>
  </si>
  <si>
    <t>that sugar film</t>
  </si>
  <si>
    <t>ryans daughter</t>
  </si>
  <si>
    <t>this gun for hire</t>
  </si>
  <si>
    <t>bed &amp; board</t>
  </si>
  <si>
    <t>parades end</t>
  </si>
  <si>
    <t>call northside 777</t>
  </si>
  <si>
    <t>impulse</t>
  </si>
  <si>
    <t>an honest liar</t>
  </si>
  <si>
    <t>fortress of war</t>
  </si>
  <si>
    <t>rangeela</t>
  </si>
  <si>
    <t>the confession killer</t>
  </si>
  <si>
    <t>the cuphead show!</t>
  </si>
  <si>
    <t>london spy</t>
  </si>
  <si>
    <t>straight time</t>
  </si>
  <si>
    <t>csi vegas</t>
  </si>
  <si>
    <t>i know where im going!</t>
  </si>
  <si>
    <t>survive style 5+</t>
  </si>
  <si>
    <t>the damned</t>
  </si>
  <si>
    <t>maaveeran</t>
  </si>
  <si>
    <t>deception</t>
  </si>
  <si>
    <t>secret city</t>
  </si>
  <si>
    <t>the secret of roan inish</t>
  </si>
  <si>
    <t>zom 100 bucket list of the dead</t>
  </si>
  <si>
    <t>blackboard jungle</t>
  </si>
  <si>
    <t>a gentleman in moscow</t>
  </si>
  <si>
    <t>dragon ball z wrath of the dragon</t>
  </si>
  <si>
    <t>avengers age of ultron</t>
  </si>
  <si>
    <t>black panther</t>
  </si>
  <si>
    <t>wonder woman</t>
  </si>
  <si>
    <t>it</t>
  </si>
  <si>
    <t>men in black</t>
  </si>
  <si>
    <t>tenet</t>
  </si>
  <si>
    <t>troy</t>
  </si>
  <si>
    <t>split</t>
  </si>
  <si>
    <t>american sniper</t>
  </si>
  <si>
    <t>cars</t>
  </si>
  <si>
    <t>bullet train</t>
  </si>
  <si>
    <t>no time to die</t>
  </si>
  <si>
    <t>the shape of water</t>
  </si>
  <si>
    <t>unbreakable</t>
  </si>
  <si>
    <t>despicable me 2</t>
  </si>
  <si>
    <t>dumb and dumber</t>
  </si>
  <si>
    <t>fast five</t>
  </si>
  <si>
    <t>face/off</t>
  </si>
  <si>
    <t>10 things i hate about you</t>
  </si>
  <si>
    <t>hereditary</t>
  </si>
  <si>
    <t>speed</t>
  </si>
  <si>
    <t>sleepy hollow</t>
  </si>
  <si>
    <t>sweeney todd the demon barber of fleet street</t>
  </si>
  <si>
    <t>Drama, Horror, Musical</t>
  </si>
  <si>
    <t>flight</t>
  </si>
  <si>
    <t>the simpsons movie</t>
  </si>
  <si>
    <t>equilibrium</t>
  </si>
  <si>
    <t>the secret life of walter mitty</t>
  </si>
  <si>
    <t>the accountant</t>
  </si>
  <si>
    <t>kung fu panda 2</t>
  </si>
  <si>
    <t>starship troopers</t>
  </si>
  <si>
    <t>kingdom of heaven</t>
  </si>
  <si>
    <t>the conjuring 2</t>
  </si>
  <si>
    <t>el camino</t>
  </si>
  <si>
    <t>alita battle angel</t>
  </si>
  <si>
    <t>megamind</t>
  </si>
  <si>
    <t>rango</t>
  </si>
  <si>
    <t>the place beyond the pines</t>
  </si>
  <si>
    <t>jerry maguire</t>
  </si>
  <si>
    <t>true lies</t>
  </si>
  <si>
    <t>moon knight</t>
  </si>
  <si>
    <t>lincoln</t>
  </si>
  <si>
    <t>cruella</t>
  </si>
  <si>
    <t>identity</t>
  </si>
  <si>
    <t>southpaw</t>
  </si>
  <si>
    <t>enemy of the state</t>
  </si>
  <si>
    <t>hercules</t>
  </si>
  <si>
    <t>gremlins</t>
  </si>
  <si>
    <t>the descendants</t>
  </si>
  <si>
    <t>tarzan</t>
  </si>
  <si>
    <t>the karate kid</t>
  </si>
  <si>
    <t>Action, Drama, Family</t>
  </si>
  <si>
    <t>big</t>
  </si>
  <si>
    <t>elvis</t>
  </si>
  <si>
    <t>chef</t>
  </si>
  <si>
    <t>rocky ii</t>
  </si>
  <si>
    <t>dogma</t>
  </si>
  <si>
    <t>revolutionary road</t>
  </si>
  <si>
    <t>doctor sleep</t>
  </si>
  <si>
    <t>a walk to remember</t>
  </si>
  <si>
    <t>girl, interrupted</t>
  </si>
  <si>
    <t>lilo &amp; stitch</t>
  </si>
  <si>
    <t>blue valentine</t>
  </si>
  <si>
    <t>blue jasmine</t>
  </si>
  <si>
    <t>the next three days</t>
  </si>
  <si>
    <t>point break</t>
  </si>
  <si>
    <t>first man</t>
  </si>
  <si>
    <t>rocketman</t>
  </si>
  <si>
    <t>layer cake</t>
  </si>
  <si>
    <t>lethal weapon 2</t>
  </si>
  <si>
    <t>triangle of sadness</t>
  </si>
  <si>
    <t>the last duel</t>
  </si>
  <si>
    <t>nomadland</t>
  </si>
  <si>
    <t>pi</t>
  </si>
  <si>
    <t>one hundred and one dalmatians</t>
  </si>
  <si>
    <t>poltergeist</t>
  </si>
  <si>
    <t>punch-drunk love</t>
  </si>
  <si>
    <t>the lego batman movie</t>
  </si>
  <si>
    <t>cinderella</t>
  </si>
  <si>
    <t>raya and the last dragon</t>
  </si>
  <si>
    <t>coach carter</t>
  </si>
  <si>
    <t>invictus</t>
  </si>
  <si>
    <t>wall street</t>
  </si>
  <si>
    <t>the disaster artist</t>
  </si>
  <si>
    <t>13 hours the secret soldiers of benghazi</t>
  </si>
  <si>
    <t>snowden</t>
  </si>
  <si>
    <t>memoirs of a geisha</t>
  </si>
  <si>
    <t>rounders</t>
  </si>
  <si>
    <t>the neverending story</t>
  </si>
  <si>
    <t>the king</t>
  </si>
  <si>
    <t>lars and the real girl</t>
  </si>
  <si>
    <t>mr. brooks</t>
  </si>
  <si>
    <t>the negotiator</t>
  </si>
  <si>
    <t>alice in wonderland</t>
  </si>
  <si>
    <t>good morning, vietnam</t>
  </si>
  <si>
    <t>bambi</t>
  </si>
  <si>
    <t>peter pan</t>
  </si>
  <si>
    <t>labyrinth</t>
  </si>
  <si>
    <t>raising arizona</t>
  </si>
  <si>
    <t>lady and the tramp</t>
  </si>
  <si>
    <t>irreversible</t>
  </si>
  <si>
    <t>the constant gardener</t>
  </si>
  <si>
    <t>sex and the city</t>
  </si>
  <si>
    <t>from russia with love</t>
  </si>
  <si>
    <t>carol</t>
  </si>
  <si>
    <t>good time</t>
  </si>
  <si>
    <t>the edge of seventeen</t>
  </si>
  <si>
    <t>capote</t>
  </si>
  <si>
    <t>clerks ii</t>
  </si>
  <si>
    <t>matchstick men</t>
  </si>
  <si>
    <t>paddington</t>
  </si>
  <si>
    <t>the walk</t>
  </si>
  <si>
    <t>i origins</t>
  </si>
  <si>
    <t>okja</t>
  </si>
  <si>
    <t>eraserhead</t>
  </si>
  <si>
    <t>ghost world</t>
  </si>
  <si>
    <t>instant family</t>
  </si>
  <si>
    <t>the basketball diaries</t>
  </si>
  <si>
    <t>the way back</t>
  </si>
  <si>
    <t>death at a funeral</t>
  </si>
  <si>
    <t>vacation</t>
  </si>
  <si>
    <t>driving miss daisy</t>
  </si>
  <si>
    <t>precious</t>
  </si>
  <si>
    <t>the boat that rocked</t>
  </si>
  <si>
    <t>the death of stalin</t>
  </si>
  <si>
    <t>the queen</t>
  </si>
  <si>
    <t>patriots day</t>
  </si>
  <si>
    <t>across the universe</t>
  </si>
  <si>
    <t>Drama, Fantasy, History</t>
  </si>
  <si>
    <t>before the devil knows youre dead</t>
  </si>
  <si>
    <t>clue</t>
  </si>
  <si>
    <t>rescue dawn</t>
  </si>
  <si>
    <t>Adventure, Biography, War</t>
  </si>
  <si>
    <t>take shelter</t>
  </si>
  <si>
    <t>suspiria</t>
  </si>
  <si>
    <t>twin peaks fire walk with me</t>
  </si>
  <si>
    <t>lost in space</t>
  </si>
  <si>
    <t>shot caller</t>
  </si>
  <si>
    <t>running scared</t>
  </si>
  <si>
    <t>eddie the eagle</t>
  </si>
  <si>
    <t>Adventure, Biography, Comedy</t>
  </si>
  <si>
    <t>the people vs. larry flynt</t>
  </si>
  <si>
    <t>grosse pointe blank</t>
  </si>
  <si>
    <t>locke &amp; key</t>
  </si>
  <si>
    <t>halo</t>
  </si>
  <si>
    <t>my sisters keeper</t>
  </si>
  <si>
    <t>say anything</t>
  </si>
  <si>
    <t>submarine</t>
  </si>
  <si>
    <t>the guard</t>
  </si>
  <si>
    <t>frida</t>
  </si>
  <si>
    <t>eye in the sky</t>
  </si>
  <si>
    <t>star trek iv the voyage home</t>
  </si>
  <si>
    <t>sing 2</t>
  </si>
  <si>
    <t>the squid and the whale</t>
  </si>
  <si>
    <t>shaolin soccer</t>
  </si>
  <si>
    <t>paterson</t>
  </si>
  <si>
    <t>finding forrester</t>
  </si>
  <si>
    <t>the strain</t>
  </si>
  <si>
    <t>the hundred-foot journey</t>
  </si>
  <si>
    <t>four lions</t>
  </si>
  <si>
    <t>caché</t>
  </si>
  <si>
    <t>youth</t>
  </si>
  <si>
    <t>amistad</t>
  </si>
  <si>
    <t>the fundamentals of caring</t>
  </si>
  <si>
    <t>blindspot</t>
  </si>
  <si>
    <t>everybody loves raymond</t>
  </si>
  <si>
    <t>seabiscuit</t>
  </si>
  <si>
    <t>the girl who kicked the hornets nest</t>
  </si>
  <si>
    <t>ratched</t>
  </si>
  <si>
    <t>the return of the living dead</t>
  </si>
  <si>
    <t>Comedy, Horror, Sci-Fi</t>
  </si>
  <si>
    <t>sexy beast</t>
  </si>
  <si>
    <t>eight below</t>
  </si>
  <si>
    <t>excalibur</t>
  </si>
  <si>
    <t>heavenly creatures</t>
  </si>
  <si>
    <t>Action, Mystery, Romance</t>
  </si>
  <si>
    <t>pale rider</t>
  </si>
  <si>
    <t>fish tank</t>
  </si>
  <si>
    <t>steel magnolias</t>
  </si>
  <si>
    <t>woman in gold</t>
  </si>
  <si>
    <t>thirteen days</t>
  </si>
  <si>
    <t>bound</t>
  </si>
  <si>
    <t>archive 81</t>
  </si>
  <si>
    <t>wayward pines</t>
  </si>
  <si>
    <t>the ice storm</t>
  </si>
  <si>
    <t>the gods must be crazy</t>
  </si>
  <si>
    <t>bodies</t>
  </si>
  <si>
    <t>this boys life</t>
  </si>
  <si>
    <t>decision to leave</t>
  </si>
  <si>
    <t>assault on precinct 13</t>
  </si>
  <si>
    <t>detroit</t>
  </si>
  <si>
    <t>official secrets</t>
  </si>
  <si>
    <t>the proposition</t>
  </si>
  <si>
    <t>Crime, Drama, Western</t>
  </si>
  <si>
    <t>the guernsey literary and potato peel pie society</t>
  </si>
  <si>
    <t>yeh jawaani hai deewani</t>
  </si>
  <si>
    <t>in the heights</t>
  </si>
  <si>
    <t>much ado about nothing</t>
  </si>
  <si>
    <t>toni erdmann</t>
  </si>
  <si>
    <t>blackberry</t>
  </si>
  <si>
    <t>ragnarok</t>
  </si>
  <si>
    <t>two days, one night</t>
  </si>
  <si>
    <t>the hand of god</t>
  </si>
  <si>
    <t>20th century women</t>
  </si>
  <si>
    <t>far from heaven</t>
  </si>
  <si>
    <t>starred up</t>
  </si>
  <si>
    <t>the powerpuff girls</t>
  </si>
  <si>
    <t>the secret circle</t>
  </si>
  <si>
    <t>red cliff</t>
  </si>
  <si>
    <t>deconstructing harry</t>
  </si>
  <si>
    <t>manhattan murder mystery</t>
  </si>
  <si>
    <t>Comedy, Mystery</t>
  </si>
  <si>
    <t>possession</t>
  </si>
  <si>
    <t>the hidden face</t>
  </si>
  <si>
    <t>the 4400</t>
  </si>
  <si>
    <t>palmer</t>
  </si>
  <si>
    <t>the summer i turned pretty</t>
  </si>
  <si>
    <t>pusher</t>
  </si>
  <si>
    <t>the secret garden</t>
  </si>
  <si>
    <t>north country</t>
  </si>
  <si>
    <t>shaun the sheep movie</t>
  </si>
  <si>
    <t>hustle &amp; flow</t>
  </si>
  <si>
    <t>she said</t>
  </si>
  <si>
    <t>suspicion</t>
  </si>
  <si>
    <t>touch</t>
  </si>
  <si>
    <t>the spanish apartment</t>
  </si>
  <si>
    <t>murder by death</t>
  </si>
  <si>
    <t>transamerica</t>
  </si>
  <si>
    <t>mr. hollands opus</t>
  </si>
  <si>
    <t>the three burials of melquiades estrada</t>
  </si>
  <si>
    <t>pam &amp; tommy</t>
  </si>
  <si>
    <t>death on the nile</t>
  </si>
  <si>
    <t>dont trust the b---- in apartment 23</t>
  </si>
  <si>
    <t>to live and die in l.a.</t>
  </si>
  <si>
    <t>the baader meinhof complex</t>
  </si>
  <si>
    <t>24 hour party people</t>
  </si>
  <si>
    <t>colony</t>
  </si>
  <si>
    <t>bajirao mastani</t>
  </si>
  <si>
    <t>old henry</t>
  </si>
  <si>
    <t>the unbearable lightness of being</t>
  </si>
  <si>
    <t>antwone fisher</t>
  </si>
  <si>
    <t>marcella</t>
  </si>
  <si>
    <t>the banker</t>
  </si>
  <si>
    <t>get carter</t>
  </si>
  <si>
    <t>keith</t>
  </si>
  <si>
    <t>the nightingale</t>
  </si>
  <si>
    <t>the getaway</t>
  </si>
  <si>
    <t>coming soon</t>
  </si>
  <si>
    <t>the way</t>
  </si>
  <si>
    <t>pom poko</t>
  </si>
  <si>
    <t>freddy</t>
  </si>
  <si>
    <t>broadcast news</t>
  </si>
  <si>
    <t>in the house</t>
  </si>
  <si>
    <t>a street cat named bob</t>
  </si>
  <si>
    <t>live flesh</t>
  </si>
  <si>
    <t>belle</t>
  </si>
  <si>
    <t>gods and monsters</t>
  </si>
  <si>
    <t>city island</t>
  </si>
  <si>
    <t>covert affairs</t>
  </si>
  <si>
    <t>jason and the argonauts</t>
  </si>
  <si>
    <t>a shot in the dark</t>
  </si>
  <si>
    <t>bacurau</t>
  </si>
  <si>
    <t>are you there god? its me, margaret.</t>
  </si>
  <si>
    <t>spin city</t>
  </si>
  <si>
    <t>murder in the first</t>
  </si>
  <si>
    <t>the last unicorn</t>
  </si>
  <si>
    <t>Drama, Horror, Romance</t>
  </si>
  <si>
    <t>max manus man of war</t>
  </si>
  <si>
    <t>my name is nobody</t>
  </si>
  <si>
    <t>the bélier family</t>
  </si>
  <si>
    <t>fallen leaves</t>
  </si>
  <si>
    <t>the 12th man</t>
  </si>
  <si>
    <t>dear child</t>
  </si>
  <si>
    <t>twisted metal</t>
  </si>
  <si>
    <t>the stranger</t>
  </si>
  <si>
    <t>phir hera pheri</t>
  </si>
  <si>
    <t>two is a family</t>
  </si>
  <si>
    <t>waking ned devine</t>
  </si>
  <si>
    <t>alice doesnt live here anymore</t>
  </si>
  <si>
    <t>cha cha real smooth</t>
  </si>
  <si>
    <t>jackass</t>
  </si>
  <si>
    <t>Action, Comedy, Reality-TV</t>
  </si>
  <si>
    <t>holy spider</t>
  </si>
  <si>
    <t>seven brides for seven brothers</t>
  </si>
  <si>
    <t>Musical, Romance, Western</t>
  </si>
  <si>
    <t>local hero</t>
  </si>
  <si>
    <t>marshall</t>
  </si>
  <si>
    <t>youre not you</t>
  </si>
  <si>
    <t>monsoon wedding</t>
  </si>
  <si>
    <t>lucky</t>
  </si>
  <si>
    <t>barneys version</t>
  </si>
  <si>
    <t>i stand alone</t>
  </si>
  <si>
    <t>black-ish</t>
  </si>
  <si>
    <t>the wilds</t>
  </si>
  <si>
    <t>pusher ii</t>
  </si>
  <si>
    <t>the bad news bears</t>
  </si>
  <si>
    <t>the librarians</t>
  </si>
  <si>
    <t>pumping iron</t>
  </si>
  <si>
    <t>wet hot american summer first day of camp</t>
  </si>
  <si>
    <t>whats love got to do with it</t>
  </si>
  <si>
    <t>loft</t>
  </si>
  <si>
    <t>reds</t>
  </si>
  <si>
    <t>sweet magnolias</t>
  </si>
  <si>
    <t>storm of the century</t>
  </si>
  <si>
    <t>dirty john</t>
  </si>
  <si>
    <t>quest for fire</t>
  </si>
  <si>
    <t>ala vaikunthapurramuloo</t>
  </si>
  <si>
    <t>lorenzos oil</t>
  </si>
  <si>
    <t>night sky</t>
  </si>
  <si>
    <t>bullhead</t>
  </si>
  <si>
    <t>the day of the beast</t>
  </si>
  <si>
    <t>little boy</t>
  </si>
  <si>
    <t>point blank</t>
  </si>
  <si>
    <t>theri</t>
  </si>
  <si>
    <t>rosencrantz &amp; guildenstern are dead</t>
  </si>
  <si>
    <t>yu-gi-oh!</t>
  </si>
  <si>
    <t>fortitude</t>
  </si>
  <si>
    <t>betty blue</t>
  </si>
  <si>
    <t>angelas ashes</t>
  </si>
  <si>
    <t>a million miles away</t>
  </si>
  <si>
    <t>9-1-1 lone star</t>
  </si>
  <si>
    <t>phantom of the paradise</t>
  </si>
  <si>
    <t>uncle frank</t>
  </si>
  <si>
    <t>death in venice</t>
  </si>
  <si>
    <t>big night</t>
  </si>
  <si>
    <t>the yellow sea</t>
  </si>
  <si>
    <t>in china they eat dogs</t>
  </si>
  <si>
    <t>three monkeys</t>
  </si>
  <si>
    <t>sanctuary</t>
  </si>
  <si>
    <t>nobodys fool</t>
  </si>
  <si>
    <t>girl in the picture</t>
  </si>
  <si>
    <t>stand and deliver</t>
  </si>
  <si>
    <t>wecrashed</t>
  </si>
  <si>
    <t>the afterparty</t>
  </si>
  <si>
    <t>moby dick</t>
  </si>
  <si>
    <t>the captain</t>
  </si>
  <si>
    <t>the last black man in san francisco</t>
  </si>
  <si>
    <t>last resort</t>
  </si>
  <si>
    <t>irma la douce</t>
  </si>
  <si>
    <t>baby daddy</t>
  </si>
  <si>
    <t>love is in the air</t>
  </si>
  <si>
    <t>the sons room</t>
  </si>
  <si>
    <t>a passage to india</t>
  </si>
  <si>
    <t>grand hotel</t>
  </si>
  <si>
    <t>interiors</t>
  </si>
  <si>
    <t>blue jay</t>
  </si>
  <si>
    <t>phoenix</t>
  </si>
  <si>
    <t>the ultimate gift</t>
  </si>
  <si>
    <t>family ties</t>
  </si>
  <si>
    <t>shadowlands</t>
  </si>
  <si>
    <t>monsieur hulots holiday</t>
  </si>
  <si>
    <t>detour</t>
  </si>
  <si>
    <t>abbott and costello meet frankenstein</t>
  </si>
  <si>
    <t>the best of enemies</t>
  </si>
  <si>
    <t>red dog</t>
  </si>
  <si>
    <t>chinese take-away</t>
  </si>
  <si>
    <t>village of the damned</t>
  </si>
  <si>
    <t>ebb and tide</t>
  </si>
  <si>
    <t>killer inside the mind of aaron hernandez</t>
  </si>
  <si>
    <t>the man in the moon</t>
  </si>
  <si>
    <t>jin-roh the wolf brigade</t>
  </si>
  <si>
    <t>Animation, Drama, Sci-Fi</t>
  </si>
  <si>
    <t>a woman is a woman</t>
  </si>
  <si>
    <t>ben x</t>
  </si>
  <si>
    <t>the professionals</t>
  </si>
  <si>
    <t>justified city primeval</t>
  </si>
  <si>
    <t>motherland fort salem</t>
  </si>
  <si>
    <t>the lying game</t>
  </si>
  <si>
    <t>mona lisa</t>
  </si>
  <si>
    <t>h2o just add water</t>
  </si>
  <si>
    <t>outcast</t>
  </si>
  <si>
    <t>on the town</t>
  </si>
  <si>
    <t>i can only imagine</t>
  </si>
  <si>
    <t>black doves</t>
  </si>
  <si>
    <t>whats in a name?</t>
  </si>
  <si>
    <t>cartel land</t>
  </si>
  <si>
    <t>butterflies</t>
  </si>
  <si>
    <t>tess</t>
  </si>
  <si>
    <t>atlantic city</t>
  </si>
  <si>
    <t>pusher iii</t>
  </si>
  <si>
    <t>trade</t>
  </si>
  <si>
    <t>brickleberry</t>
  </si>
  <si>
    <t>13 tzameti</t>
  </si>
  <si>
    <t>holiday inn</t>
  </si>
  <si>
    <t>brigsby bear</t>
  </si>
  <si>
    <t>kiss of the spider woman</t>
  </si>
  <si>
    <t>a coffee in berlin</t>
  </si>
  <si>
    <t>twice born</t>
  </si>
  <si>
    <t>into the abyss</t>
  </si>
  <si>
    <t>the shadow in my eye</t>
  </si>
  <si>
    <t>dune prophecy</t>
  </si>
  <si>
    <t>young &amp; hungry</t>
  </si>
  <si>
    <t>entergalactic</t>
  </si>
  <si>
    <t>keep sweet pray and obey</t>
  </si>
  <si>
    <t>café de flore</t>
  </si>
  <si>
    <t>telling tales</t>
  </si>
  <si>
    <t>tosh.0</t>
  </si>
  <si>
    <t>read my lips</t>
  </si>
  <si>
    <t>bala</t>
  </si>
  <si>
    <t>psycho raman</t>
  </si>
  <si>
    <t>the last metro</t>
  </si>
  <si>
    <t>our friend</t>
  </si>
  <si>
    <t>reprise</t>
  </si>
  <si>
    <t>chowder</t>
  </si>
  <si>
    <t>beau travail</t>
  </si>
  <si>
    <t>61 days</t>
  </si>
  <si>
    <t>gadar ek prem katha</t>
  </si>
  <si>
    <t>the edge of democracy</t>
  </si>
  <si>
    <t>richard iii</t>
  </si>
  <si>
    <t>Drama, Sci-Fi, War</t>
  </si>
  <si>
    <t>the front page</t>
  </si>
  <si>
    <t>polisse</t>
  </si>
  <si>
    <t>elena</t>
  </si>
  <si>
    <t>bad boy bubby</t>
  </si>
  <si>
    <t>darling in the franxx</t>
  </si>
  <si>
    <t>faking it</t>
  </si>
  <si>
    <t>the killing of a chinese bookie</t>
  </si>
  <si>
    <t>coming home</t>
  </si>
  <si>
    <t>midnight, texas</t>
  </si>
  <si>
    <t>hope and glory</t>
  </si>
  <si>
    <t>mithya</t>
  </si>
  <si>
    <t>gold</t>
  </si>
  <si>
    <t>graduation</t>
  </si>
  <si>
    <t>clark</t>
  </si>
  <si>
    <t>secret diary of a call girl</t>
  </si>
  <si>
    <t>summer storm</t>
  </si>
  <si>
    <t>becker</t>
  </si>
  <si>
    <t>desert flower</t>
  </si>
  <si>
    <t>watch out, were mad</t>
  </si>
  <si>
    <t>six</t>
  </si>
  <si>
    <t>labyrinth of lies</t>
  </si>
  <si>
    <t>truman</t>
  </si>
  <si>
    <t>self made inspired by the life of madam c.j. walker</t>
  </si>
  <si>
    <t>crossing lines</t>
  </si>
  <si>
    <t>the lodger a story of the london fog</t>
  </si>
  <si>
    <t>the collini case</t>
  </si>
  <si>
    <t>written on the wind</t>
  </si>
  <si>
    <t>la chimera</t>
  </si>
  <si>
    <t>gyeongseong creature</t>
  </si>
  <si>
    <t>deadwind</t>
  </si>
  <si>
    <t>topsy-turvy</t>
  </si>
  <si>
    <t>mardaani</t>
  </si>
  <si>
    <t>batman caped crusader</t>
  </si>
  <si>
    <t>ten inch hero</t>
  </si>
  <si>
    <t>let the bullets fly</t>
  </si>
  <si>
    <t>run silent run deep</t>
  </si>
  <si>
    <t>london files</t>
  </si>
  <si>
    <t>mrs. davis</t>
  </si>
  <si>
    <t>unsolved mysteries</t>
  </si>
  <si>
    <t>shock corridor</t>
  </si>
  <si>
    <t>united</t>
  </si>
  <si>
    <t>my hero academia two heroes</t>
  </si>
  <si>
    <t>maine pyar kiya</t>
  </si>
  <si>
    <t>white gold</t>
  </si>
  <si>
    <t>42nd street</t>
  </si>
  <si>
    <t>physical</t>
  </si>
  <si>
    <t>snake in the eagles shadow</t>
  </si>
  <si>
    <t>race gurram</t>
  </si>
  <si>
    <t>the parade</t>
  </si>
  <si>
    <t>waterloo</t>
  </si>
  <si>
    <t>norma rae</t>
  </si>
  <si>
    <t>knock down the house</t>
  </si>
  <si>
    <t>good witch</t>
  </si>
  <si>
    <t>sorry, wrong number</t>
  </si>
  <si>
    <t>the naked spur</t>
  </si>
  <si>
    <t>mommy dead and dearest</t>
  </si>
  <si>
    <t>the selfish giant</t>
  </si>
  <si>
    <t>journey to italy</t>
  </si>
  <si>
    <t>the long, hot summer</t>
  </si>
  <si>
    <t>father goose</t>
  </si>
  <si>
    <t>metropolitan</t>
  </si>
  <si>
    <t>lust for life</t>
  </si>
  <si>
    <t>palm trees in the snow</t>
  </si>
  <si>
    <t>the wanderers</t>
  </si>
  <si>
    <t>heaven can wait</t>
  </si>
  <si>
    <t>houdini</t>
  </si>
  <si>
    <t>the man with the golden arm</t>
  </si>
  <si>
    <t>ronia the robbers daughter</t>
  </si>
  <si>
    <t>tender mercies</t>
  </si>
  <si>
    <t>paper girls</t>
  </si>
  <si>
    <t>christmas in connecticut</t>
  </si>
  <si>
    <t>the man from laramie</t>
  </si>
  <si>
    <t>fullmetal alchemist the movie conqueror of shamballa</t>
  </si>
  <si>
    <t>american rust</t>
  </si>
  <si>
    <t>lost in la mancha</t>
  </si>
  <si>
    <t>whats new, scooby-doo?</t>
  </si>
  <si>
    <t>tell me your secrets</t>
  </si>
  <si>
    <t>daydreamer</t>
  </si>
  <si>
    <t>my favorite wife</t>
  </si>
  <si>
    <t>monsieur ibrahim</t>
  </si>
  <si>
    <t>soaked in bleach</t>
  </si>
  <si>
    <t>the misfortunates</t>
  </si>
  <si>
    <t>the spiral staircase</t>
  </si>
  <si>
    <t>too old to die young</t>
  </si>
  <si>
    <t>the monster</t>
  </si>
  <si>
    <t>the plot against america</t>
  </si>
  <si>
    <t>samantha who?</t>
  </si>
  <si>
    <t>the snow walker</t>
  </si>
  <si>
    <t>shogun assassin</t>
  </si>
  <si>
    <t>bonanza</t>
  </si>
  <si>
    <t>wolf like me</t>
  </si>
  <si>
    <t>ancient apocalypse</t>
  </si>
  <si>
    <t>dont worry, im fine</t>
  </si>
  <si>
    <t>the beverly hillbillies</t>
  </si>
  <si>
    <t>better than us</t>
  </si>
  <si>
    <t>easter parade</t>
  </si>
  <si>
    <t>Musical, Romance</t>
  </si>
  <si>
    <t>dollface</t>
  </si>
  <si>
    <t>in darkness</t>
  </si>
  <si>
    <t>ishqiya</t>
  </si>
  <si>
    <t>gunda</t>
  </si>
  <si>
    <t>the beast of war</t>
  </si>
  <si>
    <t>la chèvre</t>
  </si>
  <si>
    <t>vaathi</t>
  </si>
  <si>
    <t>gangsters paradise jerusalema</t>
  </si>
  <si>
    <t>shanghai express</t>
  </si>
  <si>
    <t>Adventure, Drama, Film-Noir</t>
  </si>
  <si>
    <t>pauline at the beach</t>
  </si>
  <si>
    <t>dasavatharam</t>
  </si>
  <si>
    <t>endless love</t>
  </si>
  <si>
    <t>once upon a time in china ii</t>
  </si>
  <si>
    <t>taxi no. 9 2 11 nau do gyarah</t>
  </si>
  <si>
    <t>hilary and jackie</t>
  </si>
  <si>
    <t>ragtime</t>
  </si>
  <si>
    <t>the man who fell to earth</t>
  </si>
  <si>
    <t>we are the nobles</t>
  </si>
  <si>
    <t>my favorite year</t>
  </si>
  <si>
    <t>bread and tulips</t>
  </si>
  <si>
    <t>divines</t>
  </si>
  <si>
    <t>in harms way</t>
  </si>
  <si>
    <t>jane by design</t>
  </si>
  <si>
    <t>the body snatcher</t>
  </si>
  <si>
    <t>mardaani 2</t>
  </si>
  <si>
    <t>bunny lake is missing</t>
  </si>
  <si>
    <t>bully</t>
  </si>
  <si>
    <t>baptiste</t>
  </si>
  <si>
    <t>batman the brave and the bold</t>
  </si>
  <si>
    <t>yennai arindhaal</t>
  </si>
  <si>
    <t>patema inverted</t>
  </si>
  <si>
    <t>dogfight</t>
  </si>
  <si>
    <t>mrs. chatterjee vs. norway</t>
  </si>
  <si>
    <t>dear comrade</t>
  </si>
  <si>
    <t>nil by mouth</t>
  </si>
  <si>
    <t>mortal kombat legacy</t>
  </si>
  <si>
    <t>mr. pickles</t>
  </si>
  <si>
    <t>Animation, Comedy, Horror</t>
  </si>
  <si>
    <t>the in-laws</t>
  </si>
  <si>
    <t>the scent of green papaya</t>
  </si>
  <si>
    <t>love for rent</t>
  </si>
  <si>
    <t>on my skin the last seven days of stefano cucchi</t>
  </si>
  <si>
    <t>midnight runners</t>
  </si>
  <si>
    <t>talk to me</t>
  </si>
  <si>
    <t>the ignorant fairies</t>
  </si>
  <si>
    <t>remington steele</t>
  </si>
  <si>
    <t>jl50</t>
  </si>
  <si>
    <t>conversations with a killer the jeffrey dahmer tapes</t>
  </si>
  <si>
    <t>the dead zone</t>
  </si>
  <si>
    <t>defying gravity</t>
  </si>
  <si>
    <t>we are who we are</t>
  </si>
  <si>
    <t>red sorghum</t>
  </si>
  <si>
    <t>attarintiki daredi</t>
  </si>
  <si>
    <t>crossfire</t>
  </si>
  <si>
    <t>the glenn miller story</t>
  </si>
  <si>
    <t>the hunger games</t>
  </si>
  <si>
    <t>i am legend</t>
  </si>
  <si>
    <t>ant-man</t>
  </si>
  <si>
    <t>Action, Comedy, Sci-Fi</t>
  </si>
  <si>
    <t>now you see me</t>
  </si>
  <si>
    <t>the matrix reloaded</t>
  </si>
  <si>
    <t>dont look up</t>
  </si>
  <si>
    <t>21 jump street</t>
  </si>
  <si>
    <t>the great gatsby</t>
  </si>
  <si>
    <t>fantastic beasts and where to find them</t>
  </si>
  <si>
    <t>american hustle</t>
  </si>
  <si>
    <t>the equalizer</t>
  </si>
  <si>
    <t>the menu</t>
  </si>
  <si>
    <t>Comedy, Horror, Thriller</t>
  </si>
  <si>
    <t>the suicide squad</t>
  </si>
  <si>
    <t>monsters university</t>
  </si>
  <si>
    <t>10 cloverfield lane</t>
  </si>
  <si>
    <t>notting hill</t>
  </si>
  <si>
    <t>from dusk till dawn</t>
  </si>
  <si>
    <t>Action, Crime, Horror</t>
  </si>
  <si>
    <t>the man from u.n.c.l.e.</t>
  </si>
  <si>
    <t>school of rock</t>
  </si>
  <si>
    <t>8 mile</t>
  </si>
  <si>
    <t>a.i. artificial intelligence</t>
  </si>
  <si>
    <t>insomnia</t>
  </si>
  <si>
    <t>a bugs life</t>
  </si>
  <si>
    <t>finding dory</t>
  </si>
  <si>
    <t>grease</t>
  </si>
  <si>
    <t>the patriot</t>
  </si>
  <si>
    <t>red dragon</t>
  </si>
  <si>
    <t>a quiet place part ii</t>
  </si>
  <si>
    <t>goldeneye</t>
  </si>
  <si>
    <t>encanto</t>
  </si>
  <si>
    <t>meet joe black</t>
  </si>
  <si>
    <t>rocknrolla</t>
  </si>
  <si>
    <t>the road</t>
  </si>
  <si>
    <t>natural born killers</t>
  </si>
  <si>
    <t>Crime, Romance</t>
  </si>
  <si>
    <t>lawless</t>
  </si>
  <si>
    <t>the descent</t>
  </si>
  <si>
    <t>Adventure, Horror, Thriller</t>
  </si>
  <si>
    <t>the passion of the christ</t>
  </si>
  <si>
    <t>the fountain</t>
  </si>
  <si>
    <t>dungeons &amp; dragons honor among thieves</t>
  </si>
  <si>
    <t>chicago</t>
  </si>
  <si>
    <t>Comedy, Crime, Musical</t>
  </si>
  <si>
    <t>closer</t>
  </si>
  <si>
    <t>fracture</t>
  </si>
  <si>
    <t>the darjeeling limited</t>
  </si>
  <si>
    <t>the life aquatic with steve zissou</t>
  </si>
  <si>
    <t>the age of adaline</t>
  </si>
  <si>
    <t>chocolat</t>
  </si>
  <si>
    <t>ronin</t>
  </si>
  <si>
    <t>rise of the guardians</t>
  </si>
  <si>
    <t>the book of boba fett</t>
  </si>
  <si>
    <t>the bank job</t>
  </si>
  <si>
    <t>unbroken</t>
  </si>
  <si>
    <t>the founder</t>
  </si>
  <si>
    <t>dr. no</t>
  </si>
  <si>
    <t>steve jobs</t>
  </si>
  <si>
    <t>team america world police</t>
  </si>
  <si>
    <t>bridge to terabithia</t>
  </si>
  <si>
    <t>michael clayton</t>
  </si>
  <si>
    <t>the virgin suicides</t>
  </si>
  <si>
    <t>the princess and the frog</t>
  </si>
  <si>
    <t>the ballad of buster scruggs</t>
  </si>
  <si>
    <t>the ghost writer</t>
  </si>
  <si>
    <t>war horse</t>
  </si>
  <si>
    <t>the lost boys</t>
  </si>
  <si>
    <t>vice</t>
  </si>
  <si>
    <t>the post</t>
  </si>
  <si>
    <t>sleeping beauty</t>
  </si>
  <si>
    <t>cold mountain</t>
  </si>
  <si>
    <t>big trouble in little china</t>
  </si>
  <si>
    <t>tremors</t>
  </si>
  <si>
    <t>coherence</t>
  </si>
  <si>
    <t>we were soldiers</t>
  </si>
  <si>
    <t>they live</t>
  </si>
  <si>
    <t>Action, Horror, Sci-Fi</t>
  </si>
  <si>
    <t>the prince of egypt</t>
  </si>
  <si>
    <t>chasing amy</t>
  </si>
  <si>
    <t>dumbo</t>
  </si>
  <si>
    <t>luke cage</t>
  </si>
  <si>
    <t>the wheel of time</t>
  </si>
  <si>
    <t>where the crawdads sing</t>
  </si>
  <si>
    <t>an education</t>
  </si>
  <si>
    <t>treasure planet</t>
  </si>
  <si>
    <t>about schmidt</t>
  </si>
  <si>
    <t>willow</t>
  </si>
  <si>
    <t>caddyshack</t>
  </si>
  <si>
    <t>friday</t>
  </si>
  <si>
    <t>men of honor</t>
  </si>
  <si>
    <t>silence</t>
  </si>
  <si>
    <t>pay it forward</t>
  </si>
  <si>
    <t>mean streets</t>
  </si>
  <si>
    <t>the butler</t>
  </si>
  <si>
    <t>fences</t>
  </si>
  <si>
    <t>easy rider</t>
  </si>
  <si>
    <t>the defenders</t>
  </si>
  <si>
    <t>born on the fourth of july</t>
  </si>
  <si>
    <t>in the line of fire</t>
  </si>
  <si>
    <t>the full monty</t>
  </si>
  <si>
    <t>super size me</t>
  </si>
  <si>
    <t>only lovers left alive</t>
  </si>
  <si>
    <t>st. vincent</t>
  </si>
  <si>
    <t>election</t>
  </si>
  <si>
    <t>videodrome</t>
  </si>
  <si>
    <t>ruby sparks</t>
  </si>
  <si>
    <t>the spongebob squarepants movie</t>
  </si>
  <si>
    <t>the fox and the hound</t>
  </si>
  <si>
    <t>the birdcage</t>
  </si>
  <si>
    <t>wild at heart</t>
  </si>
  <si>
    <t>the best exotic marigold hotel</t>
  </si>
  <si>
    <t>the doors</t>
  </si>
  <si>
    <t>hostiles</t>
  </si>
  <si>
    <t>angel heart</t>
  </si>
  <si>
    <t>august osage county</t>
  </si>
  <si>
    <t>gosford park</t>
  </si>
  <si>
    <t>belfast</t>
  </si>
  <si>
    <t>crazy heart</t>
  </si>
  <si>
    <t>beginners</t>
  </si>
  <si>
    <t>elite</t>
  </si>
  <si>
    <t>charmed</t>
  </si>
  <si>
    <t>frailty</t>
  </si>
  <si>
    <t>arlington road</t>
  </si>
  <si>
    <t>stuck in love.</t>
  </si>
  <si>
    <t>harry brown</t>
  </si>
  <si>
    <t>a beautiful day in the neighborhood</t>
  </si>
  <si>
    <t>enter the void</t>
  </si>
  <si>
    <t>dope</t>
  </si>
  <si>
    <t>swingers</t>
  </si>
  <si>
    <t>spirit stallion of the cimarron</t>
  </si>
  <si>
    <t>five feet apart</t>
  </si>
  <si>
    <t>the hudsucker proxy</t>
  </si>
  <si>
    <t>christopher robin</t>
  </si>
  <si>
    <t>beasts of the southern wild</t>
  </si>
  <si>
    <t>the rainmaker</t>
  </si>
  <si>
    <t>manhunter</t>
  </si>
  <si>
    <t>star trek vi the undiscovered country</t>
  </si>
  <si>
    <t>a dogs purpose</t>
  </si>
  <si>
    <t>behind her eyes</t>
  </si>
  <si>
    <t>ringu</t>
  </si>
  <si>
    <t>the book of life</t>
  </si>
  <si>
    <t>strange days</t>
  </si>
  <si>
    <t>major league</t>
  </si>
  <si>
    <t>the outfit</t>
  </si>
  <si>
    <t>the courier</t>
  </si>
  <si>
    <t>Drama, History, Mystery</t>
  </si>
  <si>
    <t>go</t>
  </si>
  <si>
    <t>anomalisa</t>
  </si>
  <si>
    <t>in the valley of elah</t>
  </si>
  <si>
    <t>disenchantment</t>
  </si>
  <si>
    <t>top secret!</t>
  </si>
  <si>
    <t>Comedy, Crime, Music</t>
  </si>
  <si>
    <t>paris, je taime</t>
  </si>
  <si>
    <t>re-animator</t>
  </si>
  <si>
    <t>moonstruck</t>
  </si>
  <si>
    <t>the science of sleep</t>
  </si>
  <si>
    <t>murder on the orient express</t>
  </si>
  <si>
    <t>teenage mutant ninja turtles mutant mayhem</t>
  </si>
  <si>
    <t>the age of innocence</t>
  </si>
  <si>
    <t>force majeure</t>
  </si>
  <si>
    <t>magnum force</t>
  </si>
  <si>
    <t>the young victoria</t>
  </si>
  <si>
    <t>shallow grave</t>
  </si>
  <si>
    <t>wonder boys</t>
  </si>
  <si>
    <t>a river runs through it</t>
  </si>
  <si>
    <t>dolemite is my name</t>
  </si>
  <si>
    <t>leo</t>
  </si>
  <si>
    <t>agatha all along</t>
  </si>
  <si>
    <t>the man who knew infinity</t>
  </si>
  <si>
    <t>clickbait</t>
  </si>
  <si>
    <t>the light between oceans</t>
  </si>
  <si>
    <t>the crying game</t>
  </si>
  <si>
    <t>sex, lies, and videotape</t>
  </si>
  <si>
    <t>wristcutters a love story</t>
  </si>
  <si>
    <t>quills</t>
  </si>
  <si>
    <t>anthropoid</t>
  </si>
  <si>
    <t>safe</t>
  </si>
  <si>
    <t>dead ringers</t>
  </si>
  <si>
    <t>rab ne bana di jodi</t>
  </si>
  <si>
    <t>the hitcher</t>
  </si>
  <si>
    <t>chor nikal ke bhaga</t>
  </si>
  <si>
    <t>hunters</t>
  </si>
  <si>
    <t>fyre</t>
  </si>
  <si>
    <t>Crime, Documentary, Music</t>
  </si>
  <si>
    <t>the report</t>
  </si>
  <si>
    <t>the professor and the madman</t>
  </si>
  <si>
    <t>the witcher nightmare of the wolf</t>
  </si>
  <si>
    <t>the italian job</t>
  </si>
  <si>
    <t>silverado</t>
  </si>
  <si>
    <t>home improvement</t>
  </si>
  <si>
    <t>mongol the rise of genghis khan</t>
  </si>
  <si>
    <t>glory road</t>
  </si>
  <si>
    <t>a room with a view</t>
  </si>
  <si>
    <t>the fairly oddparents</t>
  </si>
  <si>
    <t>sleep tight</t>
  </si>
  <si>
    <t>conviction</t>
  </si>
  <si>
    <t>arizona dream</t>
  </si>
  <si>
    <t>talaash the answer lies within</t>
  </si>
  <si>
    <t>fahrenheit 451</t>
  </si>
  <si>
    <t>the siege of jadotville</t>
  </si>
  <si>
    <t>griselda</t>
  </si>
  <si>
    <t>dirty pretty things</t>
  </si>
  <si>
    <t>the sessions</t>
  </si>
  <si>
    <t>bitter moon</t>
  </si>
  <si>
    <t>the wife</t>
  </si>
  <si>
    <t>broken embraces</t>
  </si>
  <si>
    <t>the transformers the movie</t>
  </si>
  <si>
    <t>muriels wedding</t>
  </si>
  <si>
    <t>slap shot</t>
  </si>
  <si>
    <t>the physician</t>
  </si>
  <si>
    <t>this is it</t>
  </si>
  <si>
    <t>the way of the dragon</t>
  </si>
  <si>
    <t>drugstore cowboy</t>
  </si>
  <si>
    <t>honey boy</t>
  </si>
  <si>
    <t>the andromeda strain</t>
  </si>
  <si>
    <t>soul kitchen</t>
  </si>
  <si>
    <t>the continental</t>
  </si>
  <si>
    <t>stan &amp; ollie</t>
  </si>
  <si>
    <t>johnny bravo</t>
  </si>
  <si>
    <t>good luck to you, leo grande</t>
  </si>
  <si>
    <t>legacies</t>
  </si>
  <si>
    <t>the gifted</t>
  </si>
  <si>
    <t>the good the bad the weird</t>
  </si>
  <si>
    <t>an american crime</t>
  </si>
  <si>
    <t>20,000 leagues under the sea</t>
  </si>
  <si>
    <t>me and you and everyone we know</t>
  </si>
  <si>
    <t>the tomorrow people</t>
  </si>
  <si>
    <t>marshland</t>
  </si>
  <si>
    <t>sweet and lowdown</t>
  </si>
  <si>
    <t>s.w.a.t.</t>
  </si>
  <si>
    <t>sweet home</t>
  </si>
  <si>
    <t>living</t>
  </si>
  <si>
    <t>wish dragon</t>
  </si>
  <si>
    <t>fist of fury</t>
  </si>
  <si>
    <t>american murder the family next door</t>
  </si>
  <si>
    <t>runaway train</t>
  </si>
  <si>
    <t>department q the keeper of lost causes</t>
  </si>
  <si>
    <t>somewhere in time</t>
  </si>
  <si>
    <t>kim possible</t>
  </si>
  <si>
    <t>mask</t>
  </si>
  <si>
    <t>suburgatory</t>
  </si>
  <si>
    <t>the end of the tour</t>
  </si>
  <si>
    <t>the wolf man</t>
  </si>
  <si>
    <t>Horror, Mystery, Romance</t>
  </si>
  <si>
    <t>el topo</t>
  </si>
  <si>
    <t>django</t>
  </si>
  <si>
    <t>take the money and run</t>
  </si>
  <si>
    <t>pump up the volume</t>
  </si>
  <si>
    <t>tsotsi</t>
  </si>
  <si>
    <t>barbarians</t>
  </si>
  <si>
    <t>secretariat</t>
  </si>
  <si>
    <t>vanishing point</t>
  </si>
  <si>
    <t>testament of youth</t>
  </si>
  <si>
    <t>what the health</t>
  </si>
  <si>
    <t>dogman</t>
  </si>
  <si>
    <t>murder, she wrote</t>
  </si>
  <si>
    <t>peaceful warrior</t>
  </si>
  <si>
    <t>speak</t>
  </si>
  <si>
    <t>a mighty wind</t>
  </si>
  <si>
    <t>alphas</t>
  </si>
  <si>
    <t>strictly ballroom</t>
  </si>
  <si>
    <t>chucky</t>
  </si>
  <si>
    <t>horror of dracula</t>
  </si>
  <si>
    <t>the secret life of bees</t>
  </si>
  <si>
    <t>the brave little toaster</t>
  </si>
  <si>
    <t>jolly llb 2</t>
  </si>
  <si>
    <t>a fantastic woman</t>
  </si>
  <si>
    <t>certified copy</t>
  </si>
  <si>
    <t>death and the maiden</t>
  </si>
  <si>
    <t>cat people</t>
  </si>
  <si>
    <t>Fantasy, Horror, Thriller</t>
  </si>
  <si>
    <t>the spanish prisoner</t>
  </si>
  <si>
    <t>state of grace</t>
  </si>
  <si>
    <t>dynasty</t>
  </si>
  <si>
    <t>birdy</t>
  </si>
  <si>
    <t>manderlay</t>
  </si>
  <si>
    <t>the green butchers</t>
  </si>
  <si>
    <t>them!</t>
  </si>
  <si>
    <t>breakfast on pluto</t>
  </si>
  <si>
    <t>love &amp; basketball</t>
  </si>
  <si>
    <t>the parent trap</t>
  </si>
  <si>
    <t>house of games</t>
  </si>
  <si>
    <t>stardust memories</t>
  </si>
  <si>
    <t>le havre</t>
  </si>
  <si>
    <t>royal pains</t>
  </si>
  <si>
    <t>hitler the rise of evil</t>
  </si>
  <si>
    <t>the misfits</t>
  </si>
  <si>
    <t>i confess</t>
  </si>
  <si>
    <t>killjoys</t>
  </si>
  <si>
    <t>toilet a love story</t>
  </si>
  <si>
    <t>minamata</t>
  </si>
  <si>
    <t>hung</t>
  </si>
  <si>
    <t>codename kids next door</t>
  </si>
  <si>
    <t>hells kitchen</t>
  </si>
  <si>
    <t>armour of god 2 operation condor</t>
  </si>
  <si>
    <t>the express</t>
  </si>
  <si>
    <t>eight men out</t>
  </si>
  <si>
    <t>private life</t>
  </si>
  <si>
    <t>russian ark</t>
  </si>
  <si>
    <t>mulk</t>
  </si>
  <si>
    <t>defending your life</t>
  </si>
  <si>
    <t>the smurfs</t>
  </si>
  <si>
    <t>pat garrett &amp; billy the kid</t>
  </si>
  <si>
    <t>Biography, Drama, Western</t>
  </si>
  <si>
    <t>glitch</t>
  </si>
  <si>
    <t>an officer and a spy</t>
  </si>
  <si>
    <t>columbus</t>
  </si>
  <si>
    <t>danny phantom</t>
  </si>
  <si>
    <t>tape</t>
  </si>
  <si>
    <t>quadrophenia</t>
  </si>
  <si>
    <t>brassed off</t>
  </si>
  <si>
    <t>in your name</t>
  </si>
  <si>
    <t>first they killed my father</t>
  </si>
  <si>
    <t>batman the long halloween, part one</t>
  </si>
  <si>
    <t>fahrenheit 11/9</t>
  </si>
  <si>
    <t>its all gone pete tong</t>
  </si>
  <si>
    <t>the beat that my heart skipped</t>
  </si>
  <si>
    <t>merry christmas mr. lawrence</t>
  </si>
  <si>
    <t>lantana</t>
  </si>
  <si>
    <t>once upon a time in china</t>
  </si>
  <si>
    <t>the great race</t>
  </si>
  <si>
    <t>flame &amp; citron</t>
  </si>
  <si>
    <t>the tale</t>
  </si>
  <si>
    <t>along with the gods the two worlds</t>
  </si>
  <si>
    <t>infernal affairs ii</t>
  </si>
  <si>
    <t>raat akeli hai</t>
  </si>
  <si>
    <t>love likes coincidences</t>
  </si>
  <si>
    <t>she wore a yellow ribbon</t>
  </si>
  <si>
    <t>scarecrow</t>
  </si>
  <si>
    <t>the beguiled</t>
  </si>
  <si>
    <t>polytechnique</t>
  </si>
  <si>
    <t>platonic</t>
  </si>
  <si>
    <t>animal farm</t>
  </si>
  <si>
    <t>babyteeth</t>
  </si>
  <si>
    <t>reversal of fortune</t>
  </si>
  <si>
    <t>il divo</t>
  </si>
  <si>
    <t>the chair</t>
  </si>
  <si>
    <t>electric dreams</t>
  </si>
  <si>
    <t>nightwatch</t>
  </si>
  <si>
    <t>project a</t>
  </si>
  <si>
    <t>children of a lesser god</t>
  </si>
  <si>
    <t>mystery science theater 3000 the movie</t>
  </si>
  <si>
    <t>the madness of king george</t>
  </si>
  <si>
    <t>ponniyin selvan part two</t>
  </si>
  <si>
    <t>the cincinnati kid</t>
  </si>
  <si>
    <t>band baaja baaraat</t>
  </si>
  <si>
    <t>the bothersome man</t>
  </si>
  <si>
    <t>highlander</t>
  </si>
  <si>
    <t>pawn stars</t>
  </si>
  <si>
    <t>angrezi medium</t>
  </si>
  <si>
    <t>born into brothels calcuttas red light kids</t>
  </si>
  <si>
    <t>gentlemans agreement</t>
  </si>
  <si>
    <t>the ipcress file</t>
  </si>
  <si>
    <t>death note the last name</t>
  </si>
  <si>
    <t>trinity is still my name</t>
  </si>
  <si>
    <t>cross</t>
  </si>
  <si>
    <t>bedevilled</t>
  </si>
  <si>
    <t>absentia</t>
  </si>
  <si>
    <t>batman the long halloween, part two</t>
  </si>
  <si>
    <t>bad boys</t>
  </si>
  <si>
    <t>girl</t>
  </si>
  <si>
    <t>the dish</t>
  </si>
  <si>
    <t>dheepan</t>
  </si>
  <si>
    <t>a hard day</t>
  </si>
  <si>
    <t>starbuck</t>
  </si>
  <si>
    <t>based on a true story</t>
  </si>
  <si>
    <t>black box</t>
  </si>
  <si>
    <t>a better life</t>
  </si>
  <si>
    <t>breakout kings</t>
  </si>
  <si>
    <t>city of men</t>
  </si>
  <si>
    <t>under the bridge</t>
  </si>
  <si>
    <t>barbara</t>
  </si>
  <si>
    <t>operation petticoat</t>
  </si>
  <si>
    <t>pyaar ka punchnama 2</t>
  </si>
  <si>
    <t>of gods and men</t>
  </si>
  <si>
    <t>till</t>
  </si>
  <si>
    <t>compartment number 6</t>
  </si>
  <si>
    <t>tin star</t>
  </si>
  <si>
    <t>utoya july 22</t>
  </si>
  <si>
    <t>the angry beavers</t>
  </si>
  <si>
    <t>el cid</t>
  </si>
  <si>
    <t>daisies</t>
  </si>
  <si>
    <t>neon genesis evangelion death &amp; rebirth</t>
  </si>
  <si>
    <t>the fortune cookie</t>
  </si>
  <si>
    <t>mrs. brown</t>
  </si>
  <si>
    <t>primeval</t>
  </si>
  <si>
    <t>to the lake</t>
  </si>
  <si>
    <t>paddleton</t>
  </si>
  <si>
    <t>old yeller</t>
  </si>
  <si>
    <t>children of dune</t>
  </si>
  <si>
    <t>the inventor out for blood in silicon valley</t>
  </si>
  <si>
    <t>berlin calling</t>
  </si>
  <si>
    <t>another woman</t>
  </si>
  <si>
    <t>rams</t>
  </si>
  <si>
    <t>broken</t>
  </si>
  <si>
    <t>the late show with stephen colbert</t>
  </si>
  <si>
    <t>amen.</t>
  </si>
  <si>
    <t>educating rita</t>
  </si>
  <si>
    <t>the apostle</t>
  </si>
  <si>
    <t>three pines</t>
  </si>
  <si>
    <t>lâge dor</t>
  </si>
  <si>
    <t>ittefaq</t>
  </si>
  <si>
    <t>talk radio</t>
  </si>
  <si>
    <t>little caesar</t>
  </si>
  <si>
    <t>ultimate spider-man</t>
  </si>
  <si>
    <t>asterix and cleopatra</t>
  </si>
  <si>
    <t>wild bill</t>
  </si>
  <si>
    <t>table no. 21</t>
  </si>
  <si>
    <t>the new adventures of old christine</t>
  </si>
  <si>
    <t>words on bathroom walls</t>
  </si>
  <si>
    <t>angst</t>
  </si>
  <si>
    <t>nh 10</t>
  </si>
  <si>
    <t>kevin can f**k himself</t>
  </si>
  <si>
    <t>the mighty</t>
  </si>
  <si>
    <t>the other side of hope</t>
  </si>
  <si>
    <t>rye lane</t>
  </si>
  <si>
    <t>te3n</t>
  </si>
  <si>
    <t>garfield and friends</t>
  </si>
  <si>
    <t>two-lane blacktop</t>
  </si>
  <si>
    <t>loose cannons</t>
  </si>
  <si>
    <t>human capital</t>
  </si>
  <si>
    <t>the forest</t>
  </si>
  <si>
    <t>his three daughters</t>
  </si>
  <si>
    <t>memoir of a murderer</t>
  </si>
  <si>
    <t>d.o.a.</t>
  </si>
  <si>
    <t>julius caesar</t>
  </si>
  <si>
    <t>heroic losers</t>
  </si>
  <si>
    <t>pamela a love story</t>
  </si>
  <si>
    <t>mork &amp; mindy</t>
  </si>
  <si>
    <t>common wealth</t>
  </si>
  <si>
    <t>gunga din</t>
  </si>
  <si>
    <t>mr. blandings builds his dream house</t>
  </si>
  <si>
    <t>selfie</t>
  </si>
  <si>
    <t>mother and child</t>
  </si>
  <si>
    <t>the uninvited</t>
  </si>
  <si>
    <t>shadows</t>
  </si>
  <si>
    <t>smoke signals</t>
  </si>
  <si>
    <t>aaahh!!! real monsters</t>
  </si>
  <si>
    <t>viva zapata!</t>
  </si>
  <si>
    <t>chapelwaite</t>
  </si>
  <si>
    <t>batla house</t>
  </si>
  <si>
    <t>the passage</t>
  </si>
  <si>
    <t>flaked</t>
  </si>
  <si>
    <t>kaam chalu hai</t>
  </si>
  <si>
    <t>modigliani</t>
  </si>
  <si>
    <t>the wing or the thigh?</t>
  </si>
  <si>
    <t>the 8 show</t>
  </si>
  <si>
    <t>rashmi rocket</t>
  </si>
  <si>
    <t>around the world in 80 days</t>
  </si>
  <si>
    <t>Adventure, Comedy, History</t>
  </si>
  <si>
    <t>no one killed jessica</t>
  </si>
  <si>
    <t>beanpole</t>
  </si>
  <si>
    <t>hard times</t>
  </si>
  <si>
    <t>the bay</t>
  </si>
  <si>
    <t>salyut-7</t>
  </si>
  <si>
    <t>apollo 10½ a space age childhood</t>
  </si>
  <si>
    <t>the frankenstein chronicles</t>
  </si>
  <si>
    <t>channel zero</t>
  </si>
  <si>
    <t>ghulam</t>
  </si>
  <si>
    <t>dirty sexy money</t>
  </si>
  <si>
    <t>muhammad the messenger of god</t>
  </si>
  <si>
    <t>cactus flower</t>
  </si>
  <si>
    <t>mad tv</t>
  </si>
  <si>
    <t>la cage aux folles</t>
  </si>
  <si>
    <t>ordeal by innocence</t>
  </si>
  <si>
    <t>champions</t>
  </si>
  <si>
    <t>spare parts</t>
  </si>
  <si>
    <t>avanti!</t>
  </si>
  <si>
    <t>lammbock</t>
  </si>
  <si>
    <t>eves bayou</t>
  </si>
  <si>
    <t>facing windows</t>
  </si>
  <si>
    <t>business man</t>
  </si>
  <si>
    <t>johnny stecchino</t>
  </si>
  <si>
    <t>a soldiers story</t>
  </si>
  <si>
    <t>savior</t>
  </si>
  <si>
    <t>theeb</t>
  </si>
  <si>
    <t>a better tomorrow ii</t>
  </si>
  <si>
    <t>the thing about pam</t>
  </si>
  <si>
    <t>the war zone</t>
  </si>
  <si>
    <t>rescued by ruby</t>
  </si>
  <si>
    <t>the draughtsmans contract</t>
  </si>
  <si>
    <t>the warrior</t>
  </si>
  <si>
    <t>broken blossoms</t>
  </si>
  <si>
    <t>calamity jane</t>
  </si>
  <si>
    <t>rurouni kenshin final chapter part i - the final</t>
  </si>
  <si>
    <t>tai chi master</t>
  </si>
  <si>
    <t>the man in the white suit</t>
  </si>
  <si>
    <t>dallas</t>
  </si>
  <si>
    <t>grand prix</t>
  </si>
  <si>
    <t>tere bin laden</t>
  </si>
  <si>
    <t>cuckoo</t>
  </si>
  <si>
    <t>street fighter assassins fist</t>
  </si>
  <si>
    <t>the ballad of cable hogue</t>
  </si>
  <si>
    <t>the gilded cage</t>
  </si>
  <si>
    <t>the yakuza</t>
  </si>
  <si>
    <t>the memory of a killer</t>
  </si>
  <si>
    <t>fat city</t>
  </si>
  <si>
    <t>shanghai</t>
  </si>
  <si>
    <t>ghost adventures</t>
  </si>
  <si>
    <t>Documentary, History, Reality-TV</t>
  </si>
  <si>
    <t>the bride wore black</t>
  </si>
  <si>
    <t>sweetpea</t>
  </si>
  <si>
    <t>the taste of others</t>
  </si>
  <si>
    <t>branded to kill</t>
  </si>
  <si>
    <t>yesterday, today and tomorrow</t>
  </si>
  <si>
    <t>surface</t>
  </si>
  <si>
    <t>we are legion the story of the hacktivists</t>
  </si>
  <si>
    <t>d-day</t>
  </si>
  <si>
    <t>the man from snowy river</t>
  </si>
  <si>
    <t>twisted</t>
  </si>
  <si>
    <t>bend of the river</t>
  </si>
  <si>
    <t>street fighter ii the animated movie</t>
  </si>
  <si>
    <t>before i disappear</t>
  </si>
  <si>
    <t>into the inferno</t>
  </si>
  <si>
    <t>truly madly deeply</t>
  </si>
  <si>
    <t>the buddy holly story</t>
  </si>
  <si>
    <t>masterchef usa</t>
  </si>
  <si>
    <t>giant little ones</t>
  </si>
  <si>
    <t>the god of cookery</t>
  </si>
  <si>
    <t>annika</t>
  </si>
  <si>
    <t>viy</t>
  </si>
  <si>
    <t>brian banks</t>
  </si>
  <si>
    <t>iron man 3</t>
  </si>
  <si>
    <t>man of steel</t>
  </si>
  <si>
    <t>pirates of the caribbean at worlds end</t>
  </si>
  <si>
    <t>transformers</t>
  </si>
  <si>
    <t>i, robot</t>
  </si>
  <si>
    <t>Action, Mystery, Sci-Fi</t>
  </si>
  <si>
    <t>the 40-year-old virgin</t>
  </si>
  <si>
    <t>the mummy</t>
  </si>
  <si>
    <t>glass onion</t>
  </si>
  <si>
    <t>tropic thunder</t>
  </si>
  <si>
    <t>Action, Comedy, War</t>
  </si>
  <si>
    <t>brave</t>
  </si>
  <si>
    <t>mean girls</t>
  </si>
  <si>
    <t>free guy</t>
  </si>
  <si>
    <t>midsommar</t>
  </si>
  <si>
    <t>live free or die hard</t>
  </si>
  <si>
    <t>furious 7</t>
  </si>
  <si>
    <t>snowpiercer</t>
  </si>
  <si>
    <t>die hard 2</t>
  </si>
  <si>
    <t>jumanji</t>
  </si>
  <si>
    <t>anchorman the legend of ron burgundy</t>
  </si>
  <si>
    <t>the ring</t>
  </si>
  <si>
    <t>pretty woman</t>
  </si>
  <si>
    <t>real steel</t>
  </si>
  <si>
    <t>the mist</t>
  </si>
  <si>
    <t>Horror, Sci-Fi, Thriller</t>
  </si>
  <si>
    <t>pitch perfect</t>
  </si>
  <si>
    <t>batman returns</t>
  </si>
  <si>
    <t>theres something about mary</t>
  </si>
  <si>
    <t>deja vu</t>
  </si>
  <si>
    <t>elf</t>
  </si>
  <si>
    <t>dont breathe</t>
  </si>
  <si>
    <t>Crime, Horror, Thriller</t>
  </si>
  <si>
    <t>blade</t>
  </si>
  <si>
    <t>the lobster</t>
  </si>
  <si>
    <t>forgetting sarah marshall</t>
  </si>
  <si>
    <t>dredd</t>
  </si>
  <si>
    <t>mrs. doubtfire</t>
  </si>
  <si>
    <t>phone booth</t>
  </si>
  <si>
    <t>the intern</t>
  </si>
  <si>
    <t>two and a half men</t>
  </si>
  <si>
    <t>seven psychopaths</t>
  </si>
  <si>
    <t>vicky cristina barcelona</t>
  </si>
  <si>
    <t>war dogs</t>
  </si>
  <si>
    <t>dirty dancing</t>
  </si>
  <si>
    <t>valkyrie</t>
  </si>
  <si>
    <t>the falcon and the winter soldier</t>
  </si>
  <si>
    <t>cube</t>
  </si>
  <si>
    <t>ghost</t>
  </si>
  <si>
    <t>prey</t>
  </si>
  <si>
    <t>the croods</t>
  </si>
  <si>
    <t>shakespeare in love</t>
  </si>
  <si>
    <t>everest</t>
  </si>
  <si>
    <t>rocky balboa</t>
  </si>
  <si>
    <t>the ides of march</t>
  </si>
  <si>
    <t>coming to america</t>
  </si>
  <si>
    <t>basic instinct</t>
  </si>
  <si>
    <t>enchanted</t>
  </si>
  <si>
    <t>wrath of man</t>
  </si>
  <si>
    <t>chicken run</t>
  </si>
  <si>
    <t>american made</t>
  </si>
  <si>
    <t>spaceballs</t>
  </si>
  <si>
    <t>the danish girl</t>
  </si>
  <si>
    <t>desperado</t>
  </si>
  <si>
    <t>melancholia</t>
  </si>
  <si>
    <t>side effects</t>
  </si>
  <si>
    <t>kung fu panda 3</t>
  </si>
  <si>
    <t>sing</t>
  </si>
  <si>
    <t>about a boy</t>
  </si>
  <si>
    <t>the master</t>
  </si>
  <si>
    <t>alien romulus</t>
  </si>
  <si>
    <t>deepwater horizon</t>
  </si>
  <si>
    <t>babylon</t>
  </si>
  <si>
    <t>three kings</t>
  </si>
  <si>
    <t>definitely, maybe</t>
  </si>
  <si>
    <t>sicario day of the soldado</t>
  </si>
  <si>
    <t>allied</t>
  </si>
  <si>
    <t>spy game</t>
  </si>
  <si>
    <t>four weddings and a funeral</t>
  </si>
  <si>
    <t>bad times at the el royale</t>
  </si>
  <si>
    <t>locke</t>
  </si>
  <si>
    <t>escape from new york</t>
  </si>
  <si>
    <t>love, rosie</t>
  </si>
  <si>
    <t>creed ii</t>
  </si>
  <si>
    <t>seven years in tibet</t>
  </si>
  <si>
    <t>remember me</t>
  </si>
  <si>
    <t>the devil all the time</t>
  </si>
  <si>
    <t>defiance</t>
  </si>
  <si>
    <t>the french dispatch</t>
  </si>
  <si>
    <t>never let me go</t>
  </si>
  <si>
    <t>winters bone</t>
  </si>
  <si>
    <t>its kind of a funny story</t>
  </si>
  <si>
    <t>margin call</t>
  </si>
  <si>
    <t>payback</t>
  </si>
  <si>
    <t>john q</t>
  </si>
  <si>
    <t>licorice pizza</t>
  </si>
  <si>
    <t>wild</t>
  </si>
  <si>
    <t>anastasia</t>
  </si>
  <si>
    <t>black mirror bandersnatch</t>
  </si>
  <si>
    <t>the host</t>
  </si>
  <si>
    <t>t2 trainspotting</t>
  </si>
  <si>
    <t>the dreamers</t>
  </si>
  <si>
    <t>booksmart</t>
  </si>
  <si>
    <t>carnage</t>
  </si>
  <si>
    <t>flags of our fathers</t>
  </si>
  <si>
    <t>let me in</t>
  </si>
  <si>
    <t>bone tomahawk</t>
  </si>
  <si>
    <t>Drama, Horror, Western</t>
  </si>
  <si>
    <t>challengers</t>
  </si>
  <si>
    <t>the unforgivable</t>
  </si>
  <si>
    <t>the jacket</t>
  </si>
  <si>
    <t>heathers</t>
  </si>
  <si>
    <t>fast times at ridgemont high</t>
  </si>
  <si>
    <t>the aristocats</t>
  </si>
  <si>
    <t>dogtooth</t>
  </si>
  <si>
    <t>wargames</t>
  </si>
  <si>
    <t>gran turismo</t>
  </si>
  <si>
    <t>uncle buck</t>
  </si>
  <si>
    <t>brick</t>
  </si>
  <si>
    <t>the sword in the stone</t>
  </si>
  <si>
    <t>broken flowers</t>
  </si>
  <si>
    <t>runaway jury</t>
  </si>
  <si>
    <t>concussion</t>
  </si>
  <si>
    <t>tommy boy</t>
  </si>
  <si>
    <t>the girl who played with fire</t>
  </si>
  <si>
    <t>elephant</t>
  </si>
  <si>
    <t>the muppets</t>
  </si>
  <si>
    <t>the frighteners</t>
  </si>
  <si>
    <t>falling skies</t>
  </si>
  <si>
    <t>half nelson</t>
  </si>
  <si>
    <t>audition</t>
  </si>
  <si>
    <t>cashback</t>
  </si>
  <si>
    <t>wag the dog</t>
  </si>
  <si>
    <t>little shop of horrors</t>
  </si>
  <si>
    <t>out of africa</t>
  </si>
  <si>
    <t>the kings of summer</t>
  </si>
  <si>
    <t>the dig</t>
  </si>
  <si>
    <t>ever after a cinderella story</t>
  </si>
  <si>
    <t>in the mouth of madness</t>
  </si>
  <si>
    <t>gridiron gang</t>
  </si>
  <si>
    <t>blue ruin</t>
  </si>
  <si>
    <t>the square</t>
  </si>
  <si>
    <t>ong-bak the thai warrior</t>
  </si>
  <si>
    <t>brawl in cell block 99</t>
  </si>
  <si>
    <t>the king of staten island</t>
  </si>
  <si>
    <t>dc league of super-pets</t>
  </si>
  <si>
    <t>whatever works</t>
  </si>
  <si>
    <t>day of the dead</t>
  </si>
  <si>
    <t>district b13</t>
  </si>
  <si>
    <t>the tinder swindler</t>
  </si>
  <si>
    <t>agora</t>
  </si>
  <si>
    <t>the dark crystal</t>
  </si>
  <si>
    <t>god bless america</t>
  </si>
  <si>
    <t>elle</t>
  </si>
  <si>
    <t>timecrimes</t>
  </si>
  <si>
    <t>a tale of two sisters</t>
  </si>
  <si>
    <t>arthur christmas</t>
  </si>
  <si>
    <t>chariots of fire</t>
  </si>
  <si>
    <t>the cat returns</t>
  </si>
  <si>
    <t>leave no trace</t>
  </si>
  <si>
    <t>the white tiger</t>
  </si>
  <si>
    <t>alive</t>
  </si>
  <si>
    <t>the jerk</t>
  </si>
  <si>
    <t>dont look now</t>
  </si>
  <si>
    <t>everybodys fine</t>
  </si>
  <si>
    <t>the shannara chronicles</t>
  </si>
  <si>
    <t>an officer and a gentleman</t>
  </si>
  <si>
    <t>the flight attendant</t>
  </si>
  <si>
    <t>first reformed</t>
  </si>
  <si>
    <t>sneakers</t>
  </si>
  <si>
    <t>benny &amp; joon</t>
  </si>
  <si>
    <t>don 2</t>
  </si>
  <si>
    <t>lords of dogtown</t>
  </si>
  <si>
    <t>final fantasy vii advent children</t>
  </si>
  <si>
    <t>the adventures of baron munchausen</t>
  </si>
  <si>
    <t>can you ever forgive me?</t>
  </si>
  <si>
    <t>marighella</t>
  </si>
  <si>
    <t>hard eight</t>
  </si>
  <si>
    <t>the great mouse detective</t>
  </si>
  <si>
    <t>win win</t>
  </si>
  <si>
    <t>marnie</t>
  </si>
  <si>
    <t>far from the madding crowd</t>
  </si>
  <si>
    <t>sultan</t>
  </si>
  <si>
    <t>if beale street could talk</t>
  </si>
  <si>
    <t>kon-tiki</t>
  </si>
  <si>
    <t>thirst</t>
  </si>
  <si>
    <t>kinsey</t>
  </si>
  <si>
    <t>dressed to kill</t>
  </si>
  <si>
    <t>the nanny</t>
  </si>
  <si>
    <t>black christmas</t>
  </si>
  <si>
    <t>better off dead</t>
  </si>
  <si>
    <t>the poseidon adventure</t>
  </si>
  <si>
    <t>balto</t>
  </si>
  <si>
    <t>casualties of war</t>
  </si>
  <si>
    <t>no way out</t>
  </si>
  <si>
    <t>che part one</t>
  </si>
  <si>
    <t>lovecraft country</t>
  </si>
  <si>
    <t>scream queens</t>
  </si>
  <si>
    <t>the call</t>
  </si>
  <si>
    <t>Crime, Mystery, Sci-Fi</t>
  </si>
  <si>
    <t>welcome to the sticks</t>
  </si>
  <si>
    <t>sleeper</t>
  </si>
  <si>
    <t>the goat life</t>
  </si>
  <si>
    <t>gentlemen prefer blondes</t>
  </si>
  <si>
    <t>catfish</t>
  </si>
  <si>
    <t>narc</t>
  </si>
  <si>
    <t>the seven year itch</t>
  </si>
  <si>
    <t>outer range</t>
  </si>
  <si>
    <t>the big chill</t>
  </si>
  <si>
    <t>the railway man</t>
  </si>
  <si>
    <t>chopper</t>
  </si>
  <si>
    <t>race</t>
  </si>
  <si>
    <t>fantasia 2000</t>
  </si>
  <si>
    <t>heretic</t>
  </si>
  <si>
    <t>rons gone wrong</t>
  </si>
  <si>
    <t>the believer</t>
  </si>
  <si>
    <t>the changeling</t>
  </si>
  <si>
    <t>bedknobs and broomsticks</t>
  </si>
  <si>
    <t>main hoon na</t>
  </si>
  <si>
    <t>nyad</t>
  </si>
  <si>
    <t>the tragedy of macbeth</t>
  </si>
  <si>
    <t>the accused</t>
  </si>
  <si>
    <t>nothing but the truth</t>
  </si>
  <si>
    <t>on the basis of sex</t>
  </si>
  <si>
    <t>nowhere boy</t>
  </si>
  <si>
    <t>the stand</t>
  </si>
  <si>
    <t>the glass castle</t>
  </si>
  <si>
    <t>99 homes</t>
  </si>
  <si>
    <t>the savages</t>
  </si>
  <si>
    <t>rumble fish</t>
  </si>
  <si>
    <t>jailer</t>
  </si>
  <si>
    <t>the society</t>
  </si>
  <si>
    <t>shattered glass</t>
  </si>
  <si>
    <t>the forgotten battle</t>
  </si>
  <si>
    <t>saved by the bell</t>
  </si>
  <si>
    <t>the burial</t>
  </si>
  <si>
    <t>padmaavat</t>
  </si>
  <si>
    <t>tangerine</t>
  </si>
  <si>
    <t>vettaiyan</t>
  </si>
  <si>
    <t>an american in paris</t>
  </si>
  <si>
    <t>parallel mothers</t>
  </si>
  <si>
    <t>the messenger</t>
  </si>
  <si>
    <t>red rocket</t>
  </si>
  <si>
    <t>in the fade</t>
  </si>
  <si>
    <t>living with yourself</t>
  </si>
  <si>
    <t>the whistleblower</t>
  </si>
  <si>
    <t>shiva baby</t>
  </si>
  <si>
    <t>adam</t>
  </si>
  <si>
    <t>the woodsman</t>
  </si>
  <si>
    <t>the brand new testament</t>
  </si>
  <si>
    <t>fanaa</t>
  </si>
  <si>
    <t>45 years</t>
  </si>
  <si>
    <t>queen &amp; slim</t>
  </si>
  <si>
    <t>beautiful girls</t>
  </si>
  <si>
    <t>chasing mavericks</t>
  </si>
  <si>
    <t>one night in miami...</t>
  </si>
  <si>
    <t>white oleander</t>
  </si>
  <si>
    <t>the thing from another world</t>
  </si>
  <si>
    <t>michael collins</t>
  </si>
  <si>
    <t>julieta</t>
  </si>
  <si>
    <t>aashiqui 2</t>
  </si>
  <si>
    <t>mean creek</t>
  </si>
  <si>
    <t>strange darling</t>
  </si>
  <si>
    <t>nixon</t>
  </si>
  <si>
    <t>the pink panther strikes again</t>
  </si>
  <si>
    <t>mrs. harris goes to paris</t>
  </si>
  <si>
    <t>tracks</t>
  </si>
  <si>
    <t>the tourist</t>
  </si>
  <si>
    <t>medium</t>
  </si>
  <si>
    <t>micmacs</t>
  </si>
  <si>
    <t>mosul</t>
  </si>
  <si>
    <t>ruby &amp; quentin</t>
  </si>
  <si>
    <t>klute</t>
  </si>
  <si>
    <t>enthiran</t>
  </si>
  <si>
    <t>a brilliant young mind</t>
  </si>
  <si>
    <t>dragon ball z battle of gods</t>
  </si>
  <si>
    <t>goodbye christopher robin</t>
  </si>
  <si>
    <t>jeffrey epstein filthy rich</t>
  </si>
  <si>
    <t>things we lost in the fire</t>
  </si>
  <si>
    <t>kaabil</t>
  </si>
  <si>
    <t>in order of disappearance</t>
  </si>
  <si>
    <t>the world according to garp</t>
  </si>
  <si>
    <t>mandela long walk to freedom</t>
  </si>
  <si>
    <t>miracles from heaven</t>
  </si>
  <si>
    <t>winnie the pooh</t>
  </si>
  <si>
    <t>megan leavey</t>
  </si>
  <si>
    <t>koi... mil gaya</t>
  </si>
  <si>
    <t>saboteur</t>
  </si>
  <si>
    <t>a murder at the end of the world</t>
  </si>
  <si>
    <t>human traffic</t>
  </si>
  <si>
    <t>a love song for bobby long</t>
  </si>
  <si>
    <t>little white lies</t>
  </si>
  <si>
    <t>department q the absent one</t>
  </si>
  <si>
    <t>frozen river</t>
  </si>
  <si>
    <t>welcome</t>
  </si>
  <si>
    <t>before night falls</t>
  </si>
  <si>
    <t>caprica</t>
  </si>
  <si>
    <t>the apprentice</t>
  </si>
  <si>
    <t>salem</t>
  </si>
  <si>
    <t>the walking dead dead city</t>
  </si>
  <si>
    <t>a good person</t>
  </si>
  <si>
    <t>good luck charlie</t>
  </si>
  <si>
    <t>american underdog</t>
  </si>
  <si>
    <t>the bird with the crystal plumage</t>
  </si>
  <si>
    <t>sonu ke titu ki sweety</t>
  </si>
  <si>
    <t>the vaccine war</t>
  </si>
  <si>
    <t>gods crooked lines</t>
  </si>
  <si>
    <t>fbi</t>
  </si>
  <si>
    <t>frontier</t>
  </si>
  <si>
    <t>dragon ball z resurrection f</t>
  </si>
  <si>
    <t>how the west was won</t>
  </si>
  <si>
    <t>Adventure, War, Western</t>
  </si>
  <si>
    <t>station 19</t>
  </si>
  <si>
    <t>sector 36</t>
  </si>
  <si>
    <t>the year of living dangerously</t>
  </si>
  <si>
    <t>namastey london</t>
  </si>
  <si>
    <t>police story 2</t>
  </si>
  <si>
    <t>bull</t>
  </si>
  <si>
    <t>trash</t>
  </si>
  <si>
    <t>silkwood</t>
  </si>
  <si>
    <t>southern comfort</t>
  </si>
  <si>
    <t>first cow</t>
  </si>
  <si>
    <t>into the white</t>
  </si>
  <si>
    <t>the parallax view</t>
  </si>
  <si>
    <t>juror #2</t>
  </si>
  <si>
    <t>barfly</t>
  </si>
  <si>
    <t>the longest yard</t>
  </si>
  <si>
    <t>9th company</t>
  </si>
  <si>
    <t>drawn together</t>
  </si>
  <si>
    <t>khuda haafiz</t>
  </si>
  <si>
    <t>kinky boots</t>
  </si>
  <si>
    <t>the big red one</t>
  </si>
  <si>
    <t>titus</t>
  </si>
  <si>
    <t>5 to 7</t>
  </si>
  <si>
    <t>pele birth of a legend</t>
  </si>
  <si>
    <t>help!</t>
  </si>
  <si>
    <t>Adventure, Comedy, Musical</t>
  </si>
  <si>
    <t>venus in fur</t>
  </si>
  <si>
    <t>stargirl</t>
  </si>
  <si>
    <t>99 francs</t>
  </si>
  <si>
    <t>the panic in needle park</t>
  </si>
  <si>
    <t>the three musketeers</t>
  </si>
  <si>
    <t>thursday</t>
  </si>
  <si>
    <t>body of proof</t>
  </si>
  <si>
    <t>wazir</t>
  </si>
  <si>
    <t>the driver</t>
  </si>
  <si>
    <t>wendy and lucy</t>
  </si>
  <si>
    <t>brand new cherry flavor</t>
  </si>
  <si>
    <t>dangerous beauty</t>
  </si>
  <si>
    <t>brubaker</t>
  </si>
  <si>
    <t>guys and dolls</t>
  </si>
  <si>
    <t>the sons of katie elder</t>
  </si>
  <si>
    <t>he loves me, he loves me not</t>
  </si>
  <si>
    <t>Romance, Thriller</t>
  </si>
  <si>
    <t>miracle workers</t>
  </si>
  <si>
    <t>ascension</t>
  </si>
  <si>
    <t>like water for chocolate</t>
  </si>
  <si>
    <t>bennys video</t>
  </si>
  <si>
    <t>orlando</t>
  </si>
  <si>
    <t>Biography, Drama, Fantasy</t>
  </si>
  <si>
    <t>the tonight show starring jimmy fallon</t>
  </si>
  <si>
    <t>raajneeti</t>
  </si>
  <si>
    <t>the witch part 1 - the subversion</t>
  </si>
  <si>
    <t>mission raniganj</t>
  </si>
  <si>
    <t>triumph of the will</t>
  </si>
  <si>
    <t>swiss family robinson</t>
  </si>
  <si>
    <t>Adventure, Family</t>
  </si>
  <si>
    <t>sick of myself</t>
  </si>
  <si>
    <t>36th precinct</t>
  </si>
  <si>
    <t>timbuktu</t>
  </si>
  <si>
    <t>black sunday</t>
  </si>
  <si>
    <t>night moves</t>
  </si>
  <si>
    <t>metallica through the never</t>
  </si>
  <si>
    <t>Music</t>
  </si>
  <si>
    <t>star-crossed</t>
  </si>
  <si>
    <t>to leslie</t>
  </si>
  <si>
    <t>looking for eric</t>
  </si>
  <si>
    <t>bonding</t>
  </si>
  <si>
    <t>Comedy, Drama, Short</t>
  </si>
  <si>
    <t>crossroads</t>
  </si>
  <si>
    <t>broker</t>
  </si>
  <si>
    <t>the hater</t>
  </si>
  <si>
    <t>trees lounge</t>
  </si>
  <si>
    <t>gunfight at the o.k. corral</t>
  </si>
  <si>
    <t>a hijacking</t>
  </si>
  <si>
    <t>truth be told</t>
  </si>
  <si>
    <t>love in the afternoon</t>
  </si>
  <si>
    <t>children who chase lost voices</t>
  </si>
  <si>
    <t>quo vadis</t>
  </si>
  <si>
    <t>the valhalla murders</t>
  </si>
  <si>
    <t>the great muppet caper</t>
  </si>
  <si>
    <t>mclintock!</t>
  </si>
  <si>
    <t>gantz o</t>
  </si>
  <si>
    <t>the wheel of time origins</t>
  </si>
  <si>
    <t>raising dion</t>
  </si>
  <si>
    <t>my neighbors the yamadas</t>
  </si>
  <si>
    <t>the dukes of hazzard</t>
  </si>
  <si>
    <t>highschool of the dead</t>
  </si>
  <si>
    <t>swarm</t>
  </si>
  <si>
    <t>the shrink next door</t>
  </si>
  <si>
    <t>tracker</t>
  </si>
  <si>
    <t>made in dagenham</t>
  </si>
  <si>
    <t>dragon ball super super hero</t>
  </si>
  <si>
    <t>lore</t>
  </si>
  <si>
    <t>pieta</t>
  </si>
  <si>
    <t>wild rose</t>
  </si>
  <si>
    <t>code unknown</t>
  </si>
  <si>
    <t>a late quartet</t>
  </si>
  <si>
    <t>von ryans express</t>
  </si>
  <si>
    <t>believe</t>
  </si>
  <si>
    <t>the big feast</t>
  </si>
  <si>
    <t>hardcore</t>
  </si>
  <si>
    <t>one false move</t>
  </si>
  <si>
    <t>jesus revolution</t>
  </si>
  <si>
    <t>cold fish</t>
  </si>
  <si>
    <t>the aura</t>
  </si>
  <si>
    <t>the good boss</t>
  </si>
  <si>
    <t>big jake</t>
  </si>
  <si>
    <t>caramel</t>
  </si>
  <si>
    <t>on the beach</t>
  </si>
  <si>
    <t>kilo two bravo</t>
  </si>
  <si>
    <t>hatari!</t>
  </si>
  <si>
    <t>climates</t>
  </si>
  <si>
    <t>the dark valley</t>
  </si>
  <si>
    <t>diva</t>
  </si>
  <si>
    <t>Crime, Music, Thriller</t>
  </si>
  <si>
    <t>law of desire</t>
  </si>
  <si>
    <t>the curse</t>
  </si>
  <si>
    <t>in the company of men</t>
  </si>
  <si>
    <t>my king</t>
  </si>
  <si>
    <t>the most dangerous game</t>
  </si>
  <si>
    <t>popeye the sailor</t>
  </si>
  <si>
    <t>the swimming pool</t>
  </si>
  <si>
    <t>little nicholas</t>
  </si>
  <si>
    <t>karthik calling karthik</t>
  </si>
  <si>
    <t>the gendarme of saint-tropez</t>
  </si>
  <si>
    <t>lean on pete</t>
  </si>
  <si>
    <t>kakegurui</t>
  </si>
  <si>
    <t>mistresses</t>
  </si>
  <si>
    <t>the chase</t>
  </si>
  <si>
    <t>nicholas nickleby</t>
  </si>
  <si>
    <t>bank of dave</t>
  </si>
  <si>
    <t>one-eyed jacks</t>
  </si>
  <si>
    <t>two hands</t>
  </si>
  <si>
    <t>the queen of versailles</t>
  </si>
  <si>
    <t>blood and black lace</t>
  </si>
  <si>
    <t>emerald city</t>
  </si>
  <si>
    <t>bird</t>
  </si>
  <si>
    <t>trailer park boys the movie</t>
  </si>
  <si>
    <t>extreme job</t>
  </si>
  <si>
    <t>conversations with a killer the john wayne gacy tapes</t>
  </si>
  <si>
    <t>venus</t>
  </si>
  <si>
    <t>three oclock high</t>
  </si>
  <si>
    <t>the six million dollar man</t>
  </si>
  <si>
    <t>the young offenders</t>
  </si>
  <si>
    <t>firebird</t>
  </si>
  <si>
    <t>the traitor</t>
  </si>
  <si>
    <t>totally spies!</t>
  </si>
  <si>
    <t>the admiral roaring currents</t>
  </si>
  <si>
    <t>Action, History, War</t>
  </si>
  <si>
    <t>parasyte the grey</t>
  </si>
  <si>
    <t>violent cop</t>
  </si>
  <si>
    <t>a touch of sin</t>
  </si>
  <si>
    <t>who finds a friend finds a treasure</t>
  </si>
  <si>
    <t>the wings of the dove</t>
  </si>
  <si>
    <t>crime busters</t>
  </si>
  <si>
    <t>ferpect crime</t>
  </si>
  <si>
    <t>eye of the needle</t>
  </si>
  <si>
    <t>Romance, Thriller, War</t>
  </si>
  <si>
    <t>war of the arrows</t>
  </si>
  <si>
    <t>fire country</t>
  </si>
  <si>
    <t>father of the bride</t>
  </si>
  <si>
    <t>asterix in britain</t>
  </si>
  <si>
    <t>paa</t>
  </si>
  <si>
    <t>the catch</t>
  </si>
  <si>
    <t>trial by fire</t>
  </si>
  <si>
    <t>theater of blood</t>
  </si>
  <si>
    <t>may god save us</t>
  </si>
  <si>
    <t>the connection</t>
  </si>
  <si>
    <t>deadman wonderland</t>
  </si>
  <si>
    <t>petta</t>
  </si>
  <si>
    <t>dublin murders</t>
  </si>
  <si>
    <t>shine a light</t>
  </si>
  <si>
    <t>the method</t>
  </si>
  <si>
    <t>goodbye bafana</t>
  </si>
  <si>
    <t>terkel in trouble</t>
  </si>
  <si>
    <t>Animation, Comedy, Musical</t>
  </si>
  <si>
    <t>son of frankenstein</t>
  </si>
  <si>
    <t>blackmail</t>
  </si>
  <si>
    <t>gloria</t>
  </si>
  <si>
    <t>shark</t>
  </si>
  <si>
    <t>hannah arendt</t>
  </si>
  <si>
    <t>turkish delight</t>
  </si>
  <si>
    <t>with a friend like harry...</t>
  </si>
  <si>
    <t>the horse soldiers</t>
  </si>
  <si>
    <t>cargo 200</t>
  </si>
  <si>
    <t>the bow</t>
  </si>
  <si>
    <t>double trouble</t>
  </si>
  <si>
    <t>klown</t>
  </si>
  <si>
    <t>worst roommate ever</t>
  </si>
  <si>
    <t>the old oak</t>
  </si>
  <si>
    <t>the pembrokeshire murders</t>
  </si>
  <si>
    <t>the butcher boy</t>
  </si>
  <si>
    <t>shotgun stories</t>
  </si>
  <si>
    <t>belle epoque</t>
  </si>
  <si>
    <t>criminal record</t>
  </si>
  <si>
    <t>liar</t>
  </si>
  <si>
    <t>containment</t>
  </si>
  <si>
    <t>what have i done to deserve this?</t>
  </si>
  <si>
    <t>we are the best!</t>
  </si>
  <si>
    <t>30 coins</t>
  </si>
  <si>
    <t>barefoot</t>
  </si>
  <si>
    <t>ill manors</t>
  </si>
  <si>
    <t>the age of shadows</t>
  </si>
  <si>
    <t>Action, History, Thriller</t>
  </si>
  <si>
    <t>go for it</t>
  </si>
  <si>
    <t>forever strong</t>
  </si>
  <si>
    <t>a small september affair</t>
  </si>
  <si>
    <t>drowning by numbers</t>
  </si>
  <si>
    <t>luck by chance</t>
  </si>
  <si>
    <t>woman of the year</t>
  </si>
  <si>
    <t>priest</t>
  </si>
  <si>
    <t>the ripper</t>
  </si>
  <si>
    <t>the whispers</t>
  </si>
  <si>
    <t>my bodyguard</t>
  </si>
  <si>
    <t>bella</t>
  </si>
  <si>
    <t>nitram</t>
  </si>
  <si>
    <t>shootout at lokhandwala</t>
  </si>
  <si>
    <t>the heist of the century</t>
  </si>
  <si>
    <t>Action, Biography, Comedy</t>
  </si>
  <si>
    <t>human resources</t>
  </si>
  <si>
    <t>blue bayou</t>
  </si>
  <si>
    <t>ib 71</t>
  </si>
  <si>
    <t>female trouble</t>
  </si>
  <si>
    <t>the power of one</t>
  </si>
  <si>
    <t>inside</t>
  </si>
  <si>
    <t>stage beauty</t>
  </si>
  <si>
    <t>nevertheless,</t>
  </si>
  <si>
    <t>american me</t>
  </si>
  <si>
    <t>the women on the 6th floor</t>
  </si>
  <si>
    <t>l.i.e.</t>
  </si>
  <si>
    <t>the hairdressers husband</t>
  </si>
  <si>
    <t>miss violence</t>
  </si>
  <si>
    <t>whiskey cavalier</t>
  </si>
  <si>
    <t>colossus the forbin project</t>
  </si>
  <si>
    <t>like crazy</t>
  </si>
  <si>
    <t>summertime</t>
  </si>
  <si>
    <t>the crossing</t>
  </si>
  <si>
    <t>the kings choice</t>
  </si>
  <si>
    <t>happy accidents</t>
  </si>
  <si>
    <t>odds and evens</t>
  </si>
  <si>
    <t>maharshi</t>
  </si>
  <si>
    <t>krisha</t>
  </si>
  <si>
    <t>alrawabi school for girls</t>
  </si>
  <si>
    <t>propaganda</t>
  </si>
  <si>
    <t>the treatment</t>
  </si>
  <si>
    <t>north sea texas</t>
  </si>
  <si>
    <t>last night</t>
  </si>
  <si>
    <t>manic</t>
  </si>
  <si>
    <t>going places</t>
  </si>
  <si>
    <t>yours, mine and ours</t>
  </si>
  <si>
    <t>qarib qarib single</t>
  </si>
  <si>
    <t>tell me a story</t>
  </si>
  <si>
    <t>a midnight clear</t>
  </si>
  <si>
    <t>broken arrow</t>
  </si>
  <si>
    <t>titles</t>
  </si>
  <si>
    <t>SUM of weekly_hours_viewed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</si>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</sst>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11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96" sheet="imdb_netflix_v7"/>
  </cacheSource>
  <cacheFields>
    <cacheField name="titles">
      <sharedItems containsMixedTypes="1" containsNumber="1" containsInteger="1">
        <s v="all quiet on the western front"/>
        <s v="the invisible man"/>
        <s v="the stranger"/>
        <s v="watch out, were mad"/>
        <s v="the longest yard"/>
        <s v="don"/>
        <s v="the smurfs"/>
        <s v="missing"/>
        <s v="dangerous liaisons"/>
        <s v="the vanishing"/>
        <s v="the killer"/>
        <s v="beauty and the beast"/>
        <s v="heat"/>
        <s v="open your eyes"/>
        <s v="cowboy bebop"/>
        <s v="one piece"/>
        <s v="the mummy"/>
        <s v="amores perros"/>
        <s v="shrek"/>
        <s v="harry potter and the sorcerers stone"/>
        <s v="city of god"/>
        <s v="spider-man"/>
        <s v="the son"/>
        <s v="carandiru"/>
        <s v="kung fu hustle"/>
        <s v="collateral"/>
        <s v="mean girls"/>
        <s v="hustle"/>
        <s v="shrek 2"/>
        <s v="man on fire"/>
        <s v="invasion"/>
        <s v="coach carter"/>
        <s v="memoirs of a geisha"/>
        <s v="greys anatomy"/>
        <s v="perfume the story of a murderer"/>
        <s v="inside man"/>
        <s v="elite squad"/>
        <s v="the mist"/>
        <s v="hunger"/>
        <s v="sanctuary"/>
        <s v="sin nombre"/>
        <s v="home"/>
        <s v="the blind side"/>
        <s v="the great british baking show"/>
        <s v="despicable me"/>
        <s v="the pacific"/>
        <s v="the walking dead"/>
        <s v="inside job"/>
        <s v="mission impossible - ghost protocol"/>
        <s v="black mirror"/>
        <s v="undercover"/>
        <s v="top boy"/>
        <s v="suits"/>
        <s v="line of duty"/>
        <s v="pitch perfect"/>
        <s v="the hunger games"/>
        <s v="the dark knight rises"/>
        <s v="jojos bizarre adventure"/>
        <s v="flight"/>
        <s v="21 jump street"/>
        <s v="attack on titan"/>
        <s v="the hunger games catching fire"/>
        <s v="prisoners"/>
        <s v="the croods"/>
        <s v="despicable me 2"/>
        <s v="lone survivor"/>
        <s v="queen"/>
        <s v="the wolf of wall street"/>
        <s v="peaky blinders"/>
        <s v="the blacklist"/>
        <s v="a hard day"/>
        <s v="kingdom"/>
        <s v="the raid 2"/>
        <s v="st. vincent"/>
        <s v="the 100"/>
        <s v="the seven deadly sins"/>
        <s v="glitch"/>
        <s v="the age of adaline"/>
        <s v="ballers"/>
        <s v="grace and frankie"/>
        <s v="the last kingdom"/>
        <s v="better call saul"/>
        <s v="fauda"/>
        <s v="shooter"/>
        <s v="kung fu panda 3"/>
        <s v="sing"/>
        <s v="stranger things"/>
        <s v="13 hours the secret soldiers of benghazi"/>
        <s v="queen of the south"/>
        <s v="designated survivor"/>
        <s v="lucifer"/>
        <s v="the crown"/>
        <s v="get out"/>
        <s v="john wick chapter 2"/>
        <s v="blade runner 2049"/>
        <s v="taboo"/>
        <s v="it"/>
        <s v="money heist"/>
        <s v="american made"/>
        <s v="s.w.a.t."/>
        <s v="seal team"/>
        <s v="the good doctor"/>
        <s v="young sheldon"/>
        <s v="big mouth"/>
        <s v="dynasty"/>
        <s v="the sinner"/>
        <s v="spider-man homecoming"/>
        <s v="workin moms"/>
        <s v="atypical"/>
        <s v="ozark"/>
        <s v="the guilty"/>
        <s v="spider-man into the spider-verse"/>
        <s v="mission impossible - fallout"/>
        <s v="disenchantment"/>
        <s v="all american"/>
        <s v="lost in space"/>
        <s v="you"/>
        <s v="car masters rust to riches"/>
        <s v="cobra kai"/>
        <s v="new amsterdam"/>
        <s v="on my block"/>
        <s v="narcos mexico"/>
        <s v="good girls"/>
        <s v="titans"/>
        <s v="queer eye"/>
        <s v="jersey"/>
        <s v="a dogs journey"/>
        <s v="togo"/>
        <s v="demon slayer kimetsu no yaiba"/>
        <s v="hanna"/>
        <s v="knives out"/>
        <s v="how to sell drugs online (fast)"/>
        <s v="little women"/>
        <s v="john wick chapter 3 - parabellum"/>
        <s v="how to train your dragon the hidden world"/>
        <s v="our planet"/>
        <s v="hotel del luna"/>
        <n v="1917.0"/>
        <s v="spider-man far from home"/>
        <s v="raising dion"/>
        <s v="dead to me"/>
        <s v="sex education"/>
        <s v="the witcher"/>
        <s v="love, death &amp; robots"/>
        <s v="the umbrella academy"/>
        <s v="virgin river"/>
        <s v="formula 1 drive to survive"/>
        <s v="violet evergarden the movie"/>
        <s v="the forgotten battle"/>
        <s v="jujutsu kaisen"/>
        <s v="riders of justice"/>
        <s v="the father"/>
        <s v="ragnarok"/>
        <s v="a quiet place part ii"/>
        <s v="mr. queen"/>
        <s v="the call"/>
        <s v="barbarians"/>
        <s v="love is in the air"/>
        <s v="outer banks"/>
        <s v="bridgerton"/>
        <s v="love 101"/>
        <s v="unsolved mysteries"/>
        <s v="never have i ever"/>
        <s v="locke &amp; key"/>
        <s v="the uncanny counter"/>
        <s v="alice in borderland"/>
        <s v="sweet magnolias"/>
        <s v="tiger king"/>
        <s v="jurassic world camp cretaceous"/>
        <s v="sweet home"/>
        <s v="true beauty"/>
        <s v="mimi"/>
        <s v="minnal murali"/>
        <s v="shyam singha roy"/>
        <n v="83.0"/>
        <s v="sing 2"/>
        <s v="parallel mothers"/>
        <s v="the mitchells vs. the machines"/>
        <s v="wish dragon"/>
        <s v="dont look up"/>
        <s v="d.p."/>
        <s v="young royals"/>
        <s v="hometown cha-cha-cha"/>
        <s v="the club"/>
        <s v="schumacher"/>
        <s v="spider-man no way home"/>
        <s v="old henry"/>
        <s v="lupin"/>
        <s v="the chestnut man"/>
        <s v="house of secrets the burari deaths"/>
        <s v="arcane"/>
        <s v="nevertheless,"/>
        <s v="aranyak"/>
        <s v="nobody"/>
        <s v="my name"/>
        <s v="happiness"/>
        <s v="brand new cherry flavor"/>
        <s v="the unforgivable"/>
        <s v="alrawabi school for girls"/>
        <s v="shadow and bone"/>
        <s v="firefly lane"/>
        <s v="our beloved summer"/>
        <s v="true story"/>
        <s v="14 peaks nothing is impossible"/>
        <s v="squid game"/>
        <s v="clickbait"/>
        <s v="the witcher nightmare of the wolf"/>
        <s v="maid"/>
        <s v="the chair"/>
        <s v="sweet tooth"/>
        <s v="ginny &amp; georgia"/>
        <s v="turning point 9/11 and the war on terror"/>
        <s v="midnight mass"/>
        <s v="spy x family"/>
        <s v="dasvi"/>
        <s v="jana gana mana"/>
        <s v="prey"/>
        <s v="gangubai kathiawadi"/>
        <s v="20th century girl"/>
        <s v="gods crooked lines"/>
        <s v="a man called otto"/>
        <s v="to leslie"/>
        <s v="extraordinary attorney woo"/>
        <s v="alchemy of souls"/>
        <s v="monica, o my darling"/>
        <s v="rescued by ruby"/>
        <s v="bullet train"/>
        <s v="puss in boots the last wish"/>
        <s v="girl in the picture"/>
        <s v="the glory"/>
        <s v="cyberpunk edgerunners"/>
        <s v="all of us are dead"/>
        <s v="business proposal"/>
        <s v="heartstopper"/>
        <s v="conversations with a killer the john wayne gacy tapes"/>
        <s v="heartbreak high"/>
        <s v="wednesday"/>
        <s v="the tinder swindler"/>
        <s v="twenty five twenty one"/>
        <s v="where the crawdads sing"/>
        <s v="downfall the case against boeing"/>
        <s v="the empress"/>
        <s v="the redeem team"/>
        <s v="clark"/>
        <s v="the playlist"/>
        <s v="tomorrow"/>
        <s v="khakee the bihar chapter"/>
        <s v="the swimmers"/>
        <s v="the cuphead show!"/>
        <s v="jeen-yuhs a kanye trilogy"/>
        <s v="the sandman"/>
        <s v="kleo"/>
        <s v="the recruit"/>
        <s v="vikings valhalla"/>
        <s v="the lincoln lawyer"/>
        <s v="human resources"/>
        <n v="1899.0"/>
        <s v="from scratch"/>
        <s v="ancient apocalypse"/>
        <s v="worst roommate ever"/>
        <s v="keep sweet pray and obey"/>
        <s v="conversations with a killer the jeffrey dahmer tapes"/>
        <s v="archive 81"/>
        <s v="chor nikal ke bhaga"/>
        <s v="forgotten love"/>
        <s v="vaathi"/>
        <s v="omg 2"/>
        <s v="nimona"/>
        <s v="the deepest breath"/>
        <s v="castlevania nocturne"/>
        <s v="scott pilgrim takes off"/>
        <s v="all the light we cannot see"/>
        <s v="arnold"/>
        <s v="take care of maya"/>
        <s v="dear child"/>
        <s v="school spirits"/>
        <s v="painkiller"/>
        <s v="spider-man across the spider-verse"/>
        <s v="kaala paani"/>
        <s v="nyad"/>
        <s v="blue eye samurai"/>
        <s v="the night agent"/>
        <s v="bloodhounds"/>
        <s v="guns &amp; gulaabs"/>
        <s v="physical 100"/>
        <s v="beef"/>
        <s v="lockwood &amp; co."/>
        <s v="queen charlotte a bridgerton story"/>
        <s v="leo"/>
        <s v="the diplomat"/>
        <s v="bodies"/>
        <s v="the fall of the house of usher"/>
        <s v="my demon"/>
        <s v="ted"/>
        <s v="the gentlemen"/>
      </sharedItems>
    </cacheField>
    <cacheField name="type" numFmtId="49">
      <sharedItems>
        <s v="Movie"/>
        <s v="TV Show"/>
      </sharedItems>
    </cacheField>
    <cacheField name="genres" numFmtId="0">
      <sharedItems>
        <s v="Drama, War"/>
        <s v="Horror, Sci-Fi"/>
        <s v="Crime, Drama, Film-Noir"/>
        <s v="Action, Comedy"/>
        <s v="Comedy, Crime, Drama"/>
        <s v="Action, Crime, Thriller"/>
        <s v="Adventure, Animation, Comedy"/>
        <s v="Biography, Drama, History"/>
        <s v="Drama, Romance"/>
        <s v="Mystery, Thriller"/>
        <s v="Action, Crime, Drama"/>
        <s v="Animation, Family, Fantasy"/>
        <s v="Drama, Mystery, Sci-Fi"/>
        <s v="Action, Adventure, Animation"/>
        <s v="Action, Adventure, Fantasy"/>
        <s v="Drama, Thriller"/>
        <s v="Adventure, Family, Fantasy"/>
        <s v="Crime, Drama"/>
        <s v="Action, Adventure, Sci-Fi"/>
        <s v="Drama, Mystery"/>
        <s v="Action, Comedy, Fantasy"/>
        <s v="Comedy"/>
        <s v="Crime, Drama, Mystery"/>
        <s v="Crime, Drama, Thriller"/>
        <s v="Drama, Horror, Mystery"/>
        <s v="Biography, Drama, Sport"/>
        <s v="Crime, Drama, Fantasy"/>
        <s v="Horror, Sci-Fi, Thriller"/>
        <s v="Biography, Crime, Drama"/>
        <s v="Action, Drama, Fantasy"/>
        <s v="Adventure, Crime, Drama"/>
        <s v="Documentary, Family"/>
        <s v="Game-Show, Reality-TV"/>
        <s v="Action, Adventure, Drama"/>
        <s v="Drama, Horror, Thriller"/>
        <s v="Crime, Documentary"/>
        <s v="Action, Adventure, Thriller"/>
        <s v="Comedy, Drama"/>
        <s v="Comedy, Music, Romance"/>
        <s v="Action, Drama, Thriller"/>
        <s v="Action, Comedy, Crime"/>
        <s v="Action, Biography, Drama"/>
        <s v="Adventure, Comedy, Drama"/>
        <s v="Biography, Comedy, Crime"/>
        <s v="Drama, Sport"/>
        <s v="Action, Drama, Sci-Fi"/>
        <s v="Drama, Horror, Sci-Fi"/>
        <s v="Drama, Fantasy, Romance"/>
        <s v="Comedy, Drama, Sport"/>
        <s v="Action, Drama, History"/>
        <s v="Action, Drama"/>
        <s v="Animation, Comedy, Family"/>
        <s v="Drama, Fantasy, Horror"/>
        <s v="Action, Drama, Mystery"/>
        <s v="Horror, Mystery, Thriller"/>
        <s v="Drama, Mystery, Thriller"/>
        <s v="Horror"/>
        <s v="Action, Adventure, Crime"/>
        <s v="Action, Drama, War"/>
        <s v="Drama"/>
        <s v="Animation, Comedy, Romance"/>
        <s v="Adventure, Drama, Family"/>
        <s v="Crime, Drama, Romance"/>
        <s v="Reality-TV"/>
        <s v="Action, Comedy, Drama"/>
        <s v="Adventure, Biography, Drama"/>
        <s v="Documentary"/>
        <s v="Action, Adventure, Comedy"/>
        <s v="Drama, Sci-Fi"/>
        <s v="Comedy, Drama, Romance"/>
        <s v="Documentary, Sport"/>
        <s v="Animation, Drama, Fantasy"/>
        <s v="Action, Adventure, War"/>
        <s v="Comedy, Fantasy, Romance"/>
        <s v="Crime, Mystery, Sci-Fi"/>
        <s v="Comedy, Romance"/>
        <s v="Crime, Documentary, Mystery"/>
        <s v="Action, Fantasy, Horror"/>
        <s v="Biography, Crime, Documentary"/>
        <s v="Comedy, Drama, Sci-Fi"/>
        <s v="Drama, History"/>
        <s v="Biography, Documentary, Sport"/>
        <s v="Action, Drama, Western"/>
        <s v="Crime, Documentary, History"/>
        <s v="Adventure, Documentary, Sport"/>
        <s v="Documentary, History, War"/>
        <s v="Action, Animation, Comedy"/>
        <s v="Action, Adventure, Horror"/>
        <s v="Biography, Drama, Family"/>
        <s v="Action, Comedy, Thriller"/>
        <s v="Comedy, Crime, Fantasy"/>
        <s v="Drama, Mystery, Romance"/>
        <s v="Drama, History, Romance"/>
        <s v="Documentary, History, Sport"/>
        <s v="Biography, Drama, Music"/>
        <s v="Documentary, Music"/>
        <s v="Documentary, History"/>
        <s v="Crime, Documentary, Thriller"/>
        <s v="Drama, History, War"/>
        <s v="Biography, Documentary"/>
        <s v="Drama, Fantasy, Mystery"/>
        <s v="Comedy, Crime, Romance"/>
        <s v="Crime, Drama, Sci-Fi"/>
        <s v="Comedy, Drama, Fantasy"/>
      </sharedItems>
    </cacheField>
    <cacheField name="average_rating" numFmtId="0">
      <sharedItems containsSemiMixedTypes="0" containsString="0" containsNumber="1">
        <n v="8.1"/>
        <n v="7.6"/>
        <n v="7.3"/>
        <n v="7.1"/>
        <n v="7.7"/>
        <n v="7.2"/>
        <n v="7.5"/>
        <n v="8.0"/>
        <n v="8.3"/>
        <n v="8.9"/>
        <n v="9.0"/>
        <n v="7.9"/>
        <n v="8.6"/>
        <n v="7.4"/>
        <n v="8.2"/>
        <n v="8.5"/>
        <n v="8.7"/>
        <n v="8.4"/>
        <n v="9.1"/>
        <n v="7.8"/>
        <n v="9.2"/>
      </sharedItems>
    </cacheField>
    <cacheField name="release_year" numFmtId="0">
      <sharedItems containsSemiMixedTypes="0" containsString="0" containsNumber="1" containsInteger="1">
        <n v="1930.0"/>
        <n v="1933.0"/>
        <n v="1946.0"/>
        <n v="1974.0"/>
        <n v="1978.0"/>
        <n v="1981.0"/>
        <n v="1982.0"/>
        <n v="1988.0"/>
        <n v="1989.0"/>
        <n v="1991.0"/>
        <n v="1995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weekly_hours_viewed" numFmtId="0">
      <sharedItems containsSemiMixedTypes="0" containsString="0" containsNumber="1" containsInteger="1">
        <n v="1280000.0"/>
        <n v="6530000.0"/>
        <n v="9170000.0"/>
        <n v="2580000.0"/>
        <n v="9960000.0"/>
        <n v="2740000.0"/>
        <n v="9220000.0"/>
        <n v="8080000.0"/>
        <n v="2150000.0"/>
        <n v="7030000.0"/>
        <n v="7100000.0"/>
        <n v="1150000.0"/>
        <n v="4520000.0"/>
        <n v="8220000.0"/>
        <n v="1.526E7"/>
        <n v="1.09E7"/>
        <n v="1.154E7"/>
        <n v="1450000.0"/>
        <n v="4540000.0"/>
        <n v="4790000.0"/>
        <n v="3050000.0"/>
        <n v="5430000.0"/>
        <n v="7940000.0"/>
        <n v="1760000.0"/>
        <n v="1800000.0"/>
        <n v="6100000.0"/>
        <n v="6300000.0"/>
        <n v="6450000.0"/>
        <n v="6750000.0"/>
        <n v="9400000.0"/>
        <n v="2990000.0"/>
        <n v="5450000.0"/>
        <n v="1.02E7"/>
        <n v="1.599E7"/>
        <n v="4450000.0"/>
        <n v="2.497E7"/>
        <n v="2360000.0"/>
        <n v="6230000.0"/>
        <n v="2620000.0"/>
        <n v="1.125E7"/>
        <n v="1830000.0"/>
        <n v="8070000.0"/>
        <n v="8710000.0"/>
        <n v="4300000.0"/>
        <n v="5590000.0"/>
        <n v="1.53E7"/>
        <n v="1.594E7"/>
        <n v="2.124E7"/>
        <n v="6550000.0"/>
        <n v="1.67E7"/>
        <n v="1.683E7"/>
        <n v="1.86E7"/>
        <n v="2.03E7"/>
        <n v="4140000.0"/>
        <n v="4580000.0"/>
        <n v="4900000.0"/>
        <n v="7750000.0"/>
        <n v="8770000.0"/>
        <n v="1.071E7"/>
        <n v="1.169E7"/>
        <n v="4700000.0"/>
        <n v="5010000.0"/>
        <n v="5100000.0"/>
        <n v="5200000.0"/>
        <n v="5500000.0"/>
        <n v="7400000.0"/>
        <n v="9700000.0"/>
        <n v="1.306E7"/>
        <n v="1.726E7"/>
        <n v="1260000.0"/>
        <n v="3300000.0"/>
        <n v="3840000.0"/>
        <n v="7640000.0"/>
        <n v="1.299E7"/>
        <n v="1.342E7"/>
        <n v="7440000.0"/>
        <n v="9340000.0"/>
        <n v="1.05E7"/>
        <n v="1.226E7"/>
        <n v="1.297E7"/>
        <n v="1.396E7"/>
        <n v="1.921E7"/>
        <n v="5750000.0"/>
        <n v="6500000.0"/>
        <n v="9420000.0"/>
        <n v="9900000.0"/>
        <n v="1.31E7"/>
        <n v="1.311E7"/>
        <n v="1.673E7"/>
        <n v="5.09E7"/>
        <n v="5300000.0"/>
        <n v="7800000.0"/>
        <n v="7850000.0"/>
        <n v="8310000.0"/>
        <n v="8350000.0"/>
        <n v="8570000.0"/>
        <n v="9300000.0"/>
        <n v="1.026E7"/>
        <n v="1.031E7"/>
        <n v="1.043E7"/>
        <n v="1.16E7"/>
        <n v="1.25E7"/>
        <n v="1.261E7"/>
        <n v="1.324E7"/>
        <n v="1.418E7"/>
        <n v="1.511E7"/>
        <n v="1.592E7"/>
        <n v="1.677E7"/>
        <n v="4400000.0"/>
        <n v="5910000.0"/>
        <n v="6360000.0"/>
        <n v="1.03E7"/>
        <n v="1.083E7"/>
        <n v="1.165E7"/>
        <n v="1.189E7"/>
        <n v="1.29E7"/>
        <n v="1.353E7"/>
        <n v="1.541E7"/>
        <n v="1.736E7"/>
        <n v="1.743E7"/>
        <n v="1.749E7"/>
        <n v="2.14E7"/>
        <n v="2.306E7"/>
        <n v="2110000.0"/>
        <n v="5350000.0"/>
        <n v="6790000.0"/>
        <n v="7120000.0"/>
        <n v="7470000.0"/>
        <n v="8580000.0"/>
        <n v="8590000.0"/>
        <n v="8790000.0"/>
        <n v="9030000.0"/>
        <n v="9980000.0"/>
        <n v="1.084E7"/>
        <n v="1.132E7"/>
        <n v="1.176E7"/>
        <n v="1.19E7"/>
        <n v="1.38E7"/>
        <n v="1.47E7"/>
        <n v="1.539E7"/>
        <n v="1.825E7"/>
        <n v="2.623E7"/>
        <n v="1940000.0"/>
        <n v="2600000.0"/>
        <n v="3710000.0"/>
        <n v="5070000.0"/>
        <n v="7620000.0"/>
        <n v="7710000.0"/>
        <n v="9390000.0"/>
        <n v="1.07E7"/>
        <n v="1.131E7"/>
        <n v="1.254E7"/>
        <n v="1.26E7"/>
        <n v="1.406E7"/>
        <n v="1.42E7"/>
        <n v="1.463E7"/>
        <n v="1.52E7"/>
        <n v="1.568E7"/>
        <n v="1.62E7"/>
        <n v="1.643E7"/>
        <n v="1.742E7"/>
        <n v="3.71E7"/>
        <n v="6.35E7"/>
        <n v="1510000.0"/>
        <n v="2510000.0"/>
        <n v="2880000.0"/>
        <n v="3120000.0"/>
        <n v="4500000.0"/>
        <n v="4820000.0"/>
        <n v="4890000.0"/>
        <n v="5150000.0"/>
        <n v="5360000.0"/>
        <n v="6290000.0"/>
        <n v="7520000.0"/>
        <n v="7860000.0"/>
        <n v="8040000.0"/>
        <n v="8100000.0"/>
        <n v="8500000.0"/>
        <n v="8910000.0"/>
        <n v="1.001E7"/>
        <n v="1.008E7"/>
        <n v="1.036E7"/>
        <n v="1.06E7"/>
        <n v="1.082E7"/>
        <n v="1.114E7"/>
        <n v="1.134E7"/>
        <n v="1.15E7"/>
        <n v="1.162E7"/>
        <n v="1.18E7"/>
        <n v="1.191E7"/>
        <n v="1.216E7"/>
        <n v="1.217E7"/>
        <n v="1.27E7"/>
        <n v="1.321E7"/>
        <n v="1.33E7"/>
        <n v="1.402E7"/>
        <n v="1.666E7"/>
        <n v="1.851E7"/>
        <n v="1.872E7"/>
        <n v="2.094E7"/>
        <n v="1200000.0"/>
        <n v="1620000.0"/>
        <n v="2230000.0"/>
        <n v="2330000.0"/>
        <n v="2840000.0"/>
        <n v="3060000.0"/>
        <n v="3450000.0"/>
        <n v="5370000.0"/>
        <n v="5800000.0"/>
        <n v="5840000.0"/>
        <n v="6380000.0"/>
        <n v="6940000.0"/>
        <n v="7200000.0"/>
        <n v="7360000.0"/>
        <n v="7680000.0"/>
        <n v="8020000.0"/>
        <n v="8130000.0"/>
        <n v="8270000.0"/>
        <n v="8300000.0"/>
        <n v="8860000.0"/>
        <n v="9480000.0"/>
        <n v="9500000.0"/>
        <n v="9510000.0"/>
        <n v="9580000.0"/>
        <n v="9640000.0"/>
        <n v="9910000.0"/>
        <n v="9990000.0"/>
        <n v="1.029E7"/>
        <n v="1.048E7"/>
        <n v="1.092E7"/>
        <n v="1.112E7"/>
        <n v="1.127E7"/>
        <n v="1.172E7"/>
        <n v="1.181E7"/>
        <n v="1.22E7"/>
        <n v="1.222E7"/>
        <n v="1.276E7"/>
        <n v="1.343E7"/>
        <n v="1.484E7"/>
        <n v="1.623E7"/>
        <n v="1.785E7"/>
        <n v="1.988E7"/>
        <n v="2.462E7"/>
        <n v="2.629E7"/>
        <n v="2.764E7"/>
        <n v="2.771E7"/>
        <n v="3.627E7"/>
        <n v="1790000.0"/>
        <n v="2300000.0"/>
        <n v="2430000.0"/>
        <n v="3500000.0"/>
        <n v="5900000.0"/>
        <n v="6800000.0"/>
        <n v="7600000.0"/>
        <n v="7900000.0"/>
        <n v="8400000.0"/>
        <n v="8900000.0"/>
        <n v="1.01E7"/>
        <n v="1.11E7"/>
        <n v="1.17E7"/>
        <n v="1.23E7"/>
        <n v="1.265E7"/>
        <n v="1.28E7"/>
        <n v="1.437E7"/>
        <n v="1.479E7"/>
        <n v="1.537E7"/>
        <n v="1.671E7"/>
        <n v="1.68E7"/>
        <n v="1.837E7"/>
        <n v="1.96E7"/>
        <n v="2.34E7"/>
        <n v="3.36E7"/>
        <n v="8610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106" firstHeaderRow="0" firstDataRow="1" firstDataCol="0"/>
  <pivotFields>
    <pivotField name="tit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name="type" compact="0" numFmtId="49" outline="0" multipleItemSelectionAllowed="1" showAll="0">
      <items>
        <item x="0"/>
        <item x="1"/>
        <item t="default"/>
      </items>
    </pivotField>
    <pivotField name="genres" axis="axisRow" compact="0" outline="0" multipleItemSelectionAllowed="1" showAll="0" sortType="ascending">
      <items>
        <item x="13"/>
        <item x="67"/>
        <item x="57"/>
        <item x="33"/>
        <item x="14"/>
        <item x="87"/>
        <item x="18"/>
        <item x="36"/>
        <item x="72"/>
        <item x="86"/>
        <item x="41"/>
        <item x="3"/>
        <item x="40"/>
        <item x="64"/>
        <item x="20"/>
        <item x="89"/>
        <item x="10"/>
        <item x="5"/>
        <item x="50"/>
        <item x="29"/>
        <item x="49"/>
        <item x="53"/>
        <item x="45"/>
        <item x="39"/>
        <item x="58"/>
        <item x="82"/>
        <item x="77"/>
        <item x="6"/>
        <item x="65"/>
        <item x="42"/>
        <item x="30"/>
        <item x="84"/>
        <item x="61"/>
        <item x="16"/>
        <item x="51"/>
        <item x="60"/>
        <item x="71"/>
        <item x="11"/>
        <item x="43"/>
        <item x="78"/>
        <item x="28"/>
        <item x="99"/>
        <item x="81"/>
        <item x="88"/>
        <item x="7"/>
        <item x="94"/>
        <item x="25"/>
        <item x="21"/>
        <item x="4"/>
        <item x="90"/>
        <item x="101"/>
        <item x="37"/>
        <item x="103"/>
        <item x="69"/>
        <item x="79"/>
        <item x="48"/>
        <item x="73"/>
        <item x="38"/>
        <item x="75"/>
        <item x="35"/>
        <item x="83"/>
        <item x="76"/>
        <item x="97"/>
        <item x="17"/>
        <item x="26"/>
        <item x="2"/>
        <item x="22"/>
        <item x="62"/>
        <item x="102"/>
        <item x="23"/>
        <item x="74"/>
        <item x="66"/>
        <item x="31"/>
        <item x="96"/>
        <item x="93"/>
        <item x="85"/>
        <item x="95"/>
        <item x="70"/>
        <item x="59"/>
        <item x="52"/>
        <item x="100"/>
        <item x="47"/>
        <item x="80"/>
        <item x="92"/>
        <item x="98"/>
        <item x="24"/>
        <item x="46"/>
        <item x="34"/>
        <item x="19"/>
        <item x="91"/>
        <item x="12"/>
        <item x="55"/>
        <item x="8"/>
        <item x="68"/>
        <item x="44"/>
        <item x="15"/>
        <item x="0"/>
        <item x="32"/>
        <item x="56"/>
        <item x="54"/>
        <item x="1"/>
        <item x="27"/>
        <item x="9"/>
        <item x="63"/>
        <item t="default"/>
      </items>
    </pivotField>
    <pivotField name="average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releas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weekly_hours_view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t="default"/>
      </items>
    </pivotField>
  </pivotFields>
  <rowFields>
    <field x="2"/>
  </rowFields>
  <dataFields>
    <dataField name="SUM of weekly_hours_viewed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8.0"/>
    <col customWidth="1" min="2" max="2" width="14.14"/>
    <col customWidth="1" min="3" max="3" width="30.71"/>
    <col customWidth="1" min="4" max="4" width="18.29"/>
    <col customWidth="1" min="5" max="6" width="15.14"/>
    <col customWidth="1" min="7" max="7" width="21.4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2">
        <v>9.5</v>
      </c>
      <c r="E2" s="2">
        <v>2008.0</v>
      </c>
      <c r="F2" s="2">
        <v>2013.0</v>
      </c>
      <c r="G2" s="2" t="s">
        <v>10</v>
      </c>
    </row>
    <row r="3" ht="14.25" customHeight="1">
      <c r="A3" s="1" t="s">
        <v>11</v>
      </c>
      <c r="B3" s="1" t="s">
        <v>8</v>
      </c>
      <c r="C3" s="2" t="s">
        <v>12</v>
      </c>
      <c r="D3" s="2">
        <v>9.5</v>
      </c>
      <c r="E3" s="2">
        <v>2016.0</v>
      </c>
      <c r="F3" s="2">
        <v>2016.0</v>
      </c>
      <c r="G3" s="2" t="s">
        <v>10</v>
      </c>
    </row>
    <row r="4" ht="14.25" customHeight="1">
      <c r="A4" s="1" t="s">
        <v>13</v>
      </c>
      <c r="B4" s="1" t="s">
        <v>8</v>
      </c>
      <c r="C4" s="2" t="s">
        <v>14</v>
      </c>
      <c r="D4" s="2">
        <v>9.4</v>
      </c>
      <c r="E4" s="2">
        <v>2001.0</v>
      </c>
      <c r="F4" s="2" t="s">
        <v>10</v>
      </c>
      <c r="G4" s="2" t="s">
        <v>10</v>
      </c>
    </row>
    <row r="5" ht="14.25" customHeight="1">
      <c r="A5" s="1" t="s">
        <v>15</v>
      </c>
      <c r="B5" s="1" t="s">
        <v>8</v>
      </c>
      <c r="C5" s="2" t="s">
        <v>16</v>
      </c>
      <c r="D5" s="2">
        <v>9.4</v>
      </c>
      <c r="E5" s="2">
        <v>2006.0</v>
      </c>
      <c r="F5" s="2" t="s">
        <v>10</v>
      </c>
      <c r="G5" s="2" t="s">
        <v>10</v>
      </c>
    </row>
    <row r="6" ht="14.25" customHeight="1">
      <c r="A6" s="1" t="s">
        <v>17</v>
      </c>
      <c r="B6" s="1" t="s">
        <v>8</v>
      </c>
      <c r="C6" s="2" t="s">
        <v>18</v>
      </c>
      <c r="D6" s="2">
        <v>9.4</v>
      </c>
      <c r="E6" s="2">
        <v>2014.0</v>
      </c>
      <c r="F6" s="2" t="s">
        <v>10</v>
      </c>
      <c r="G6" s="2" t="s">
        <v>10</v>
      </c>
    </row>
    <row r="7" ht="14.25" customHeight="1">
      <c r="A7" s="1" t="s">
        <v>19</v>
      </c>
      <c r="B7" s="1" t="s">
        <v>20</v>
      </c>
      <c r="C7" s="2" t="s">
        <v>18</v>
      </c>
      <c r="D7" s="2">
        <v>9.3</v>
      </c>
      <c r="E7" s="2">
        <v>1994.0</v>
      </c>
      <c r="F7" s="2" t="s">
        <v>10</v>
      </c>
      <c r="G7" s="2" t="s">
        <v>10</v>
      </c>
    </row>
    <row r="8" ht="14.25" customHeight="1">
      <c r="A8" s="1" t="s">
        <v>21</v>
      </c>
      <c r="B8" s="1" t="s">
        <v>8</v>
      </c>
      <c r="C8" s="2" t="s">
        <v>22</v>
      </c>
      <c r="D8" s="2">
        <v>9.3</v>
      </c>
      <c r="E8" s="2">
        <v>2019.0</v>
      </c>
      <c r="F8" s="2" t="s">
        <v>10</v>
      </c>
      <c r="G8" s="2" t="s">
        <v>10</v>
      </c>
    </row>
    <row r="9" ht="14.25" customHeight="1">
      <c r="A9" s="1" t="s">
        <v>23</v>
      </c>
      <c r="B9" s="1" t="s">
        <v>8</v>
      </c>
      <c r="C9" s="2" t="s">
        <v>9</v>
      </c>
      <c r="D9" s="2">
        <v>9.3</v>
      </c>
      <c r="E9" s="2">
        <v>2002.0</v>
      </c>
      <c r="F9" s="2" t="s">
        <v>10</v>
      </c>
      <c r="G9" s="2" t="s">
        <v>10</v>
      </c>
    </row>
    <row r="10" ht="14.25" customHeight="1">
      <c r="A10" s="1" t="s">
        <v>24</v>
      </c>
      <c r="B10" s="1" t="s">
        <v>8</v>
      </c>
      <c r="C10" s="2" t="s">
        <v>25</v>
      </c>
      <c r="D10" s="2">
        <v>9.3</v>
      </c>
      <c r="E10" s="2">
        <v>2005.0</v>
      </c>
      <c r="F10" s="2">
        <v>2007.0</v>
      </c>
      <c r="G10" s="2" t="s">
        <v>10</v>
      </c>
    </row>
    <row r="11" ht="14.25" customHeight="1">
      <c r="A11" s="1" t="s">
        <v>26</v>
      </c>
      <c r="B11" s="1" t="s">
        <v>8</v>
      </c>
      <c r="C11" s="2" t="s">
        <v>18</v>
      </c>
      <c r="D11" s="2">
        <v>9.3</v>
      </c>
      <c r="E11" s="2">
        <v>2023.0</v>
      </c>
      <c r="F11" s="2" t="s">
        <v>10</v>
      </c>
      <c r="G11" s="2" t="s">
        <v>10</v>
      </c>
    </row>
    <row r="12" ht="14.25" customHeight="1">
      <c r="A12" s="1" t="s">
        <v>27</v>
      </c>
      <c r="B12" s="1" t="s">
        <v>8</v>
      </c>
      <c r="C12" s="2" t="s">
        <v>12</v>
      </c>
      <c r="D12" s="2">
        <v>9.3</v>
      </c>
      <c r="E12" s="2">
        <v>2017.0</v>
      </c>
      <c r="F12" s="2">
        <v>2017.0</v>
      </c>
      <c r="G12" s="2" t="s">
        <v>10</v>
      </c>
    </row>
    <row r="13" ht="14.25" customHeight="1">
      <c r="A13" s="1" t="s">
        <v>28</v>
      </c>
      <c r="B13" s="1" t="s">
        <v>8</v>
      </c>
      <c r="C13" s="2" t="s">
        <v>12</v>
      </c>
      <c r="D13" s="2">
        <v>9.3</v>
      </c>
      <c r="E13" s="2">
        <v>1980.0</v>
      </c>
      <c r="F13" s="2" t="s">
        <v>10</v>
      </c>
      <c r="G13" s="2" t="s">
        <v>10</v>
      </c>
    </row>
    <row r="14" ht="14.25" customHeight="1">
      <c r="A14" s="1" t="s">
        <v>29</v>
      </c>
      <c r="B14" s="1" t="s">
        <v>8</v>
      </c>
      <c r="C14" s="2" t="s">
        <v>30</v>
      </c>
      <c r="D14" s="2">
        <v>9.3</v>
      </c>
      <c r="E14" s="2">
        <v>2018.0</v>
      </c>
      <c r="F14" s="2" t="s">
        <v>10</v>
      </c>
      <c r="G14" s="2" t="s">
        <v>10</v>
      </c>
    </row>
    <row r="15" ht="14.25" customHeight="1">
      <c r="A15" s="1" t="s">
        <v>31</v>
      </c>
      <c r="B15" s="1" t="s">
        <v>8</v>
      </c>
      <c r="C15" s="2" t="s">
        <v>32</v>
      </c>
      <c r="D15" s="2">
        <v>9.3</v>
      </c>
      <c r="E15" s="2">
        <v>2015.0</v>
      </c>
      <c r="F15" s="2" t="s">
        <v>10</v>
      </c>
      <c r="G15" s="2" t="s">
        <v>10</v>
      </c>
    </row>
    <row r="16" ht="14.25" customHeight="1">
      <c r="A16" s="1" t="s">
        <v>33</v>
      </c>
      <c r="B16" s="1" t="s">
        <v>8</v>
      </c>
      <c r="C16" s="2" t="s">
        <v>34</v>
      </c>
      <c r="D16" s="2">
        <v>9.2</v>
      </c>
      <c r="E16" s="2">
        <v>2011.0</v>
      </c>
      <c r="F16" s="2" t="s">
        <v>10</v>
      </c>
      <c r="G16" s="2" t="s">
        <v>10</v>
      </c>
    </row>
    <row r="17" ht="14.25" customHeight="1">
      <c r="A17" s="1" t="s">
        <v>35</v>
      </c>
      <c r="B17" s="1" t="s">
        <v>20</v>
      </c>
      <c r="C17" s="2" t="s">
        <v>36</v>
      </c>
      <c r="D17" s="2">
        <v>9.2</v>
      </c>
      <c r="E17" s="2">
        <v>1972.0</v>
      </c>
      <c r="F17" s="2" t="s">
        <v>10</v>
      </c>
      <c r="G17" s="2" t="s">
        <v>10</v>
      </c>
    </row>
    <row r="18" ht="14.25" customHeight="1">
      <c r="A18" s="1" t="s">
        <v>37</v>
      </c>
      <c r="B18" s="1" t="s">
        <v>8</v>
      </c>
      <c r="C18" s="2" t="s">
        <v>36</v>
      </c>
      <c r="D18" s="2">
        <v>9.2</v>
      </c>
      <c r="E18" s="2">
        <v>1999.0</v>
      </c>
      <c r="F18" s="2" t="s">
        <v>10</v>
      </c>
      <c r="G18" s="2" t="s">
        <v>10</v>
      </c>
    </row>
    <row r="19" ht="14.25" customHeight="1">
      <c r="A19" s="1" t="s">
        <v>38</v>
      </c>
      <c r="B19" s="1" t="s">
        <v>8</v>
      </c>
      <c r="C19" s="2" t="s">
        <v>18</v>
      </c>
      <c r="D19" s="2">
        <v>9.2</v>
      </c>
      <c r="E19" s="2">
        <v>2021.0</v>
      </c>
      <c r="F19" s="2" t="s">
        <v>10</v>
      </c>
      <c r="G19" s="2" t="s">
        <v>10</v>
      </c>
    </row>
    <row r="20" ht="14.25" customHeight="1">
      <c r="A20" s="1" t="s">
        <v>39</v>
      </c>
      <c r="B20" s="1" t="s">
        <v>8</v>
      </c>
      <c r="C20" s="2" t="s">
        <v>40</v>
      </c>
      <c r="D20" s="2">
        <v>9.2</v>
      </c>
      <c r="E20" s="2">
        <v>2020.0</v>
      </c>
      <c r="F20" s="2" t="s">
        <v>10</v>
      </c>
      <c r="G20" s="2" t="s">
        <v>10</v>
      </c>
    </row>
    <row r="21" ht="14.25" customHeight="1">
      <c r="A21" s="1" t="s">
        <v>41</v>
      </c>
      <c r="B21" s="1" t="s">
        <v>8</v>
      </c>
      <c r="C21" s="2" t="s">
        <v>12</v>
      </c>
      <c r="D21" s="2">
        <v>9.2</v>
      </c>
      <c r="E21" s="2">
        <v>2014.0</v>
      </c>
      <c r="F21" s="2" t="s">
        <v>10</v>
      </c>
      <c r="G21" s="2" t="s">
        <v>10</v>
      </c>
    </row>
    <row r="22" ht="14.25" customHeight="1">
      <c r="A22" s="1" t="s">
        <v>42</v>
      </c>
      <c r="B22" s="1" t="s">
        <v>8</v>
      </c>
      <c r="C22" s="2" t="s">
        <v>12</v>
      </c>
      <c r="D22" s="2">
        <v>9.2</v>
      </c>
      <c r="E22" s="2">
        <v>2019.0</v>
      </c>
      <c r="F22" s="2">
        <v>2019.0</v>
      </c>
      <c r="G22" s="2">
        <v>9900000.0</v>
      </c>
    </row>
    <row r="23" ht="14.25" customHeight="1">
      <c r="A23" s="1" t="s">
        <v>42</v>
      </c>
      <c r="B23" s="1" t="s">
        <v>8</v>
      </c>
      <c r="C23" s="2" t="s">
        <v>12</v>
      </c>
      <c r="D23" s="2">
        <v>9.2</v>
      </c>
      <c r="E23" s="2">
        <v>2019.0</v>
      </c>
      <c r="F23" s="2">
        <v>2019.0</v>
      </c>
      <c r="G23" s="2">
        <v>1.36E7</v>
      </c>
    </row>
    <row r="24" ht="14.25" customHeight="1">
      <c r="A24" s="1" t="s">
        <v>42</v>
      </c>
      <c r="B24" s="1" t="s">
        <v>8</v>
      </c>
      <c r="C24" s="2" t="s">
        <v>12</v>
      </c>
      <c r="D24" s="2">
        <v>9.2</v>
      </c>
      <c r="E24" s="2">
        <v>2019.0</v>
      </c>
      <c r="F24" s="2">
        <v>2019.0</v>
      </c>
      <c r="G24" s="2">
        <v>1.19E7</v>
      </c>
    </row>
    <row r="25" ht="14.25" customHeight="1">
      <c r="A25" s="1" t="s">
        <v>43</v>
      </c>
      <c r="B25" s="1" t="s">
        <v>8</v>
      </c>
      <c r="C25" s="2" t="s">
        <v>44</v>
      </c>
      <c r="D25" s="2">
        <v>9.2</v>
      </c>
      <c r="E25" s="2">
        <v>2017.0</v>
      </c>
      <c r="F25" s="2">
        <v>2016.0</v>
      </c>
      <c r="G25" s="2" t="s">
        <v>10</v>
      </c>
    </row>
    <row r="26" ht="14.25" customHeight="1">
      <c r="A26" s="1" t="s">
        <v>45</v>
      </c>
      <c r="B26" s="1" t="s">
        <v>20</v>
      </c>
      <c r="C26" s="2" t="s">
        <v>32</v>
      </c>
      <c r="D26" s="2">
        <v>9.2</v>
      </c>
      <c r="E26" s="2">
        <v>1975.0</v>
      </c>
      <c r="F26" s="2" t="s">
        <v>10</v>
      </c>
      <c r="G26" s="2" t="s">
        <v>10</v>
      </c>
    </row>
    <row r="27" ht="14.25" customHeight="1">
      <c r="A27" s="1" t="s">
        <v>46</v>
      </c>
      <c r="B27" s="1" t="s">
        <v>8</v>
      </c>
      <c r="C27" s="2" t="s">
        <v>47</v>
      </c>
      <c r="D27" s="2">
        <v>9.2</v>
      </c>
      <c r="E27" s="2">
        <v>2011.0</v>
      </c>
      <c r="F27" s="2" t="s">
        <v>10</v>
      </c>
      <c r="G27" s="2" t="s">
        <v>10</v>
      </c>
    </row>
    <row r="28" ht="14.25" customHeight="1">
      <c r="A28" s="1" t="s">
        <v>48</v>
      </c>
      <c r="B28" s="1" t="s">
        <v>8</v>
      </c>
      <c r="C28" s="2" t="s">
        <v>49</v>
      </c>
      <c r="D28" s="2">
        <v>9.2</v>
      </c>
      <c r="E28" s="2">
        <v>1973.0</v>
      </c>
      <c r="F28" s="2" t="s">
        <v>10</v>
      </c>
      <c r="G28" s="2" t="s">
        <v>10</v>
      </c>
    </row>
    <row r="29" ht="14.25" customHeight="1">
      <c r="A29" s="1" t="s">
        <v>50</v>
      </c>
      <c r="B29" s="1" t="s">
        <v>20</v>
      </c>
      <c r="C29" s="2" t="s">
        <v>25</v>
      </c>
      <c r="D29" s="2">
        <v>9.2</v>
      </c>
      <c r="E29" s="2">
        <v>1993.0</v>
      </c>
      <c r="F29" s="2" t="s">
        <v>10</v>
      </c>
      <c r="G29" s="2" t="s">
        <v>10</v>
      </c>
    </row>
    <row r="30" ht="14.25" customHeight="1">
      <c r="A30" s="1" t="s">
        <v>51</v>
      </c>
      <c r="B30" s="1" t="s">
        <v>8</v>
      </c>
      <c r="C30" s="2" t="s">
        <v>32</v>
      </c>
      <c r="D30" s="2">
        <v>9.2</v>
      </c>
      <c r="E30" s="2">
        <v>2014.0</v>
      </c>
      <c r="F30" s="2" t="s">
        <v>10</v>
      </c>
      <c r="G30" s="2" t="s">
        <v>10</v>
      </c>
    </row>
    <row r="31" ht="14.25" customHeight="1">
      <c r="A31" s="1" t="s">
        <v>52</v>
      </c>
      <c r="B31" s="1" t="s">
        <v>8</v>
      </c>
      <c r="C31" s="2" t="s">
        <v>53</v>
      </c>
      <c r="D31" s="2">
        <v>9.1</v>
      </c>
      <c r="E31" s="2">
        <v>2010.0</v>
      </c>
      <c r="F31" s="2">
        <v>2017.0</v>
      </c>
      <c r="G31" s="2" t="s">
        <v>10</v>
      </c>
    </row>
    <row r="32" ht="14.25" customHeight="1">
      <c r="A32" s="1" t="s">
        <v>54</v>
      </c>
      <c r="B32" s="1" t="s">
        <v>8</v>
      </c>
      <c r="C32" s="2" t="s">
        <v>55</v>
      </c>
      <c r="D32" s="2">
        <v>9.1</v>
      </c>
      <c r="E32" s="2">
        <v>2013.0</v>
      </c>
      <c r="F32" s="2" t="s">
        <v>10</v>
      </c>
      <c r="G32" s="2" t="s">
        <v>10</v>
      </c>
    </row>
    <row r="33" ht="14.25" customHeight="1">
      <c r="A33" s="1" t="s">
        <v>56</v>
      </c>
      <c r="B33" s="1" t="s">
        <v>8</v>
      </c>
      <c r="C33" s="2" t="s">
        <v>25</v>
      </c>
      <c r="D33" s="2">
        <v>9.1</v>
      </c>
      <c r="E33" s="2">
        <v>2013.0</v>
      </c>
      <c r="F33" s="2">
        <v>2013.0</v>
      </c>
      <c r="G33" s="2">
        <v>4700000.0</v>
      </c>
    </row>
    <row r="34" ht="14.25" customHeight="1">
      <c r="A34" s="1" t="s">
        <v>57</v>
      </c>
      <c r="B34" s="1" t="s">
        <v>8</v>
      </c>
      <c r="C34" s="2" t="s">
        <v>25</v>
      </c>
      <c r="D34" s="2">
        <v>9.1</v>
      </c>
      <c r="E34" s="2">
        <v>2021.0</v>
      </c>
      <c r="F34" s="2" t="s">
        <v>10</v>
      </c>
      <c r="G34" s="2">
        <v>1.001E7</v>
      </c>
    </row>
    <row r="35" ht="14.25" customHeight="1">
      <c r="A35" s="1" t="s">
        <v>57</v>
      </c>
      <c r="B35" s="1" t="s">
        <v>8</v>
      </c>
      <c r="C35" s="2" t="s">
        <v>25</v>
      </c>
      <c r="D35" s="2">
        <v>9.1</v>
      </c>
      <c r="E35" s="2">
        <v>2021.0</v>
      </c>
      <c r="F35" s="2" t="s">
        <v>10</v>
      </c>
      <c r="G35" s="2">
        <v>1.347E7</v>
      </c>
    </row>
    <row r="36" ht="14.25" customHeight="1">
      <c r="A36" s="1" t="s">
        <v>57</v>
      </c>
      <c r="B36" s="1" t="s">
        <v>8</v>
      </c>
      <c r="C36" s="2" t="s">
        <v>25</v>
      </c>
      <c r="D36" s="2">
        <v>9.1</v>
      </c>
      <c r="E36" s="2">
        <v>2021.0</v>
      </c>
      <c r="F36" s="2" t="s">
        <v>10</v>
      </c>
      <c r="G36" s="2">
        <v>1.818E7</v>
      </c>
    </row>
    <row r="37" ht="14.25" customHeight="1">
      <c r="A37" s="1" t="s">
        <v>57</v>
      </c>
      <c r="B37" s="1" t="s">
        <v>8</v>
      </c>
      <c r="C37" s="2" t="s">
        <v>25</v>
      </c>
      <c r="D37" s="2">
        <v>9.1</v>
      </c>
      <c r="E37" s="2">
        <v>2021.0</v>
      </c>
      <c r="F37" s="2" t="s">
        <v>10</v>
      </c>
      <c r="G37" s="2">
        <v>2.966E7</v>
      </c>
    </row>
    <row r="38" ht="14.25" customHeight="1">
      <c r="A38" s="1" t="s">
        <v>57</v>
      </c>
      <c r="B38" s="1" t="s">
        <v>8</v>
      </c>
      <c r="C38" s="2" t="s">
        <v>25</v>
      </c>
      <c r="D38" s="2">
        <v>9.1</v>
      </c>
      <c r="E38" s="2">
        <v>2021.0</v>
      </c>
      <c r="F38" s="2" t="s">
        <v>10</v>
      </c>
      <c r="G38" s="2">
        <v>3.842E7</v>
      </c>
    </row>
    <row r="39" ht="14.25" customHeight="1">
      <c r="A39" s="1" t="s">
        <v>57</v>
      </c>
      <c r="B39" s="1" t="s">
        <v>8</v>
      </c>
      <c r="C39" s="2" t="s">
        <v>25</v>
      </c>
      <c r="D39" s="2">
        <v>9.1</v>
      </c>
      <c r="E39" s="2">
        <v>2021.0</v>
      </c>
      <c r="F39" s="2" t="s">
        <v>10</v>
      </c>
      <c r="G39" s="2">
        <v>3.417E7</v>
      </c>
    </row>
    <row r="40" ht="14.25" customHeight="1">
      <c r="A40" s="1" t="s">
        <v>58</v>
      </c>
      <c r="B40" s="1" t="s">
        <v>8</v>
      </c>
      <c r="C40" s="2" t="s">
        <v>25</v>
      </c>
      <c r="D40" s="2">
        <v>9.1</v>
      </c>
      <c r="E40" s="2">
        <v>2009.0</v>
      </c>
      <c r="F40" s="2">
        <v>2010.0</v>
      </c>
      <c r="G40" s="2" t="s">
        <v>10</v>
      </c>
    </row>
    <row r="41" ht="14.25" customHeight="1">
      <c r="A41" s="1" t="s">
        <v>59</v>
      </c>
      <c r="B41" s="1" t="s">
        <v>8</v>
      </c>
      <c r="C41" s="2" t="s">
        <v>60</v>
      </c>
      <c r="D41" s="2">
        <v>9.1</v>
      </c>
      <c r="E41" s="2">
        <v>2011.0</v>
      </c>
      <c r="F41" s="2">
        <v>2014.0</v>
      </c>
      <c r="G41" s="2" t="s">
        <v>10</v>
      </c>
    </row>
    <row r="42" ht="14.25" customHeight="1">
      <c r="A42" s="1" t="s">
        <v>61</v>
      </c>
      <c r="B42" s="1" t="s">
        <v>8</v>
      </c>
      <c r="C42" s="2" t="s">
        <v>18</v>
      </c>
      <c r="D42" s="2">
        <v>9.1</v>
      </c>
      <c r="E42" s="2">
        <v>2023.0</v>
      </c>
      <c r="F42" s="2" t="s">
        <v>10</v>
      </c>
      <c r="G42" s="2" t="s">
        <v>10</v>
      </c>
    </row>
    <row r="43" ht="14.25" customHeight="1">
      <c r="A43" s="1" t="s">
        <v>62</v>
      </c>
      <c r="B43" s="1" t="s">
        <v>8</v>
      </c>
      <c r="C43" s="2" t="s">
        <v>63</v>
      </c>
      <c r="D43" s="2">
        <v>9.1</v>
      </c>
      <c r="E43" s="2">
        <v>2015.0</v>
      </c>
      <c r="F43" s="2" t="s">
        <v>10</v>
      </c>
      <c r="G43" s="2" t="s">
        <v>10</v>
      </c>
    </row>
    <row r="44" ht="14.25" customHeight="1">
      <c r="A44" s="1" t="s">
        <v>64</v>
      </c>
      <c r="B44" s="1" t="s">
        <v>8</v>
      </c>
      <c r="C44" s="2" t="s">
        <v>12</v>
      </c>
      <c r="D44" s="2">
        <v>9.1</v>
      </c>
      <c r="E44" s="2">
        <v>2009.0</v>
      </c>
      <c r="F44" s="2">
        <v>2018.0</v>
      </c>
      <c r="G44" s="2" t="s">
        <v>10</v>
      </c>
    </row>
    <row r="45" ht="14.25" customHeight="1">
      <c r="A45" s="1" t="s">
        <v>65</v>
      </c>
      <c r="B45" s="1" t="s">
        <v>8</v>
      </c>
      <c r="C45" s="2" t="s">
        <v>49</v>
      </c>
      <c r="D45" s="2">
        <v>9.1</v>
      </c>
      <c r="E45" s="2">
        <v>2017.0</v>
      </c>
      <c r="F45" s="2" t="s">
        <v>10</v>
      </c>
      <c r="G45" s="2" t="s">
        <v>10</v>
      </c>
    </row>
    <row r="46" ht="14.25" customHeight="1">
      <c r="A46" s="1" t="s">
        <v>66</v>
      </c>
      <c r="B46" s="1" t="s">
        <v>8</v>
      </c>
      <c r="C46" s="2" t="s">
        <v>67</v>
      </c>
      <c r="D46" s="2">
        <v>9.1</v>
      </c>
      <c r="E46" s="2">
        <v>2019.0</v>
      </c>
      <c r="F46" s="2" t="s">
        <v>10</v>
      </c>
      <c r="G46" s="2" t="s">
        <v>10</v>
      </c>
    </row>
    <row r="47" ht="14.25" customHeight="1">
      <c r="A47" s="1" t="s">
        <v>68</v>
      </c>
      <c r="B47" s="1" t="s">
        <v>8</v>
      </c>
      <c r="C47" s="2" t="s">
        <v>69</v>
      </c>
      <c r="D47" s="2">
        <v>9.1</v>
      </c>
      <c r="E47" s="2">
        <v>2019.0</v>
      </c>
      <c r="F47" s="2" t="s">
        <v>10</v>
      </c>
      <c r="G47" s="2" t="s">
        <v>10</v>
      </c>
    </row>
    <row r="48" ht="14.25" customHeight="1">
      <c r="A48" s="1" t="s">
        <v>70</v>
      </c>
      <c r="B48" s="1" t="s">
        <v>8</v>
      </c>
      <c r="C48" s="2" t="s">
        <v>9</v>
      </c>
      <c r="D48" s="2">
        <v>9.1</v>
      </c>
      <c r="E48" s="2">
        <v>2017.0</v>
      </c>
      <c r="F48" s="2" t="s">
        <v>10</v>
      </c>
      <c r="G48" s="2" t="s">
        <v>10</v>
      </c>
    </row>
    <row r="49" ht="14.25" customHeight="1">
      <c r="A49" s="1" t="s">
        <v>71</v>
      </c>
      <c r="B49" s="1" t="s">
        <v>8</v>
      </c>
      <c r="C49" s="2" t="s">
        <v>72</v>
      </c>
      <c r="D49" s="2">
        <v>9.1</v>
      </c>
      <c r="E49" s="2">
        <v>2015.0</v>
      </c>
      <c r="F49" s="2" t="s">
        <v>10</v>
      </c>
      <c r="G49" s="2" t="s">
        <v>10</v>
      </c>
    </row>
    <row r="50" ht="14.25" customHeight="1">
      <c r="A50" s="1" t="s">
        <v>73</v>
      </c>
      <c r="B50" s="1" t="s">
        <v>8</v>
      </c>
      <c r="C50" s="2" t="s">
        <v>25</v>
      </c>
      <c r="D50" s="2">
        <v>9.1</v>
      </c>
      <c r="E50" s="2">
        <v>2021.0</v>
      </c>
      <c r="F50" s="2" t="s">
        <v>10</v>
      </c>
      <c r="G50" s="2" t="s">
        <v>10</v>
      </c>
    </row>
    <row r="51" ht="14.25" customHeight="1">
      <c r="A51" s="1" t="s">
        <v>74</v>
      </c>
      <c r="B51" s="1" t="s">
        <v>20</v>
      </c>
      <c r="C51" s="2" t="s">
        <v>75</v>
      </c>
      <c r="D51" s="2">
        <v>9.1</v>
      </c>
      <c r="E51" s="2">
        <v>2021.0</v>
      </c>
      <c r="F51" s="2" t="s">
        <v>10</v>
      </c>
      <c r="G51" s="2" t="s">
        <v>10</v>
      </c>
    </row>
    <row r="52" ht="14.25" customHeight="1">
      <c r="A52" s="1" t="s">
        <v>76</v>
      </c>
      <c r="B52" s="1" t="s">
        <v>20</v>
      </c>
      <c r="C52" s="2" t="s">
        <v>69</v>
      </c>
      <c r="D52" s="2">
        <v>9.0</v>
      </c>
      <c r="E52" s="2">
        <v>2008.0</v>
      </c>
      <c r="F52" s="2" t="s">
        <v>10</v>
      </c>
      <c r="G52" s="2" t="s">
        <v>10</v>
      </c>
    </row>
    <row r="53" ht="14.25" customHeight="1">
      <c r="A53" s="1" t="s">
        <v>77</v>
      </c>
      <c r="B53" s="1" t="s">
        <v>20</v>
      </c>
      <c r="C53" s="2" t="s">
        <v>78</v>
      </c>
      <c r="D53" s="2">
        <v>9.0</v>
      </c>
      <c r="E53" s="2">
        <v>2003.0</v>
      </c>
      <c r="F53" s="2">
        <v>2003.0</v>
      </c>
      <c r="G53" s="2" t="s">
        <v>10</v>
      </c>
    </row>
    <row r="54" ht="14.25" customHeight="1">
      <c r="A54" s="1" t="s">
        <v>79</v>
      </c>
      <c r="B54" s="1" t="s">
        <v>20</v>
      </c>
      <c r="C54" s="2" t="s">
        <v>80</v>
      </c>
      <c r="D54" s="2">
        <v>9.0</v>
      </c>
      <c r="E54" s="2">
        <v>1993.0</v>
      </c>
      <c r="F54" s="2">
        <v>1993.0</v>
      </c>
      <c r="G54" s="2" t="s">
        <v>10</v>
      </c>
    </row>
    <row r="55" ht="14.25" customHeight="1">
      <c r="A55" s="1" t="s">
        <v>81</v>
      </c>
      <c r="B55" s="1" t="s">
        <v>20</v>
      </c>
      <c r="C55" s="2" t="s">
        <v>36</v>
      </c>
      <c r="D55" s="2">
        <v>9.0</v>
      </c>
      <c r="E55" s="2">
        <v>1974.0</v>
      </c>
      <c r="F55" s="2" t="s">
        <v>10</v>
      </c>
      <c r="G55" s="2" t="s">
        <v>10</v>
      </c>
    </row>
    <row r="56" ht="14.25" customHeight="1">
      <c r="A56" s="1" t="s">
        <v>82</v>
      </c>
      <c r="B56" s="1" t="s">
        <v>20</v>
      </c>
      <c r="C56" s="2" t="s">
        <v>36</v>
      </c>
      <c r="D56" s="2">
        <v>9.0</v>
      </c>
      <c r="E56" s="2">
        <v>1957.0</v>
      </c>
      <c r="F56" s="2" t="s">
        <v>10</v>
      </c>
      <c r="G56" s="2" t="s">
        <v>10</v>
      </c>
    </row>
    <row r="57" ht="14.25" customHeight="1">
      <c r="A57" s="1" t="s">
        <v>83</v>
      </c>
      <c r="B57" s="1" t="s">
        <v>8</v>
      </c>
      <c r="C57" s="2" t="s">
        <v>32</v>
      </c>
      <c r="D57" s="2">
        <v>9.0</v>
      </c>
      <c r="E57" s="2">
        <v>2005.0</v>
      </c>
      <c r="F57" s="2" t="s">
        <v>10</v>
      </c>
      <c r="G57" s="2" t="s">
        <v>10</v>
      </c>
    </row>
    <row r="58" ht="14.25" customHeight="1">
      <c r="A58" s="1" t="s">
        <v>84</v>
      </c>
      <c r="B58" s="1" t="s">
        <v>8</v>
      </c>
      <c r="C58" s="2" t="s">
        <v>36</v>
      </c>
      <c r="D58" s="2">
        <v>9.0</v>
      </c>
      <c r="E58" s="2">
        <v>2015.0</v>
      </c>
      <c r="F58" s="2">
        <v>2018.0</v>
      </c>
      <c r="G58" s="2">
        <v>1.396E7</v>
      </c>
    </row>
    <row r="59" ht="14.25" customHeight="1">
      <c r="A59" s="1" t="s">
        <v>84</v>
      </c>
      <c r="B59" s="1" t="s">
        <v>8</v>
      </c>
      <c r="C59" s="2" t="s">
        <v>36</v>
      </c>
      <c r="D59" s="2">
        <v>9.0</v>
      </c>
      <c r="E59" s="2">
        <v>2015.0</v>
      </c>
      <c r="F59" s="2">
        <v>2018.0</v>
      </c>
      <c r="G59" s="2">
        <v>1.479E7</v>
      </c>
    </row>
    <row r="60" ht="14.25" customHeight="1">
      <c r="A60" s="1" t="s">
        <v>84</v>
      </c>
      <c r="B60" s="1" t="s">
        <v>8</v>
      </c>
      <c r="C60" s="2" t="s">
        <v>36</v>
      </c>
      <c r="D60" s="2">
        <v>9.0</v>
      </c>
      <c r="E60" s="2">
        <v>2015.0</v>
      </c>
      <c r="F60" s="2">
        <v>2018.0</v>
      </c>
      <c r="G60" s="2">
        <v>1.243E7</v>
      </c>
    </row>
    <row r="61" ht="14.25" customHeight="1">
      <c r="A61" s="1" t="s">
        <v>84</v>
      </c>
      <c r="B61" s="1" t="s">
        <v>8</v>
      </c>
      <c r="C61" s="2" t="s">
        <v>36</v>
      </c>
      <c r="D61" s="2">
        <v>9.0</v>
      </c>
      <c r="E61" s="2">
        <v>2015.0</v>
      </c>
      <c r="F61" s="2">
        <v>2018.0</v>
      </c>
      <c r="G61" s="2">
        <v>1.517E7</v>
      </c>
    </row>
    <row r="62" ht="14.25" customHeight="1">
      <c r="A62" s="1" t="s">
        <v>85</v>
      </c>
      <c r="B62" s="1" t="s">
        <v>8</v>
      </c>
      <c r="C62" s="2" t="s">
        <v>25</v>
      </c>
      <c r="D62" s="2">
        <v>9.0</v>
      </c>
      <c r="E62" s="2">
        <v>1999.0</v>
      </c>
      <c r="F62" s="2">
        <v>2002.0</v>
      </c>
      <c r="G62" s="2">
        <v>1.09E7</v>
      </c>
    </row>
    <row r="63" ht="14.25" customHeight="1">
      <c r="A63" s="1" t="s">
        <v>85</v>
      </c>
      <c r="B63" s="1" t="s">
        <v>8</v>
      </c>
      <c r="C63" s="2" t="s">
        <v>25</v>
      </c>
      <c r="D63" s="2">
        <v>9.0</v>
      </c>
      <c r="E63" s="2">
        <v>1999.0</v>
      </c>
      <c r="F63" s="2">
        <v>2002.0</v>
      </c>
      <c r="G63" s="2">
        <v>1.43E7</v>
      </c>
    </row>
    <row r="64" ht="14.25" customHeight="1">
      <c r="A64" s="1" t="s">
        <v>85</v>
      </c>
      <c r="B64" s="1" t="s">
        <v>8</v>
      </c>
      <c r="C64" s="2" t="s">
        <v>25</v>
      </c>
      <c r="D64" s="2">
        <v>9.0</v>
      </c>
      <c r="E64" s="2">
        <v>1999.0</v>
      </c>
      <c r="F64" s="2">
        <v>2002.0</v>
      </c>
      <c r="G64" s="2">
        <v>1.88E7</v>
      </c>
    </row>
    <row r="65" ht="14.25" customHeight="1">
      <c r="A65" s="1" t="s">
        <v>85</v>
      </c>
      <c r="B65" s="1" t="s">
        <v>8</v>
      </c>
      <c r="C65" s="2" t="s">
        <v>25</v>
      </c>
      <c r="D65" s="2">
        <v>9.0</v>
      </c>
      <c r="E65" s="2">
        <v>1999.0</v>
      </c>
      <c r="F65" s="2">
        <v>2002.0</v>
      </c>
      <c r="G65" s="2">
        <v>2.84E7</v>
      </c>
    </row>
    <row r="66" ht="14.25" customHeight="1">
      <c r="A66" s="1" t="s">
        <v>85</v>
      </c>
      <c r="B66" s="1" t="s">
        <v>8</v>
      </c>
      <c r="C66" s="2" t="s">
        <v>25</v>
      </c>
      <c r="D66" s="2">
        <v>9.0</v>
      </c>
      <c r="E66" s="2">
        <v>1999.0</v>
      </c>
      <c r="F66" s="2">
        <v>2002.0</v>
      </c>
      <c r="G66" s="2">
        <v>4.66E7</v>
      </c>
    </row>
    <row r="67" ht="14.25" customHeight="1">
      <c r="A67" s="1" t="s">
        <v>85</v>
      </c>
      <c r="B67" s="1" t="s">
        <v>8</v>
      </c>
      <c r="C67" s="2" t="s">
        <v>25</v>
      </c>
      <c r="D67" s="2">
        <v>9.0</v>
      </c>
      <c r="E67" s="2">
        <v>1999.0</v>
      </c>
      <c r="F67" s="2">
        <v>2002.0</v>
      </c>
      <c r="G67" s="2">
        <v>7.55E7</v>
      </c>
    </row>
    <row r="68" ht="14.25" customHeight="1">
      <c r="A68" s="1" t="s">
        <v>85</v>
      </c>
      <c r="B68" s="1" t="s">
        <v>8</v>
      </c>
      <c r="C68" s="2" t="s">
        <v>25</v>
      </c>
      <c r="D68" s="2">
        <v>9.0</v>
      </c>
      <c r="E68" s="2">
        <v>1999.0</v>
      </c>
      <c r="F68" s="2">
        <v>2002.0</v>
      </c>
      <c r="G68" s="2">
        <v>1.457E8</v>
      </c>
    </row>
    <row r="69" ht="14.25" customHeight="1">
      <c r="A69" s="1" t="s">
        <v>85</v>
      </c>
      <c r="B69" s="1" t="s">
        <v>8</v>
      </c>
      <c r="C69" s="2" t="s">
        <v>25</v>
      </c>
      <c r="D69" s="2">
        <v>9.0</v>
      </c>
      <c r="E69" s="2">
        <v>1999.0</v>
      </c>
      <c r="F69" s="2">
        <v>2002.0</v>
      </c>
      <c r="G69" s="2">
        <v>1.401E8</v>
      </c>
    </row>
    <row r="70" ht="14.25" customHeight="1">
      <c r="A70" s="1" t="s">
        <v>86</v>
      </c>
      <c r="B70" s="1" t="s">
        <v>8</v>
      </c>
      <c r="C70" s="2" t="s">
        <v>87</v>
      </c>
      <c r="D70" s="2">
        <v>9.0</v>
      </c>
      <c r="E70" s="2">
        <v>2020.0</v>
      </c>
      <c r="F70" s="2">
        <v>2020.0</v>
      </c>
      <c r="G70" s="2" t="s">
        <v>10</v>
      </c>
    </row>
    <row r="71" ht="14.25" customHeight="1">
      <c r="A71" s="1" t="s">
        <v>88</v>
      </c>
      <c r="B71" s="1" t="s">
        <v>8</v>
      </c>
      <c r="C71" s="2" t="s">
        <v>25</v>
      </c>
      <c r="D71" s="2">
        <v>9.0</v>
      </c>
      <c r="E71" s="2">
        <v>2011.0</v>
      </c>
      <c r="F71" s="2" t="s">
        <v>10</v>
      </c>
      <c r="G71" s="2" t="s">
        <v>10</v>
      </c>
    </row>
    <row r="72" ht="14.25" customHeight="1">
      <c r="A72" s="1" t="s">
        <v>89</v>
      </c>
      <c r="B72" s="1" t="s">
        <v>8</v>
      </c>
      <c r="C72" s="2" t="s">
        <v>25</v>
      </c>
      <c r="D72" s="2">
        <v>9.0</v>
      </c>
      <c r="E72" s="2">
        <v>1992.0</v>
      </c>
      <c r="F72" s="2" t="s">
        <v>10</v>
      </c>
      <c r="G72" s="2" t="s">
        <v>10</v>
      </c>
    </row>
    <row r="73" ht="14.25" customHeight="1">
      <c r="A73" s="1" t="s">
        <v>90</v>
      </c>
      <c r="B73" s="1" t="s">
        <v>8</v>
      </c>
      <c r="C73" s="2" t="s">
        <v>63</v>
      </c>
      <c r="D73" s="2">
        <v>9.0</v>
      </c>
      <c r="E73" s="2">
        <v>2020.0</v>
      </c>
      <c r="F73" s="2" t="s">
        <v>10</v>
      </c>
      <c r="G73" s="2" t="s">
        <v>10</v>
      </c>
    </row>
    <row r="74" ht="14.25" customHeight="1">
      <c r="A74" s="1" t="s">
        <v>91</v>
      </c>
      <c r="B74" s="1" t="s">
        <v>8</v>
      </c>
      <c r="C74" s="2" t="s">
        <v>92</v>
      </c>
      <c r="D74" s="2">
        <v>9.0</v>
      </c>
      <c r="E74" s="2">
        <v>1959.0</v>
      </c>
      <c r="F74" s="2" t="s">
        <v>10</v>
      </c>
      <c r="G74" s="2" t="s">
        <v>10</v>
      </c>
    </row>
    <row r="75" ht="14.25" customHeight="1">
      <c r="A75" s="1" t="s">
        <v>93</v>
      </c>
      <c r="B75" s="1" t="s">
        <v>8</v>
      </c>
      <c r="C75" s="2" t="s">
        <v>63</v>
      </c>
      <c r="D75" s="2">
        <v>9.0</v>
      </c>
      <c r="E75" s="2">
        <v>2019.0</v>
      </c>
      <c r="F75" s="2">
        <v>2021.0</v>
      </c>
      <c r="G75" s="2" t="s">
        <v>10</v>
      </c>
    </row>
    <row r="76" ht="14.25" customHeight="1">
      <c r="A76" s="1" t="s">
        <v>94</v>
      </c>
      <c r="B76" s="1" t="s">
        <v>8</v>
      </c>
      <c r="C76" s="2" t="s">
        <v>95</v>
      </c>
      <c r="D76" s="2">
        <v>9.0</v>
      </c>
      <c r="E76" s="2">
        <v>2021.0</v>
      </c>
      <c r="F76" s="2" t="s">
        <v>10</v>
      </c>
      <c r="G76" s="2" t="s">
        <v>10</v>
      </c>
    </row>
    <row r="77" ht="14.25" customHeight="1">
      <c r="A77" s="1" t="s">
        <v>96</v>
      </c>
      <c r="B77" s="1" t="s">
        <v>8</v>
      </c>
      <c r="C77" s="2" t="s">
        <v>32</v>
      </c>
      <c r="D77" s="2">
        <v>9.0</v>
      </c>
      <c r="E77" s="2">
        <v>1981.0</v>
      </c>
      <c r="F77" s="2" t="s">
        <v>10</v>
      </c>
      <c r="G77" s="2" t="s">
        <v>10</v>
      </c>
    </row>
    <row r="78" ht="14.25" customHeight="1">
      <c r="A78" s="1" t="s">
        <v>97</v>
      </c>
      <c r="B78" s="1" t="s">
        <v>8</v>
      </c>
      <c r="C78" s="2" t="s">
        <v>25</v>
      </c>
      <c r="D78" s="2">
        <v>9.0</v>
      </c>
      <c r="E78" s="2">
        <v>2022.0</v>
      </c>
      <c r="F78" s="2" t="s">
        <v>10</v>
      </c>
      <c r="G78" s="2" t="s">
        <v>10</v>
      </c>
    </row>
    <row r="79" ht="14.25" customHeight="1">
      <c r="A79" s="1" t="s">
        <v>98</v>
      </c>
      <c r="B79" s="1" t="s">
        <v>8</v>
      </c>
      <c r="C79" s="2" t="s">
        <v>53</v>
      </c>
      <c r="D79" s="2">
        <v>9.0</v>
      </c>
      <c r="E79" s="2">
        <v>2018.0</v>
      </c>
      <c r="F79" s="2">
        <v>2019.0</v>
      </c>
      <c r="G79" s="2" t="s">
        <v>10</v>
      </c>
    </row>
    <row r="80" ht="14.25" customHeight="1">
      <c r="A80" s="1" t="s">
        <v>99</v>
      </c>
      <c r="B80" s="1" t="s">
        <v>8</v>
      </c>
      <c r="C80" s="2" t="s">
        <v>12</v>
      </c>
      <c r="D80" s="2">
        <v>9.0</v>
      </c>
      <c r="E80" s="2">
        <v>2001.0</v>
      </c>
      <c r="F80" s="2" t="s">
        <v>10</v>
      </c>
      <c r="G80" s="2" t="s">
        <v>10</v>
      </c>
    </row>
    <row r="81" ht="14.25" customHeight="1">
      <c r="A81" s="1" t="s">
        <v>100</v>
      </c>
      <c r="B81" s="1" t="s">
        <v>8</v>
      </c>
      <c r="C81" s="2" t="s">
        <v>18</v>
      </c>
      <c r="D81" s="2">
        <v>9.0</v>
      </c>
      <c r="E81" s="2">
        <v>2022.0</v>
      </c>
      <c r="F81" s="2" t="s">
        <v>10</v>
      </c>
      <c r="G81" s="2" t="s">
        <v>10</v>
      </c>
    </row>
    <row r="82" ht="14.25" customHeight="1">
      <c r="A82" s="1" t="s">
        <v>101</v>
      </c>
      <c r="B82" s="1" t="s">
        <v>8</v>
      </c>
      <c r="C82" s="2" t="s">
        <v>12</v>
      </c>
      <c r="D82" s="2">
        <v>9.0</v>
      </c>
      <c r="E82" s="2">
        <v>2011.0</v>
      </c>
      <c r="F82" s="2">
        <v>2011.0</v>
      </c>
      <c r="G82" s="2" t="s">
        <v>10</v>
      </c>
    </row>
    <row r="83" ht="14.25" customHeight="1">
      <c r="A83" s="1" t="s">
        <v>102</v>
      </c>
      <c r="B83" s="1" t="s">
        <v>8</v>
      </c>
      <c r="C83" s="2" t="s">
        <v>12</v>
      </c>
      <c r="D83" s="2">
        <v>9.0</v>
      </c>
      <c r="E83" s="2">
        <v>2011.0</v>
      </c>
      <c r="F83" s="2" t="s">
        <v>10</v>
      </c>
      <c r="G83" s="2" t="s">
        <v>10</v>
      </c>
    </row>
    <row r="84" ht="14.25" customHeight="1">
      <c r="A84" s="1" t="s">
        <v>103</v>
      </c>
      <c r="B84" s="1" t="s">
        <v>8</v>
      </c>
      <c r="C84" s="2" t="s">
        <v>32</v>
      </c>
      <c r="D84" s="2">
        <v>9.0</v>
      </c>
      <c r="E84" s="2">
        <v>2021.0</v>
      </c>
      <c r="F84" s="2" t="s">
        <v>10</v>
      </c>
      <c r="G84" s="2" t="s">
        <v>10</v>
      </c>
    </row>
    <row r="85" ht="14.25" customHeight="1">
      <c r="A85" s="1" t="s">
        <v>104</v>
      </c>
      <c r="B85" s="1" t="s">
        <v>8</v>
      </c>
      <c r="C85" s="2" t="s">
        <v>105</v>
      </c>
      <c r="D85" s="2">
        <v>9.0</v>
      </c>
      <c r="E85" s="2">
        <v>1987.0</v>
      </c>
      <c r="F85" s="2">
        <v>2012.0</v>
      </c>
      <c r="G85" s="2" t="s">
        <v>10</v>
      </c>
    </row>
    <row r="86" ht="14.25" customHeight="1">
      <c r="A86" s="1" t="s">
        <v>106</v>
      </c>
      <c r="B86" s="1" t="s">
        <v>8</v>
      </c>
      <c r="C86" s="2" t="s">
        <v>107</v>
      </c>
      <c r="D86" s="2">
        <v>9.0</v>
      </c>
      <c r="E86" s="2">
        <v>2015.0</v>
      </c>
      <c r="F86" s="2" t="s">
        <v>10</v>
      </c>
      <c r="G86" s="2" t="s">
        <v>10</v>
      </c>
    </row>
    <row r="87" ht="14.25" customHeight="1">
      <c r="A87" s="1" t="s">
        <v>108</v>
      </c>
      <c r="B87" s="1" t="s">
        <v>8</v>
      </c>
      <c r="C87" s="2" t="s">
        <v>49</v>
      </c>
      <c r="D87" s="2">
        <v>9.0</v>
      </c>
      <c r="E87" s="2">
        <v>1990.0</v>
      </c>
      <c r="F87" s="2" t="s">
        <v>10</v>
      </c>
      <c r="G87" s="2" t="s">
        <v>10</v>
      </c>
    </row>
    <row r="88" ht="14.25" customHeight="1">
      <c r="A88" s="1" t="s">
        <v>109</v>
      </c>
      <c r="B88" s="1" t="s">
        <v>8</v>
      </c>
      <c r="C88" s="2" t="s">
        <v>49</v>
      </c>
      <c r="D88" s="2">
        <v>9.0</v>
      </c>
      <c r="E88" s="2">
        <v>2009.0</v>
      </c>
      <c r="F88" s="2" t="s">
        <v>10</v>
      </c>
      <c r="G88" s="2" t="s">
        <v>10</v>
      </c>
    </row>
    <row r="89" ht="14.25" customHeight="1">
      <c r="A89" s="1" t="s">
        <v>110</v>
      </c>
      <c r="B89" s="1" t="s">
        <v>8</v>
      </c>
      <c r="C89" s="2" t="s">
        <v>67</v>
      </c>
      <c r="D89" s="2">
        <v>9.0</v>
      </c>
      <c r="E89" s="2">
        <v>2015.0</v>
      </c>
      <c r="F89" s="2">
        <v>2015.0</v>
      </c>
      <c r="G89" s="2" t="s">
        <v>10</v>
      </c>
    </row>
    <row r="90" ht="14.25" customHeight="1">
      <c r="A90" s="1" t="s">
        <v>111</v>
      </c>
      <c r="B90" s="1" t="s">
        <v>8</v>
      </c>
      <c r="C90" s="2" t="s">
        <v>112</v>
      </c>
      <c r="D90" s="2">
        <v>9.0</v>
      </c>
      <c r="E90" s="2">
        <v>2013.0</v>
      </c>
      <c r="F90" s="2">
        <v>2013.0</v>
      </c>
      <c r="G90" s="2" t="s">
        <v>10</v>
      </c>
    </row>
    <row r="91" ht="14.25" customHeight="1">
      <c r="A91" s="1" t="s">
        <v>113</v>
      </c>
      <c r="B91" s="1" t="s">
        <v>8</v>
      </c>
      <c r="C91" s="2" t="s">
        <v>114</v>
      </c>
      <c r="D91" s="2">
        <v>9.0</v>
      </c>
      <c r="E91" s="2">
        <v>2018.0</v>
      </c>
      <c r="F91" s="2">
        <v>2018.0</v>
      </c>
      <c r="G91" s="2" t="s">
        <v>10</v>
      </c>
    </row>
    <row r="92" ht="14.25" customHeight="1">
      <c r="A92" s="1" t="s">
        <v>115</v>
      </c>
      <c r="B92" s="1" t="s">
        <v>20</v>
      </c>
      <c r="C92" s="2" t="s">
        <v>36</v>
      </c>
      <c r="D92" s="2">
        <v>8.9</v>
      </c>
      <c r="E92" s="2">
        <v>1994.0</v>
      </c>
      <c r="F92" s="2">
        <v>1994.0</v>
      </c>
      <c r="G92" s="2" t="s">
        <v>10</v>
      </c>
    </row>
    <row r="93" ht="14.25" customHeight="1">
      <c r="A93" s="1" t="s">
        <v>116</v>
      </c>
      <c r="B93" s="1" t="s">
        <v>20</v>
      </c>
      <c r="C93" s="2" t="s">
        <v>78</v>
      </c>
      <c r="D93" s="2">
        <v>8.9</v>
      </c>
      <c r="E93" s="2">
        <v>2001.0</v>
      </c>
      <c r="F93" s="2" t="s">
        <v>10</v>
      </c>
      <c r="G93" s="2" t="s">
        <v>10</v>
      </c>
    </row>
    <row r="94" ht="14.25" customHeight="1">
      <c r="A94" s="1" t="s">
        <v>117</v>
      </c>
      <c r="B94" s="1" t="s">
        <v>8</v>
      </c>
      <c r="C94" s="2" t="s">
        <v>118</v>
      </c>
      <c r="D94" s="2">
        <v>8.9</v>
      </c>
      <c r="E94" s="2">
        <v>1994.0</v>
      </c>
      <c r="F94" s="2">
        <v>2003.0</v>
      </c>
      <c r="G94" s="2" t="s">
        <v>10</v>
      </c>
    </row>
    <row r="95" ht="14.25" customHeight="1">
      <c r="A95" s="1" t="s">
        <v>119</v>
      </c>
      <c r="B95" s="1" t="s">
        <v>8</v>
      </c>
      <c r="C95" s="2" t="s">
        <v>53</v>
      </c>
      <c r="D95" s="2">
        <v>8.9</v>
      </c>
      <c r="E95" s="2">
        <v>2014.0</v>
      </c>
      <c r="F95" s="2" t="s">
        <v>10</v>
      </c>
      <c r="G95" s="2" t="s">
        <v>10</v>
      </c>
    </row>
    <row r="96" ht="14.25" customHeight="1">
      <c r="A96" s="1" t="s">
        <v>120</v>
      </c>
      <c r="B96" s="1" t="s">
        <v>8</v>
      </c>
      <c r="C96" s="2" t="s">
        <v>9</v>
      </c>
      <c r="D96" s="2">
        <v>8.9</v>
      </c>
      <c r="E96" s="2">
        <v>2014.0</v>
      </c>
      <c r="F96" s="2" t="s">
        <v>10</v>
      </c>
      <c r="G96" s="2" t="s">
        <v>10</v>
      </c>
    </row>
    <row r="97" ht="14.25" customHeight="1">
      <c r="A97" s="1" t="s">
        <v>121</v>
      </c>
      <c r="B97" s="1" t="s">
        <v>8</v>
      </c>
      <c r="C97" s="2" t="s">
        <v>122</v>
      </c>
      <c r="D97" s="2">
        <v>8.9</v>
      </c>
      <c r="E97" s="2">
        <v>2006.0</v>
      </c>
      <c r="F97" s="2">
        <v>2017.0</v>
      </c>
      <c r="G97" s="2" t="s">
        <v>10</v>
      </c>
    </row>
    <row r="98" ht="14.25" customHeight="1">
      <c r="A98" s="1" t="s">
        <v>121</v>
      </c>
      <c r="B98" s="1" t="s">
        <v>8</v>
      </c>
      <c r="C98" s="2" t="s">
        <v>122</v>
      </c>
      <c r="D98" s="2">
        <v>8.9</v>
      </c>
      <c r="E98" s="2">
        <v>2006.0</v>
      </c>
      <c r="F98" s="2">
        <v>2006.0</v>
      </c>
      <c r="G98" s="2" t="s">
        <v>10</v>
      </c>
    </row>
    <row r="99" ht="14.25" customHeight="1">
      <c r="A99" s="1" t="s">
        <v>123</v>
      </c>
      <c r="B99" s="1" t="s">
        <v>8</v>
      </c>
      <c r="C99" s="2" t="s">
        <v>32</v>
      </c>
      <c r="D99" s="2">
        <v>8.9</v>
      </c>
      <c r="E99" s="2">
        <v>1989.0</v>
      </c>
      <c r="F99" s="2" t="s">
        <v>10</v>
      </c>
      <c r="G99" s="2" t="s">
        <v>10</v>
      </c>
    </row>
    <row r="100" ht="14.25" customHeight="1">
      <c r="A100" s="1" t="s">
        <v>124</v>
      </c>
      <c r="B100" s="1" t="s">
        <v>8</v>
      </c>
      <c r="C100" s="2" t="s">
        <v>125</v>
      </c>
      <c r="D100" s="2">
        <v>8.9</v>
      </c>
      <c r="E100" s="2">
        <v>2002.0</v>
      </c>
      <c r="F100" s="2" t="s">
        <v>10</v>
      </c>
      <c r="G100" s="2" t="s">
        <v>10</v>
      </c>
    </row>
    <row r="101" ht="14.25" customHeight="1">
      <c r="A101" s="1" t="s">
        <v>126</v>
      </c>
      <c r="B101" s="1" t="s">
        <v>8</v>
      </c>
      <c r="C101" s="2" t="s">
        <v>55</v>
      </c>
      <c r="D101" s="2">
        <v>8.9</v>
      </c>
      <c r="E101" s="2">
        <v>2012.0</v>
      </c>
      <c r="F101" s="2" t="s">
        <v>10</v>
      </c>
      <c r="G101" s="2" t="s">
        <v>10</v>
      </c>
    </row>
    <row r="102" ht="14.25" customHeight="1">
      <c r="A102" s="1" t="s">
        <v>127</v>
      </c>
      <c r="B102" s="1" t="s">
        <v>8</v>
      </c>
      <c r="C102" s="2" t="s">
        <v>25</v>
      </c>
      <c r="D102" s="2">
        <v>8.9</v>
      </c>
      <c r="E102" s="2">
        <v>1998.0</v>
      </c>
      <c r="F102" s="2" t="s">
        <v>10</v>
      </c>
      <c r="G102" s="2">
        <v>1.526E7</v>
      </c>
    </row>
    <row r="103" ht="14.25" customHeight="1">
      <c r="A103" s="1" t="s">
        <v>127</v>
      </c>
      <c r="B103" s="1" t="s">
        <v>8</v>
      </c>
      <c r="C103" s="2" t="s">
        <v>25</v>
      </c>
      <c r="D103" s="2">
        <v>8.9</v>
      </c>
      <c r="E103" s="2">
        <v>1998.0</v>
      </c>
      <c r="F103" s="2" t="s">
        <v>10</v>
      </c>
      <c r="G103" s="2">
        <v>3.695E7</v>
      </c>
    </row>
    <row r="104" ht="14.25" customHeight="1">
      <c r="A104" s="1" t="s">
        <v>127</v>
      </c>
      <c r="B104" s="1" t="s">
        <v>8</v>
      </c>
      <c r="C104" s="2" t="s">
        <v>25</v>
      </c>
      <c r="D104" s="2">
        <v>8.9</v>
      </c>
      <c r="E104" s="2">
        <v>1998.0</v>
      </c>
      <c r="F104" s="2" t="s">
        <v>10</v>
      </c>
      <c r="G104" s="2">
        <v>2.163E7</v>
      </c>
    </row>
    <row r="105" ht="14.25" customHeight="1">
      <c r="A105" s="1" t="s">
        <v>128</v>
      </c>
      <c r="B105" s="1" t="s">
        <v>8</v>
      </c>
      <c r="C105" s="2" t="s">
        <v>18</v>
      </c>
      <c r="D105" s="2">
        <v>8.9</v>
      </c>
      <c r="E105" s="2">
        <v>1999.0</v>
      </c>
      <c r="F105" s="2">
        <v>2005.0</v>
      </c>
      <c r="G105" s="2" t="s">
        <v>10</v>
      </c>
    </row>
    <row r="106" ht="14.25" customHeight="1">
      <c r="A106" s="1" t="s">
        <v>129</v>
      </c>
      <c r="B106" s="1" t="s">
        <v>8</v>
      </c>
      <c r="C106" s="2" t="s">
        <v>130</v>
      </c>
      <c r="D106" s="2">
        <v>8.9</v>
      </c>
      <c r="E106" s="2">
        <v>2013.0</v>
      </c>
      <c r="F106" s="2" t="s">
        <v>10</v>
      </c>
      <c r="G106" s="2" t="s">
        <v>10</v>
      </c>
    </row>
    <row r="107" ht="14.25" customHeight="1">
      <c r="A107" s="1" t="s">
        <v>131</v>
      </c>
      <c r="B107" s="1" t="s">
        <v>8</v>
      </c>
      <c r="C107" s="2" t="s">
        <v>132</v>
      </c>
      <c r="D107" s="2">
        <v>8.9</v>
      </c>
      <c r="E107" s="2">
        <v>2021.0</v>
      </c>
      <c r="F107" s="2" t="s">
        <v>10</v>
      </c>
      <c r="G107" s="2" t="s">
        <v>10</v>
      </c>
    </row>
    <row r="108" ht="14.25" customHeight="1">
      <c r="A108" s="1" t="s">
        <v>133</v>
      </c>
      <c r="B108" s="1" t="s">
        <v>20</v>
      </c>
      <c r="C108" s="2" t="s">
        <v>134</v>
      </c>
      <c r="D108" s="2">
        <v>8.9</v>
      </c>
      <c r="E108" s="2">
        <v>2016.0</v>
      </c>
      <c r="F108" s="2" t="s">
        <v>10</v>
      </c>
      <c r="G108" s="2" t="s">
        <v>10</v>
      </c>
    </row>
    <row r="109" ht="14.25" customHeight="1">
      <c r="A109" s="1" t="s">
        <v>135</v>
      </c>
      <c r="B109" s="1" t="s">
        <v>8</v>
      </c>
      <c r="C109" s="2" t="s">
        <v>18</v>
      </c>
      <c r="D109" s="2">
        <v>8.9</v>
      </c>
      <c r="E109" s="2">
        <v>1989.0</v>
      </c>
      <c r="F109" s="2" t="s">
        <v>10</v>
      </c>
      <c r="G109" s="2" t="s">
        <v>10</v>
      </c>
    </row>
    <row r="110" ht="14.25" customHeight="1">
      <c r="A110" s="1" t="s">
        <v>136</v>
      </c>
      <c r="B110" s="1" t="s">
        <v>8</v>
      </c>
      <c r="C110" s="2" t="s">
        <v>55</v>
      </c>
      <c r="D110" s="2">
        <v>8.9</v>
      </c>
      <c r="E110" s="2">
        <v>2023.0</v>
      </c>
      <c r="F110" s="2" t="s">
        <v>10</v>
      </c>
      <c r="G110" s="2" t="s">
        <v>10</v>
      </c>
    </row>
    <row r="111" ht="14.25" customHeight="1">
      <c r="A111" s="1" t="s">
        <v>137</v>
      </c>
      <c r="B111" s="1" t="s">
        <v>8</v>
      </c>
      <c r="C111" s="2" t="s">
        <v>69</v>
      </c>
      <c r="D111" s="2">
        <v>8.9</v>
      </c>
      <c r="E111" s="2">
        <v>2011.0</v>
      </c>
      <c r="F111" s="2">
        <v>2020.0</v>
      </c>
      <c r="G111" s="2">
        <v>1.683E7</v>
      </c>
    </row>
    <row r="112" ht="14.25" customHeight="1">
      <c r="A112" s="1" t="s">
        <v>137</v>
      </c>
      <c r="B112" s="1" t="s">
        <v>8</v>
      </c>
      <c r="C112" s="2" t="s">
        <v>69</v>
      </c>
      <c r="D112" s="2">
        <v>8.9</v>
      </c>
      <c r="E112" s="2">
        <v>2011.0</v>
      </c>
      <c r="F112" s="2">
        <v>2020.0</v>
      </c>
      <c r="G112" s="2">
        <v>1.207E7</v>
      </c>
    </row>
    <row r="113" ht="14.25" customHeight="1">
      <c r="A113" s="1" t="s">
        <v>138</v>
      </c>
      <c r="B113" s="1" t="s">
        <v>8</v>
      </c>
      <c r="C113" s="2" t="s">
        <v>67</v>
      </c>
      <c r="D113" s="2">
        <v>8.9</v>
      </c>
      <c r="E113" s="2">
        <v>2018.0</v>
      </c>
      <c r="F113" s="2">
        <v>2018.0</v>
      </c>
      <c r="G113" s="2" t="s">
        <v>10</v>
      </c>
    </row>
    <row r="114" ht="14.25" customHeight="1">
      <c r="A114" s="1" t="s">
        <v>139</v>
      </c>
      <c r="B114" s="1" t="s">
        <v>20</v>
      </c>
      <c r="C114" s="2" t="s">
        <v>140</v>
      </c>
      <c r="D114" s="2">
        <v>8.9</v>
      </c>
      <c r="E114" s="2">
        <v>1976.0</v>
      </c>
      <c r="F114" s="2" t="s">
        <v>10</v>
      </c>
      <c r="G114" s="2" t="s">
        <v>10</v>
      </c>
    </row>
    <row r="115" ht="14.25" customHeight="1">
      <c r="A115" s="1" t="s">
        <v>111</v>
      </c>
      <c r="B115" s="1" t="s">
        <v>8</v>
      </c>
      <c r="C115" s="2" t="s">
        <v>34</v>
      </c>
      <c r="D115" s="2">
        <v>8.9</v>
      </c>
      <c r="E115" s="2">
        <v>1988.0</v>
      </c>
      <c r="F115" s="2">
        <v>2013.0</v>
      </c>
      <c r="G115" s="2" t="s">
        <v>10</v>
      </c>
    </row>
    <row r="116" ht="14.25" customHeight="1">
      <c r="A116" s="1" t="s">
        <v>141</v>
      </c>
      <c r="B116" s="1" t="s">
        <v>20</v>
      </c>
      <c r="C116" s="2" t="s">
        <v>142</v>
      </c>
      <c r="D116" s="2">
        <v>8.9</v>
      </c>
      <c r="E116" s="2">
        <v>2016.0</v>
      </c>
      <c r="F116" s="2" t="s">
        <v>10</v>
      </c>
      <c r="G116" s="2" t="s">
        <v>10</v>
      </c>
    </row>
    <row r="117" ht="14.25" customHeight="1">
      <c r="A117" s="1" t="s">
        <v>143</v>
      </c>
      <c r="B117" s="1" t="s">
        <v>8</v>
      </c>
      <c r="C117" s="2" t="s">
        <v>32</v>
      </c>
      <c r="D117" s="2">
        <v>8.9</v>
      </c>
      <c r="E117" s="2">
        <v>2004.0</v>
      </c>
      <c r="F117" s="2" t="s">
        <v>10</v>
      </c>
      <c r="G117" s="2" t="s">
        <v>10</v>
      </c>
    </row>
    <row r="118" ht="14.25" customHeight="1">
      <c r="A118" s="1" t="s">
        <v>144</v>
      </c>
      <c r="B118" s="1" t="s">
        <v>8</v>
      </c>
      <c r="C118" s="2" t="s">
        <v>44</v>
      </c>
      <c r="D118" s="2">
        <v>8.9</v>
      </c>
      <c r="E118" s="2">
        <v>2022.0</v>
      </c>
      <c r="F118" s="2" t="s">
        <v>10</v>
      </c>
      <c r="G118" s="2" t="s">
        <v>10</v>
      </c>
    </row>
    <row r="119" ht="14.25" customHeight="1">
      <c r="A119" s="1" t="s">
        <v>145</v>
      </c>
      <c r="B119" s="1" t="s">
        <v>8</v>
      </c>
      <c r="C119" s="2" t="s">
        <v>12</v>
      </c>
      <c r="D119" s="2">
        <v>8.9</v>
      </c>
      <c r="E119" s="2">
        <v>2013.0</v>
      </c>
      <c r="F119" s="2">
        <v>2013.0</v>
      </c>
      <c r="G119" s="2" t="s">
        <v>10</v>
      </c>
    </row>
    <row r="120" ht="14.25" customHeight="1">
      <c r="A120" s="1" t="s">
        <v>146</v>
      </c>
      <c r="B120" s="1" t="s">
        <v>20</v>
      </c>
      <c r="C120" s="2" t="s">
        <v>147</v>
      </c>
      <c r="D120" s="2">
        <v>8.9</v>
      </c>
      <c r="E120" s="2">
        <v>1976.0</v>
      </c>
      <c r="F120" s="2" t="s">
        <v>10</v>
      </c>
      <c r="G120" s="2" t="s">
        <v>10</v>
      </c>
    </row>
    <row r="121" ht="14.25" customHeight="1">
      <c r="A121" s="1" t="s">
        <v>148</v>
      </c>
      <c r="B121" s="1" t="s">
        <v>8</v>
      </c>
      <c r="C121" s="2" t="s">
        <v>63</v>
      </c>
      <c r="D121" s="2">
        <v>8.9</v>
      </c>
      <c r="E121" s="2">
        <v>1992.0</v>
      </c>
      <c r="F121" s="2" t="s">
        <v>10</v>
      </c>
      <c r="G121" s="2" t="s">
        <v>10</v>
      </c>
    </row>
    <row r="122" ht="14.25" customHeight="1">
      <c r="A122" s="1" t="s">
        <v>149</v>
      </c>
      <c r="B122" s="1" t="s">
        <v>8</v>
      </c>
      <c r="C122" s="2" t="s">
        <v>18</v>
      </c>
      <c r="D122" s="2">
        <v>8.9</v>
      </c>
      <c r="E122" s="2">
        <v>2021.0</v>
      </c>
      <c r="F122" s="2" t="s">
        <v>10</v>
      </c>
      <c r="G122" s="2" t="s">
        <v>10</v>
      </c>
    </row>
    <row r="123" ht="14.25" customHeight="1">
      <c r="A123" s="1" t="s">
        <v>150</v>
      </c>
      <c r="B123" s="1" t="s">
        <v>20</v>
      </c>
      <c r="C123" s="2" t="s">
        <v>151</v>
      </c>
      <c r="D123" s="2">
        <v>8.8</v>
      </c>
      <c r="E123" s="2">
        <v>2010.0</v>
      </c>
      <c r="F123" s="2">
        <v>2010.0</v>
      </c>
      <c r="G123" s="2" t="s">
        <v>10</v>
      </c>
    </row>
    <row r="124" ht="14.25" customHeight="1">
      <c r="A124" s="1" t="s">
        <v>152</v>
      </c>
      <c r="B124" s="1" t="s">
        <v>20</v>
      </c>
      <c r="C124" s="2" t="s">
        <v>18</v>
      </c>
      <c r="D124" s="2">
        <v>8.8</v>
      </c>
      <c r="E124" s="2">
        <v>1999.0</v>
      </c>
      <c r="F124" s="2" t="s">
        <v>10</v>
      </c>
      <c r="G124" s="2" t="s">
        <v>10</v>
      </c>
    </row>
    <row r="125" ht="14.25" customHeight="1">
      <c r="A125" s="1" t="s">
        <v>153</v>
      </c>
      <c r="B125" s="1" t="s">
        <v>20</v>
      </c>
      <c r="C125" s="2" t="s">
        <v>154</v>
      </c>
      <c r="D125" s="2">
        <v>8.8</v>
      </c>
      <c r="E125" s="2">
        <v>1994.0</v>
      </c>
      <c r="F125" s="2" t="s">
        <v>10</v>
      </c>
      <c r="G125" s="2" t="s">
        <v>10</v>
      </c>
    </row>
    <row r="126" ht="14.25" customHeight="1">
      <c r="A126" s="1" t="s">
        <v>155</v>
      </c>
      <c r="B126" s="1" t="s">
        <v>20</v>
      </c>
      <c r="C126" s="2" t="s">
        <v>78</v>
      </c>
      <c r="D126" s="2">
        <v>8.8</v>
      </c>
      <c r="E126" s="2">
        <v>2002.0</v>
      </c>
      <c r="F126" s="2">
        <v>2002.0</v>
      </c>
      <c r="G126" s="2" t="s">
        <v>10</v>
      </c>
    </row>
    <row r="127" ht="14.25" customHeight="1">
      <c r="A127" s="1" t="s">
        <v>156</v>
      </c>
      <c r="B127" s="1" t="s">
        <v>20</v>
      </c>
      <c r="C127" s="2" t="s">
        <v>157</v>
      </c>
      <c r="D127" s="2">
        <v>8.8</v>
      </c>
      <c r="E127" s="2">
        <v>1966.0</v>
      </c>
      <c r="F127" s="2" t="s">
        <v>10</v>
      </c>
      <c r="G127" s="2" t="s">
        <v>10</v>
      </c>
    </row>
    <row r="128" ht="14.25" customHeight="1">
      <c r="A128" s="1" t="s">
        <v>158</v>
      </c>
      <c r="B128" s="1" t="s">
        <v>8</v>
      </c>
      <c r="C128" s="2" t="s">
        <v>159</v>
      </c>
      <c r="D128" s="2">
        <v>8.8</v>
      </c>
      <c r="E128" s="2">
        <v>2020.0</v>
      </c>
      <c r="F128" s="2" t="s">
        <v>10</v>
      </c>
      <c r="G128" s="2" t="s">
        <v>10</v>
      </c>
    </row>
    <row r="129" ht="14.25" customHeight="1">
      <c r="A129" s="1" t="s">
        <v>160</v>
      </c>
      <c r="B129" s="1" t="s">
        <v>8</v>
      </c>
      <c r="C129" s="2" t="s">
        <v>63</v>
      </c>
      <c r="D129" s="2">
        <v>8.8</v>
      </c>
      <c r="E129" s="2">
        <v>2018.0</v>
      </c>
      <c r="F129" s="2" t="s">
        <v>10</v>
      </c>
      <c r="G129" s="2" t="s">
        <v>10</v>
      </c>
    </row>
    <row r="130" ht="14.25" customHeight="1">
      <c r="A130" s="1" t="s">
        <v>161</v>
      </c>
      <c r="B130" s="1" t="s">
        <v>8</v>
      </c>
      <c r="C130" s="2" t="s">
        <v>32</v>
      </c>
      <c r="D130" s="2">
        <v>8.8</v>
      </c>
      <c r="E130" s="2">
        <v>2005.0</v>
      </c>
      <c r="F130" s="2" t="s">
        <v>10</v>
      </c>
      <c r="G130" s="2" t="s">
        <v>10</v>
      </c>
    </row>
    <row r="131" ht="14.25" customHeight="1">
      <c r="A131" s="1" t="s">
        <v>162</v>
      </c>
      <c r="B131" s="1" t="s">
        <v>8</v>
      </c>
      <c r="C131" s="2" t="s">
        <v>163</v>
      </c>
      <c r="D131" s="2">
        <v>8.8</v>
      </c>
      <c r="E131" s="2">
        <v>2014.0</v>
      </c>
      <c r="F131" s="2">
        <v>2020.0</v>
      </c>
      <c r="G131" s="2" t="s">
        <v>10</v>
      </c>
    </row>
    <row r="132" ht="14.25" customHeight="1">
      <c r="A132" s="1" t="s">
        <v>164</v>
      </c>
      <c r="B132" s="1" t="s">
        <v>8</v>
      </c>
      <c r="C132" s="2" t="s">
        <v>63</v>
      </c>
      <c r="D132" s="2">
        <v>8.8</v>
      </c>
      <c r="E132" s="2">
        <v>1999.0</v>
      </c>
      <c r="F132" s="2" t="s">
        <v>10</v>
      </c>
      <c r="G132" s="2" t="s">
        <v>10</v>
      </c>
    </row>
    <row r="133" ht="14.25" customHeight="1">
      <c r="A133" s="1" t="s">
        <v>165</v>
      </c>
      <c r="B133" s="1" t="s">
        <v>8</v>
      </c>
      <c r="C133" s="2" t="s">
        <v>25</v>
      </c>
      <c r="D133" s="2">
        <v>8.8</v>
      </c>
      <c r="E133" s="2">
        <v>1996.0</v>
      </c>
      <c r="F133" s="2" t="s">
        <v>10</v>
      </c>
      <c r="G133" s="2" t="s">
        <v>10</v>
      </c>
    </row>
    <row r="134" ht="14.25" customHeight="1">
      <c r="A134" s="1" t="s">
        <v>166</v>
      </c>
      <c r="B134" s="1" t="s">
        <v>8</v>
      </c>
      <c r="C134" s="2" t="s">
        <v>32</v>
      </c>
      <c r="D134" s="2">
        <v>8.8</v>
      </c>
      <c r="E134" s="2">
        <v>2000.0</v>
      </c>
      <c r="F134" s="2" t="s">
        <v>10</v>
      </c>
      <c r="G134" s="2" t="s">
        <v>10</v>
      </c>
    </row>
    <row r="135" ht="14.25" customHeight="1">
      <c r="A135" s="1" t="s">
        <v>167</v>
      </c>
      <c r="B135" s="1" t="s">
        <v>8</v>
      </c>
      <c r="C135" s="2" t="s">
        <v>40</v>
      </c>
      <c r="D135" s="2">
        <v>8.8</v>
      </c>
      <c r="E135" s="2">
        <v>2019.0</v>
      </c>
      <c r="F135" s="2">
        <v>2019.0</v>
      </c>
      <c r="G135" s="2" t="s">
        <v>10</v>
      </c>
    </row>
    <row r="136" ht="14.25" customHeight="1">
      <c r="A136" s="1" t="s">
        <v>168</v>
      </c>
      <c r="B136" s="1" t="s">
        <v>20</v>
      </c>
      <c r="C136" s="2" t="s">
        <v>169</v>
      </c>
      <c r="D136" s="2">
        <v>8.8</v>
      </c>
      <c r="E136" s="2">
        <v>2023.0</v>
      </c>
      <c r="F136" s="2" t="s">
        <v>10</v>
      </c>
      <c r="G136" s="2" t="s">
        <v>10</v>
      </c>
    </row>
    <row r="137" ht="14.25" customHeight="1">
      <c r="A137" s="1" t="s">
        <v>170</v>
      </c>
      <c r="B137" s="1" t="s">
        <v>8</v>
      </c>
      <c r="C137" s="2" t="s">
        <v>63</v>
      </c>
      <c r="D137" s="2">
        <v>8.8</v>
      </c>
      <c r="E137" s="2">
        <v>2021.0</v>
      </c>
      <c r="F137" s="2" t="s">
        <v>10</v>
      </c>
      <c r="G137" s="2" t="s">
        <v>10</v>
      </c>
    </row>
    <row r="138" ht="14.25" customHeight="1">
      <c r="A138" s="1" t="s">
        <v>171</v>
      </c>
      <c r="B138" s="1" t="s">
        <v>8</v>
      </c>
      <c r="C138" s="2" t="s">
        <v>32</v>
      </c>
      <c r="D138" s="2">
        <v>8.8</v>
      </c>
      <c r="E138" s="2">
        <v>1975.0</v>
      </c>
      <c r="F138" s="2" t="s">
        <v>10</v>
      </c>
      <c r="G138" s="2" t="s">
        <v>10</v>
      </c>
    </row>
    <row r="139" ht="14.25" customHeight="1">
      <c r="A139" s="1" t="s">
        <v>172</v>
      </c>
      <c r="B139" s="1" t="s">
        <v>8</v>
      </c>
      <c r="C139" s="2" t="s">
        <v>173</v>
      </c>
      <c r="D139" s="2">
        <v>8.8</v>
      </c>
      <c r="E139" s="2">
        <v>2014.0</v>
      </c>
      <c r="F139" s="2" t="s">
        <v>10</v>
      </c>
      <c r="G139" s="2" t="s">
        <v>10</v>
      </c>
    </row>
    <row r="140" ht="14.25" customHeight="1">
      <c r="A140" s="1" t="s">
        <v>174</v>
      </c>
      <c r="B140" s="1" t="s">
        <v>8</v>
      </c>
      <c r="C140" s="2" t="s">
        <v>154</v>
      </c>
      <c r="D140" s="2">
        <v>8.8</v>
      </c>
      <c r="E140" s="2">
        <v>1995.0</v>
      </c>
      <c r="F140" s="2" t="s">
        <v>10</v>
      </c>
      <c r="G140" s="2" t="s">
        <v>10</v>
      </c>
    </row>
    <row r="141" ht="14.25" customHeight="1">
      <c r="A141" s="1" t="s">
        <v>165</v>
      </c>
      <c r="B141" s="1" t="s">
        <v>8</v>
      </c>
      <c r="C141" s="2" t="s">
        <v>25</v>
      </c>
      <c r="D141" s="2">
        <v>8.8</v>
      </c>
      <c r="E141" s="2">
        <v>1989.0</v>
      </c>
      <c r="F141" s="2" t="s">
        <v>10</v>
      </c>
      <c r="G141" s="2" t="s">
        <v>10</v>
      </c>
    </row>
    <row r="142" ht="14.25" customHeight="1">
      <c r="A142" s="1" t="s">
        <v>175</v>
      </c>
      <c r="B142" s="1" t="s">
        <v>8</v>
      </c>
      <c r="C142" s="2" t="s">
        <v>25</v>
      </c>
      <c r="D142" s="2">
        <v>8.8</v>
      </c>
      <c r="E142" s="2">
        <v>2019.0</v>
      </c>
      <c r="F142" s="2" t="s">
        <v>10</v>
      </c>
      <c r="G142" s="2" t="s">
        <v>10</v>
      </c>
    </row>
    <row r="143" ht="14.25" customHeight="1">
      <c r="A143" s="1" t="s">
        <v>176</v>
      </c>
      <c r="B143" s="1" t="s">
        <v>8</v>
      </c>
      <c r="C143" s="2" t="s">
        <v>32</v>
      </c>
      <c r="D143" s="2">
        <v>8.8</v>
      </c>
      <c r="E143" s="2">
        <v>1969.0</v>
      </c>
      <c r="F143" s="2">
        <v>1974.0</v>
      </c>
      <c r="G143" s="2" t="s">
        <v>10</v>
      </c>
    </row>
    <row r="144" ht="14.25" customHeight="1">
      <c r="A144" s="1" t="s">
        <v>177</v>
      </c>
      <c r="B144" s="1" t="s">
        <v>8</v>
      </c>
      <c r="C144" s="2" t="s">
        <v>163</v>
      </c>
      <c r="D144" s="2">
        <v>8.8</v>
      </c>
      <c r="E144" s="2">
        <v>2011.0</v>
      </c>
      <c r="F144" s="2" t="s">
        <v>10</v>
      </c>
      <c r="G144" s="2" t="s">
        <v>10</v>
      </c>
    </row>
    <row r="145" ht="14.25" customHeight="1">
      <c r="A145" s="1" t="s">
        <v>178</v>
      </c>
      <c r="B145" s="1" t="s">
        <v>8</v>
      </c>
      <c r="C145" s="2" t="s">
        <v>179</v>
      </c>
      <c r="D145" s="2">
        <v>8.8</v>
      </c>
      <c r="E145" s="2">
        <v>2003.0</v>
      </c>
      <c r="F145" s="2">
        <v>2005.0</v>
      </c>
      <c r="G145" s="2" t="s">
        <v>10</v>
      </c>
    </row>
    <row r="146" ht="14.25" customHeight="1">
      <c r="A146" s="1" t="s">
        <v>180</v>
      </c>
      <c r="B146" s="1" t="s">
        <v>8</v>
      </c>
      <c r="C146" s="2" t="s">
        <v>181</v>
      </c>
      <c r="D146" s="2">
        <v>8.8</v>
      </c>
      <c r="E146" s="2">
        <v>1989.0</v>
      </c>
      <c r="F146" s="2" t="s">
        <v>10</v>
      </c>
      <c r="G146" s="2" t="s">
        <v>10</v>
      </c>
    </row>
    <row r="147" ht="14.25" customHeight="1">
      <c r="A147" s="1" t="s">
        <v>182</v>
      </c>
      <c r="B147" s="1" t="s">
        <v>8</v>
      </c>
      <c r="C147" s="2" t="s">
        <v>25</v>
      </c>
      <c r="D147" s="2">
        <v>8.8</v>
      </c>
      <c r="E147" s="2">
        <v>2024.0</v>
      </c>
      <c r="F147" s="2" t="s">
        <v>10</v>
      </c>
      <c r="G147" s="2" t="s">
        <v>10</v>
      </c>
    </row>
    <row r="148" ht="14.25" customHeight="1">
      <c r="A148" s="1" t="s">
        <v>183</v>
      </c>
      <c r="B148" s="1" t="s">
        <v>8</v>
      </c>
      <c r="C148" s="2" t="s">
        <v>184</v>
      </c>
      <c r="D148" s="2">
        <v>8.8</v>
      </c>
      <c r="E148" s="2">
        <v>1985.0</v>
      </c>
      <c r="F148" s="2" t="s">
        <v>10</v>
      </c>
      <c r="G148" s="2" t="s">
        <v>10</v>
      </c>
    </row>
    <row r="149" ht="14.25" customHeight="1">
      <c r="A149" s="1" t="s">
        <v>185</v>
      </c>
      <c r="B149" s="1" t="s">
        <v>8</v>
      </c>
      <c r="C149" s="2" t="s">
        <v>53</v>
      </c>
      <c r="D149" s="2">
        <v>8.8</v>
      </c>
      <c r="E149" s="2">
        <v>2010.0</v>
      </c>
      <c r="F149" s="2" t="s">
        <v>10</v>
      </c>
      <c r="G149" s="2" t="s">
        <v>10</v>
      </c>
    </row>
    <row r="150" ht="14.25" customHeight="1">
      <c r="A150" s="1" t="s">
        <v>186</v>
      </c>
      <c r="B150" s="1" t="s">
        <v>8</v>
      </c>
      <c r="C150" s="2" t="s">
        <v>187</v>
      </c>
      <c r="D150" s="2">
        <v>8.8</v>
      </c>
      <c r="E150" s="2">
        <v>2018.0</v>
      </c>
      <c r="F150" s="2" t="s">
        <v>10</v>
      </c>
      <c r="G150" s="2" t="s">
        <v>10</v>
      </c>
    </row>
    <row r="151" ht="14.25" customHeight="1">
      <c r="A151" s="1" t="s">
        <v>188</v>
      </c>
      <c r="B151" s="1" t="s">
        <v>20</v>
      </c>
      <c r="C151" s="2" t="s">
        <v>32</v>
      </c>
      <c r="D151" s="2">
        <v>8.8</v>
      </c>
      <c r="E151" s="2">
        <v>1975.0</v>
      </c>
      <c r="F151" s="2" t="s">
        <v>10</v>
      </c>
      <c r="G151" s="2" t="s">
        <v>10</v>
      </c>
    </row>
    <row r="152" ht="14.25" customHeight="1">
      <c r="A152" s="1" t="s">
        <v>189</v>
      </c>
      <c r="B152" s="1" t="s">
        <v>20</v>
      </c>
      <c r="C152" s="2" t="s">
        <v>140</v>
      </c>
      <c r="D152" s="2">
        <v>8.8</v>
      </c>
      <c r="E152" s="2">
        <v>1976.0</v>
      </c>
      <c r="F152" s="2" t="s">
        <v>10</v>
      </c>
      <c r="G152" s="2" t="s">
        <v>10</v>
      </c>
    </row>
    <row r="153" ht="14.25" customHeight="1">
      <c r="A153" s="1" t="s">
        <v>190</v>
      </c>
      <c r="B153" s="1" t="s">
        <v>8</v>
      </c>
      <c r="C153" s="2" t="s">
        <v>80</v>
      </c>
      <c r="D153" s="2">
        <v>8.8</v>
      </c>
      <c r="E153" s="2">
        <v>1976.0</v>
      </c>
      <c r="F153" s="2" t="s">
        <v>10</v>
      </c>
      <c r="G153" s="2" t="s">
        <v>10</v>
      </c>
    </row>
    <row r="154" ht="14.25" customHeight="1">
      <c r="A154" s="1" t="s">
        <v>191</v>
      </c>
      <c r="B154" s="1" t="s">
        <v>8</v>
      </c>
      <c r="C154" s="2" t="s">
        <v>192</v>
      </c>
      <c r="D154" s="2">
        <v>8.8</v>
      </c>
      <c r="E154" s="2">
        <v>2023.0</v>
      </c>
      <c r="F154" s="2" t="s">
        <v>10</v>
      </c>
      <c r="G154" s="2" t="s">
        <v>10</v>
      </c>
    </row>
    <row r="155" ht="14.25" customHeight="1">
      <c r="A155" s="1" t="s">
        <v>193</v>
      </c>
      <c r="B155" s="1" t="s">
        <v>8</v>
      </c>
      <c r="C155" s="2" t="s">
        <v>187</v>
      </c>
      <c r="D155" s="2">
        <v>8.8</v>
      </c>
      <c r="E155" s="2">
        <v>2022.0</v>
      </c>
      <c r="F155" s="2" t="s">
        <v>10</v>
      </c>
      <c r="G155" s="2" t="s">
        <v>10</v>
      </c>
    </row>
    <row r="156" ht="14.25" customHeight="1">
      <c r="A156" s="1" t="s">
        <v>194</v>
      </c>
      <c r="B156" s="1" t="s">
        <v>20</v>
      </c>
      <c r="C156" s="2" t="s">
        <v>63</v>
      </c>
      <c r="D156" s="2">
        <v>8.8</v>
      </c>
      <c r="E156" s="2">
        <v>1982.0</v>
      </c>
      <c r="F156" s="2" t="s">
        <v>10</v>
      </c>
      <c r="G156" s="2" t="s">
        <v>10</v>
      </c>
    </row>
    <row r="157" ht="14.25" customHeight="1">
      <c r="A157" s="1" t="s">
        <v>195</v>
      </c>
      <c r="B157" s="1" t="s">
        <v>20</v>
      </c>
      <c r="C157" s="2" t="s">
        <v>114</v>
      </c>
      <c r="D157" s="2">
        <v>8.8</v>
      </c>
      <c r="E157" s="2">
        <v>2021.0</v>
      </c>
      <c r="F157" s="2" t="s">
        <v>10</v>
      </c>
      <c r="G157" s="2" t="s">
        <v>10</v>
      </c>
    </row>
    <row r="158" ht="14.25" customHeight="1">
      <c r="A158" s="1" t="s">
        <v>196</v>
      </c>
      <c r="B158" s="1" t="s">
        <v>8</v>
      </c>
      <c r="C158" s="2" t="s">
        <v>18</v>
      </c>
      <c r="D158" s="2">
        <v>8.8</v>
      </c>
      <c r="E158" s="2">
        <v>2019.0</v>
      </c>
      <c r="F158" s="2" t="s">
        <v>10</v>
      </c>
      <c r="G158" s="2" t="s">
        <v>10</v>
      </c>
    </row>
    <row r="159" ht="14.25" customHeight="1">
      <c r="A159" s="1" t="s">
        <v>197</v>
      </c>
      <c r="B159" s="1" t="s">
        <v>8</v>
      </c>
      <c r="C159" s="2" t="s">
        <v>18</v>
      </c>
      <c r="D159" s="2">
        <v>8.8</v>
      </c>
      <c r="E159" s="2">
        <v>2017.0</v>
      </c>
      <c r="F159" s="2" t="s">
        <v>10</v>
      </c>
      <c r="G159" s="2" t="s">
        <v>10</v>
      </c>
    </row>
    <row r="160" ht="14.25" customHeight="1">
      <c r="A160" s="1" t="s">
        <v>198</v>
      </c>
      <c r="B160" s="1" t="s">
        <v>8</v>
      </c>
      <c r="C160" s="2" t="s">
        <v>199</v>
      </c>
      <c r="D160" s="2">
        <v>8.8</v>
      </c>
      <c r="E160" s="2">
        <v>2018.0</v>
      </c>
      <c r="F160" s="2" t="s">
        <v>10</v>
      </c>
      <c r="G160" s="2" t="s">
        <v>10</v>
      </c>
    </row>
    <row r="161" ht="14.25" customHeight="1">
      <c r="A161" s="1" t="s">
        <v>200</v>
      </c>
      <c r="B161" s="1" t="s">
        <v>8</v>
      </c>
      <c r="C161" s="2" t="s">
        <v>9</v>
      </c>
      <c r="D161" s="2">
        <v>8.8</v>
      </c>
      <c r="E161" s="2">
        <v>2017.0</v>
      </c>
      <c r="F161" s="2" t="s">
        <v>10</v>
      </c>
      <c r="G161" s="2" t="s">
        <v>10</v>
      </c>
    </row>
    <row r="162" ht="14.25" customHeight="1">
      <c r="A162" s="1" t="s">
        <v>201</v>
      </c>
      <c r="B162" s="1" t="s">
        <v>20</v>
      </c>
      <c r="C162" s="2" t="s">
        <v>63</v>
      </c>
      <c r="D162" s="2">
        <v>8.8</v>
      </c>
      <c r="E162" s="2">
        <v>1984.0</v>
      </c>
      <c r="F162" s="2" t="s">
        <v>10</v>
      </c>
      <c r="G162" s="2" t="s">
        <v>10</v>
      </c>
    </row>
    <row r="163" ht="14.25" customHeight="1">
      <c r="A163" s="1" t="s">
        <v>202</v>
      </c>
      <c r="B163" s="1" t="s">
        <v>8</v>
      </c>
      <c r="C163" s="2" t="s">
        <v>203</v>
      </c>
      <c r="D163" s="2">
        <v>8.8</v>
      </c>
      <c r="E163" s="2">
        <v>2000.0</v>
      </c>
      <c r="F163" s="2" t="s">
        <v>10</v>
      </c>
      <c r="G163" s="2" t="s">
        <v>10</v>
      </c>
    </row>
    <row r="164" ht="14.25" customHeight="1">
      <c r="A164" s="1" t="s">
        <v>204</v>
      </c>
      <c r="B164" s="1" t="s">
        <v>8</v>
      </c>
      <c r="C164" s="2" t="s">
        <v>205</v>
      </c>
      <c r="D164" s="2">
        <v>8.8</v>
      </c>
      <c r="E164" s="2">
        <v>2021.0</v>
      </c>
      <c r="F164" s="2" t="s">
        <v>10</v>
      </c>
      <c r="G164" s="2" t="s">
        <v>10</v>
      </c>
    </row>
    <row r="165" ht="14.25" customHeight="1">
      <c r="A165" s="1" t="s">
        <v>206</v>
      </c>
      <c r="B165" s="1" t="s">
        <v>20</v>
      </c>
      <c r="C165" s="2" t="s">
        <v>207</v>
      </c>
      <c r="D165" s="2">
        <v>8.8</v>
      </c>
      <c r="E165" s="2">
        <v>2011.0</v>
      </c>
      <c r="F165" s="2" t="s">
        <v>10</v>
      </c>
      <c r="G165" s="2" t="s">
        <v>10</v>
      </c>
    </row>
    <row r="166" ht="14.25" customHeight="1">
      <c r="A166" s="1" t="s">
        <v>208</v>
      </c>
      <c r="B166" s="1" t="s">
        <v>20</v>
      </c>
      <c r="C166" s="2" t="s">
        <v>125</v>
      </c>
      <c r="D166" s="2">
        <v>8.7</v>
      </c>
      <c r="E166" s="2">
        <v>2014.0</v>
      </c>
      <c r="F166" s="2" t="s">
        <v>10</v>
      </c>
      <c r="G166" s="2" t="s">
        <v>10</v>
      </c>
    </row>
    <row r="167" ht="14.25" customHeight="1">
      <c r="A167" s="1" t="s">
        <v>209</v>
      </c>
      <c r="B167" s="1" t="s">
        <v>20</v>
      </c>
      <c r="C167" s="2" t="s">
        <v>210</v>
      </c>
      <c r="D167" s="2">
        <v>8.7</v>
      </c>
      <c r="E167" s="2">
        <v>1999.0</v>
      </c>
      <c r="F167" s="2">
        <v>1999.0</v>
      </c>
      <c r="G167" s="2" t="s">
        <v>10</v>
      </c>
    </row>
    <row r="168" ht="14.25" customHeight="1">
      <c r="A168" s="1" t="s">
        <v>211</v>
      </c>
      <c r="B168" s="1" t="s">
        <v>20</v>
      </c>
      <c r="C168" s="2" t="s">
        <v>212</v>
      </c>
      <c r="D168" s="2">
        <v>8.7</v>
      </c>
      <c r="E168" s="2">
        <v>1980.0</v>
      </c>
      <c r="F168" s="2" t="s">
        <v>10</v>
      </c>
      <c r="G168" s="2" t="s">
        <v>10</v>
      </c>
    </row>
    <row r="169" ht="14.25" customHeight="1">
      <c r="A169" s="1" t="s">
        <v>213</v>
      </c>
      <c r="B169" s="1" t="s">
        <v>8</v>
      </c>
      <c r="C169" s="2" t="s">
        <v>92</v>
      </c>
      <c r="D169" s="2">
        <v>8.7</v>
      </c>
      <c r="E169" s="2">
        <v>2016.0</v>
      </c>
      <c r="F169" s="2">
        <v>2019.0</v>
      </c>
      <c r="G169" s="2">
        <v>9420000.0</v>
      </c>
    </row>
    <row r="170" ht="14.25" customHeight="1">
      <c r="A170" s="1" t="s">
        <v>213</v>
      </c>
      <c r="B170" s="1" t="s">
        <v>8</v>
      </c>
      <c r="C170" s="2" t="s">
        <v>92</v>
      </c>
      <c r="D170" s="2">
        <v>8.7</v>
      </c>
      <c r="E170" s="2">
        <v>2016.0</v>
      </c>
      <c r="F170" s="2">
        <v>2019.0</v>
      </c>
      <c r="G170" s="2">
        <v>1.034E7</v>
      </c>
    </row>
    <row r="171" ht="14.25" customHeight="1">
      <c r="A171" s="1" t="s">
        <v>213</v>
      </c>
      <c r="B171" s="1" t="s">
        <v>8</v>
      </c>
      <c r="C171" s="2" t="s">
        <v>92</v>
      </c>
      <c r="D171" s="2">
        <v>8.7</v>
      </c>
      <c r="E171" s="2">
        <v>2016.0</v>
      </c>
      <c r="F171" s="2">
        <v>2019.0</v>
      </c>
      <c r="G171" s="2">
        <v>1.348E7</v>
      </c>
    </row>
    <row r="172" ht="14.25" customHeight="1">
      <c r="A172" s="1" t="s">
        <v>213</v>
      </c>
      <c r="B172" s="1" t="s">
        <v>8</v>
      </c>
      <c r="C172" s="2" t="s">
        <v>92</v>
      </c>
      <c r="D172" s="2">
        <v>8.7</v>
      </c>
      <c r="E172" s="2">
        <v>2016.0</v>
      </c>
      <c r="F172" s="2">
        <v>2019.0</v>
      </c>
      <c r="G172" s="2">
        <v>1.656E7</v>
      </c>
    </row>
    <row r="173" ht="14.25" customHeight="1">
      <c r="A173" s="1" t="s">
        <v>213</v>
      </c>
      <c r="B173" s="1" t="s">
        <v>8</v>
      </c>
      <c r="C173" s="2" t="s">
        <v>92</v>
      </c>
      <c r="D173" s="2">
        <v>8.7</v>
      </c>
      <c r="E173" s="2">
        <v>2016.0</v>
      </c>
      <c r="F173" s="2">
        <v>2019.0</v>
      </c>
      <c r="G173" s="2">
        <v>2.028E7</v>
      </c>
    </row>
    <row r="174" ht="14.25" customHeight="1">
      <c r="A174" s="1" t="s">
        <v>213</v>
      </c>
      <c r="B174" s="1" t="s">
        <v>8</v>
      </c>
      <c r="C174" s="2" t="s">
        <v>92</v>
      </c>
      <c r="D174" s="2">
        <v>8.7</v>
      </c>
      <c r="E174" s="2">
        <v>2016.0</v>
      </c>
      <c r="F174" s="2">
        <v>2019.0</v>
      </c>
      <c r="G174" s="2">
        <v>2.364E7</v>
      </c>
    </row>
    <row r="175" ht="14.25" customHeight="1">
      <c r="A175" s="1" t="s">
        <v>213</v>
      </c>
      <c r="B175" s="1" t="s">
        <v>8</v>
      </c>
      <c r="C175" s="2" t="s">
        <v>92</v>
      </c>
      <c r="D175" s="2">
        <v>8.7</v>
      </c>
      <c r="E175" s="2">
        <v>2016.0</v>
      </c>
      <c r="F175" s="2">
        <v>2019.0</v>
      </c>
      <c r="G175" s="2">
        <v>2.88E7</v>
      </c>
    </row>
    <row r="176" ht="14.25" customHeight="1">
      <c r="A176" s="1" t="s">
        <v>213</v>
      </c>
      <c r="B176" s="1" t="s">
        <v>8</v>
      </c>
      <c r="C176" s="2" t="s">
        <v>92</v>
      </c>
      <c r="D176" s="2">
        <v>8.7</v>
      </c>
      <c r="E176" s="2">
        <v>2016.0</v>
      </c>
      <c r="F176" s="2">
        <v>2019.0</v>
      </c>
      <c r="G176" s="2">
        <v>3.531E7</v>
      </c>
    </row>
    <row r="177" ht="14.25" customHeight="1">
      <c r="A177" s="1" t="s">
        <v>213</v>
      </c>
      <c r="B177" s="1" t="s">
        <v>8</v>
      </c>
      <c r="C177" s="2" t="s">
        <v>92</v>
      </c>
      <c r="D177" s="2">
        <v>8.7</v>
      </c>
      <c r="E177" s="2">
        <v>2016.0</v>
      </c>
      <c r="F177" s="2">
        <v>2019.0</v>
      </c>
      <c r="G177" s="2">
        <v>4.476E7</v>
      </c>
    </row>
    <row r="178" ht="14.25" customHeight="1">
      <c r="A178" s="1" t="s">
        <v>213</v>
      </c>
      <c r="B178" s="1" t="s">
        <v>8</v>
      </c>
      <c r="C178" s="2" t="s">
        <v>92</v>
      </c>
      <c r="D178" s="2">
        <v>8.7</v>
      </c>
      <c r="E178" s="2">
        <v>2016.0</v>
      </c>
      <c r="F178" s="2">
        <v>2019.0</v>
      </c>
      <c r="G178" s="2">
        <v>1.704E7</v>
      </c>
    </row>
    <row r="179" ht="14.25" customHeight="1">
      <c r="A179" s="1" t="s">
        <v>213</v>
      </c>
      <c r="B179" s="1" t="s">
        <v>8</v>
      </c>
      <c r="C179" s="2" t="s">
        <v>92</v>
      </c>
      <c r="D179" s="2">
        <v>8.7</v>
      </c>
      <c r="E179" s="2">
        <v>2016.0</v>
      </c>
      <c r="F179" s="2">
        <v>2019.0</v>
      </c>
      <c r="G179" s="2">
        <v>5.772E7</v>
      </c>
    </row>
    <row r="180" ht="14.25" customHeight="1">
      <c r="A180" s="1" t="s">
        <v>213</v>
      </c>
      <c r="B180" s="1" t="s">
        <v>8</v>
      </c>
      <c r="C180" s="2" t="s">
        <v>92</v>
      </c>
      <c r="D180" s="2">
        <v>8.7</v>
      </c>
      <c r="E180" s="2">
        <v>2016.0</v>
      </c>
      <c r="F180" s="2">
        <v>2019.0</v>
      </c>
      <c r="G180" s="2">
        <v>2.144E7</v>
      </c>
    </row>
    <row r="181" ht="14.25" customHeight="1">
      <c r="A181" s="1" t="s">
        <v>213</v>
      </c>
      <c r="B181" s="1" t="s">
        <v>8</v>
      </c>
      <c r="C181" s="2" t="s">
        <v>92</v>
      </c>
      <c r="D181" s="2">
        <v>8.7</v>
      </c>
      <c r="E181" s="2">
        <v>2016.0</v>
      </c>
      <c r="F181" s="2">
        <v>2019.0</v>
      </c>
      <c r="G181" s="2">
        <v>2.017E7</v>
      </c>
    </row>
    <row r="182" ht="14.25" customHeight="1">
      <c r="A182" s="1" t="s">
        <v>213</v>
      </c>
      <c r="B182" s="1" t="s">
        <v>8</v>
      </c>
      <c r="C182" s="2" t="s">
        <v>92</v>
      </c>
      <c r="D182" s="2">
        <v>8.7</v>
      </c>
      <c r="E182" s="2">
        <v>2016.0</v>
      </c>
      <c r="F182" s="2">
        <v>2019.0</v>
      </c>
      <c r="G182" s="2">
        <v>7.499E7</v>
      </c>
    </row>
    <row r="183" ht="14.25" customHeight="1">
      <c r="A183" s="1" t="s">
        <v>213</v>
      </c>
      <c r="B183" s="1" t="s">
        <v>8</v>
      </c>
      <c r="C183" s="2" t="s">
        <v>92</v>
      </c>
      <c r="D183" s="2">
        <v>8.7</v>
      </c>
      <c r="E183" s="2">
        <v>2016.0</v>
      </c>
      <c r="F183" s="2">
        <v>2019.0</v>
      </c>
      <c r="G183" s="2">
        <v>2.668E7</v>
      </c>
    </row>
    <row r="184" ht="14.25" customHeight="1">
      <c r="A184" s="1" t="s">
        <v>213</v>
      </c>
      <c r="B184" s="1" t="s">
        <v>8</v>
      </c>
      <c r="C184" s="2" t="s">
        <v>92</v>
      </c>
      <c r="D184" s="2">
        <v>8.7</v>
      </c>
      <c r="E184" s="2">
        <v>2016.0</v>
      </c>
      <c r="F184" s="2">
        <v>2019.0</v>
      </c>
      <c r="G184" s="2">
        <v>2.562E7</v>
      </c>
    </row>
    <row r="185" ht="14.25" customHeight="1">
      <c r="A185" s="1" t="s">
        <v>213</v>
      </c>
      <c r="B185" s="1" t="s">
        <v>8</v>
      </c>
      <c r="C185" s="2" t="s">
        <v>92</v>
      </c>
      <c r="D185" s="2">
        <v>8.7</v>
      </c>
      <c r="E185" s="2">
        <v>2016.0</v>
      </c>
      <c r="F185" s="2">
        <v>2019.0</v>
      </c>
      <c r="G185" s="2">
        <v>2.322E7</v>
      </c>
    </row>
    <row r="186" ht="14.25" customHeight="1">
      <c r="A186" s="1" t="s">
        <v>213</v>
      </c>
      <c r="B186" s="1" t="s">
        <v>8</v>
      </c>
      <c r="C186" s="2" t="s">
        <v>92</v>
      </c>
      <c r="D186" s="2">
        <v>8.7</v>
      </c>
      <c r="E186" s="2">
        <v>2016.0</v>
      </c>
      <c r="F186" s="2">
        <v>2019.0</v>
      </c>
      <c r="G186" s="2">
        <v>1.0233E8</v>
      </c>
    </row>
    <row r="187" ht="14.25" customHeight="1">
      <c r="A187" s="1" t="s">
        <v>213</v>
      </c>
      <c r="B187" s="1" t="s">
        <v>8</v>
      </c>
      <c r="C187" s="2" t="s">
        <v>92</v>
      </c>
      <c r="D187" s="2">
        <v>8.7</v>
      </c>
      <c r="E187" s="2">
        <v>2016.0</v>
      </c>
      <c r="F187" s="2">
        <v>2019.0</v>
      </c>
      <c r="G187" s="2">
        <v>3.379E7</v>
      </c>
    </row>
    <row r="188" ht="14.25" customHeight="1">
      <c r="A188" s="1" t="s">
        <v>213</v>
      </c>
      <c r="B188" s="1" t="s">
        <v>8</v>
      </c>
      <c r="C188" s="2" t="s">
        <v>92</v>
      </c>
      <c r="D188" s="2">
        <v>8.7</v>
      </c>
      <c r="E188" s="2">
        <v>2016.0</v>
      </c>
      <c r="F188" s="2">
        <v>2019.0</v>
      </c>
      <c r="G188" s="2">
        <v>3.305E7</v>
      </c>
    </row>
    <row r="189" ht="14.25" customHeight="1">
      <c r="A189" s="1" t="s">
        <v>213</v>
      </c>
      <c r="B189" s="1" t="s">
        <v>8</v>
      </c>
      <c r="C189" s="2" t="s">
        <v>92</v>
      </c>
      <c r="D189" s="2">
        <v>8.7</v>
      </c>
      <c r="E189" s="2">
        <v>2016.0</v>
      </c>
      <c r="F189" s="2">
        <v>2019.0</v>
      </c>
      <c r="G189" s="2">
        <v>3.154E7</v>
      </c>
    </row>
    <row r="190" ht="14.25" customHeight="1">
      <c r="A190" s="1" t="s">
        <v>213</v>
      </c>
      <c r="B190" s="1" t="s">
        <v>8</v>
      </c>
      <c r="C190" s="2" t="s">
        <v>92</v>
      </c>
      <c r="D190" s="2">
        <v>8.7</v>
      </c>
      <c r="E190" s="2">
        <v>2016.0</v>
      </c>
      <c r="F190" s="2">
        <v>2019.0</v>
      </c>
      <c r="G190" s="2">
        <v>1.8819E8</v>
      </c>
    </row>
    <row r="191" ht="14.25" customHeight="1">
      <c r="A191" s="1" t="s">
        <v>213</v>
      </c>
      <c r="B191" s="1" t="s">
        <v>8</v>
      </c>
      <c r="C191" s="2" t="s">
        <v>92</v>
      </c>
      <c r="D191" s="2">
        <v>8.7</v>
      </c>
      <c r="E191" s="2">
        <v>2016.0</v>
      </c>
      <c r="F191" s="2">
        <v>2019.0</v>
      </c>
      <c r="G191" s="2">
        <v>4.522E7</v>
      </c>
    </row>
    <row r="192" ht="14.25" customHeight="1">
      <c r="A192" s="1" t="s">
        <v>213</v>
      </c>
      <c r="B192" s="1" t="s">
        <v>8</v>
      </c>
      <c r="C192" s="2" t="s">
        <v>92</v>
      </c>
      <c r="D192" s="2">
        <v>8.7</v>
      </c>
      <c r="E192" s="2">
        <v>2016.0</v>
      </c>
      <c r="F192" s="2">
        <v>2019.0</v>
      </c>
      <c r="G192" s="2">
        <v>4.111E7</v>
      </c>
    </row>
    <row r="193" ht="14.25" customHeight="1">
      <c r="A193" s="1" t="s">
        <v>213</v>
      </c>
      <c r="B193" s="1" t="s">
        <v>8</v>
      </c>
      <c r="C193" s="2" t="s">
        <v>92</v>
      </c>
      <c r="D193" s="2">
        <v>8.7</v>
      </c>
      <c r="E193" s="2">
        <v>2016.0</v>
      </c>
      <c r="F193" s="2">
        <v>2019.0</v>
      </c>
      <c r="G193" s="2">
        <v>3.659E7</v>
      </c>
    </row>
    <row r="194" ht="14.25" customHeight="1">
      <c r="A194" s="1" t="s">
        <v>213</v>
      </c>
      <c r="B194" s="1" t="s">
        <v>8</v>
      </c>
      <c r="C194" s="2" t="s">
        <v>92</v>
      </c>
      <c r="D194" s="2">
        <v>8.7</v>
      </c>
      <c r="E194" s="2">
        <v>2016.0</v>
      </c>
      <c r="F194" s="2">
        <v>2019.0</v>
      </c>
      <c r="G194" s="2">
        <v>3.0128E8</v>
      </c>
    </row>
    <row r="195" ht="14.25" customHeight="1">
      <c r="A195" s="1" t="s">
        <v>213</v>
      </c>
      <c r="B195" s="1" t="s">
        <v>8</v>
      </c>
      <c r="C195" s="2" t="s">
        <v>92</v>
      </c>
      <c r="D195" s="2">
        <v>8.7</v>
      </c>
      <c r="E195" s="2">
        <v>2016.0</v>
      </c>
      <c r="F195" s="2">
        <v>2019.0</v>
      </c>
      <c r="G195" s="2">
        <v>3.447E7</v>
      </c>
    </row>
    <row r="196" ht="14.25" customHeight="1">
      <c r="A196" s="1" t="s">
        <v>213</v>
      </c>
      <c r="B196" s="1" t="s">
        <v>8</v>
      </c>
      <c r="C196" s="2" t="s">
        <v>92</v>
      </c>
      <c r="D196" s="2">
        <v>8.7</v>
      </c>
      <c r="E196" s="2">
        <v>2016.0</v>
      </c>
      <c r="F196" s="2">
        <v>2019.0</v>
      </c>
      <c r="G196" s="2">
        <v>3.028E7</v>
      </c>
    </row>
    <row r="197" ht="14.25" customHeight="1">
      <c r="A197" s="1" t="s">
        <v>213</v>
      </c>
      <c r="B197" s="1" t="s">
        <v>8</v>
      </c>
      <c r="C197" s="2" t="s">
        <v>92</v>
      </c>
      <c r="D197" s="2">
        <v>8.7</v>
      </c>
      <c r="E197" s="2">
        <v>2016.0</v>
      </c>
      <c r="F197" s="2">
        <v>2019.0</v>
      </c>
      <c r="G197" s="2">
        <v>3.026E7</v>
      </c>
    </row>
    <row r="198" ht="14.25" customHeight="1">
      <c r="A198" s="1" t="s">
        <v>213</v>
      </c>
      <c r="B198" s="1" t="s">
        <v>8</v>
      </c>
      <c r="C198" s="2" t="s">
        <v>92</v>
      </c>
      <c r="D198" s="2">
        <v>8.7</v>
      </c>
      <c r="E198" s="2">
        <v>2016.0</v>
      </c>
      <c r="F198" s="2">
        <v>2019.0</v>
      </c>
      <c r="G198" s="2">
        <v>7.691E7</v>
      </c>
    </row>
    <row r="199" ht="14.25" customHeight="1">
      <c r="A199" s="1" t="s">
        <v>213</v>
      </c>
      <c r="B199" s="1" t="s">
        <v>8</v>
      </c>
      <c r="C199" s="2" t="s">
        <v>92</v>
      </c>
      <c r="D199" s="2">
        <v>8.7</v>
      </c>
      <c r="E199" s="2">
        <v>2016.0</v>
      </c>
      <c r="F199" s="2">
        <v>2019.0</v>
      </c>
      <c r="G199" s="2">
        <v>3.223E7</v>
      </c>
    </row>
    <row r="200" ht="14.25" customHeight="1">
      <c r="A200" s="1" t="s">
        <v>213</v>
      </c>
      <c r="B200" s="1" t="s">
        <v>8</v>
      </c>
      <c r="C200" s="2" t="s">
        <v>92</v>
      </c>
      <c r="D200" s="2">
        <v>8.7</v>
      </c>
      <c r="E200" s="2">
        <v>2016.0</v>
      </c>
      <c r="F200" s="2">
        <v>2019.0</v>
      </c>
      <c r="G200" s="2">
        <v>3.119E7</v>
      </c>
    </row>
    <row r="201" ht="14.25" customHeight="1">
      <c r="A201" s="1" t="s">
        <v>213</v>
      </c>
      <c r="B201" s="1" t="s">
        <v>8</v>
      </c>
      <c r="C201" s="2" t="s">
        <v>92</v>
      </c>
      <c r="D201" s="2">
        <v>8.7</v>
      </c>
      <c r="E201" s="2">
        <v>2016.0</v>
      </c>
      <c r="F201" s="2">
        <v>2019.0</v>
      </c>
      <c r="G201" s="2">
        <v>2.921E7</v>
      </c>
    </row>
    <row r="202" ht="14.25" customHeight="1">
      <c r="A202" s="1" t="s">
        <v>213</v>
      </c>
      <c r="B202" s="1" t="s">
        <v>8</v>
      </c>
      <c r="C202" s="2" t="s">
        <v>92</v>
      </c>
      <c r="D202" s="2">
        <v>8.7</v>
      </c>
      <c r="E202" s="2">
        <v>2016.0</v>
      </c>
      <c r="F202" s="2">
        <v>2019.0</v>
      </c>
      <c r="G202" s="2">
        <v>1.0226E8</v>
      </c>
    </row>
    <row r="203" ht="14.25" customHeight="1">
      <c r="A203" s="1" t="s">
        <v>213</v>
      </c>
      <c r="B203" s="1" t="s">
        <v>8</v>
      </c>
      <c r="C203" s="2" t="s">
        <v>92</v>
      </c>
      <c r="D203" s="2">
        <v>8.7</v>
      </c>
      <c r="E203" s="2">
        <v>2016.0</v>
      </c>
      <c r="F203" s="2">
        <v>2019.0</v>
      </c>
      <c r="G203" s="2">
        <v>3.89E7</v>
      </c>
    </row>
    <row r="204" ht="14.25" customHeight="1">
      <c r="A204" s="1" t="s">
        <v>213</v>
      </c>
      <c r="B204" s="1" t="s">
        <v>8</v>
      </c>
      <c r="C204" s="2" t="s">
        <v>92</v>
      </c>
      <c r="D204" s="2">
        <v>8.7</v>
      </c>
      <c r="E204" s="2">
        <v>2016.0</v>
      </c>
      <c r="F204" s="2">
        <v>2019.0</v>
      </c>
      <c r="G204" s="2">
        <v>3.866E7</v>
      </c>
    </row>
    <row r="205" ht="14.25" customHeight="1">
      <c r="A205" s="1" t="s">
        <v>213</v>
      </c>
      <c r="B205" s="1" t="s">
        <v>8</v>
      </c>
      <c r="C205" s="2" t="s">
        <v>92</v>
      </c>
      <c r="D205" s="2">
        <v>8.7</v>
      </c>
      <c r="E205" s="2">
        <v>2016.0</v>
      </c>
      <c r="F205" s="2">
        <v>2019.0</v>
      </c>
      <c r="G205" s="2">
        <v>3.588E7</v>
      </c>
    </row>
    <row r="206" ht="14.25" customHeight="1">
      <c r="A206" s="1" t="s">
        <v>213</v>
      </c>
      <c r="B206" s="1" t="s">
        <v>8</v>
      </c>
      <c r="C206" s="2" t="s">
        <v>92</v>
      </c>
      <c r="D206" s="2">
        <v>8.7</v>
      </c>
      <c r="E206" s="2">
        <v>2016.0</v>
      </c>
      <c r="F206" s="2">
        <v>2019.0</v>
      </c>
      <c r="G206" s="2">
        <v>1.5924E8</v>
      </c>
    </row>
    <row r="207" ht="14.25" customHeight="1">
      <c r="A207" s="1" t="s">
        <v>213</v>
      </c>
      <c r="B207" s="1" t="s">
        <v>8</v>
      </c>
      <c r="C207" s="2" t="s">
        <v>92</v>
      </c>
      <c r="D207" s="2">
        <v>8.7</v>
      </c>
      <c r="E207" s="2">
        <v>2016.0</v>
      </c>
      <c r="F207" s="2">
        <v>2019.0</v>
      </c>
      <c r="G207" s="2">
        <v>5.142E7</v>
      </c>
    </row>
    <row r="208" ht="14.25" customHeight="1">
      <c r="A208" s="1" t="s">
        <v>213</v>
      </c>
      <c r="B208" s="1" t="s">
        <v>8</v>
      </c>
      <c r="C208" s="2" t="s">
        <v>92</v>
      </c>
      <c r="D208" s="2">
        <v>8.7</v>
      </c>
      <c r="E208" s="2">
        <v>2016.0</v>
      </c>
      <c r="F208" s="2">
        <v>2019.0</v>
      </c>
      <c r="G208" s="2">
        <v>5.029E7</v>
      </c>
    </row>
    <row r="209" ht="14.25" customHeight="1">
      <c r="A209" s="1" t="s">
        <v>213</v>
      </c>
      <c r="B209" s="1" t="s">
        <v>8</v>
      </c>
      <c r="C209" s="2" t="s">
        <v>92</v>
      </c>
      <c r="D209" s="2">
        <v>8.7</v>
      </c>
      <c r="E209" s="2">
        <v>2016.0</v>
      </c>
      <c r="F209" s="2">
        <v>2019.0</v>
      </c>
      <c r="G209" s="2">
        <v>4.76E7</v>
      </c>
    </row>
    <row r="210" ht="14.25" customHeight="1">
      <c r="A210" s="1" t="s">
        <v>213</v>
      </c>
      <c r="B210" s="1" t="s">
        <v>8</v>
      </c>
      <c r="C210" s="2" t="s">
        <v>92</v>
      </c>
      <c r="D210" s="2">
        <v>8.7</v>
      </c>
      <c r="E210" s="2">
        <v>2016.0</v>
      </c>
      <c r="F210" s="2">
        <v>2019.0</v>
      </c>
      <c r="G210" s="2">
        <v>3.3501E8</v>
      </c>
    </row>
    <row r="211" ht="14.25" customHeight="1">
      <c r="A211" s="1" t="s">
        <v>213</v>
      </c>
      <c r="B211" s="1" t="s">
        <v>8</v>
      </c>
      <c r="C211" s="2" t="s">
        <v>92</v>
      </c>
      <c r="D211" s="2">
        <v>8.7</v>
      </c>
      <c r="E211" s="2">
        <v>2016.0</v>
      </c>
      <c r="F211" s="2">
        <v>2019.0</v>
      </c>
      <c r="G211" s="2">
        <v>7.508E7</v>
      </c>
    </row>
    <row r="212" ht="14.25" customHeight="1">
      <c r="A212" s="1" t="s">
        <v>213</v>
      </c>
      <c r="B212" s="1" t="s">
        <v>8</v>
      </c>
      <c r="C212" s="2" t="s">
        <v>92</v>
      </c>
      <c r="D212" s="2">
        <v>8.7</v>
      </c>
      <c r="E212" s="2">
        <v>2016.0</v>
      </c>
      <c r="F212" s="2">
        <v>2019.0</v>
      </c>
      <c r="G212" s="2">
        <v>5.827E7</v>
      </c>
    </row>
    <row r="213" ht="14.25" customHeight="1">
      <c r="A213" s="1" t="s">
        <v>213</v>
      </c>
      <c r="B213" s="1" t="s">
        <v>8</v>
      </c>
      <c r="C213" s="2" t="s">
        <v>92</v>
      </c>
      <c r="D213" s="2">
        <v>8.7</v>
      </c>
      <c r="E213" s="2">
        <v>2016.0</v>
      </c>
      <c r="F213" s="2">
        <v>2019.0</v>
      </c>
      <c r="G213" s="2">
        <v>4.742E7</v>
      </c>
    </row>
    <row r="214" ht="14.25" customHeight="1">
      <c r="A214" s="1" t="s">
        <v>213</v>
      </c>
      <c r="B214" s="1" t="s">
        <v>8</v>
      </c>
      <c r="C214" s="2" t="s">
        <v>92</v>
      </c>
      <c r="D214" s="2">
        <v>8.7</v>
      </c>
      <c r="E214" s="2">
        <v>2016.0</v>
      </c>
      <c r="F214" s="2">
        <v>2019.0</v>
      </c>
      <c r="G214" s="2">
        <v>2.8679E8</v>
      </c>
    </row>
    <row r="215" ht="14.25" customHeight="1">
      <c r="A215" s="1" t="s">
        <v>213</v>
      </c>
      <c r="B215" s="1" t="s">
        <v>8</v>
      </c>
      <c r="C215" s="2" t="s">
        <v>92</v>
      </c>
      <c r="D215" s="2">
        <v>8.7</v>
      </c>
      <c r="E215" s="2">
        <v>2016.0</v>
      </c>
      <c r="F215" s="2">
        <v>2019.0</v>
      </c>
      <c r="G215" s="2">
        <v>3.805E7</v>
      </c>
    </row>
    <row r="216" ht="14.25" customHeight="1">
      <c r="A216" s="1" t="s">
        <v>213</v>
      </c>
      <c r="B216" s="1" t="s">
        <v>8</v>
      </c>
      <c r="C216" s="2" t="s">
        <v>92</v>
      </c>
      <c r="D216" s="2">
        <v>8.7</v>
      </c>
      <c r="E216" s="2">
        <v>2016.0</v>
      </c>
      <c r="F216" s="2">
        <v>2019.0</v>
      </c>
      <c r="G216" s="2">
        <v>2.429E7</v>
      </c>
    </row>
    <row r="217" ht="14.25" customHeight="1">
      <c r="A217" s="1" t="s">
        <v>213</v>
      </c>
      <c r="B217" s="1" t="s">
        <v>8</v>
      </c>
      <c r="C217" s="2" t="s">
        <v>92</v>
      </c>
      <c r="D217" s="2">
        <v>8.7</v>
      </c>
      <c r="E217" s="2">
        <v>2016.0</v>
      </c>
      <c r="F217" s="2">
        <v>2019.0</v>
      </c>
      <c r="G217" s="2">
        <v>2.221E7</v>
      </c>
    </row>
    <row r="218" ht="14.25" customHeight="1">
      <c r="A218" s="1" t="s">
        <v>213</v>
      </c>
      <c r="B218" s="1" t="s">
        <v>8</v>
      </c>
      <c r="C218" s="2" t="s">
        <v>92</v>
      </c>
      <c r="D218" s="2">
        <v>8.7</v>
      </c>
      <c r="E218" s="2">
        <v>2016.0</v>
      </c>
      <c r="F218" s="2">
        <v>2019.0</v>
      </c>
      <c r="G218" s="2">
        <v>9490000.0</v>
      </c>
    </row>
    <row r="219" ht="14.25" customHeight="1">
      <c r="A219" s="1" t="s">
        <v>214</v>
      </c>
      <c r="B219" s="1" t="s">
        <v>20</v>
      </c>
      <c r="C219" s="2" t="s">
        <v>40</v>
      </c>
      <c r="D219" s="2">
        <v>8.7</v>
      </c>
      <c r="E219" s="2">
        <v>1990.0</v>
      </c>
      <c r="F219" s="2">
        <v>1990.0</v>
      </c>
      <c r="G219" s="2" t="s">
        <v>10</v>
      </c>
    </row>
    <row r="220" ht="14.25" customHeight="1">
      <c r="A220" s="1" t="s">
        <v>215</v>
      </c>
      <c r="B220" s="1" t="s">
        <v>20</v>
      </c>
      <c r="C220" s="2" t="s">
        <v>18</v>
      </c>
      <c r="D220" s="2">
        <v>8.7</v>
      </c>
      <c r="E220" s="2">
        <v>1975.0</v>
      </c>
      <c r="F220" s="2" t="s">
        <v>10</v>
      </c>
      <c r="G220" s="2" t="s">
        <v>10</v>
      </c>
    </row>
    <row r="221" ht="14.25" customHeight="1">
      <c r="A221" s="1" t="s">
        <v>216</v>
      </c>
      <c r="B221" s="1" t="s">
        <v>8</v>
      </c>
      <c r="C221" s="2" t="s">
        <v>217</v>
      </c>
      <c r="D221" s="2">
        <v>8.7</v>
      </c>
      <c r="E221" s="2">
        <v>2019.0</v>
      </c>
      <c r="F221" s="2" t="s">
        <v>10</v>
      </c>
      <c r="G221" s="2" t="s">
        <v>10</v>
      </c>
    </row>
    <row r="222" ht="14.25" customHeight="1">
      <c r="A222" s="1" t="s">
        <v>218</v>
      </c>
      <c r="B222" s="1" t="s">
        <v>8</v>
      </c>
      <c r="C222" s="2" t="s">
        <v>36</v>
      </c>
      <c r="D222" s="2">
        <v>8.7</v>
      </c>
      <c r="E222" s="2">
        <v>2013.0</v>
      </c>
      <c r="F222" s="2">
        <v>2019.0</v>
      </c>
      <c r="G222" s="2">
        <v>1.306E7</v>
      </c>
    </row>
    <row r="223" ht="14.25" customHeight="1">
      <c r="A223" s="1" t="s">
        <v>218</v>
      </c>
      <c r="B223" s="1" t="s">
        <v>8</v>
      </c>
      <c r="C223" s="2" t="s">
        <v>36</v>
      </c>
      <c r="D223" s="2">
        <v>8.7</v>
      </c>
      <c r="E223" s="2">
        <v>2013.0</v>
      </c>
      <c r="F223" s="2">
        <v>2019.0</v>
      </c>
      <c r="G223" s="2">
        <v>1.844E7</v>
      </c>
    </row>
    <row r="224" ht="14.25" customHeight="1">
      <c r="A224" s="1" t="s">
        <v>218</v>
      </c>
      <c r="B224" s="1" t="s">
        <v>8</v>
      </c>
      <c r="C224" s="2" t="s">
        <v>36</v>
      </c>
      <c r="D224" s="2">
        <v>8.7</v>
      </c>
      <c r="E224" s="2">
        <v>2013.0</v>
      </c>
      <c r="F224" s="2">
        <v>2019.0</v>
      </c>
      <c r="G224" s="2">
        <v>3.035E7</v>
      </c>
    </row>
    <row r="225" ht="14.25" customHeight="1">
      <c r="A225" s="1" t="s">
        <v>218</v>
      </c>
      <c r="B225" s="1" t="s">
        <v>8</v>
      </c>
      <c r="C225" s="2" t="s">
        <v>36</v>
      </c>
      <c r="D225" s="2">
        <v>8.7</v>
      </c>
      <c r="E225" s="2">
        <v>2013.0</v>
      </c>
      <c r="F225" s="2">
        <v>2019.0</v>
      </c>
      <c r="G225" s="2">
        <v>6.136E7</v>
      </c>
    </row>
    <row r="226" ht="14.25" customHeight="1">
      <c r="A226" s="1" t="s">
        <v>218</v>
      </c>
      <c r="B226" s="1" t="s">
        <v>8</v>
      </c>
      <c r="C226" s="2" t="s">
        <v>36</v>
      </c>
      <c r="D226" s="2">
        <v>8.7</v>
      </c>
      <c r="E226" s="2">
        <v>2013.0</v>
      </c>
      <c r="F226" s="2">
        <v>2019.0</v>
      </c>
      <c r="G226" s="2">
        <v>1.642E7</v>
      </c>
    </row>
    <row r="227" ht="14.25" customHeight="1">
      <c r="A227" s="1" t="s">
        <v>218</v>
      </c>
      <c r="B227" s="1" t="s">
        <v>8</v>
      </c>
      <c r="C227" s="2" t="s">
        <v>36</v>
      </c>
      <c r="D227" s="2">
        <v>8.7</v>
      </c>
      <c r="E227" s="2">
        <v>2013.0</v>
      </c>
      <c r="F227" s="2">
        <v>2019.0</v>
      </c>
      <c r="G227" s="2">
        <v>4.571E7</v>
      </c>
    </row>
    <row r="228" ht="14.25" customHeight="1">
      <c r="A228" s="1" t="s">
        <v>219</v>
      </c>
      <c r="B228" s="1" t="s">
        <v>8</v>
      </c>
      <c r="C228" s="2" t="s">
        <v>53</v>
      </c>
      <c r="D228" s="2">
        <v>8.7</v>
      </c>
      <c r="E228" s="2">
        <v>2011.0</v>
      </c>
      <c r="F228" s="2">
        <v>2019.0</v>
      </c>
      <c r="G228" s="2">
        <v>1.67E7</v>
      </c>
    </row>
    <row r="229" ht="14.25" customHeight="1">
      <c r="A229" s="1" t="s">
        <v>219</v>
      </c>
      <c r="B229" s="1" t="s">
        <v>8</v>
      </c>
      <c r="C229" s="2" t="s">
        <v>53</v>
      </c>
      <c r="D229" s="2">
        <v>8.7</v>
      </c>
      <c r="E229" s="2">
        <v>2011.0</v>
      </c>
      <c r="F229" s="2">
        <v>2019.0</v>
      </c>
      <c r="G229" s="3">
        <v>2.8E7</v>
      </c>
    </row>
    <row r="230" ht="14.25" customHeight="1">
      <c r="A230" s="1" t="s">
        <v>219</v>
      </c>
      <c r="B230" s="1" t="s">
        <v>8</v>
      </c>
      <c r="C230" s="2" t="s">
        <v>53</v>
      </c>
      <c r="D230" s="2">
        <v>8.7</v>
      </c>
      <c r="E230" s="2">
        <v>2011.0</v>
      </c>
      <c r="F230" s="2">
        <v>2019.0</v>
      </c>
      <c r="G230" s="2">
        <v>6.04E7</v>
      </c>
    </row>
    <row r="231" ht="14.25" customHeight="1">
      <c r="A231" s="1" t="s">
        <v>219</v>
      </c>
      <c r="B231" s="1" t="s">
        <v>8</v>
      </c>
      <c r="C231" s="2" t="s">
        <v>53</v>
      </c>
      <c r="D231" s="2">
        <v>8.7</v>
      </c>
      <c r="E231" s="2">
        <v>2011.0</v>
      </c>
      <c r="F231" s="2">
        <v>2019.0</v>
      </c>
      <c r="G231" s="2">
        <v>5900000.0</v>
      </c>
    </row>
    <row r="232" ht="14.25" customHeight="1">
      <c r="A232" s="1" t="s">
        <v>219</v>
      </c>
      <c r="B232" s="1" t="s">
        <v>8</v>
      </c>
      <c r="C232" s="2" t="s">
        <v>53</v>
      </c>
      <c r="D232" s="2">
        <v>8.7</v>
      </c>
      <c r="E232" s="2">
        <v>2011.0</v>
      </c>
      <c r="F232" s="2">
        <v>2019.0</v>
      </c>
      <c r="G232" s="2">
        <v>5.87E7</v>
      </c>
    </row>
    <row r="233" ht="14.25" customHeight="1">
      <c r="A233" s="1" t="s">
        <v>220</v>
      </c>
      <c r="B233" s="1" t="s">
        <v>8</v>
      </c>
      <c r="C233" s="2" t="s">
        <v>34</v>
      </c>
      <c r="D233" s="2">
        <v>8.7</v>
      </c>
      <c r="E233" s="2">
        <v>2023.0</v>
      </c>
      <c r="F233" s="2" t="s">
        <v>10</v>
      </c>
      <c r="G233" s="2" t="s">
        <v>10</v>
      </c>
    </row>
    <row r="234" ht="14.25" customHeight="1">
      <c r="A234" s="1" t="s">
        <v>221</v>
      </c>
      <c r="B234" s="1" t="s">
        <v>8</v>
      </c>
      <c r="C234" s="2" t="s">
        <v>222</v>
      </c>
      <c r="D234" s="2">
        <v>8.7</v>
      </c>
      <c r="E234" s="2">
        <v>2004.0</v>
      </c>
      <c r="F234" s="2" t="s">
        <v>10</v>
      </c>
      <c r="G234" s="2" t="s">
        <v>10</v>
      </c>
    </row>
    <row r="235" ht="14.25" customHeight="1">
      <c r="A235" s="1" t="s">
        <v>223</v>
      </c>
      <c r="B235" s="1" t="s">
        <v>8</v>
      </c>
      <c r="C235" s="2" t="s">
        <v>40</v>
      </c>
      <c r="D235" s="2">
        <v>8.7</v>
      </c>
      <c r="E235" s="2">
        <v>2015.0</v>
      </c>
      <c r="F235" s="2">
        <v>2017.0</v>
      </c>
      <c r="G235" s="2" t="s">
        <v>10</v>
      </c>
    </row>
    <row r="236" ht="14.25" customHeight="1">
      <c r="A236" s="1" t="s">
        <v>224</v>
      </c>
      <c r="B236" s="1" t="s">
        <v>8</v>
      </c>
      <c r="C236" s="2" t="s">
        <v>53</v>
      </c>
      <c r="D236" s="2">
        <v>8.7</v>
      </c>
      <c r="E236" s="2">
        <v>2017.0</v>
      </c>
      <c r="F236" s="2">
        <v>2020.0</v>
      </c>
      <c r="G236" s="2" t="s">
        <v>10</v>
      </c>
    </row>
    <row r="237" ht="14.25" customHeight="1">
      <c r="A237" s="1" t="s">
        <v>225</v>
      </c>
      <c r="B237" s="1" t="s">
        <v>8</v>
      </c>
      <c r="C237" s="2" t="s">
        <v>226</v>
      </c>
      <c r="D237" s="2">
        <v>8.7</v>
      </c>
      <c r="E237" s="2">
        <v>1989.0</v>
      </c>
      <c r="F237" s="2" t="s">
        <v>10</v>
      </c>
      <c r="G237" s="2" t="s">
        <v>10</v>
      </c>
    </row>
    <row r="238" ht="14.25" customHeight="1">
      <c r="A238" s="1" t="s">
        <v>227</v>
      </c>
      <c r="B238" s="1" t="s">
        <v>8</v>
      </c>
      <c r="C238" s="2" t="s">
        <v>226</v>
      </c>
      <c r="D238" s="2">
        <v>8.7</v>
      </c>
      <c r="E238" s="2">
        <v>1997.0</v>
      </c>
      <c r="F238" s="2" t="s">
        <v>10</v>
      </c>
      <c r="G238" s="2" t="s">
        <v>10</v>
      </c>
    </row>
    <row r="239" ht="14.25" customHeight="1">
      <c r="A239" s="1" t="s">
        <v>228</v>
      </c>
      <c r="B239" s="1" t="s">
        <v>8</v>
      </c>
      <c r="C239" s="2" t="s">
        <v>32</v>
      </c>
      <c r="D239" s="2">
        <v>8.7</v>
      </c>
      <c r="E239" s="2">
        <v>2003.0</v>
      </c>
      <c r="F239" s="2">
        <v>2019.0</v>
      </c>
      <c r="G239" s="2" t="s">
        <v>10</v>
      </c>
    </row>
    <row r="240" ht="14.25" customHeight="1">
      <c r="A240" s="1" t="s">
        <v>229</v>
      </c>
      <c r="B240" s="1" t="s">
        <v>8</v>
      </c>
      <c r="C240" s="2" t="s">
        <v>18</v>
      </c>
      <c r="D240" s="2">
        <v>8.7</v>
      </c>
      <c r="E240" s="2">
        <v>2007.0</v>
      </c>
      <c r="F240" s="2">
        <v>2014.0</v>
      </c>
      <c r="G240" s="2" t="s">
        <v>10</v>
      </c>
    </row>
    <row r="241" ht="14.25" customHeight="1">
      <c r="A241" s="1" t="s">
        <v>230</v>
      </c>
      <c r="B241" s="1" t="s">
        <v>8</v>
      </c>
      <c r="C241" s="2" t="s">
        <v>231</v>
      </c>
      <c r="D241" s="2">
        <v>8.7</v>
      </c>
      <c r="E241" s="2">
        <v>2022.0</v>
      </c>
      <c r="F241" s="2" t="s">
        <v>10</v>
      </c>
      <c r="G241" s="2" t="s">
        <v>10</v>
      </c>
    </row>
    <row r="242" ht="14.25" customHeight="1">
      <c r="A242" s="1" t="s">
        <v>232</v>
      </c>
      <c r="B242" s="1" t="s">
        <v>8</v>
      </c>
      <c r="C242" s="2" t="s">
        <v>154</v>
      </c>
      <c r="D242" s="2">
        <v>8.7</v>
      </c>
      <c r="E242" s="2">
        <v>2010.0</v>
      </c>
      <c r="F242" s="2">
        <v>2015.0</v>
      </c>
      <c r="G242" s="2" t="s">
        <v>10</v>
      </c>
    </row>
    <row r="243" ht="14.25" customHeight="1">
      <c r="A243" s="1" t="s">
        <v>233</v>
      </c>
      <c r="B243" s="1" t="s">
        <v>8</v>
      </c>
      <c r="C243" s="2" t="s">
        <v>25</v>
      </c>
      <c r="D243" s="2">
        <v>8.7</v>
      </c>
      <c r="E243" s="2">
        <v>2021.0</v>
      </c>
      <c r="F243" s="2" t="s">
        <v>10</v>
      </c>
      <c r="G243" s="2" t="s">
        <v>10</v>
      </c>
    </row>
    <row r="244" ht="14.25" customHeight="1">
      <c r="A244" s="1" t="s">
        <v>234</v>
      </c>
      <c r="B244" s="1" t="s">
        <v>8</v>
      </c>
      <c r="C244" s="2" t="s">
        <v>53</v>
      </c>
      <c r="D244" s="2">
        <v>8.7</v>
      </c>
      <c r="E244" s="2">
        <v>1990.0</v>
      </c>
      <c r="F244" s="2">
        <v>1990.0</v>
      </c>
      <c r="G244" s="2" t="s">
        <v>10</v>
      </c>
    </row>
    <row r="245" ht="14.25" customHeight="1">
      <c r="A245" s="1" t="s">
        <v>235</v>
      </c>
      <c r="B245" s="1" t="s">
        <v>20</v>
      </c>
      <c r="C245" s="2" t="s">
        <v>36</v>
      </c>
      <c r="D245" s="2">
        <v>8.7</v>
      </c>
      <c r="E245" s="2">
        <v>2021.0</v>
      </c>
      <c r="F245" s="2" t="s">
        <v>10</v>
      </c>
      <c r="G245" s="2" t="s">
        <v>10</v>
      </c>
    </row>
    <row r="246" ht="14.25" customHeight="1">
      <c r="A246" s="1" t="s">
        <v>236</v>
      </c>
      <c r="B246" s="1" t="s">
        <v>8</v>
      </c>
      <c r="C246" s="2" t="s">
        <v>63</v>
      </c>
      <c r="D246" s="2">
        <v>8.7</v>
      </c>
      <c r="E246" s="2">
        <v>2016.0</v>
      </c>
      <c r="F246" s="2" t="s">
        <v>10</v>
      </c>
      <c r="G246" s="2" t="s">
        <v>10</v>
      </c>
    </row>
    <row r="247" ht="14.25" customHeight="1">
      <c r="A247" s="1" t="s">
        <v>237</v>
      </c>
      <c r="B247" s="1" t="s">
        <v>8</v>
      </c>
      <c r="C247" s="2" t="s">
        <v>203</v>
      </c>
      <c r="D247" s="2">
        <v>8.7</v>
      </c>
      <c r="E247" s="2">
        <v>2015.0</v>
      </c>
      <c r="F247" s="2" t="s">
        <v>10</v>
      </c>
      <c r="G247" s="2" t="s">
        <v>10</v>
      </c>
    </row>
    <row r="248" ht="14.25" customHeight="1">
      <c r="A248" s="1" t="s">
        <v>238</v>
      </c>
      <c r="B248" s="1" t="s">
        <v>8</v>
      </c>
      <c r="C248" s="2" t="s">
        <v>239</v>
      </c>
      <c r="D248" s="2">
        <v>8.7</v>
      </c>
      <c r="E248" s="2">
        <v>2005.0</v>
      </c>
      <c r="F248" s="2" t="s">
        <v>10</v>
      </c>
      <c r="G248" s="2" t="s">
        <v>10</v>
      </c>
    </row>
    <row r="249" ht="14.25" customHeight="1">
      <c r="A249" s="1" t="s">
        <v>240</v>
      </c>
      <c r="B249" s="1" t="s">
        <v>8</v>
      </c>
      <c r="C249" s="2" t="s">
        <v>25</v>
      </c>
      <c r="D249" s="2">
        <v>8.7</v>
      </c>
      <c r="E249" s="2">
        <v>2007.0</v>
      </c>
      <c r="F249" s="2" t="s">
        <v>10</v>
      </c>
      <c r="G249" s="2" t="s">
        <v>10</v>
      </c>
    </row>
    <row r="250" ht="14.25" customHeight="1">
      <c r="A250" s="1" t="s">
        <v>241</v>
      </c>
      <c r="B250" s="1" t="s">
        <v>8</v>
      </c>
      <c r="C250" s="2" t="s">
        <v>34</v>
      </c>
      <c r="D250" s="2">
        <v>8.7</v>
      </c>
      <c r="E250" s="2">
        <v>2004.0</v>
      </c>
      <c r="F250" s="2" t="s">
        <v>10</v>
      </c>
      <c r="G250" s="2" t="s">
        <v>10</v>
      </c>
    </row>
    <row r="251" ht="14.25" customHeight="1">
      <c r="A251" s="1" t="s">
        <v>242</v>
      </c>
      <c r="B251" s="1" t="s">
        <v>8</v>
      </c>
      <c r="C251" s="2" t="s">
        <v>187</v>
      </c>
      <c r="D251" s="2">
        <v>8.7</v>
      </c>
      <c r="E251" s="2">
        <v>2016.0</v>
      </c>
      <c r="F251" s="2" t="s">
        <v>10</v>
      </c>
      <c r="G251" s="2" t="s">
        <v>10</v>
      </c>
    </row>
    <row r="252" ht="14.25" customHeight="1">
      <c r="A252" s="1" t="s">
        <v>243</v>
      </c>
      <c r="B252" s="1" t="s">
        <v>8</v>
      </c>
      <c r="C252" s="2" t="s">
        <v>63</v>
      </c>
      <c r="D252" s="2">
        <v>8.7</v>
      </c>
      <c r="E252" s="2">
        <v>2001.0</v>
      </c>
      <c r="F252" s="2" t="s">
        <v>10</v>
      </c>
      <c r="G252" s="2" t="s">
        <v>10</v>
      </c>
    </row>
    <row r="253" ht="14.25" customHeight="1">
      <c r="A253" s="1" t="s">
        <v>244</v>
      </c>
      <c r="B253" s="1" t="s">
        <v>8</v>
      </c>
      <c r="C253" s="2" t="s">
        <v>63</v>
      </c>
      <c r="D253" s="2">
        <v>8.7</v>
      </c>
      <c r="E253" s="2">
        <v>2017.0</v>
      </c>
      <c r="F253" s="2" t="s">
        <v>10</v>
      </c>
      <c r="G253" s="2" t="s">
        <v>10</v>
      </c>
    </row>
    <row r="254" ht="14.25" customHeight="1">
      <c r="A254" s="1" t="s">
        <v>245</v>
      </c>
      <c r="B254" s="1" t="s">
        <v>8</v>
      </c>
      <c r="C254" s="2" t="s">
        <v>36</v>
      </c>
      <c r="D254" s="2">
        <v>8.7</v>
      </c>
      <c r="E254" s="2">
        <v>2024.0</v>
      </c>
      <c r="F254" s="2" t="s">
        <v>10</v>
      </c>
      <c r="G254" s="2" t="s">
        <v>10</v>
      </c>
    </row>
    <row r="255" ht="14.25" customHeight="1">
      <c r="A255" s="1" t="s">
        <v>246</v>
      </c>
      <c r="B255" s="1" t="s">
        <v>8</v>
      </c>
      <c r="C255" s="2" t="s">
        <v>34</v>
      </c>
      <c r="D255" s="2">
        <v>8.7</v>
      </c>
      <c r="E255" s="2">
        <v>1987.0</v>
      </c>
      <c r="F255" s="2">
        <v>1993.0</v>
      </c>
      <c r="G255" s="2" t="s">
        <v>10</v>
      </c>
    </row>
    <row r="256" ht="14.25" customHeight="1">
      <c r="A256" s="1" t="s">
        <v>247</v>
      </c>
      <c r="B256" s="1" t="s">
        <v>8</v>
      </c>
      <c r="C256" s="2" t="s">
        <v>248</v>
      </c>
      <c r="D256" s="2">
        <v>8.7</v>
      </c>
      <c r="E256" s="2">
        <v>2002.0</v>
      </c>
      <c r="F256" s="2" t="s">
        <v>10</v>
      </c>
      <c r="G256" s="2" t="s">
        <v>10</v>
      </c>
    </row>
    <row r="257" ht="14.25" customHeight="1">
      <c r="A257" s="1">
        <v>1883.0</v>
      </c>
      <c r="B257" s="1" t="s">
        <v>8</v>
      </c>
      <c r="C257" s="2" t="s">
        <v>249</v>
      </c>
      <c r="D257" s="2">
        <v>8.7</v>
      </c>
      <c r="E257" s="2">
        <v>2021.0</v>
      </c>
      <c r="F257" s="2" t="s">
        <v>10</v>
      </c>
      <c r="G257" s="2" t="s">
        <v>10</v>
      </c>
    </row>
    <row r="258" ht="14.25" customHeight="1">
      <c r="A258" s="1" t="s">
        <v>250</v>
      </c>
      <c r="B258" s="1" t="s">
        <v>20</v>
      </c>
      <c r="C258" s="2" t="s">
        <v>18</v>
      </c>
      <c r="D258" s="2">
        <v>8.7</v>
      </c>
      <c r="E258" s="2">
        <v>2020.0</v>
      </c>
      <c r="F258" s="2" t="s">
        <v>10</v>
      </c>
      <c r="G258" s="2" t="s">
        <v>10</v>
      </c>
    </row>
    <row r="259" ht="14.25" customHeight="1">
      <c r="A259" s="1" t="s">
        <v>251</v>
      </c>
      <c r="B259" s="1" t="s">
        <v>8</v>
      </c>
      <c r="C259" s="2" t="s">
        <v>9</v>
      </c>
      <c r="D259" s="2">
        <v>8.7</v>
      </c>
      <c r="E259" s="2">
        <v>1997.0</v>
      </c>
      <c r="F259" s="2" t="s">
        <v>10</v>
      </c>
      <c r="G259" s="2" t="s">
        <v>10</v>
      </c>
    </row>
    <row r="260" ht="14.25" customHeight="1">
      <c r="A260" s="1" t="s">
        <v>252</v>
      </c>
      <c r="B260" s="1" t="s">
        <v>8</v>
      </c>
      <c r="C260" s="2" t="s">
        <v>253</v>
      </c>
      <c r="D260" s="2">
        <v>8.7</v>
      </c>
      <c r="E260" s="2">
        <v>2019.0</v>
      </c>
      <c r="F260" s="2" t="s">
        <v>10</v>
      </c>
      <c r="G260" s="2" t="s">
        <v>10</v>
      </c>
    </row>
    <row r="261" ht="14.25" customHeight="1">
      <c r="A261" s="1" t="s">
        <v>254</v>
      </c>
      <c r="B261" s="1" t="s">
        <v>8</v>
      </c>
      <c r="C261" s="2" t="s">
        <v>9</v>
      </c>
      <c r="D261" s="2">
        <v>8.7</v>
      </c>
      <c r="E261" s="2">
        <v>2002.0</v>
      </c>
      <c r="F261" s="2" t="s">
        <v>10</v>
      </c>
      <c r="G261" s="2" t="s">
        <v>10</v>
      </c>
    </row>
    <row r="262" ht="14.25" customHeight="1">
      <c r="A262" s="1" t="s">
        <v>255</v>
      </c>
      <c r="B262" s="1" t="s">
        <v>8</v>
      </c>
      <c r="C262" s="2" t="s">
        <v>256</v>
      </c>
      <c r="D262" s="2">
        <v>8.7</v>
      </c>
      <c r="E262" s="2">
        <v>2016.0</v>
      </c>
      <c r="F262" s="2" t="s">
        <v>10</v>
      </c>
      <c r="G262" s="2" t="s">
        <v>10</v>
      </c>
    </row>
    <row r="263" ht="14.25" customHeight="1">
      <c r="A263" s="1" t="s">
        <v>257</v>
      </c>
      <c r="B263" s="1" t="s">
        <v>8</v>
      </c>
      <c r="C263" s="2" t="s">
        <v>258</v>
      </c>
      <c r="D263" s="2">
        <v>8.7</v>
      </c>
      <c r="E263" s="2">
        <v>2006.0</v>
      </c>
      <c r="F263" s="2" t="s">
        <v>10</v>
      </c>
      <c r="G263" s="2" t="s">
        <v>10</v>
      </c>
    </row>
    <row r="264" ht="14.25" customHeight="1">
      <c r="A264" s="1" t="s">
        <v>259</v>
      </c>
      <c r="B264" s="1" t="s">
        <v>8</v>
      </c>
      <c r="C264" s="2" t="s">
        <v>25</v>
      </c>
      <c r="D264" s="2">
        <v>8.7</v>
      </c>
      <c r="E264" s="2">
        <v>2023.0</v>
      </c>
      <c r="F264" s="2" t="s">
        <v>10</v>
      </c>
      <c r="G264" s="2">
        <v>1.23E7</v>
      </c>
    </row>
    <row r="265" ht="14.25" customHeight="1">
      <c r="A265" s="1" t="s">
        <v>259</v>
      </c>
      <c r="B265" s="1" t="s">
        <v>8</v>
      </c>
      <c r="C265" s="2" t="s">
        <v>25</v>
      </c>
      <c r="D265" s="2">
        <v>8.7</v>
      </c>
      <c r="E265" s="2">
        <v>2023.0</v>
      </c>
      <c r="F265" s="2" t="s">
        <v>10</v>
      </c>
      <c r="G265" s="2">
        <v>1.81E7</v>
      </c>
    </row>
    <row r="266" ht="14.25" customHeight="1">
      <c r="A266" s="1" t="s">
        <v>260</v>
      </c>
      <c r="B266" s="1" t="s">
        <v>8</v>
      </c>
      <c r="C266" s="2" t="s">
        <v>55</v>
      </c>
      <c r="D266" s="2">
        <v>8.7</v>
      </c>
      <c r="E266" s="2">
        <v>2014.0</v>
      </c>
      <c r="F266" s="2" t="s">
        <v>10</v>
      </c>
      <c r="G266" s="2" t="s">
        <v>10</v>
      </c>
    </row>
    <row r="267" ht="14.25" customHeight="1">
      <c r="A267" s="1" t="s">
        <v>261</v>
      </c>
      <c r="B267" s="1" t="s">
        <v>8</v>
      </c>
      <c r="C267" s="2" t="s">
        <v>262</v>
      </c>
      <c r="D267" s="2">
        <v>8.7</v>
      </c>
      <c r="E267" s="2">
        <v>2006.0</v>
      </c>
      <c r="F267" s="2">
        <v>2010.0</v>
      </c>
      <c r="G267" s="2" t="s">
        <v>10</v>
      </c>
    </row>
    <row r="268" ht="14.25" customHeight="1">
      <c r="A268" s="1" t="s">
        <v>263</v>
      </c>
      <c r="B268" s="1" t="s">
        <v>8</v>
      </c>
      <c r="C268" s="2" t="s">
        <v>53</v>
      </c>
      <c r="D268" s="2">
        <v>8.7</v>
      </c>
      <c r="E268" s="2">
        <v>2012.0</v>
      </c>
      <c r="F268" s="2" t="s">
        <v>10</v>
      </c>
      <c r="G268" s="2">
        <v>4140000.0</v>
      </c>
    </row>
    <row r="269" ht="14.25" customHeight="1">
      <c r="A269" s="1" t="s">
        <v>264</v>
      </c>
      <c r="B269" s="1" t="s">
        <v>8</v>
      </c>
      <c r="C269" s="2" t="s">
        <v>32</v>
      </c>
      <c r="D269" s="2">
        <v>8.7</v>
      </c>
      <c r="E269" s="2">
        <v>2003.0</v>
      </c>
      <c r="F269" s="2" t="s">
        <v>10</v>
      </c>
      <c r="G269" s="2" t="s">
        <v>10</v>
      </c>
    </row>
    <row r="270" ht="14.25" customHeight="1">
      <c r="A270" s="1" t="s">
        <v>265</v>
      </c>
      <c r="B270" s="1" t="s">
        <v>8</v>
      </c>
      <c r="C270" s="2" t="s">
        <v>25</v>
      </c>
      <c r="D270" s="2">
        <v>8.7</v>
      </c>
      <c r="E270" s="2">
        <v>1997.0</v>
      </c>
      <c r="F270" s="2" t="s">
        <v>10</v>
      </c>
      <c r="G270" s="2" t="s">
        <v>10</v>
      </c>
    </row>
    <row r="271" ht="14.25" customHeight="1">
      <c r="A271" s="1" t="s">
        <v>266</v>
      </c>
      <c r="B271" s="1" t="s">
        <v>20</v>
      </c>
      <c r="C271" s="2" t="s">
        <v>169</v>
      </c>
      <c r="D271" s="2">
        <v>8.7</v>
      </c>
      <c r="E271" s="2">
        <v>2022.0</v>
      </c>
      <c r="F271" s="2" t="s">
        <v>10</v>
      </c>
      <c r="G271" s="2" t="s">
        <v>10</v>
      </c>
    </row>
    <row r="272" ht="14.25" customHeight="1">
      <c r="A272" s="1" t="s">
        <v>267</v>
      </c>
      <c r="B272" s="1" t="s">
        <v>8</v>
      </c>
      <c r="C272" s="2" t="s">
        <v>122</v>
      </c>
      <c r="D272" s="2">
        <v>8.7</v>
      </c>
      <c r="E272" s="2">
        <v>2004.0</v>
      </c>
      <c r="F272" s="2">
        <v>2021.0</v>
      </c>
      <c r="G272" s="2" t="s">
        <v>10</v>
      </c>
    </row>
    <row r="273" ht="14.25" customHeight="1">
      <c r="A273" s="1" t="s">
        <v>268</v>
      </c>
      <c r="B273" s="1" t="s">
        <v>8</v>
      </c>
      <c r="C273" s="2" t="s">
        <v>60</v>
      </c>
      <c r="D273" s="2">
        <v>8.7</v>
      </c>
      <c r="E273" s="2">
        <v>2019.0</v>
      </c>
      <c r="F273" s="2">
        <v>2019.0</v>
      </c>
      <c r="G273" s="2" t="s">
        <v>10</v>
      </c>
    </row>
    <row r="274" ht="14.25" customHeight="1">
      <c r="A274" s="1" t="s">
        <v>269</v>
      </c>
      <c r="B274" s="1" t="s">
        <v>8</v>
      </c>
      <c r="C274" s="2" t="s">
        <v>32</v>
      </c>
      <c r="D274" s="2">
        <v>8.7</v>
      </c>
      <c r="E274" s="2">
        <v>1995.0</v>
      </c>
      <c r="F274" s="2" t="s">
        <v>10</v>
      </c>
      <c r="G274" s="2" t="s">
        <v>10</v>
      </c>
    </row>
    <row r="275" ht="14.25" customHeight="1">
      <c r="A275" s="1" t="s">
        <v>270</v>
      </c>
      <c r="B275" s="1" t="s">
        <v>20</v>
      </c>
      <c r="C275" s="2" t="s">
        <v>60</v>
      </c>
      <c r="D275" s="2">
        <v>8.7</v>
      </c>
      <c r="E275" s="2">
        <v>2022.0</v>
      </c>
      <c r="F275" s="2" t="s">
        <v>10</v>
      </c>
      <c r="G275" s="2" t="s">
        <v>10</v>
      </c>
    </row>
    <row r="276" ht="14.25" customHeight="1">
      <c r="A276" s="1" t="s">
        <v>271</v>
      </c>
      <c r="B276" s="1" t="s">
        <v>8</v>
      </c>
      <c r="C276" s="2" t="s">
        <v>163</v>
      </c>
      <c r="D276" s="2">
        <v>8.7</v>
      </c>
      <c r="E276" s="2">
        <v>2014.0</v>
      </c>
      <c r="F276" s="2">
        <v>2015.0</v>
      </c>
      <c r="G276" s="2" t="s">
        <v>10</v>
      </c>
    </row>
    <row r="277" ht="14.25" customHeight="1">
      <c r="A277" s="1" t="s">
        <v>272</v>
      </c>
      <c r="B277" s="1" t="s">
        <v>8</v>
      </c>
      <c r="C277" s="2" t="s">
        <v>36</v>
      </c>
      <c r="D277" s="2">
        <v>8.7</v>
      </c>
      <c r="E277" s="2">
        <v>2018.0</v>
      </c>
      <c r="F277" s="2" t="s">
        <v>10</v>
      </c>
      <c r="G277" s="2" t="s">
        <v>10</v>
      </c>
    </row>
    <row r="278" ht="14.25" customHeight="1">
      <c r="A278" s="1" t="s">
        <v>273</v>
      </c>
      <c r="B278" s="1" t="s">
        <v>8</v>
      </c>
      <c r="C278" s="2" t="s">
        <v>32</v>
      </c>
      <c r="D278" s="2">
        <v>8.7</v>
      </c>
      <c r="E278" s="2">
        <v>2005.0</v>
      </c>
      <c r="F278" s="2" t="s">
        <v>10</v>
      </c>
      <c r="G278" s="2" t="s">
        <v>10</v>
      </c>
    </row>
    <row r="279" ht="14.25" customHeight="1">
      <c r="A279" s="1" t="s">
        <v>274</v>
      </c>
      <c r="B279" s="1" t="s">
        <v>20</v>
      </c>
      <c r="C279" s="2" t="s">
        <v>275</v>
      </c>
      <c r="D279" s="2">
        <v>8.7</v>
      </c>
      <c r="E279" s="2">
        <v>2021.0</v>
      </c>
      <c r="F279" s="2" t="s">
        <v>10</v>
      </c>
      <c r="G279" s="2" t="s">
        <v>10</v>
      </c>
    </row>
    <row r="280" ht="14.25" customHeight="1">
      <c r="A280" s="1" t="s">
        <v>276</v>
      </c>
      <c r="B280" s="1" t="s">
        <v>8</v>
      </c>
      <c r="C280" s="2" t="s">
        <v>157</v>
      </c>
      <c r="D280" s="2">
        <v>8.7</v>
      </c>
      <c r="E280" s="2">
        <v>1989.0</v>
      </c>
      <c r="F280" s="2" t="s">
        <v>10</v>
      </c>
      <c r="G280" s="2" t="s">
        <v>10</v>
      </c>
    </row>
    <row r="281" ht="14.25" customHeight="1">
      <c r="A281" s="1" t="s">
        <v>277</v>
      </c>
      <c r="B281" s="1" t="s">
        <v>20</v>
      </c>
      <c r="C281" s="2" t="s">
        <v>36</v>
      </c>
      <c r="D281" s="2">
        <v>8.7</v>
      </c>
      <c r="E281" s="2">
        <v>1987.0</v>
      </c>
      <c r="F281" s="2" t="s">
        <v>10</v>
      </c>
      <c r="G281" s="2" t="s">
        <v>10</v>
      </c>
    </row>
    <row r="282" ht="14.25" customHeight="1">
      <c r="A282" s="1" t="s">
        <v>278</v>
      </c>
      <c r="B282" s="1" t="s">
        <v>8</v>
      </c>
      <c r="C282" s="2" t="s">
        <v>53</v>
      </c>
      <c r="D282" s="2">
        <v>8.7</v>
      </c>
      <c r="E282" s="2">
        <v>1984.0</v>
      </c>
      <c r="F282" s="2" t="s">
        <v>10</v>
      </c>
      <c r="G282" s="2" t="s">
        <v>10</v>
      </c>
    </row>
    <row r="283" ht="14.25" customHeight="1">
      <c r="A283" s="1" t="s">
        <v>279</v>
      </c>
      <c r="B283" s="1" t="s">
        <v>8</v>
      </c>
      <c r="C283" s="2" t="s">
        <v>25</v>
      </c>
      <c r="D283" s="2">
        <v>8.7</v>
      </c>
      <c r="E283" s="2">
        <v>2019.0</v>
      </c>
      <c r="F283" s="2" t="s">
        <v>10</v>
      </c>
      <c r="G283" s="2" t="s">
        <v>10</v>
      </c>
    </row>
    <row r="284" ht="14.25" customHeight="1">
      <c r="A284" s="1" t="s">
        <v>280</v>
      </c>
      <c r="B284" s="1" t="s">
        <v>8</v>
      </c>
      <c r="C284" s="2" t="s">
        <v>25</v>
      </c>
      <c r="D284" s="2">
        <v>8.7</v>
      </c>
      <c r="E284" s="2">
        <v>2004.0</v>
      </c>
      <c r="F284" s="2" t="s">
        <v>10</v>
      </c>
      <c r="G284" s="2" t="s">
        <v>10</v>
      </c>
    </row>
    <row r="285" ht="14.25" customHeight="1">
      <c r="A285" s="1" t="s">
        <v>281</v>
      </c>
      <c r="B285" s="1" t="s">
        <v>20</v>
      </c>
      <c r="C285" s="2" t="s">
        <v>282</v>
      </c>
      <c r="D285" s="2">
        <v>8.7</v>
      </c>
      <c r="E285" s="2">
        <v>1984.0</v>
      </c>
      <c r="F285" s="2" t="s">
        <v>10</v>
      </c>
      <c r="G285" s="2" t="s">
        <v>10</v>
      </c>
    </row>
    <row r="286" ht="14.25" customHeight="1">
      <c r="A286" s="1" t="s">
        <v>283</v>
      </c>
      <c r="B286" s="1" t="s">
        <v>8</v>
      </c>
      <c r="C286" s="2" t="s">
        <v>284</v>
      </c>
      <c r="D286" s="2">
        <v>8.7</v>
      </c>
      <c r="E286" s="2">
        <v>2023.0</v>
      </c>
      <c r="F286" s="2" t="s">
        <v>10</v>
      </c>
      <c r="G286" s="2" t="s">
        <v>10</v>
      </c>
    </row>
    <row r="287" ht="14.25" customHeight="1">
      <c r="A287" s="1" t="s">
        <v>285</v>
      </c>
      <c r="B287" s="1" t="s">
        <v>20</v>
      </c>
      <c r="C287" s="2" t="s">
        <v>32</v>
      </c>
      <c r="D287" s="2">
        <v>8.7</v>
      </c>
      <c r="E287" s="2">
        <v>1976.0</v>
      </c>
      <c r="F287" s="2" t="s">
        <v>10</v>
      </c>
      <c r="G287" s="2" t="s">
        <v>10</v>
      </c>
    </row>
    <row r="288" ht="14.25" customHeight="1">
      <c r="A288" s="1" t="s">
        <v>286</v>
      </c>
      <c r="B288" s="1" t="s">
        <v>8</v>
      </c>
      <c r="C288" s="2" t="s">
        <v>287</v>
      </c>
      <c r="D288" s="2">
        <v>8.7</v>
      </c>
      <c r="E288" s="2">
        <v>2022.0</v>
      </c>
      <c r="F288" s="2" t="s">
        <v>10</v>
      </c>
      <c r="G288" s="2">
        <v>5800000.0</v>
      </c>
    </row>
    <row r="289" ht="14.25" customHeight="1">
      <c r="A289" s="1" t="s">
        <v>286</v>
      </c>
      <c r="B289" s="1" t="s">
        <v>8</v>
      </c>
      <c r="C289" s="2" t="s">
        <v>287</v>
      </c>
      <c r="D289" s="2">
        <v>8.7</v>
      </c>
      <c r="E289" s="2">
        <v>2022.0</v>
      </c>
      <c r="F289" s="2" t="s">
        <v>10</v>
      </c>
      <c r="G289" s="2">
        <v>5850000.0</v>
      </c>
    </row>
    <row r="290" ht="14.25" customHeight="1">
      <c r="A290" s="1" t="s">
        <v>286</v>
      </c>
      <c r="B290" s="1" t="s">
        <v>8</v>
      </c>
      <c r="C290" s="2" t="s">
        <v>287</v>
      </c>
      <c r="D290" s="2">
        <v>8.7</v>
      </c>
      <c r="E290" s="2">
        <v>2022.0</v>
      </c>
      <c r="F290" s="2" t="s">
        <v>10</v>
      </c>
      <c r="G290" s="2">
        <v>1.19E7</v>
      </c>
    </row>
    <row r="291" ht="14.25" customHeight="1">
      <c r="A291" s="1" t="s">
        <v>286</v>
      </c>
      <c r="B291" s="1" t="s">
        <v>8</v>
      </c>
      <c r="C291" s="2" t="s">
        <v>287</v>
      </c>
      <c r="D291" s="2">
        <v>8.7</v>
      </c>
      <c r="E291" s="2">
        <v>2022.0</v>
      </c>
      <c r="F291" s="2" t="s">
        <v>10</v>
      </c>
      <c r="G291" s="2">
        <v>1.161E7</v>
      </c>
    </row>
    <row r="292" ht="14.25" customHeight="1">
      <c r="A292" s="1" t="s">
        <v>286</v>
      </c>
      <c r="B292" s="1" t="s">
        <v>8</v>
      </c>
      <c r="C292" s="2" t="s">
        <v>287</v>
      </c>
      <c r="D292" s="2">
        <v>8.7</v>
      </c>
      <c r="E292" s="2">
        <v>2022.0</v>
      </c>
      <c r="F292" s="2" t="s">
        <v>10</v>
      </c>
      <c r="G292" s="2">
        <v>1.152E7</v>
      </c>
    </row>
    <row r="293" ht="14.25" customHeight="1">
      <c r="A293" s="1" t="s">
        <v>286</v>
      </c>
      <c r="B293" s="1" t="s">
        <v>8</v>
      </c>
      <c r="C293" s="2" t="s">
        <v>287</v>
      </c>
      <c r="D293" s="2">
        <v>8.7</v>
      </c>
      <c r="E293" s="2">
        <v>2022.0</v>
      </c>
      <c r="F293" s="2" t="s">
        <v>10</v>
      </c>
      <c r="G293" s="2">
        <v>1.493E7</v>
      </c>
    </row>
    <row r="294" ht="14.25" customHeight="1">
      <c r="A294" s="1" t="s">
        <v>286</v>
      </c>
      <c r="B294" s="1" t="s">
        <v>8</v>
      </c>
      <c r="C294" s="2" t="s">
        <v>287</v>
      </c>
      <c r="D294" s="2">
        <v>8.7</v>
      </c>
      <c r="E294" s="2">
        <v>2022.0</v>
      </c>
      <c r="F294" s="2" t="s">
        <v>10</v>
      </c>
      <c r="G294" s="2">
        <v>1.158E7</v>
      </c>
    </row>
    <row r="295" ht="14.25" customHeight="1">
      <c r="A295" s="1" t="s">
        <v>286</v>
      </c>
      <c r="B295" s="1" t="s">
        <v>8</v>
      </c>
      <c r="C295" s="2" t="s">
        <v>287</v>
      </c>
      <c r="D295" s="2">
        <v>8.7</v>
      </c>
      <c r="E295" s="2">
        <v>2022.0</v>
      </c>
      <c r="F295" s="2" t="s">
        <v>10</v>
      </c>
      <c r="G295" s="2">
        <v>1.498E7</v>
      </c>
    </row>
    <row r="296" ht="14.25" customHeight="1">
      <c r="A296" s="1" t="s">
        <v>286</v>
      </c>
      <c r="B296" s="1" t="s">
        <v>8</v>
      </c>
      <c r="C296" s="2" t="s">
        <v>287</v>
      </c>
      <c r="D296" s="2">
        <v>8.7</v>
      </c>
      <c r="E296" s="2">
        <v>2022.0</v>
      </c>
      <c r="F296" s="2" t="s">
        <v>10</v>
      </c>
      <c r="G296" s="2">
        <v>2.051E7</v>
      </c>
    </row>
    <row r="297" ht="14.25" customHeight="1">
      <c r="A297" s="1" t="s">
        <v>286</v>
      </c>
      <c r="B297" s="1" t="s">
        <v>8</v>
      </c>
      <c r="C297" s="2" t="s">
        <v>287</v>
      </c>
      <c r="D297" s="2">
        <v>8.7</v>
      </c>
      <c r="E297" s="2">
        <v>2022.0</v>
      </c>
      <c r="F297" s="2" t="s">
        <v>10</v>
      </c>
      <c r="G297" s="2">
        <v>1.717E7</v>
      </c>
    </row>
    <row r="298" ht="14.25" customHeight="1">
      <c r="A298" s="1" t="s">
        <v>286</v>
      </c>
      <c r="B298" s="1" t="s">
        <v>8</v>
      </c>
      <c r="C298" s="2" t="s">
        <v>287</v>
      </c>
      <c r="D298" s="2">
        <v>8.7</v>
      </c>
      <c r="E298" s="2">
        <v>2022.0</v>
      </c>
      <c r="F298" s="2" t="s">
        <v>10</v>
      </c>
      <c r="G298" s="2">
        <v>1.506E7</v>
      </c>
    </row>
    <row r="299" ht="14.25" customHeight="1">
      <c r="A299" s="1" t="s">
        <v>286</v>
      </c>
      <c r="B299" s="1" t="s">
        <v>8</v>
      </c>
      <c r="C299" s="2" t="s">
        <v>287</v>
      </c>
      <c r="D299" s="2">
        <v>8.7</v>
      </c>
      <c r="E299" s="2">
        <v>2022.0</v>
      </c>
      <c r="F299" s="2" t="s">
        <v>10</v>
      </c>
      <c r="G299" s="2">
        <v>1.183E7</v>
      </c>
    </row>
    <row r="300" ht="14.25" customHeight="1">
      <c r="A300" s="1" t="s">
        <v>286</v>
      </c>
      <c r="B300" s="1" t="s">
        <v>8</v>
      </c>
      <c r="C300" s="2" t="s">
        <v>287</v>
      </c>
      <c r="D300" s="2">
        <v>8.7</v>
      </c>
      <c r="E300" s="2">
        <v>2022.0</v>
      </c>
      <c r="F300" s="2" t="s">
        <v>10</v>
      </c>
      <c r="G300" s="2">
        <v>1.35E7</v>
      </c>
    </row>
    <row r="301" ht="14.25" customHeight="1">
      <c r="A301" s="1" t="s">
        <v>286</v>
      </c>
      <c r="B301" s="1" t="s">
        <v>8</v>
      </c>
      <c r="C301" s="2" t="s">
        <v>287</v>
      </c>
      <c r="D301" s="2">
        <v>8.7</v>
      </c>
      <c r="E301" s="2">
        <v>2022.0</v>
      </c>
      <c r="F301" s="2" t="s">
        <v>10</v>
      </c>
      <c r="G301" s="2">
        <v>1.307E7</v>
      </c>
    </row>
    <row r="302" ht="14.25" customHeight="1">
      <c r="A302" s="1" t="s">
        <v>286</v>
      </c>
      <c r="B302" s="1" t="s">
        <v>8</v>
      </c>
      <c r="C302" s="2" t="s">
        <v>287</v>
      </c>
      <c r="D302" s="2">
        <v>8.7</v>
      </c>
      <c r="E302" s="2">
        <v>2022.0</v>
      </c>
      <c r="F302" s="2" t="s">
        <v>10</v>
      </c>
      <c r="G302" s="2">
        <v>7750000.0</v>
      </c>
    </row>
    <row r="303" ht="14.25" customHeight="1">
      <c r="A303" s="1" t="s">
        <v>286</v>
      </c>
      <c r="B303" s="1" t="s">
        <v>8</v>
      </c>
      <c r="C303" s="2" t="s">
        <v>287</v>
      </c>
      <c r="D303" s="2">
        <v>8.7</v>
      </c>
      <c r="E303" s="2">
        <v>2022.0</v>
      </c>
      <c r="F303" s="2" t="s">
        <v>10</v>
      </c>
      <c r="G303" s="2">
        <v>9780000.0</v>
      </c>
    </row>
    <row r="304" ht="14.25" customHeight="1">
      <c r="A304" s="1" t="s">
        <v>286</v>
      </c>
      <c r="B304" s="1" t="s">
        <v>8</v>
      </c>
      <c r="C304" s="2" t="s">
        <v>287</v>
      </c>
      <c r="D304" s="2">
        <v>8.7</v>
      </c>
      <c r="E304" s="2">
        <v>2022.0</v>
      </c>
      <c r="F304" s="2" t="s">
        <v>10</v>
      </c>
      <c r="G304" s="2">
        <v>1.098E7</v>
      </c>
    </row>
    <row r="305" ht="14.25" customHeight="1">
      <c r="A305" s="1" t="s">
        <v>286</v>
      </c>
      <c r="B305" s="1" t="s">
        <v>8</v>
      </c>
      <c r="C305" s="2" t="s">
        <v>287</v>
      </c>
      <c r="D305" s="2">
        <v>8.7</v>
      </c>
      <c r="E305" s="2">
        <v>2022.0</v>
      </c>
      <c r="F305" s="2" t="s">
        <v>10</v>
      </c>
      <c r="G305" s="2">
        <v>1.089E7</v>
      </c>
    </row>
    <row r="306" ht="14.25" customHeight="1">
      <c r="A306" s="1" t="s">
        <v>286</v>
      </c>
      <c r="B306" s="1" t="s">
        <v>8</v>
      </c>
      <c r="C306" s="2" t="s">
        <v>287</v>
      </c>
      <c r="D306" s="2">
        <v>8.7</v>
      </c>
      <c r="E306" s="2">
        <v>2022.0</v>
      </c>
      <c r="F306" s="2" t="s">
        <v>10</v>
      </c>
      <c r="G306" s="2">
        <v>1.684E7</v>
      </c>
    </row>
    <row r="307" ht="14.25" customHeight="1">
      <c r="A307" s="1" t="s">
        <v>286</v>
      </c>
      <c r="B307" s="1" t="s">
        <v>8</v>
      </c>
      <c r="C307" s="2" t="s">
        <v>287</v>
      </c>
      <c r="D307" s="2">
        <v>8.7</v>
      </c>
      <c r="E307" s="2">
        <v>2022.0</v>
      </c>
      <c r="F307" s="2" t="s">
        <v>10</v>
      </c>
      <c r="G307" s="2">
        <v>2.72E7</v>
      </c>
    </row>
    <row r="308" ht="14.25" customHeight="1">
      <c r="A308" s="1" t="s">
        <v>286</v>
      </c>
      <c r="B308" s="1" t="s">
        <v>8</v>
      </c>
      <c r="C308" s="2" t="s">
        <v>287</v>
      </c>
      <c r="D308" s="2">
        <v>8.7</v>
      </c>
      <c r="E308" s="2">
        <v>2022.0</v>
      </c>
      <c r="F308" s="2" t="s">
        <v>10</v>
      </c>
      <c r="G308" s="2">
        <v>2.859E7</v>
      </c>
    </row>
    <row r="309" ht="14.25" customHeight="1">
      <c r="A309" s="1" t="s">
        <v>286</v>
      </c>
      <c r="B309" s="1" t="s">
        <v>8</v>
      </c>
      <c r="C309" s="2" t="s">
        <v>287</v>
      </c>
      <c r="D309" s="2">
        <v>8.7</v>
      </c>
      <c r="E309" s="2">
        <v>2022.0</v>
      </c>
      <c r="F309" s="2" t="s">
        <v>10</v>
      </c>
      <c r="G309" s="2">
        <v>1.804E7</v>
      </c>
    </row>
    <row r="310" ht="14.25" customHeight="1">
      <c r="A310" s="1" t="s">
        <v>286</v>
      </c>
      <c r="B310" s="1" t="s">
        <v>8</v>
      </c>
      <c r="C310" s="2" t="s">
        <v>287</v>
      </c>
      <c r="D310" s="2">
        <v>8.7</v>
      </c>
      <c r="E310" s="2">
        <v>2022.0</v>
      </c>
      <c r="F310" s="2" t="s">
        <v>10</v>
      </c>
      <c r="G310" s="2">
        <v>1.784E7</v>
      </c>
    </row>
    <row r="311" ht="14.25" customHeight="1">
      <c r="A311" s="1" t="s">
        <v>286</v>
      </c>
      <c r="B311" s="1" t="s">
        <v>8</v>
      </c>
      <c r="C311" s="2" t="s">
        <v>287</v>
      </c>
      <c r="D311" s="2">
        <v>8.7</v>
      </c>
      <c r="E311" s="2">
        <v>2022.0</v>
      </c>
      <c r="F311" s="2" t="s">
        <v>10</v>
      </c>
      <c r="G311" s="2">
        <v>2.01E7</v>
      </c>
    </row>
    <row r="312" ht="14.25" customHeight="1">
      <c r="A312" s="1" t="s">
        <v>286</v>
      </c>
      <c r="B312" s="1" t="s">
        <v>8</v>
      </c>
      <c r="C312" s="2" t="s">
        <v>287</v>
      </c>
      <c r="D312" s="2">
        <v>8.7</v>
      </c>
      <c r="E312" s="2">
        <v>2022.0</v>
      </c>
      <c r="F312" s="2" t="s">
        <v>10</v>
      </c>
      <c r="G312" s="2">
        <v>1.908E7</v>
      </c>
    </row>
    <row r="313" ht="14.25" customHeight="1">
      <c r="A313" s="1" t="s">
        <v>286</v>
      </c>
      <c r="B313" s="1" t="s">
        <v>8</v>
      </c>
      <c r="C313" s="2" t="s">
        <v>287</v>
      </c>
      <c r="D313" s="2">
        <v>8.7</v>
      </c>
      <c r="E313" s="2">
        <v>2022.0</v>
      </c>
      <c r="F313" s="2" t="s">
        <v>10</v>
      </c>
      <c r="G313" s="2">
        <v>1.576E7</v>
      </c>
    </row>
    <row r="314" ht="14.25" customHeight="1">
      <c r="A314" s="1" t="s">
        <v>286</v>
      </c>
      <c r="B314" s="1" t="s">
        <v>8</v>
      </c>
      <c r="C314" s="2" t="s">
        <v>287</v>
      </c>
      <c r="D314" s="2">
        <v>8.7</v>
      </c>
      <c r="E314" s="2">
        <v>2022.0</v>
      </c>
      <c r="F314" s="2" t="s">
        <v>10</v>
      </c>
      <c r="G314" s="2">
        <v>1.464E7</v>
      </c>
    </row>
    <row r="315" ht="14.25" customHeight="1">
      <c r="A315" s="1" t="s">
        <v>286</v>
      </c>
      <c r="B315" s="1" t="s">
        <v>8</v>
      </c>
      <c r="C315" s="2" t="s">
        <v>287</v>
      </c>
      <c r="D315" s="2">
        <v>8.7</v>
      </c>
      <c r="E315" s="2">
        <v>2022.0</v>
      </c>
      <c r="F315" s="2" t="s">
        <v>10</v>
      </c>
      <c r="G315" s="2">
        <v>1.231E7</v>
      </c>
    </row>
    <row r="316" ht="14.25" customHeight="1">
      <c r="A316" s="1" t="s">
        <v>286</v>
      </c>
      <c r="B316" s="1" t="s">
        <v>8</v>
      </c>
      <c r="C316" s="2" t="s">
        <v>287</v>
      </c>
      <c r="D316" s="2">
        <v>8.7</v>
      </c>
      <c r="E316" s="2">
        <v>2022.0</v>
      </c>
      <c r="F316" s="2" t="s">
        <v>10</v>
      </c>
      <c r="G316" s="2">
        <v>9920000.0</v>
      </c>
    </row>
    <row r="317" ht="14.25" customHeight="1">
      <c r="A317" s="1" t="s">
        <v>288</v>
      </c>
      <c r="B317" s="1" t="s">
        <v>20</v>
      </c>
      <c r="C317" s="2" t="s">
        <v>18</v>
      </c>
      <c r="D317" s="2">
        <v>8.7</v>
      </c>
      <c r="E317" s="2">
        <v>2018.0</v>
      </c>
      <c r="F317" s="2" t="s">
        <v>10</v>
      </c>
      <c r="G317" s="2" t="s">
        <v>10</v>
      </c>
    </row>
    <row r="318" ht="14.25" customHeight="1">
      <c r="A318" s="1" t="s">
        <v>289</v>
      </c>
      <c r="B318" s="1" t="s">
        <v>20</v>
      </c>
      <c r="C318" s="2" t="s">
        <v>140</v>
      </c>
      <c r="D318" s="2">
        <v>8.7</v>
      </c>
      <c r="E318" s="2">
        <v>1977.0</v>
      </c>
      <c r="F318" s="2" t="s">
        <v>10</v>
      </c>
      <c r="G318" s="2" t="s">
        <v>10</v>
      </c>
    </row>
    <row r="319" ht="14.25" customHeight="1">
      <c r="A319" s="1" t="s">
        <v>290</v>
      </c>
      <c r="B319" s="1" t="s">
        <v>20</v>
      </c>
      <c r="C319" s="2" t="s">
        <v>291</v>
      </c>
      <c r="D319" s="2">
        <v>8.7</v>
      </c>
      <c r="E319" s="2">
        <v>2006.0</v>
      </c>
      <c r="F319" s="2" t="s">
        <v>10</v>
      </c>
      <c r="G319" s="2" t="s">
        <v>10</v>
      </c>
    </row>
    <row r="320" ht="14.25" customHeight="1">
      <c r="A320" s="1" t="s">
        <v>292</v>
      </c>
      <c r="B320" s="1" t="s">
        <v>20</v>
      </c>
      <c r="C320" s="2" t="s">
        <v>63</v>
      </c>
      <c r="D320" s="2">
        <v>8.7</v>
      </c>
      <c r="E320" s="2">
        <v>1978.0</v>
      </c>
      <c r="F320" s="2" t="s">
        <v>10</v>
      </c>
      <c r="G320" s="2" t="s">
        <v>10</v>
      </c>
    </row>
    <row r="321" ht="14.25" customHeight="1">
      <c r="A321" s="1" t="s">
        <v>293</v>
      </c>
      <c r="B321" s="1" t="s">
        <v>8</v>
      </c>
      <c r="C321" s="2" t="s">
        <v>203</v>
      </c>
      <c r="D321" s="2">
        <v>8.7</v>
      </c>
      <c r="E321" s="2">
        <v>2005.0</v>
      </c>
      <c r="F321" s="2" t="s">
        <v>10</v>
      </c>
      <c r="G321" s="2" t="s">
        <v>10</v>
      </c>
    </row>
    <row r="322" ht="14.25" customHeight="1">
      <c r="A322" s="1" t="s">
        <v>294</v>
      </c>
      <c r="B322" s="1" t="s">
        <v>20</v>
      </c>
      <c r="C322" s="2" t="s">
        <v>60</v>
      </c>
      <c r="D322" s="2">
        <v>8.7</v>
      </c>
      <c r="E322" s="2">
        <v>1980.0</v>
      </c>
      <c r="F322" s="2" t="s">
        <v>10</v>
      </c>
      <c r="G322" s="2" t="s">
        <v>10</v>
      </c>
    </row>
    <row r="323" ht="14.25" customHeight="1">
      <c r="A323" s="1" t="s">
        <v>295</v>
      </c>
      <c r="B323" s="1" t="s">
        <v>20</v>
      </c>
      <c r="C323" s="2" t="s">
        <v>275</v>
      </c>
      <c r="D323" s="2">
        <v>8.7</v>
      </c>
      <c r="E323" s="2">
        <v>2020.0</v>
      </c>
      <c r="F323" s="2" t="s">
        <v>10</v>
      </c>
      <c r="G323" s="2" t="s">
        <v>10</v>
      </c>
    </row>
    <row r="324" ht="14.25" customHeight="1">
      <c r="A324" s="1" t="s">
        <v>296</v>
      </c>
      <c r="B324" s="1" t="s">
        <v>20</v>
      </c>
      <c r="C324" s="2" t="s">
        <v>114</v>
      </c>
      <c r="D324" s="2">
        <v>8.7</v>
      </c>
      <c r="E324" s="2">
        <v>2018.0</v>
      </c>
      <c r="F324" s="2" t="s">
        <v>10</v>
      </c>
      <c r="G324" s="2" t="s">
        <v>10</v>
      </c>
    </row>
    <row r="325" ht="14.25" customHeight="1">
      <c r="A325" s="1" t="s">
        <v>297</v>
      </c>
      <c r="B325" s="1" t="s">
        <v>20</v>
      </c>
      <c r="C325" s="2" t="s">
        <v>63</v>
      </c>
      <c r="D325" s="2">
        <v>8.7</v>
      </c>
      <c r="E325" s="2">
        <v>1985.0</v>
      </c>
      <c r="F325" s="2" t="s">
        <v>10</v>
      </c>
      <c r="G325" s="2" t="s">
        <v>10</v>
      </c>
    </row>
    <row r="326" ht="14.25" customHeight="1">
      <c r="A326" s="1" t="s">
        <v>298</v>
      </c>
      <c r="B326" s="1" t="s">
        <v>8</v>
      </c>
      <c r="C326" s="2" t="s">
        <v>299</v>
      </c>
      <c r="D326" s="2">
        <v>8.7</v>
      </c>
      <c r="E326" s="2">
        <v>2015.0</v>
      </c>
      <c r="F326" s="2" t="s">
        <v>10</v>
      </c>
      <c r="G326" s="2" t="s">
        <v>10</v>
      </c>
    </row>
    <row r="327" ht="14.25" customHeight="1">
      <c r="A327" s="1" t="s">
        <v>300</v>
      </c>
      <c r="B327" s="1" t="s">
        <v>8</v>
      </c>
      <c r="C327" s="2" t="s">
        <v>53</v>
      </c>
      <c r="D327" s="2">
        <v>8.7</v>
      </c>
      <c r="E327" s="2">
        <v>1993.0</v>
      </c>
      <c r="F327" s="2" t="s">
        <v>10</v>
      </c>
      <c r="G327" s="2" t="s">
        <v>10</v>
      </c>
    </row>
    <row r="328" ht="14.25" customHeight="1">
      <c r="A328" s="1" t="s">
        <v>301</v>
      </c>
      <c r="B328" s="1" t="s">
        <v>8</v>
      </c>
      <c r="C328" s="2" t="s">
        <v>25</v>
      </c>
      <c r="D328" s="2">
        <v>8.7</v>
      </c>
      <c r="E328" s="2">
        <v>2024.0</v>
      </c>
      <c r="F328" s="2" t="s">
        <v>10</v>
      </c>
      <c r="G328" s="2" t="s">
        <v>10</v>
      </c>
    </row>
    <row r="329" ht="14.25" customHeight="1">
      <c r="A329" s="1" t="s">
        <v>302</v>
      </c>
      <c r="B329" s="1" t="s">
        <v>8</v>
      </c>
      <c r="C329" s="2" t="s">
        <v>130</v>
      </c>
      <c r="D329" s="2">
        <v>8.7</v>
      </c>
      <c r="E329" s="2">
        <v>2020.0</v>
      </c>
      <c r="F329" s="2" t="s">
        <v>10</v>
      </c>
      <c r="G329" s="2" t="s">
        <v>10</v>
      </c>
    </row>
    <row r="330" ht="14.25" customHeight="1">
      <c r="A330" s="1" t="s">
        <v>303</v>
      </c>
      <c r="B330" s="1" t="s">
        <v>8</v>
      </c>
      <c r="C330" s="2" t="s">
        <v>53</v>
      </c>
      <c r="D330" s="2">
        <v>8.7</v>
      </c>
      <c r="E330" s="2">
        <v>1986.0</v>
      </c>
      <c r="F330" s="2" t="s">
        <v>10</v>
      </c>
      <c r="G330" s="2" t="s">
        <v>10</v>
      </c>
    </row>
    <row r="331" ht="14.25" customHeight="1">
      <c r="A331" s="1" t="s">
        <v>304</v>
      </c>
      <c r="B331" s="1" t="s">
        <v>8</v>
      </c>
      <c r="C331" s="2" t="s">
        <v>305</v>
      </c>
      <c r="D331" s="2">
        <v>8.7</v>
      </c>
      <c r="E331" s="2">
        <v>1972.0</v>
      </c>
      <c r="F331" s="2" t="s">
        <v>10</v>
      </c>
      <c r="G331" s="2" t="s">
        <v>10</v>
      </c>
    </row>
    <row r="332" ht="14.25" customHeight="1">
      <c r="A332" s="1" t="s">
        <v>306</v>
      </c>
      <c r="B332" s="1" t="s">
        <v>20</v>
      </c>
      <c r="C332" s="2" t="s">
        <v>307</v>
      </c>
      <c r="D332" s="2">
        <v>8.7</v>
      </c>
      <c r="E332" s="2">
        <v>2022.0</v>
      </c>
      <c r="F332" s="2" t="s">
        <v>10</v>
      </c>
      <c r="G332" s="2" t="s">
        <v>10</v>
      </c>
    </row>
    <row r="333" ht="14.25" customHeight="1">
      <c r="A333" s="1" t="s">
        <v>308</v>
      </c>
      <c r="B333" s="1" t="s">
        <v>20</v>
      </c>
      <c r="C333" s="2" t="s">
        <v>309</v>
      </c>
      <c r="D333" s="2">
        <v>8.7</v>
      </c>
      <c r="E333" s="2">
        <v>1993.0</v>
      </c>
      <c r="F333" s="2" t="s">
        <v>10</v>
      </c>
      <c r="G333" s="2" t="s">
        <v>10</v>
      </c>
    </row>
    <row r="334" ht="14.25" customHeight="1">
      <c r="A334" s="1" t="s">
        <v>310</v>
      </c>
      <c r="B334" s="1" t="s">
        <v>20</v>
      </c>
      <c r="C334" s="2" t="s">
        <v>311</v>
      </c>
      <c r="D334" s="2">
        <v>8.7</v>
      </c>
      <c r="E334" s="2">
        <v>2021.0</v>
      </c>
      <c r="F334" s="2" t="s">
        <v>10</v>
      </c>
      <c r="G334" s="2" t="s">
        <v>10</v>
      </c>
    </row>
    <row r="335" ht="14.25" customHeight="1">
      <c r="A335" s="1" t="s">
        <v>312</v>
      </c>
      <c r="B335" s="1" t="s">
        <v>8</v>
      </c>
      <c r="C335" s="2" t="s">
        <v>313</v>
      </c>
      <c r="D335" s="2">
        <v>8.7</v>
      </c>
      <c r="E335" s="2">
        <v>2015.0</v>
      </c>
      <c r="F335" s="2" t="s">
        <v>10</v>
      </c>
      <c r="G335" s="2" t="s">
        <v>10</v>
      </c>
    </row>
    <row r="336" ht="14.25" customHeight="1">
      <c r="A336" s="1" t="s">
        <v>314</v>
      </c>
      <c r="B336" s="1" t="s">
        <v>20</v>
      </c>
      <c r="C336" s="2" t="s">
        <v>67</v>
      </c>
      <c r="D336" s="2">
        <v>8.7</v>
      </c>
      <c r="E336" s="2">
        <v>1978.0</v>
      </c>
      <c r="F336" s="2" t="s">
        <v>10</v>
      </c>
      <c r="G336" s="2" t="s">
        <v>10</v>
      </c>
    </row>
    <row r="337" ht="14.25" customHeight="1">
      <c r="A337" s="1" t="s">
        <v>315</v>
      </c>
      <c r="B337" s="1" t="s">
        <v>8</v>
      </c>
      <c r="C337" s="2" t="s">
        <v>9</v>
      </c>
      <c r="D337" s="2">
        <v>8.7</v>
      </c>
      <c r="E337" s="2">
        <v>2014.0</v>
      </c>
      <c r="F337" s="2" t="s">
        <v>10</v>
      </c>
      <c r="G337" s="2" t="s">
        <v>10</v>
      </c>
    </row>
    <row r="338" ht="14.25" customHeight="1">
      <c r="A338" s="1" t="s">
        <v>316</v>
      </c>
      <c r="B338" s="1" t="s">
        <v>8</v>
      </c>
      <c r="C338" s="2" t="s">
        <v>239</v>
      </c>
      <c r="D338" s="2">
        <v>8.7</v>
      </c>
      <c r="E338" s="2">
        <v>2018.0</v>
      </c>
      <c r="F338" s="2">
        <v>2018.0</v>
      </c>
      <c r="G338" s="2" t="s">
        <v>10</v>
      </c>
    </row>
    <row r="339" ht="14.25" customHeight="1">
      <c r="A339" s="1" t="s">
        <v>317</v>
      </c>
      <c r="B339" s="1" t="s">
        <v>20</v>
      </c>
      <c r="C339" s="2" t="s">
        <v>49</v>
      </c>
      <c r="D339" s="2">
        <v>8.7</v>
      </c>
      <c r="E339" s="2">
        <v>1985.0</v>
      </c>
      <c r="F339" s="2" t="s">
        <v>10</v>
      </c>
      <c r="G339" s="2" t="s">
        <v>10</v>
      </c>
    </row>
    <row r="340" ht="14.25" customHeight="1">
      <c r="A340" s="1" t="s">
        <v>318</v>
      </c>
      <c r="B340" s="1" t="s">
        <v>8</v>
      </c>
      <c r="C340" s="2" t="s">
        <v>34</v>
      </c>
      <c r="D340" s="2">
        <v>8.7</v>
      </c>
      <c r="E340" s="2">
        <v>2019.0</v>
      </c>
      <c r="F340" s="2">
        <v>2019.0</v>
      </c>
      <c r="G340" s="2" t="s">
        <v>10</v>
      </c>
    </row>
    <row r="341" ht="14.25" customHeight="1">
      <c r="A341" s="1" t="s">
        <v>319</v>
      </c>
      <c r="B341" s="1" t="s">
        <v>8</v>
      </c>
      <c r="C341" s="2" t="s">
        <v>32</v>
      </c>
      <c r="D341" s="2">
        <v>8.7</v>
      </c>
      <c r="E341" s="2">
        <v>1977.0</v>
      </c>
      <c r="F341" s="2" t="s">
        <v>10</v>
      </c>
      <c r="G341" s="2" t="s">
        <v>10</v>
      </c>
    </row>
    <row r="342" ht="14.25" customHeight="1">
      <c r="A342" s="1" t="s">
        <v>320</v>
      </c>
      <c r="B342" s="1" t="s">
        <v>20</v>
      </c>
      <c r="C342" s="2" t="s">
        <v>53</v>
      </c>
      <c r="D342" s="2">
        <v>8.6</v>
      </c>
      <c r="E342" s="2">
        <v>1995.0</v>
      </c>
      <c r="F342" s="2" t="s">
        <v>10</v>
      </c>
      <c r="G342" s="2" t="s">
        <v>10</v>
      </c>
    </row>
    <row r="343" ht="14.25" customHeight="1">
      <c r="A343" s="1" t="s">
        <v>321</v>
      </c>
      <c r="B343" s="1" t="s">
        <v>20</v>
      </c>
      <c r="C343" s="2" t="s">
        <v>9</v>
      </c>
      <c r="D343" s="2">
        <v>8.6</v>
      </c>
      <c r="E343" s="2">
        <v>1991.0</v>
      </c>
      <c r="F343" s="2" t="s">
        <v>10</v>
      </c>
      <c r="G343" s="2" t="s">
        <v>10</v>
      </c>
    </row>
    <row r="344" ht="14.25" customHeight="1">
      <c r="A344" s="1" t="s">
        <v>322</v>
      </c>
      <c r="B344" s="1" t="s">
        <v>20</v>
      </c>
      <c r="C344" s="2" t="s">
        <v>184</v>
      </c>
      <c r="D344" s="2">
        <v>8.6</v>
      </c>
      <c r="E344" s="2">
        <v>1998.0</v>
      </c>
      <c r="F344" s="2" t="s">
        <v>10</v>
      </c>
      <c r="G344" s="2" t="s">
        <v>10</v>
      </c>
    </row>
    <row r="345" ht="14.25" customHeight="1">
      <c r="A345" s="1" t="s">
        <v>323</v>
      </c>
      <c r="B345" s="1" t="s">
        <v>20</v>
      </c>
      <c r="C345" s="2" t="s">
        <v>212</v>
      </c>
      <c r="D345" s="2">
        <v>8.6</v>
      </c>
      <c r="E345" s="2">
        <v>1977.0</v>
      </c>
      <c r="F345" s="2" t="s">
        <v>10</v>
      </c>
      <c r="G345" s="2" t="s">
        <v>10</v>
      </c>
    </row>
    <row r="346" ht="14.25" customHeight="1">
      <c r="A346" s="1" t="s">
        <v>324</v>
      </c>
      <c r="B346" s="1" t="s">
        <v>20</v>
      </c>
      <c r="C346" s="2" t="s">
        <v>325</v>
      </c>
      <c r="D346" s="2">
        <v>8.6</v>
      </c>
      <c r="E346" s="2">
        <v>1999.0</v>
      </c>
      <c r="F346" s="2" t="s">
        <v>10</v>
      </c>
      <c r="G346" s="2" t="s">
        <v>10</v>
      </c>
    </row>
    <row r="347" ht="14.25" customHeight="1">
      <c r="A347" s="1" t="s">
        <v>326</v>
      </c>
      <c r="B347" s="1" t="s">
        <v>20</v>
      </c>
      <c r="C347" s="2" t="s">
        <v>151</v>
      </c>
      <c r="D347" s="2">
        <v>8.6</v>
      </c>
      <c r="E347" s="2">
        <v>1991.0</v>
      </c>
      <c r="F347" s="2" t="s">
        <v>10</v>
      </c>
      <c r="G347" s="2" t="s">
        <v>10</v>
      </c>
    </row>
    <row r="348" ht="14.25" customHeight="1">
      <c r="A348" s="1" t="s">
        <v>327</v>
      </c>
      <c r="B348" s="1" t="s">
        <v>20</v>
      </c>
      <c r="C348" s="2" t="s">
        <v>328</v>
      </c>
      <c r="D348" s="2">
        <v>8.6</v>
      </c>
      <c r="E348" s="2">
        <v>2001.0</v>
      </c>
      <c r="F348" s="2" t="s">
        <v>10</v>
      </c>
      <c r="G348" s="2" t="s">
        <v>10</v>
      </c>
    </row>
    <row r="349" ht="14.25" customHeight="1">
      <c r="A349" s="1" t="s">
        <v>329</v>
      </c>
      <c r="B349" s="1" t="s">
        <v>20</v>
      </c>
      <c r="C349" s="2" t="s">
        <v>36</v>
      </c>
      <c r="D349" s="2">
        <v>8.6</v>
      </c>
      <c r="E349" s="2">
        <v>2002.0</v>
      </c>
      <c r="F349" s="2">
        <v>2002.0</v>
      </c>
      <c r="G349" s="2">
        <v>3050000.0</v>
      </c>
    </row>
    <row r="350" ht="14.25" customHeight="1">
      <c r="A350" s="1" t="s">
        <v>330</v>
      </c>
      <c r="B350" s="1" t="s">
        <v>8</v>
      </c>
      <c r="C350" s="2" t="s">
        <v>53</v>
      </c>
      <c r="D350" s="2">
        <v>8.6</v>
      </c>
      <c r="E350" s="2">
        <v>2006.0</v>
      </c>
      <c r="F350" s="2">
        <v>2013.0</v>
      </c>
      <c r="G350" s="2" t="s">
        <v>10</v>
      </c>
    </row>
    <row r="351" ht="14.25" customHeight="1">
      <c r="A351" s="1" t="s">
        <v>331</v>
      </c>
      <c r="B351" s="1" t="s">
        <v>20</v>
      </c>
      <c r="C351" s="2" t="s">
        <v>187</v>
      </c>
      <c r="D351" s="2">
        <v>8.6</v>
      </c>
      <c r="E351" s="2">
        <v>1997.0</v>
      </c>
      <c r="F351" s="2" t="s">
        <v>10</v>
      </c>
      <c r="G351" s="2" t="s">
        <v>10</v>
      </c>
    </row>
    <row r="352" ht="14.25" customHeight="1">
      <c r="A352" s="1" t="s">
        <v>332</v>
      </c>
      <c r="B352" s="1" t="s">
        <v>8</v>
      </c>
      <c r="C352" s="2" t="s">
        <v>212</v>
      </c>
      <c r="D352" s="2">
        <v>8.6</v>
      </c>
      <c r="E352" s="2">
        <v>2019.0</v>
      </c>
      <c r="F352" s="2" t="s">
        <v>10</v>
      </c>
      <c r="G352" s="2" t="s">
        <v>10</v>
      </c>
    </row>
    <row r="353" ht="14.25" customHeight="1">
      <c r="A353" s="1" t="s">
        <v>333</v>
      </c>
      <c r="B353" s="1" t="s">
        <v>8</v>
      </c>
      <c r="C353" s="2" t="s">
        <v>18</v>
      </c>
      <c r="D353" s="2">
        <v>8.6</v>
      </c>
      <c r="E353" s="2">
        <v>2013.0</v>
      </c>
      <c r="F353" s="2">
        <v>2018.0</v>
      </c>
      <c r="G353" s="2" t="s">
        <v>10</v>
      </c>
    </row>
    <row r="354" ht="14.25" customHeight="1">
      <c r="A354" s="1" t="s">
        <v>334</v>
      </c>
      <c r="B354" s="1" t="s">
        <v>20</v>
      </c>
      <c r="C354" s="2" t="s">
        <v>335</v>
      </c>
      <c r="D354" s="2">
        <v>8.6</v>
      </c>
      <c r="E354" s="2">
        <v>1946.0</v>
      </c>
      <c r="F354" s="2" t="s">
        <v>10</v>
      </c>
      <c r="G354" s="2" t="s">
        <v>10</v>
      </c>
    </row>
    <row r="355" ht="14.25" customHeight="1">
      <c r="A355" s="1" t="s">
        <v>336</v>
      </c>
      <c r="B355" s="1" t="s">
        <v>8</v>
      </c>
      <c r="C355" s="2" t="s">
        <v>69</v>
      </c>
      <c r="D355" s="2">
        <v>8.6</v>
      </c>
      <c r="E355" s="2">
        <v>2015.0</v>
      </c>
      <c r="F355" s="2" t="s">
        <v>10</v>
      </c>
      <c r="G355" s="2" t="s">
        <v>10</v>
      </c>
    </row>
    <row r="356" ht="14.25" customHeight="1">
      <c r="A356" s="1" t="s">
        <v>337</v>
      </c>
      <c r="B356" s="1" t="s">
        <v>20</v>
      </c>
      <c r="C356" s="2" t="s">
        <v>25</v>
      </c>
      <c r="D356" s="2">
        <v>8.6</v>
      </c>
      <c r="E356" s="2">
        <v>2023.0</v>
      </c>
      <c r="F356" s="2" t="s">
        <v>10</v>
      </c>
      <c r="G356" s="2">
        <v>1.02E7</v>
      </c>
    </row>
    <row r="357" ht="14.25" customHeight="1">
      <c r="A357" s="1" t="s">
        <v>337</v>
      </c>
      <c r="B357" s="1" t="s">
        <v>20</v>
      </c>
      <c r="C357" s="2" t="s">
        <v>25</v>
      </c>
      <c r="D357" s="2">
        <v>8.6</v>
      </c>
      <c r="E357" s="2">
        <v>2023.0</v>
      </c>
      <c r="F357" s="2" t="s">
        <v>10</v>
      </c>
      <c r="G357" s="2">
        <v>2.01E7</v>
      </c>
    </row>
    <row r="358" ht="14.25" customHeight="1">
      <c r="A358" s="1" t="s">
        <v>338</v>
      </c>
      <c r="B358" s="1" t="s">
        <v>20</v>
      </c>
      <c r="C358" s="2" t="s">
        <v>339</v>
      </c>
      <c r="D358" s="2">
        <v>8.6</v>
      </c>
      <c r="E358" s="2">
        <v>1954.0</v>
      </c>
      <c r="F358" s="2" t="s">
        <v>10</v>
      </c>
      <c r="G358" s="2" t="s">
        <v>10</v>
      </c>
    </row>
    <row r="359" ht="14.25" customHeight="1">
      <c r="A359" s="1" t="s">
        <v>340</v>
      </c>
      <c r="B359" s="1" t="s">
        <v>8</v>
      </c>
      <c r="C359" s="2" t="s">
        <v>53</v>
      </c>
      <c r="D359" s="2">
        <v>8.6</v>
      </c>
      <c r="E359" s="2">
        <v>2017.0</v>
      </c>
      <c r="F359" s="2">
        <v>2019.0</v>
      </c>
      <c r="G359" s="2" t="s">
        <v>10</v>
      </c>
    </row>
    <row r="360" ht="14.25" customHeight="1">
      <c r="A360" s="1" t="s">
        <v>341</v>
      </c>
      <c r="B360" s="1" t="s">
        <v>8</v>
      </c>
      <c r="C360" s="2" t="s">
        <v>9</v>
      </c>
      <c r="D360" s="2">
        <v>8.6</v>
      </c>
      <c r="E360" s="2">
        <v>2008.0</v>
      </c>
      <c r="F360" s="2" t="s">
        <v>10</v>
      </c>
      <c r="G360" s="2" t="s">
        <v>10</v>
      </c>
    </row>
    <row r="361" ht="14.25" customHeight="1">
      <c r="A361" s="1" t="s">
        <v>342</v>
      </c>
      <c r="B361" s="1" t="s">
        <v>8</v>
      </c>
      <c r="C361" s="2" t="s">
        <v>32</v>
      </c>
      <c r="D361" s="2">
        <v>8.6</v>
      </c>
      <c r="E361" s="2">
        <v>2009.0</v>
      </c>
      <c r="F361" s="2">
        <v>2015.0</v>
      </c>
      <c r="G361" s="2" t="s">
        <v>10</v>
      </c>
    </row>
    <row r="362" ht="14.25" customHeight="1">
      <c r="A362" s="1" t="s">
        <v>343</v>
      </c>
      <c r="B362" s="1" t="s">
        <v>8</v>
      </c>
      <c r="C362" s="2" t="s">
        <v>80</v>
      </c>
      <c r="D362" s="2">
        <v>8.6</v>
      </c>
      <c r="E362" s="2">
        <v>2016.0</v>
      </c>
      <c r="F362" s="2">
        <v>2020.0</v>
      </c>
      <c r="G362" s="2">
        <v>5.09E7</v>
      </c>
    </row>
    <row r="363" ht="14.25" customHeight="1">
      <c r="A363" s="1" t="s">
        <v>343</v>
      </c>
      <c r="B363" s="1" t="s">
        <v>8</v>
      </c>
      <c r="C363" s="2" t="s">
        <v>80</v>
      </c>
      <c r="D363" s="2">
        <v>8.6</v>
      </c>
      <c r="E363" s="2">
        <v>2016.0</v>
      </c>
      <c r="F363" s="2">
        <v>2020.0</v>
      </c>
      <c r="G363" s="2">
        <v>8200000.0</v>
      </c>
    </row>
    <row r="364" ht="14.25" customHeight="1">
      <c r="A364" s="1" t="s">
        <v>343</v>
      </c>
      <c r="B364" s="1" t="s">
        <v>8</v>
      </c>
      <c r="C364" s="2" t="s">
        <v>80</v>
      </c>
      <c r="D364" s="2">
        <v>8.6</v>
      </c>
      <c r="E364" s="2">
        <v>2016.0</v>
      </c>
      <c r="F364" s="2">
        <v>2020.0</v>
      </c>
      <c r="G364" s="2">
        <v>1.31E7</v>
      </c>
    </row>
    <row r="365" ht="14.25" customHeight="1">
      <c r="A365" s="1" t="s">
        <v>343</v>
      </c>
      <c r="B365" s="1" t="s">
        <v>8</v>
      </c>
      <c r="C365" s="2" t="s">
        <v>80</v>
      </c>
      <c r="D365" s="2">
        <v>8.6</v>
      </c>
      <c r="E365" s="2">
        <v>2016.0</v>
      </c>
      <c r="F365" s="2">
        <v>2020.0</v>
      </c>
      <c r="G365" s="2">
        <v>2.93E7</v>
      </c>
    </row>
    <row r="366" ht="14.25" customHeight="1">
      <c r="A366" s="1" t="s">
        <v>343</v>
      </c>
      <c r="B366" s="1" t="s">
        <v>8</v>
      </c>
      <c r="C366" s="2" t="s">
        <v>80</v>
      </c>
      <c r="D366" s="2">
        <v>8.6</v>
      </c>
      <c r="E366" s="2">
        <v>2016.0</v>
      </c>
      <c r="F366" s="2">
        <v>2020.0</v>
      </c>
      <c r="G366" s="2">
        <v>3.69E7</v>
      </c>
    </row>
    <row r="367" ht="14.25" customHeight="1">
      <c r="A367" s="1" t="s">
        <v>343</v>
      </c>
      <c r="B367" s="1" t="s">
        <v>8</v>
      </c>
      <c r="C367" s="2" t="s">
        <v>80</v>
      </c>
      <c r="D367" s="2">
        <v>8.6</v>
      </c>
      <c r="E367" s="2">
        <v>2016.0</v>
      </c>
      <c r="F367" s="2">
        <v>2020.0</v>
      </c>
      <c r="G367" s="2">
        <v>1.32E7</v>
      </c>
    </row>
    <row r="368" ht="14.25" customHeight="1">
      <c r="A368" s="1" t="s">
        <v>343</v>
      </c>
      <c r="B368" s="1" t="s">
        <v>8</v>
      </c>
      <c r="C368" s="2" t="s">
        <v>80</v>
      </c>
      <c r="D368" s="2">
        <v>8.6</v>
      </c>
      <c r="E368" s="2">
        <v>2016.0</v>
      </c>
      <c r="F368" s="2">
        <v>2020.0</v>
      </c>
      <c r="G368" s="2">
        <v>1.89E7</v>
      </c>
    </row>
    <row r="369" ht="14.25" customHeight="1">
      <c r="A369" s="1" t="s">
        <v>343</v>
      </c>
      <c r="B369" s="1" t="s">
        <v>8</v>
      </c>
      <c r="C369" s="2" t="s">
        <v>80</v>
      </c>
      <c r="D369" s="2">
        <v>8.6</v>
      </c>
      <c r="E369" s="2">
        <v>2016.0</v>
      </c>
      <c r="F369" s="2">
        <v>2020.0</v>
      </c>
      <c r="G369" s="2">
        <v>2.779E7</v>
      </c>
    </row>
    <row r="370" ht="14.25" customHeight="1">
      <c r="A370" s="1" t="s">
        <v>343</v>
      </c>
      <c r="B370" s="1" t="s">
        <v>8</v>
      </c>
      <c r="C370" s="2" t="s">
        <v>80</v>
      </c>
      <c r="D370" s="2">
        <v>8.6</v>
      </c>
      <c r="E370" s="2">
        <v>2016.0</v>
      </c>
      <c r="F370" s="2">
        <v>2020.0</v>
      </c>
      <c r="G370" s="2">
        <v>4.236E7</v>
      </c>
    </row>
    <row r="371" ht="14.25" customHeight="1">
      <c r="A371" s="1" t="s">
        <v>343</v>
      </c>
      <c r="B371" s="1" t="s">
        <v>8</v>
      </c>
      <c r="C371" s="2" t="s">
        <v>80</v>
      </c>
      <c r="D371" s="2">
        <v>8.6</v>
      </c>
      <c r="E371" s="2">
        <v>2016.0</v>
      </c>
      <c r="F371" s="2">
        <v>2020.0</v>
      </c>
      <c r="G371" s="2">
        <v>8.431E7</v>
      </c>
    </row>
    <row r="372" ht="14.25" customHeight="1">
      <c r="A372" s="1" t="s">
        <v>343</v>
      </c>
      <c r="B372" s="1" t="s">
        <v>8</v>
      </c>
      <c r="C372" s="2" t="s">
        <v>80</v>
      </c>
      <c r="D372" s="2">
        <v>8.6</v>
      </c>
      <c r="E372" s="2">
        <v>2016.0</v>
      </c>
      <c r="F372" s="2">
        <v>2020.0</v>
      </c>
      <c r="G372" s="2">
        <v>1.0739E8</v>
      </c>
    </row>
    <row r="373" ht="14.25" customHeight="1">
      <c r="A373" s="1" t="s">
        <v>343</v>
      </c>
      <c r="B373" s="1" t="s">
        <v>8</v>
      </c>
      <c r="C373" s="2" t="s">
        <v>80</v>
      </c>
      <c r="D373" s="2">
        <v>8.6</v>
      </c>
      <c r="E373" s="2">
        <v>2016.0</v>
      </c>
      <c r="F373" s="2">
        <v>2020.0</v>
      </c>
      <c r="G373" s="2">
        <v>1.209E7</v>
      </c>
    </row>
    <row r="374" ht="14.25" customHeight="1">
      <c r="A374" s="1" t="s">
        <v>343</v>
      </c>
      <c r="B374" s="1" t="s">
        <v>8</v>
      </c>
      <c r="C374" s="2" t="s">
        <v>80</v>
      </c>
      <c r="D374" s="2">
        <v>8.6</v>
      </c>
      <c r="E374" s="2">
        <v>2016.0</v>
      </c>
      <c r="F374" s="2">
        <v>2020.0</v>
      </c>
      <c r="G374" s="2">
        <v>1.148E7</v>
      </c>
    </row>
    <row r="375" ht="14.25" customHeight="1">
      <c r="A375" s="1" t="s">
        <v>343</v>
      </c>
      <c r="B375" s="1" t="s">
        <v>8</v>
      </c>
      <c r="C375" s="2" t="s">
        <v>80</v>
      </c>
      <c r="D375" s="2">
        <v>8.6</v>
      </c>
      <c r="E375" s="2">
        <v>2016.0</v>
      </c>
      <c r="F375" s="2">
        <v>2020.0</v>
      </c>
      <c r="G375" s="2">
        <v>2.569E7</v>
      </c>
    </row>
    <row r="376" ht="14.25" customHeight="1">
      <c r="A376" s="1" t="s">
        <v>343</v>
      </c>
      <c r="B376" s="1" t="s">
        <v>8</v>
      </c>
      <c r="C376" s="2" t="s">
        <v>80</v>
      </c>
      <c r="D376" s="2">
        <v>8.6</v>
      </c>
      <c r="E376" s="2">
        <v>2016.0</v>
      </c>
      <c r="F376" s="2">
        <v>2020.0</v>
      </c>
      <c r="G376" s="2">
        <v>1.752E7</v>
      </c>
    </row>
    <row r="377" ht="14.25" customHeight="1">
      <c r="A377" s="1" t="s">
        <v>343</v>
      </c>
      <c r="B377" s="1" t="s">
        <v>8</v>
      </c>
      <c r="C377" s="2" t="s">
        <v>80</v>
      </c>
      <c r="D377" s="2">
        <v>8.6</v>
      </c>
      <c r="E377" s="2">
        <v>2016.0</v>
      </c>
      <c r="F377" s="2">
        <v>2020.0</v>
      </c>
      <c r="G377" s="2">
        <v>4.079E7</v>
      </c>
    </row>
    <row r="378" ht="14.25" customHeight="1">
      <c r="A378" s="1" t="s">
        <v>343</v>
      </c>
      <c r="B378" s="1" t="s">
        <v>8</v>
      </c>
      <c r="C378" s="2" t="s">
        <v>80</v>
      </c>
      <c r="D378" s="2">
        <v>8.6</v>
      </c>
      <c r="E378" s="2">
        <v>2016.0</v>
      </c>
      <c r="F378" s="2">
        <v>2020.0</v>
      </c>
      <c r="G378" s="2">
        <v>1.667E7</v>
      </c>
    </row>
    <row r="379" ht="14.25" customHeight="1">
      <c r="A379" s="1" t="s">
        <v>343</v>
      </c>
      <c r="B379" s="1" t="s">
        <v>8</v>
      </c>
      <c r="C379" s="2" t="s">
        <v>80</v>
      </c>
      <c r="D379" s="2">
        <v>8.6</v>
      </c>
      <c r="E379" s="2">
        <v>2016.0</v>
      </c>
      <c r="F379" s="2">
        <v>2020.0</v>
      </c>
      <c r="G379" s="2">
        <v>1.757E7</v>
      </c>
    </row>
    <row r="380" ht="14.25" customHeight="1">
      <c r="A380" s="1" t="s">
        <v>344</v>
      </c>
      <c r="B380" s="1" t="s">
        <v>8</v>
      </c>
      <c r="C380" s="2" t="s">
        <v>345</v>
      </c>
      <c r="D380" s="2">
        <v>8.6</v>
      </c>
      <c r="E380" s="2">
        <v>1993.0</v>
      </c>
      <c r="F380" s="2" t="s">
        <v>10</v>
      </c>
      <c r="G380" s="2" t="s">
        <v>10</v>
      </c>
    </row>
    <row r="381" ht="14.25" customHeight="1">
      <c r="A381" s="1" t="s">
        <v>346</v>
      </c>
      <c r="B381" s="1" t="s">
        <v>8</v>
      </c>
      <c r="C381" s="2" t="s">
        <v>249</v>
      </c>
      <c r="D381" s="2">
        <v>8.6</v>
      </c>
      <c r="E381" s="2">
        <v>2018.0</v>
      </c>
      <c r="F381" s="2" t="s">
        <v>10</v>
      </c>
      <c r="G381" s="2" t="s">
        <v>10</v>
      </c>
    </row>
    <row r="382" ht="14.25" customHeight="1">
      <c r="A382" s="1" t="s">
        <v>347</v>
      </c>
      <c r="B382" s="1" t="s">
        <v>8</v>
      </c>
      <c r="C382" s="2" t="s">
        <v>36</v>
      </c>
      <c r="D382" s="2">
        <v>8.6</v>
      </c>
      <c r="E382" s="2">
        <v>2010.0</v>
      </c>
      <c r="F382" s="2" t="s">
        <v>10</v>
      </c>
      <c r="G382" s="2" t="s">
        <v>10</v>
      </c>
    </row>
    <row r="383" ht="14.25" customHeight="1">
      <c r="A383" s="1" t="s">
        <v>348</v>
      </c>
      <c r="B383" s="1" t="s">
        <v>8</v>
      </c>
      <c r="C383" s="2" t="s">
        <v>349</v>
      </c>
      <c r="D383" s="2">
        <v>8.6</v>
      </c>
      <c r="E383" s="2">
        <v>2024.0</v>
      </c>
      <c r="F383" s="2" t="s">
        <v>10</v>
      </c>
      <c r="G383" s="2" t="s">
        <v>10</v>
      </c>
    </row>
    <row r="384" ht="14.25" customHeight="1">
      <c r="A384" s="1" t="s">
        <v>350</v>
      </c>
      <c r="B384" s="1" t="s">
        <v>8</v>
      </c>
      <c r="C384" s="2" t="s">
        <v>25</v>
      </c>
      <c r="D384" s="2">
        <v>8.6</v>
      </c>
      <c r="E384" s="2">
        <v>2019.0</v>
      </c>
      <c r="F384" s="2">
        <v>2019.0</v>
      </c>
      <c r="G384" s="2">
        <v>7100000.0</v>
      </c>
    </row>
    <row r="385" ht="14.25" customHeight="1">
      <c r="A385" s="1" t="s">
        <v>350</v>
      </c>
      <c r="B385" s="1" t="s">
        <v>8</v>
      </c>
      <c r="C385" s="2" t="s">
        <v>25</v>
      </c>
      <c r="D385" s="2">
        <v>8.6</v>
      </c>
      <c r="E385" s="2">
        <v>2019.0</v>
      </c>
      <c r="F385" s="2">
        <v>2019.0</v>
      </c>
      <c r="G385" s="2">
        <v>6060000.0</v>
      </c>
    </row>
    <row r="386" ht="14.25" customHeight="1">
      <c r="A386" s="1" t="s">
        <v>350</v>
      </c>
      <c r="B386" s="1" t="s">
        <v>8</v>
      </c>
      <c r="C386" s="2" t="s">
        <v>25</v>
      </c>
      <c r="D386" s="2">
        <v>8.6</v>
      </c>
      <c r="E386" s="2">
        <v>2019.0</v>
      </c>
      <c r="F386" s="2">
        <v>2019.0</v>
      </c>
      <c r="G386" s="2">
        <v>7940000.0</v>
      </c>
    </row>
    <row r="387" ht="14.25" customHeight="1">
      <c r="A387" s="1" t="s">
        <v>351</v>
      </c>
      <c r="B387" s="1" t="s">
        <v>8</v>
      </c>
      <c r="C387" s="2" t="s">
        <v>203</v>
      </c>
      <c r="D387" s="2">
        <v>8.6</v>
      </c>
      <c r="E387" s="2">
        <v>2009.0</v>
      </c>
      <c r="F387" s="2" t="s">
        <v>10</v>
      </c>
      <c r="G387" s="2" t="s">
        <v>10</v>
      </c>
    </row>
    <row r="388" ht="14.25" customHeight="1">
      <c r="A388" s="1" t="s">
        <v>352</v>
      </c>
      <c r="B388" s="1" t="s">
        <v>8</v>
      </c>
      <c r="C388" s="2" t="s">
        <v>305</v>
      </c>
      <c r="D388" s="2">
        <v>8.6</v>
      </c>
      <c r="E388" s="2">
        <v>1990.0</v>
      </c>
      <c r="F388" s="2" t="s">
        <v>10</v>
      </c>
      <c r="G388" s="2" t="s">
        <v>10</v>
      </c>
    </row>
    <row r="389" ht="14.25" customHeight="1">
      <c r="A389" s="1" t="s">
        <v>353</v>
      </c>
      <c r="B389" s="1" t="s">
        <v>8</v>
      </c>
      <c r="C389" s="2" t="s">
        <v>18</v>
      </c>
      <c r="D389" s="2">
        <v>8.6</v>
      </c>
      <c r="E389" s="2">
        <v>2012.0</v>
      </c>
      <c r="F389" s="2" t="s">
        <v>10</v>
      </c>
      <c r="G389" s="2" t="s">
        <v>10</v>
      </c>
    </row>
    <row r="390" ht="14.25" customHeight="1">
      <c r="A390" s="1" t="s">
        <v>354</v>
      </c>
      <c r="B390" s="1" t="s">
        <v>8</v>
      </c>
      <c r="C390" s="2" t="s">
        <v>69</v>
      </c>
      <c r="D390" s="2">
        <v>8.6</v>
      </c>
      <c r="E390" s="2">
        <v>2010.0</v>
      </c>
      <c r="F390" s="2" t="s">
        <v>10</v>
      </c>
      <c r="G390" s="2" t="s">
        <v>10</v>
      </c>
    </row>
    <row r="391" ht="14.25" customHeight="1">
      <c r="A391" s="1" t="s">
        <v>355</v>
      </c>
      <c r="B391" s="1" t="s">
        <v>8</v>
      </c>
      <c r="C391" s="2" t="s">
        <v>356</v>
      </c>
      <c r="D391" s="2">
        <v>8.6</v>
      </c>
      <c r="E391" s="2">
        <v>2004.0</v>
      </c>
      <c r="F391" s="2" t="s">
        <v>10</v>
      </c>
      <c r="G391" s="2" t="s">
        <v>10</v>
      </c>
    </row>
    <row r="392" ht="14.25" customHeight="1">
      <c r="A392" s="1" t="s">
        <v>357</v>
      </c>
      <c r="B392" s="1" t="s">
        <v>8</v>
      </c>
      <c r="C392" s="2" t="s">
        <v>25</v>
      </c>
      <c r="D392" s="2">
        <v>8.6</v>
      </c>
      <c r="E392" s="2">
        <v>2010.0</v>
      </c>
      <c r="F392" s="2" t="s">
        <v>10</v>
      </c>
      <c r="G392" s="2" t="s">
        <v>10</v>
      </c>
    </row>
    <row r="393" ht="14.25" customHeight="1">
      <c r="A393" s="1" t="s">
        <v>358</v>
      </c>
      <c r="B393" s="1" t="s">
        <v>8</v>
      </c>
      <c r="C393" s="2" t="s">
        <v>359</v>
      </c>
      <c r="D393" s="2">
        <v>8.6</v>
      </c>
      <c r="E393" s="2">
        <v>2019.0</v>
      </c>
      <c r="F393" s="2" t="s">
        <v>10</v>
      </c>
      <c r="G393" s="2" t="s">
        <v>10</v>
      </c>
    </row>
    <row r="394" ht="14.25" customHeight="1">
      <c r="A394" s="1" t="s">
        <v>360</v>
      </c>
      <c r="B394" s="1" t="s">
        <v>8</v>
      </c>
      <c r="C394" s="2" t="s">
        <v>361</v>
      </c>
      <c r="D394" s="2">
        <v>8.6</v>
      </c>
      <c r="E394" s="2">
        <v>2016.0</v>
      </c>
      <c r="F394" s="2" t="s">
        <v>10</v>
      </c>
      <c r="G394" s="2" t="s">
        <v>10</v>
      </c>
    </row>
    <row r="395" ht="14.25" customHeight="1">
      <c r="A395" s="1" t="s">
        <v>362</v>
      </c>
      <c r="B395" s="1" t="s">
        <v>8</v>
      </c>
      <c r="C395" s="2" t="s">
        <v>18</v>
      </c>
      <c r="D395" s="2">
        <v>8.6</v>
      </c>
      <c r="E395" s="2">
        <v>2021.0</v>
      </c>
      <c r="F395" s="2" t="s">
        <v>10</v>
      </c>
      <c r="G395" s="2" t="s">
        <v>10</v>
      </c>
    </row>
    <row r="396" ht="14.25" customHeight="1">
      <c r="A396" s="1" t="s">
        <v>363</v>
      </c>
      <c r="B396" s="1" t="s">
        <v>8</v>
      </c>
      <c r="C396" s="2" t="s">
        <v>134</v>
      </c>
      <c r="D396" s="2">
        <v>8.6</v>
      </c>
      <c r="E396" s="2">
        <v>2011.0</v>
      </c>
      <c r="F396" s="2">
        <v>2017.0</v>
      </c>
      <c r="G396" s="2" t="s">
        <v>10</v>
      </c>
    </row>
    <row r="397" ht="14.25" customHeight="1">
      <c r="A397" s="1" t="s">
        <v>364</v>
      </c>
      <c r="B397" s="1" t="s">
        <v>20</v>
      </c>
      <c r="C397" s="2" t="s">
        <v>222</v>
      </c>
      <c r="D397" s="2">
        <v>8.6</v>
      </c>
      <c r="E397" s="2">
        <v>1962.0</v>
      </c>
      <c r="F397" s="2" t="s">
        <v>10</v>
      </c>
      <c r="G397" s="2" t="s">
        <v>10</v>
      </c>
    </row>
    <row r="398" ht="14.25" customHeight="1">
      <c r="A398" s="1" t="s">
        <v>365</v>
      </c>
      <c r="B398" s="1" t="s">
        <v>8</v>
      </c>
      <c r="C398" s="2" t="s">
        <v>114</v>
      </c>
      <c r="D398" s="2">
        <v>8.6</v>
      </c>
      <c r="E398" s="2">
        <v>2017.0</v>
      </c>
      <c r="F398" s="2">
        <v>2019.0</v>
      </c>
      <c r="G398" s="2" t="s">
        <v>10</v>
      </c>
    </row>
    <row r="399" ht="14.25" customHeight="1">
      <c r="A399" s="1" t="s">
        <v>366</v>
      </c>
      <c r="B399" s="1" t="s">
        <v>8</v>
      </c>
      <c r="C399" s="2" t="s">
        <v>142</v>
      </c>
      <c r="D399" s="2">
        <v>8.6</v>
      </c>
      <c r="E399" s="2">
        <v>2015.0</v>
      </c>
      <c r="F399" s="2" t="s">
        <v>10</v>
      </c>
      <c r="G399" s="2" t="s">
        <v>10</v>
      </c>
    </row>
    <row r="400" ht="14.25" customHeight="1">
      <c r="A400" s="1" t="s">
        <v>367</v>
      </c>
      <c r="B400" s="1" t="s">
        <v>8</v>
      </c>
      <c r="C400" s="2" t="s">
        <v>53</v>
      </c>
      <c r="D400" s="2">
        <v>8.6</v>
      </c>
      <c r="E400" s="2">
        <v>1989.0</v>
      </c>
      <c r="F400" s="2" t="s">
        <v>10</v>
      </c>
      <c r="G400" s="2" t="s">
        <v>10</v>
      </c>
    </row>
    <row r="401" ht="14.25" customHeight="1">
      <c r="A401" s="1" t="s">
        <v>368</v>
      </c>
      <c r="B401" s="1" t="s">
        <v>8</v>
      </c>
      <c r="C401" s="2" t="s">
        <v>32</v>
      </c>
      <c r="D401" s="2">
        <v>8.6</v>
      </c>
      <c r="E401" s="2">
        <v>1986.0</v>
      </c>
      <c r="F401" s="2" t="s">
        <v>10</v>
      </c>
      <c r="G401" s="2" t="s">
        <v>10</v>
      </c>
    </row>
    <row r="402" ht="14.25" customHeight="1">
      <c r="A402" s="1" t="s">
        <v>369</v>
      </c>
      <c r="B402" s="1" t="s">
        <v>8</v>
      </c>
      <c r="C402" s="2" t="s">
        <v>32</v>
      </c>
      <c r="D402" s="2">
        <v>8.6</v>
      </c>
      <c r="E402" s="2">
        <v>1987.0</v>
      </c>
      <c r="F402" s="2" t="s">
        <v>10</v>
      </c>
      <c r="G402" s="2" t="s">
        <v>10</v>
      </c>
    </row>
    <row r="403" ht="14.25" customHeight="1">
      <c r="A403" s="1" t="s">
        <v>370</v>
      </c>
      <c r="B403" s="1" t="s">
        <v>8</v>
      </c>
      <c r="C403" s="2" t="s">
        <v>371</v>
      </c>
      <c r="D403" s="2">
        <v>8.6</v>
      </c>
      <c r="E403" s="2">
        <v>2011.0</v>
      </c>
      <c r="F403" s="2" t="s">
        <v>10</v>
      </c>
      <c r="G403" s="2" t="s">
        <v>10</v>
      </c>
    </row>
    <row r="404" ht="14.25" customHeight="1">
      <c r="A404" s="1" t="s">
        <v>372</v>
      </c>
      <c r="B404" s="1" t="s">
        <v>8</v>
      </c>
      <c r="C404" s="2" t="s">
        <v>25</v>
      </c>
      <c r="D404" s="2">
        <v>8.6</v>
      </c>
      <c r="E404" s="2">
        <v>2010.0</v>
      </c>
      <c r="F404" s="2" t="s">
        <v>10</v>
      </c>
      <c r="G404" s="2" t="s">
        <v>10</v>
      </c>
    </row>
    <row r="405" ht="14.25" customHeight="1">
      <c r="A405" s="1" t="s">
        <v>373</v>
      </c>
      <c r="B405" s="1" t="s">
        <v>8</v>
      </c>
      <c r="C405" s="2" t="s">
        <v>9</v>
      </c>
      <c r="D405" s="2">
        <v>8.6</v>
      </c>
      <c r="E405" s="2">
        <v>2014.0</v>
      </c>
      <c r="F405" s="2">
        <v>2016.0</v>
      </c>
      <c r="G405" s="2" t="s">
        <v>10</v>
      </c>
    </row>
    <row r="406" ht="14.25" customHeight="1">
      <c r="A406" s="1" t="s">
        <v>374</v>
      </c>
      <c r="B406" s="1" t="s">
        <v>8</v>
      </c>
      <c r="C406" s="2" t="s">
        <v>40</v>
      </c>
      <c r="D406" s="2">
        <v>8.6</v>
      </c>
      <c r="E406" s="2">
        <v>2022.0</v>
      </c>
      <c r="F406" s="2" t="s">
        <v>10</v>
      </c>
      <c r="G406" s="2" t="s">
        <v>10</v>
      </c>
    </row>
    <row r="407" ht="14.25" customHeight="1">
      <c r="A407" s="1" t="s">
        <v>375</v>
      </c>
      <c r="B407" s="1" t="s">
        <v>8</v>
      </c>
      <c r="C407" s="2" t="s">
        <v>154</v>
      </c>
      <c r="D407" s="2">
        <v>8.6</v>
      </c>
      <c r="E407" s="2">
        <v>2015.0</v>
      </c>
      <c r="F407" s="2" t="s">
        <v>10</v>
      </c>
      <c r="G407" s="2" t="s">
        <v>10</v>
      </c>
    </row>
    <row r="408" ht="14.25" customHeight="1">
      <c r="A408" s="1" t="s">
        <v>376</v>
      </c>
      <c r="B408" s="1" t="s">
        <v>8</v>
      </c>
      <c r="C408" s="2" t="s">
        <v>9</v>
      </c>
      <c r="D408" s="2">
        <v>8.6</v>
      </c>
      <c r="E408" s="2">
        <v>2009.0</v>
      </c>
      <c r="F408" s="2">
        <v>2009.0</v>
      </c>
      <c r="G408" s="2" t="s">
        <v>10</v>
      </c>
    </row>
    <row r="409" ht="14.25" customHeight="1">
      <c r="A409" s="1" t="s">
        <v>377</v>
      </c>
      <c r="B409" s="1" t="s">
        <v>8</v>
      </c>
      <c r="C409" s="2" t="s">
        <v>18</v>
      </c>
      <c r="D409" s="2">
        <v>8.6</v>
      </c>
      <c r="E409" s="2">
        <v>2021.0</v>
      </c>
      <c r="F409" s="2" t="s">
        <v>10</v>
      </c>
      <c r="G409" s="2" t="s">
        <v>10</v>
      </c>
    </row>
    <row r="410" ht="14.25" customHeight="1">
      <c r="A410" s="1" t="s">
        <v>378</v>
      </c>
      <c r="B410" s="1" t="s">
        <v>8</v>
      </c>
      <c r="C410" s="2" t="s">
        <v>291</v>
      </c>
      <c r="D410" s="2">
        <v>8.6</v>
      </c>
      <c r="E410" s="2">
        <v>2020.0</v>
      </c>
      <c r="F410" s="2" t="s">
        <v>10</v>
      </c>
      <c r="G410" s="2" t="s">
        <v>10</v>
      </c>
    </row>
    <row r="411" ht="14.25" customHeight="1">
      <c r="A411" s="1" t="s">
        <v>379</v>
      </c>
      <c r="B411" s="1" t="s">
        <v>8</v>
      </c>
      <c r="C411" s="2" t="s">
        <v>187</v>
      </c>
      <c r="D411" s="2">
        <v>8.6</v>
      </c>
      <c r="E411" s="2">
        <v>2020.0</v>
      </c>
      <c r="F411" s="2">
        <v>2020.0</v>
      </c>
      <c r="G411" s="2" t="s">
        <v>10</v>
      </c>
    </row>
    <row r="412" ht="14.25" customHeight="1">
      <c r="A412" s="1" t="s">
        <v>380</v>
      </c>
      <c r="B412" s="1" t="s">
        <v>8</v>
      </c>
      <c r="C412" s="2" t="s">
        <v>226</v>
      </c>
      <c r="D412" s="2">
        <v>8.6</v>
      </c>
      <c r="E412" s="2">
        <v>1960.0</v>
      </c>
      <c r="F412" s="2" t="s">
        <v>10</v>
      </c>
      <c r="G412" s="2" t="s">
        <v>10</v>
      </c>
    </row>
    <row r="413" ht="14.25" customHeight="1">
      <c r="A413" s="1" t="s">
        <v>381</v>
      </c>
      <c r="B413" s="1" t="s">
        <v>8</v>
      </c>
      <c r="C413" s="2" t="s">
        <v>154</v>
      </c>
      <c r="D413" s="2">
        <v>8.6</v>
      </c>
      <c r="E413" s="2">
        <v>2004.0</v>
      </c>
      <c r="F413" s="2">
        <v>2004.0</v>
      </c>
      <c r="G413" s="2" t="s">
        <v>10</v>
      </c>
    </row>
    <row r="414" ht="14.25" customHeight="1">
      <c r="A414" s="1" t="s">
        <v>382</v>
      </c>
      <c r="B414" s="1" t="s">
        <v>8</v>
      </c>
      <c r="C414" s="2" t="s">
        <v>53</v>
      </c>
      <c r="D414" s="2">
        <v>8.6</v>
      </c>
      <c r="E414" s="2">
        <v>2012.0</v>
      </c>
      <c r="F414" s="2" t="s">
        <v>10</v>
      </c>
      <c r="G414" s="2" t="s">
        <v>10</v>
      </c>
    </row>
    <row r="415" ht="14.25" customHeight="1">
      <c r="A415" s="1" t="s">
        <v>383</v>
      </c>
      <c r="B415" s="1" t="s">
        <v>8</v>
      </c>
      <c r="C415" s="2" t="s">
        <v>107</v>
      </c>
      <c r="D415" s="2">
        <v>8.6</v>
      </c>
      <c r="E415" s="2">
        <v>2003.0</v>
      </c>
      <c r="F415" s="2" t="s">
        <v>10</v>
      </c>
      <c r="G415" s="2" t="s">
        <v>10</v>
      </c>
    </row>
    <row r="416" ht="14.25" customHeight="1">
      <c r="A416" s="1" t="s">
        <v>384</v>
      </c>
      <c r="B416" s="1" t="s">
        <v>8</v>
      </c>
      <c r="C416" s="2" t="s">
        <v>18</v>
      </c>
      <c r="D416" s="2">
        <v>8.6</v>
      </c>
      <c r="E416" s="2">
        <v>2018.0</v>
      </c>
      <c r="F416" s="2">
        <v>2019.0</v>
      </c>
      <c r="G416" s="2" t="s">
        <v>10</v>
      </c>
    </row>
    <row r="417" ht="14.25" customHeight="1">
      <c r="A417" s="1" t="s">
        <v>385</v>
      </c>
      <c r="B417" s="1" t="s">
        <v>8</v>
      </c>
      <c r="C417" s="2" t="s">
        <v>44</v>
      </c>
      <c r="D417" s="2">
        <v>8.6</v>
      </c>
      <c r="E417" s="2">
        <v>2012.0</v>
      </c>
      <c r="F417" s="2">
        <v>2020.0</v>
      </c>
      <c r="G417" s="2" t="s">
        <v>10</v>
      </c>
    </row>
    <row r="418" ht="14.25" customHeight="1">
      <c r="A418" s="1" t="s">
        <v>386</v>
      </c>
      <c r="B418" s="1" t="s">
        <v>8</v>
      </c>
      <c r="C418" s="2" t="s">
        <v>32</v>
      </c>
      <c r="D418" s="2">
        <v>8.6</v>
      </c>
      <c r="E418" s="2">
        <v>2016.0</v>
      </c>
      <c r="F418" s="2" t="s">
        <v>10</v>
      </c>
      <c r="G418" s="2" t="s">
        <v>10</v>
      </c>
    </row>
    <row r="419" ht="14.25" customHeight="1">
      <c r="A419" s="1" t="s">
        <v>387</v>
      </c>
      <c r="B419" s="1" t="s">
        <v>8</v>
      </c>
      <c r="C419" s="2" t="s">
        <v>284</v>
      </c>
      <c r="D419" s="2">
        <v>8.6</v>
      </c>
      <c r="E419" s="2">
        <v>2016.0</v>
      </c>
      <c r="F419" s="2" t="s">
        <v>10</v>
      </c>
      <c r="G419" s="2" t="s">
        <v>10</v>
      </c>
    </row>
    <row r="420" ht="14.25" customHeight="1">
      <c r="A420" s="1" t="s">
        <v>388</v>
      </c>
      <c r="B420" s="1" t="s">
        <v>8</v>
      </c>
      <c r="C420" s="2" t="s">
        <v>18</v>
      </c>
      <c r="D420" s="2">
        <v>8.6</v>
      </c>
      <c r="E420" s="2">
        <v>2022.0</v>
      </c>
      <c r="F420" s="2" t="s">
        <v>10</v>
      </c>
      <c r="G420" s="2">
        <v>5500000.0</v>
      </c>
    </row>
    <row r="421" ht="14.25" customHeight="1">
      <c r="A421" s="1" t="s">
        <v>388</v>
      </c>
      <c r="B421" s="1" t="s">
        <v>8</v>
      </c>
      <c r="C421" s="2" t="s">
        <v>18</v>
      </c>
      <c r="D421" s="2">
        <v>8.6</v>
      </c>
      <c r="E421" s="2">
        <v>2022.0</v>
      </c>
      <c r="F421" s="2" t="s">
        <v>10</v>
      </c>
      <c r="G421" s="2">
        <v>6780000.0</v>
      </c>
    </row>
    <row r="422" ht="14.25" customHeight="1">
      <c r="A422" s="1" t="s">
        <v>388</v>
      </c>
      <c r="B422" s="1" t="s">
        <v>8</v>
      </c>
      <c r="C422" s="2" t="s">
        <v>18</v>
      </c>
      <c r="D422" s="2">
        <v>8.6</v>
      </c>
      <c r="E422" s="2">
        <v>2022.0</v>
      </c>
      <c r="F422" s="2" t="s">
        <v>10</v>
      </c>
      <c r="G422" s="2">
        <v>6980000.0</v>
      </c>
    </row>
    <row r="423" ht="14.25" customHeight="1">
      <c r="A423" s="1" t="s">
        <v>388</v>
      </c>
      <c r="B423" s="1" t="s">
        <v>8</v>
      </c>
      <c r="C423" s="2" t="s">
        <v>18</v>
      </c>
      <c r="D423" s="2">
        <v>8.6</v>
      </c>
      <c r="E423" s="2">
        <v>2022.0</v>
      </c>
      <c r="F423" s="2" t="s">
        <v>10</v>
      </c>
      <c r="G423" s="2">
        <v>8370000.0</v>
      </c>
    </row>
    <row r="424" ht="14.25" customHeight="1">
      <c r="A424" s="1" t="s">
        <v>388</v>
      </c>
      <c r="B424" s="1" t="s">
        <v>8</v>
      </c>
      <c r="C424" s="2" t="s">
        <v>18</v>
      </c>
      <c r="D424" s="2">
        <v>8.6</v>
      </c>
      <c r="E424" s="2">
        <v>2022.0</v>
      </c>
      <c r="F424" s="2" t="s">
        <v>10</v>
      </c>
      <c r="G424" s="2">
        <v>8990000.0</v>
      </c>
    </row>
    <row r="425" ht="14.25" customHeight="1">
      <c r="A425" s="1" t="s">
        <v>388</v>
      </c>
      <c r="B425" s="1" t="s">
        <v>8</v>
      </c>
      <c r="C425" s="2" t="s">
        <v>18</v>
      </c>
      <c r="D425" s="2">
        <v>8.6</v>
      </c>
      <c r="E425" s="2">
        <v>2022.0</v>
      </c>
      <c r="F425" s="2" t="s">
        <v>10</v>
      </c>
      <c r="G425" s="2">
        <v>1.049E7</v>
      </c>
    </row>
    <row r="426" ht="14.25" customHeight="1">
      <c r="A426" s="1" t="s">
        <v>388</v>
      </c>
      <c r="B426" s="1" t="s">
        <v>8</v>
      </c>
      <c r="C426" s="2" t="s">
        <v>18</v>
      </c>
      <c r="D426" s="2">
        <v>8.6</v>
      </c>
      <c r="E426" s="2">
        <v>2022.0</v>
      </c>
      <c r="F426" s="2" t="s">
        <v>10</v>
      </c>
      <c r="G426" s="2">
        <v>1.215E7</v>
      </c>
    </row>
    <row r="427" ht="14.25" customHeight="1">
      <c r="A427" s="1" t="s">
        <v>388</v>
      </c>
      <c r="B427" s="1" t="s">
        <v>8</v>
      </c>
      <c r="C427" s="2" t="s">
        <v>18</v>
      </c>
      <c r="D427" s="2">
        <v>8.6</v>
      </c>
      <c r="E427" s="2">
        <v>2022.0</v>
      </c>
      <c r="F427" s="2" t="s">
        <v>10</v>
      </c>
      <c r="G427" s="2">
        <v>1.222E7</v>
      </c>
    </row>
    <row r="428" ht="14.25" customHeight="1">
      <c r="A428" s="1" t="s">
        <v>388</v>
      </c>
      <c r="B428" s="1" t="s">
        <v>8</v>
      </c>
      <c r="C428" s="2" t="s">
        <v>18</v>
      </c>
      <c r="D428" s="2">
        <v>8.6</v>
      </c>
      <c r="E428" s="2">
        <v>2022.0</v>
      </c>
      <c r="F428" s="2" t="s">
        <v>10</v>
      </c>
      <c r="G428" s="2">
        <v>1.337E7</v>
      </c>
    </row>
    <row r="429" ht="14.25" customHeight="1">
      <c r="A429" s="1" t="s">
        <v>388</v>
      </c>
      <c r="B429" s="1" t="s">
        <v>8</v>
      </c>
      <c r="C429" s="2" t="s">
        <v>18</v>
      </c>
      <c r="D429" s="2">
        <v>8.6</v>
      </c>
      <c r="E429" s="2">
        <v>2022.0</v>
      </c>
      <c r="F429" s="2" t="s">
        <v>10</v>
      </c>
      <c r="G429" s="2">
        <v>1.689E7</v>
      </c>
    </row>
    <row r="430" ht="14.25" customHeight="1">
      <c r="A430" s="1" t="s">
        <v>388</v>
      </c>
      <c r="B430" s="1" t="s">
        <v>8</v>
      </c>
      <c r="C430" s="2" t="s">
        <v>18</v>
      </c>
      <c r="D430" s="2">
        <v>8.6</v>
      </c>
      <c r="E430" s="2">
        <v>2022.0</v>
      </c>
      <c r="F430" s="2" t="s">
        <v>10</v>
      </c>
      <c r="G430" s="2">
        <v>2.197E7</v>
      </c>
    </row>
    <row r="431" ht="14.25" customHeight="1">
      <c r="A431" s="1" t="s">
        <v>388</v>
      </c>
      <c r="B431" s="1" t="s">
        <v>8</v>
      </c>
      <c r="C431" s="2" t="s">
        <v>18</v>
      </c>
      <c r="D431" s="2">
        <v>8.6</v>
      </c>
      <c r="E431" s="2">
        <v>2022.0</v>
      </c>
      <c r="F431" s="2" t="s">
        <v>10</v>
      </c>
      <c r="G431" s="2">
        <v>3.164E7</v>
      </c>
    </row>
    <row r="432" ht="14.25" customHeight="1">
      <c r="A432" s="1" t="s">
        <v>388</v>
      </c>
      <c r="B432" s="1" t="s">
        <v>8</v>
      </c>
      <c r="C432" s="2" t="s">
        <v>18</v>
      </c>
      <c r="D432" s="2">
        <v>8.6</v>
      </c>
      <c r="E432" s="2">
        <v>2022.0</v>
      </c>
      <c r="F432" s="2" t="s">
        <v>10</v>
      </c>
      <c r="G432" s="2">
        <v>4.882E7</v>
      </c>
    </row>
    <row r="433" ht="14.25" customHeight="1">
      <c r="A433" s="1" t="s">
        <v>388</v>
      </c>
      <c r="B433" s="1" t="s">
        <v>8</v>
      </c>
      <c r="C433" s="2" t="s">
        <v>18</v>
      </c>
      <c r="D433" s="2">
        <v>8.6</v>
      </c>
      <c r="E433" s="2">
        <v>2022.0</v>
      </c>
      <c r="F433" s="2" t="s">
        <v>10</v>
      </c>
      <c r="G433" s="2">
        <v>5.389E7</v>
      </c>
    </row>
    <row r="434" ht="14.25" customHeight="1">
      <c r="A434" s="1" t="s">
        <v>388</v>
      </c>
      <c r="B434" s="1" t="s">
        <v>8</v>
      </c>
      <c r="C434" s="2" t="s">
        <v>18</v>
      </c>
      <c r="D434" s="2">
        <v>8.6</v>
      </c>
      <c r="E434" s="2">
        <v>2022.0</v>
      </c>
      <c r="F434" s="2" t="s">
        <v>10</v>
      </c>
      <c r="G434" s="2">
        <v>7.743E7</v>
      </c>
    </row>
    <row r="435" ht="14.25" customHeight="1">
      <c r="A435" s="1" t="s">
        <v>388</v>
      </c>
      <c r="B435" s="1" t="s">
        <v>8</v>
      </c>
      <c r="C435" s="2" t="s">
        <v>18</v>
      </c>
      <c r="D435" s="2">
        <v>8.6</v>
      </c>
      <c r="E435" s="2">
        <v>2022.0</v>
      </c>
      <c r="F435" s="2" t="s">
        <v>10</v>
      </c>
      <c r="G435" s="2">
        <v>6.936E7</v>
      </c>
    </row>
    <row r="436" ht="14.25" customHeight="1">
      <c r="A436" s="1" t="s">
        <v>388</v>
      </c>
      <c r="B436" s="1" t="s">
        <v>8</v>
      </c>
      <c r="C436" s="2" t="s">
        <v>18</v>
      </c>
      <c r="D436" s="2">
        <v>8.6</v>
      </c>
      <c r="E436" s="2">
        <v>2022.0</v>
      </c>
      <c r="F436" s="2" t="s">
        <v>10</v>
      </c>
      <c r="G436" s="2">
        <v>6.701E7</v>
      </c>
    </row>
    <row r="437" ht="14.25" customHeight="1">
      <c r="A437" s="1" t="s">
        <v>388</v>
      </c>
      <c r="B437" s="1" t="s">
        <v>8</v>
      </c>
      <c r="C437" s="2" t="s">
        <v>18</v>
      </c>
      <c r="D437" s="2">
        <v>8.6</v>
      </c>
      <c r="E437" s="2">
        <v>2022.0</v>
      </c>
      <c r="F437" s="2" t="s">
        <v>10</v>
      </c>
      <c r="G437" s="2">
        <v>6.563E7</v>
      </c>
    </row>
    <row r="438" ht="14.25" customHeight="1">
      <c r="A438" s="1" t="s">
        <v>388</v>
      </c>
      <c r="B438" s="1" t="s">
        <v>8</v>
      </c>
      <c r="C438" s="2" t="s">
        <v>18</v>
      </c>
      <c r="D438" s="2">
        <v>8.6</v>
      </c>
      <c r="E438" s="2">
        <v>2022.0</v>
      </c>
      <c r="F438" s="2" t="s">
        <v>10</v>
      </c>
      <c r="G438" s="2">
        <v>5.507E7</v>
      </c>
    </row>
    <row r="439" ht="14.25" customHeight="1">
      <c r="A439" s="1" t="s">
        <v>388</v>
      </c>
      <c r="B439" s="1" t="s">
        <v>8</v>
      </c>
      <c r="C439" s="2" t="s">
        <v>18</v>
      </c>
      <c r="D439" s="2">
        <v>8.6</v>
      </c>
      <c r="E439" s="2">
        <v>2022.0</v>
      </c>
      <c r="F439" s="2" t="s">
        <v>10</v>
      </c>
      <c r="G439" s="2">
        <v>4.558E7</v>
      </c>
    </row>
    <row r="440" ht="14.25" customHeight="1">
      <c r="A440" s="1" t="s">
        <v>388</v>
      </c>
      <c r="B440" s="1" t="s">
        <v>8</v>
      </c>
      <c r="C440" s="2" t="s">
        <v>18</v>
      </c>
      <c r="D440" s="2">
        <v>8.6</v>
      </c>
      <c r="E440" s="2">
        <v>2022.0</v>
      </c>
      <c r="F440" s="2" t="s">
        <v>10</v>
      </c>
      <c r="G440" s="2">
        <v>2.395E7</v>
      </c>
    </row>
    <row r="441" ht="14.25" customHeight="1">
      <c r="A441" s="1" t="s">
        <v>389</v>
      </c>
      <c r="B441" s="1" t="s">
        <v>8</v>
      </c>
      <c r="C441" s="2" t="s">
        <v>25</v>
      </c>
      <c r="D441" s="2">
        <v>8.6</v>
      </c>
      <c r="E441" s="2">
        <v>2003.0</v>
      </c>
      <c r="F441" s="2" t="s">
        <v>10</v>
      </c>
      <c r="G441" s="2" t="s">
        <v>10</v>
      </c>
    </row>
    <row r="442" ht="14.25" customHeight="1">
      <c r="A442" s="1" t="s">
        <v>390</v>
      </c>
      <c r="B442" s="1" t="s">
        <v>8</v>
      </c>
      <c r="C442" s="2" t="s">
        <v>391</v>
      </c>
      <c r="D442" s="2">
        <v>8.6</v>
      </c>
      <c r="E442" s="2">
        <v>1988.0</v>
      </c>
      <c r="F442" s="2">
        <v>1999.0</v>
      </c>
      <c r="G442" s="2" t="s">
        <v>10</v>
      </c>
    </row>
    <row r="443" ht="14.25" customHeight="1">
      <c r="A443" s="1" t="s">
        <v>392</v>
      </c>
      <c r="B443" s="1" t="s">
        <v>8</v>
      </c>
      <c r="C443" s="2" t="s">
        <v>118</v>
      </c>
      <c r="D443" s="2">
        <v>8.6</v>
      </c>
      <c r="E443" s="2">
        <v>2014.0</v>
      </c>
      <c r="F443" s="2" t="s">
        <v>10</v>
      </c>
      <c r="G443" s="2" t="s">
        <v>10</v>
      </c>
    </row>
    <row r="444" ht="14.25" customHeight="1">
      <c r="A444" s="1" t="s">
        <v>393</v>
      </c>
      <c r="B444" s="1" t="s">
        <v>20</v>
      </c>
      <c r="C444" s="2" t="s">
        <v>60</v>
      </c>
      <c r="D444" s="2">
        <v>8.6</v>
      </c>
      <c r="E444" s="2">
        <v>2003.0</v>
      </c>
      <c r="F444" s="2" t="s">
        <v>10</v>
      </c>
      <c r="G444" s="2" t="s">
        <v>10</v>
      </c>
    </row>
    <row r="445" ht="14.25" customHeight="1">
      <c r="A445" s="1" t="s">
        <v>394</v>
      </c>
      <c r="B445" s="1" t="s">
        <v>8</v>
      </c>
      <c r="C445" s="2" t="s">
        <v>395</v>
      </c>
      <c r="D445" s="2">
        <v>8.6</v>
      </c>
      <c r="E445" s="2">
        <v>2023.0</v>
      </c>
      <c r="F445" s="2" t="s">
        <v>10</v>
      </c>
      <c r="G445" s="2" t="s">
        <v>10</v>
      </c>
    </row>
    <row r="446" ht="14.25" customHeight="1">
      <c r="A446" s="1" t="s">
        <v>396</v>
      </c>
      <c r="B446" s="1" t="s">
        <v>8</v>
      </c>
      <c r="C446" s="2" t="s">
        <v>9</v>
      </c>
      <c r="D446" s="2">
        <v>8.6</v>
      </c>
      <c r="E446" s="2">
        <v>2013.0</v>
      </c>
      <c r="F446" s="2">
        <v>2020.0</v>
      </c>
      <c r="G446" s="2" t="s">
        <v>10</v>
      </c>
    </row>
    <row r="447" ht="14.25" customHeight="1">
      <c r="A447" s="1" t="s">
        <v>397</v>
      </c>
      <c r="B447" s="1" t="s">
        <v>8</v>
      </c>
      <c r="C447" s="2" t="s">
        <v>32</v>
      </c>
      <c r="D447" s="2">
        <v>8.6</v>
      </c>
      <c r="E447" s="2">
        <v>2014.0</v>
      </c>
      <c r="F447" s="2" t="s">
        <v>10</v>
      </c>
      <c r="G447" s="2" t="s">
        <v>10</v>
      </c>
    </row>
    <row r="448" ht="14.25" customHeight="1">
      <c r="A448" s="1" t="s">
        <v>398</v>
      </c>
      <c r="B448" s="1" t="s">
        <v>8</v>
      </c>
      <c r="C448" s="2" t="s">
        <v>32</v>
      </c>
      <c r="D448" s="2">
        <v>8.6</v>
      </c>
      <c r="E448" s="2">
        <v>1997.0</v>
      </c>
      <c r="F448" s="2" t="s">
        <v>10</v>
      </c>
      <c r="G448" s="2" t="s">
        <v>10</v>
      </c>
    </row>
    <row r="449" ht="14.25" customHeight="1">
      <c r="A449" s="1" t="s">
        <v>399</v>
      </c>
      <c r="B449" s="1" t="s">
        <v>8</v>
      </c>
      <c r="C449" s="2" t="s">
        <v>400</v>
      </c>
      <c r="D449" s="2">
        <v>8.6</v>
      </c>
      <c r="E449" s="2">
        <v>2012.0</v>
      </c>
      <c r="F449" s="2" t="s">
        <v>10</v>
      </c>
      <c r="G449" s="2" t="s">
        <v>10</v>
      </c>
    </row>
    <row r="450" ht="14.25" customHeight="1">
      <c r="A450" s="1" t="s">
        <v>401</v>
      </c>
      <c r="B450" s="1" t="s">
        <v>8</v>
      </c>
      <c r="C450" s="2" t="s">
        <v>32</v>
      </c>
      <c r="D450" s="2">
        <v>8.6</v>
      </c>
      <c r="E450" s="2">
        <v>2004.0</v>
      </c>
      <c r="F450" s="2" t="s">
        <v>10</v>
      </c>
      <c r="G450" s="2" t="s">
        <v>10</v>
      </c>
    </row>
    <row r="451" ht="14.25" customHeight="1">
      <c r="A451" s="1" t="s">
        <v>402</v>
      </c>
      <c r="B451" s="1" t="s">
        <v>8</v>
      </c>
      <c r="C451" s="2" t="s">
        <v>32</v>
      </c>
      <c r="D451" s="2">
        <v>8.6</v>
      </c>
      <c r="E451" s="2">
        <v>2012.0</v>
      </c>
      <c r="F451" s="2" t="s">
        <v>10</v>
      </c>
      <c r="G451" s="2" t="s">
        <v>10</v>
      </c>
    </row>
    <row r="452" ht="14.25" customHeight="1">
      <c r="A452" s="1" t="s">
        <v>403</v>
      </c>
      <c r="B452" s="1" t="s">
        <v>8</v>
      </c>
      <c r="C452" s="2" t="s">
        <v>25</v>
      </c>
      <c r="D452" s="2">
        <v>8.6</v>
      </c>
      <c r="E452" s="2">
        <v>2020.0</v>
      </c>
      <c r="F452" s="2" t="s">
        <v>10</v>
      </c>
      <c r="G452" s="2" t="s">
        <v>10</v>
      </c>
    </row>
    <row r="453" ht="14.25" customHeight="1">
      <c r="A453" s="1" t="s">
        <v>404</v>
      </c>
      <c r="B453" s="1" t="s">
        <v>8</v>
      </c>
      <c r="C453" s="2" t="s">
        <v>18</v>
      </c>
      <c r="D453" s="2">
        <v>8.6</v>
      </c>
      <c r="E453" s="2">
        <v>2018.0</v>
      </c>
      <c r="F453" s="2" t="s">
        <v>10</v>
      </c>
      <c r="G453" s="2" t="s">
        <v>10</v>
      </c>
    </row>
    <row r="454" ht="14.25" customHeight="1">
      <c r="A454" s="1" t="s">
        <v>405</v>
      </c>
      <c r="B454" s="1" t="s">
        <v>20</v>
      </c>
      <c r="C454" s="2" t="s">
        <v>12</v>
      </c>
      <c r="D454" s="2">
        <v>8.6</v>
      </c>
      <c r="E454" s="2">
        <v>2005.0</v>
      </c>
      <c r="F454" s="2" t="s">
        <v>10</v>
      </c>
      <c r="G454" s="2" t="s">
        <v>10</v>
      </c>
    </row>
    <row r="455" ht="14.25" customHeight="1">
      <c r="A455" s="1" t="s">
        <v>406</v>
      </c>
      <c r="B455" s="1" t="s">
        <v>8</v>
      </c>
      <c r="C455" s="2" t="s">
        <v>53</v>
      </c>
      <c r="D455" s="2">
        <v>8.6</v>
      </c>
      <c r="E455" s="2">
        <v>2002.0</v>
      </c>
      <c r="F455" s="2" t="s">
        <v>10</v>
      </c>
      <c r="G455" s="2" t="s">
        <v>10</v>
      </c>
    </row>
    <row r="456" ht="14.25" customHeight="1">
      <c r="A456" s="1" t="s">
        <v>407</v>
      </c>
      <c r="B456" s="1" t="s">
        <v>20</v>
      </c>
      <c r="C456" s="2" t="s">
        <v>32</v>
      </c>
      <c r="D456" s="2">
        <v>8.6</v>
      </c>
      <c r="E456" s="2">
        <v>1977.0</v>
      </c>
      <c r="F456" s="2" t="s">
        <v>10</v>
      </c>
      <c r="G456" s="2" t="s">
        <v>10</v>
      </c>
    </row>
    <row r="457" ht="14.25" customHeight="1">
      <c r="A457" s="1" t="s">
        <v>408</v>
      </c>
      <c r="B457" s="1" t="s">
        <v>8</v>
      </c>
      <c r="C457" s="2" t="s">
        <v>12</v>
      </c>
      <c r="D457" s="2">
        <v>8.6</v>
      </c>
      <c r="E457" s="2">
        <v>2010.0</v>
      </c>
      <c r="F457" s="2" t="s">
        <v>10</v>
      </c>
      <c r="G457" s="2" t="s">
        <v>10</v>
      </c>
    </row>
    <row r="458" ht="14.25" customHeight="1">
      <c r="A458" s="1" t="s">
        <v>409</v>
      </c>
      <c r="B458" s="1" t="s">
        <v>8</v>
      </c>
      <c r="C458" s="2" t="s">
        <v>63</v>
      </c>
      <c r="D458" s="2">
        <v>8.6</v>
      </c>
      <c r="E458" s="2">
        <v>2020.0</v>
      </c>
      <c r="F458" s="2" t="s">
        <v>10</v>
      </c>
      <c r="G458" s="2" t="s">
        <v>10</v>
      </c>
    </row>
    <row r="459" ht="14.25" customHeight="1">
      <c r="A459" s="1" t="s">
        <v>410</v>
      </c>
      <c r="B459" s="1" t="s">
        <v>8</v>
      </c>
      <c r="C459" s="2" t="s">
        <v>411</v>
      </c>
      <c r="D459" s="2">
        <v>8.6</v>
      </c>
      <c r="E459" s="2">
        <v>2020.0</v>
      </c>
      <c r="F459" s="2" t="s">
        <v>10</v>
      </c>
      <c r="G459" s="2" t="s">
        <v>10</v>
      </c>
    </row>
    <row r="460" ht="14.25" customHeight="1">
      <c r="A460" s="1" t="s">
        <v>412</v>
      </c>
      <c r="B460" s="1" t="s">
        <v>20</v>
      </c>
      <c r="C460" s="2" t="s">
        <v>112</v>
      </c>
      <c r="D460" s="2">
        <v>8.6</v>
      </c>
      <c r="E460" s="2">
        <v>1996.0</v>
      </c>
      <c r="F460" s="2" t="s">
        <v>10</v>
      </c>
      <c r="G460" s="2" t="s">
        <v>10</v>
      </c>
    </row>
    <row r="461" ht="14.25" customHeight="1">
      <c r="A461" s="1" t="s">
        <v>413</v>
      </c>
      <c r="B461" s="1" t="s">
        <v>20</v>
      </c>
      <c r="C461" s="2" t="s">
        <v>284</v>
      </c>
      <c r="D461" s="2">
        <v>8.6</v>
      </c>
      <c r="E461" s="2">
        <v>2000.0</v>
      </c>
      <c r="F461" s="2" t="s">
        <v>10</v>
      </c>
      <c r="G461" s="2" t="s">
        <v>10</v>
      </c>
    </row>
    <row r="462" ht="14.25" customHeight="1">
      <c r="A462" s="1" t="s">
        <v>414</v>
      </c>
      <c r="B462" s="1" t="s">
        <v>8</v>
      </c>
      <c r="C462" s="2" t="s">
        <v>32</v>
      </c>
      <c r="D462" s="2">
        <v>8.6</v>
      </c>
      <c r="E462" s="2">
        <v>1980.0</v>
      </c>
      <c r="F462" s="2" t="s">
        <v>10</v>
      </c>
      <c r="G462" s="2" t="s">
        <v>10</v>
      </c>
    </row>
    <row r="463" ht="14.25" customHeight="1">
      <c r="A463" s="1" t="s">
        <v>415</v>
      </c>
      <c r="B463" s="1" t="s">
        <v>8</v>
      </c>
      <c r="C463" s="2" t="s">
        <v>32</v>
      </c>
      <c r="D463" s="2">
        <v>8.6</v>
      </c>
      <c r="E463" s="2">
        <v>2014.0</v>
      </c>
      <c r="F463" s="2" t="s">
        <v>10</v>
      </c>
      <c r="G463" s="2" t="s">
        <v>10</v>
      </c>
    </row>
    <row r="464" ht="14.25" customHeight="1">
      <c r="A464" s="1" t="s">
        <v>416</v>
      </c>
      <c r="B464" s="1" t="s">
        <v>8</v>
      </c>
      <c r="C464" s="2" t="s">
        <v>154</v>
      </c>
      <c r="D464" s="2">
        <v>8.6</v>
      </c>
      <c r="E464" s="2">
        <v>2018.0</v>
      </c>
      <c r="F464" s="2" t="s">
        <v>10</v>
      </c>
      <c r="G464" s="2" t="s">
        <v>10</v>
      </c>
    </row>
    <row r="465" ht="14.25" customHeight="1">
      <c r="A465" s="1" t="s">
        <v>417</v>
      </c>
      <c r="B465" s="1" t="s">
        <v>8</v>
      </c>
      <c r="C465" s="2" t="s">
        <v>25</v>
      </c>
      <c r="D465" s="2">
        <v>8.6</v>
      </c>
      <c r="E465" s="2">
        <v>1999.0</v>
      </c>
      <c r="F465" s="2" t="s">
        <v>10</v>
      </c>
      <c r="G465" s="2" t="s">
        <v>10</v>
      </c>
    </row>
    <row r="466" ht="14.25" customHeight="1">
      <c r="A466" s="1" t="s">
        <v>418</v>
      </c>
      <c r="B466" s="1" t="s">
        <v>8</v>
      </c>
      <c r="C466" s="2" t="s">
        <v>419</v>
      </c>
      <c r="D466" s="2">
        <v>8.6</v>
      </c>
      <c r="E466" s="2">
        <v>2004.0</v>
      </c>
      <c r="F466" s="2" t="s">
        <v>10</v>
      </c>
      <c r="G466" s="2" t="s">
        <v>10</v>
      </c>
    </row>
    <row r="467" ht="14.25" customHeight="1">
      <c r="A467" s="1" t="s">
        <v>420</v>
      </c>
      <c r="B467" s="1" t="s">
        <v>8</v>
      </c>
      <c r="C467" s="2" t="s">
        <v>154</v>
      </c>
      <c r="D467" s="2">
        <v>8.6</v>
      </c>
      <c r="E467" s="2">
        <v>2022.0</v>
      </c>
      <c r="F467" s="2" t="s">
        <v>10</v>
      </c>
      <c r="G467" s="2">
        <v>9580000.0</v>
      </c>
    </row>
    <row r="468" ht="14.25" customHeight="1">
      <c r="A468" s="1" t="s">
        <v>420</v>
      </c>
      <c r="B468" s="1" t="s">
        <v>8</v>
      </c>
      <c r="C468" s="2" t="s">
        <v>154</v>
      </c>
      <c r="D468" s="2">
        <v>8.6</v>
      </c>
      <c r="E468" s="2">
        <v>2022.0</v>
      </c>
      <c r="F468" s="2" t="s">
        <v>10</v>
      </c>
      <c r="G468" s="2">
        <v>1.134E7</v>
      </c>
    </row>
    <row r="469" ht="14.25" customHeight="1">
      <c r="A469" s="1" t="s">
        <v>420</v>
      </c>
      <c r="B469" s="1" t="s">
        <v>8</v>
      </c>
      <c r="C469" s="2" t="s">
        <v>154</v>
      </c>
      <c r="D469" s="2">
        <v>8.6</v>
      </c>
      <c r="E469" s="2">
        <v>2022.0</v>
      </c>
      <c r="F469" s="2" t="s">
        <v>10</v>
      </c>
      <c r="G469" s="2">
        <v>1.408E7</v>
      </c>
    </row>
    <row r="470" ht="14.25" customHeight="1">
      <c r="A470" s="1" t="s">
        <v>420</v>
      </c>
      <c r="B470" s="1" t="s">
        <v>8</v>
      </c>
      <c r="C470" s="2" t="s">
        <v>154</v>
      </c>
      <c r="D470" s="2">
        <v>8.6</v>
      </c>
      <c r="E470" s="2">
        <v>2022.0</v>
      </c>
      <c r="F470" s="2" t="s">
        <v>10</v>
      </c>
      <c r="G470" s="2">
        <v>2.253E7</v>
      </c>
    </row>
    <row r="471" ht="14.25" customHeight="1">
      <c r="A471" s="1" t="s">
        <v>420</v>
      </c>
      <c r="B471" s="1" t="s">
        <v>8</v>
      </c>
      <c r="C471" s="2" t="s">
        <v>154</v>
      </c>
      <c r="D471" s="2">
        <v>8.6</v>
      </c>
      <c r="E471" s="2">
        <v>2022.0</v>
      </c>
      <c r="F471" s="2" t="s">
        <v>10</v>
      </c>
      <c r="G471" s="2">
        <v>2.621E7</v>
      </c>
    </row>
    <row r="472" ht="14.25" customHeight="1">
      <c r="A472" s="1" t="s">
        <v>420</v>
      </c>
      <c r="B472" s="1" t="s">
        <v>8</v>
      </c>
      <c r="C472" s="2" t="s">
        <v>154</v>
      </c>
      <c r="D472" s="2">
        <v>8.6</v>
      </c>
      <c r="E472" s="2">
        <v>2022.0</v>
      </c>
      <c r="F472" s="2" t="s">
        <v>10</v>
      </c>
      <c r="G472" s="2">
        <v>2.415E7</v>
      </c>
    </row>
    <row r="473" ht="14.25" customHeight="1">
      <c r="A473" s="1" t="s">
        <v>420</v>
      </c>
      <c r="B473" s="1" t="s">
        <v>8</v>
      </c>
      <c r="C473" s="2" t="s">
        <v>154</v>
      </c>
      <c r="D473" s="2">
        <v>8.6</v>
      </c>
      <c r="E473" s="2">
        <v>2022.0</v>
      </c>
      <c r="F473" s="2" t="s">
        <v>10</v>
      </c>
      <c r="G473" s="2">
        <v>2.104E7</v>
      </c>
    </row>
    <row r="474" ht="14.25" customHeight="1">
      <c r="A474" s="1" t="s">
        <v>420</v>
      </c>
      <c r="B474" s="1" t="s">
        <v>8</v>
      </c>
      <c r="C474" s="2" t="s">
        <v>154</v>
      </c>
      <c r="D474" s="2">
        <v>8.6</v>
      </c>
      <c r="E474" s="2">
        <v>2022.0</v>
      </c>
      <c r="F474" s="2" t="s">
        <v>10</v>
      </c>
      <c r="G474" s="2">
        <v>1.711E7</v>
      </c>
    </row>
    <row r="475" ht="14.25" customHeight="1">
      <c r="A475" s="1" t="s">
        <v>420</v>
      </c>
      <c r="B475" s="1" t="s">
        <v>8</v>
      </c>
      <c r="C475" s="2" t="s">
        <v>154</v>
      </c>
      <c r="D475" s="2">
        <v>8.6</v>
      </c>
      <c r="E475" s="2">
        <v>2022.0</v>
      </c>
      <c r="F475" s="2" t="s">
        <v>10</v>
      </c>
      <c r="G475" s="2">
        <v>1.372E7</v>
      </c>
    </row>
    <row r="476" ht="14.25" customHeight="1">
      <c r="A476" s="1" t="s">
        <v>420</v>
      </c>
      <c r="B476" s="1" t="s">
        <v>8</v>
      </c>
      <c r="C476" s="2" t="s">
        <v>154</v>
      </c>
      <c r="D476" s="2">
        <v>8.6</v>
      </c>
      <c r="E476" s="2">
        <v>2022.0</v>
      </c>
      <c r="F476" s="2" t="s">
        <v>10</v>
      </c>
      <c r="G476" s="2">
        <v>1.185E7</v>
      </c>
    </row>
    <row r="477" ht="14.25" customHeight="1">
      <c r="A477" s="1" t="s">
        <v>421</v>
      </c>
      <c r="B477" s="1" t="s">
        <v>8</v>
      </c>
      <c r="C477" s="2" t="s">
        <v>163</v>
      </c>
      <c r="D477" s="2">
        <v>8.6</v>
      </c>
      <c r="E477" s="2">
        <v>2021.0</v>
      </c>
      <c r="F477" s="2" t="s">
        <v>10</v>
      </c>
      <c r="G477" s="2" t="s">
        <v>10</v>
      </c>
    </row>
    <row r="478" ht="14.25" customHeight="1">
      <c r="A478" s="1" t="s">
        <v>422</v>
      </c>
      <c r="B478" s="1" t="s">
        <v>8</v>
      </c>
      <c r="C478" s="2" t="s">
        <v>395</v>
      </c>
      <c r="D478" s="2">
        <v>8.6</v>
      </c>
      <c r="E478" s="2">
        <v>2018.0</v>
      </c>
      <c r="F478" s="2">
        <v>2021.0</v>
      </c>
      <c r="G478" s="2" t="s">
        <v>10</v>
      </c>
    </row>
    <row r="479" ht="14.25" customHeight="1">
      <c r="A479" s="1" t="s">
        <v>423</v>
      </c>
      <c r="B479" s="1" t="s">
        <v>8</v>
      </c>
      <c r="C479" s="2" t="s">
        <v>14</v>
      </c>
      <c r="D479" s="2">
        <v>8.6</v>
      </c>
      <c r="E479" s="2">
        <v>1998.0</v>
      </c>
      <c r="F479" s="2" t="s">
        <v>10</v>
      </c>
      <c r="G479" s="2" t="s">
        <v>10</v>
      </c>
    </row>
    <row r="480" ht="14.25" customHeight="1">
      <c r="A480" s="1" t="s">
        <v>424</v>
      </c>
      <c r="B480" s="1" t="s">
        <v>8</v>
      </c>
      <c r="C480" s="2" t="s">
        <v>425</v>
      </c>
      <c r="D480" s="2">
        <v>8.6</v>
      </c>
      <c r="E480" s="2">
        <v>2010.0</v>
      </c>
      <c r="F480" s="2">
        <v>2021.0</v>
      </c>
      <c r="G480" s="2">
        <v>4300000.0</v>
      </c>
    </row>
    <row r="481" ht="14.25" customHeight="1">
      <c r="A481" s="1" t="s">
        <v>424</v>
      </c>
      <c r="B481" s="1" t="s">
        <v>8</v>
      </c>
      <c r="C481" s="2" t="s">
        <v>425</v>
      </c>
      <c r="D481" s="2">
        <v>8.6</v>
      </c>
      <c r="E481" s="2">
        <v>2010.0</v>
      </c>
      <c r="F481" s="2">
        <v>2021.0</v>
      </c>
      <c r="G481" s="2">
        <v>3500000.0</v>
      </c>
    </row>
    <row r="482" ht="14.25" customHeight="1">
      <c r="A482" s="1" t="s">
        <v>426</v>
      </c>
      <c r="B482" s="1" t="s">
        <v>8</v>
      </c>
      <c r="C482" s="2" t="s">
        <v>32</v>
      </c>
      <c r="D482" s="2">
        <v>8.6</v>
      </c>
      <c r="E482" s="2">
        <v>1986.0</v>
      </c>
      <c r="F482" s="2" t="s">
        <v>10</v>
      </c>
      <c r="G482" s="2" t="s">
        <v>10</v>
      </c>
    </row>
    <row r="483" ht="14.25" customHeight="1">
      <c r="A483" s="1" t="s">
        <v>427</v>
      </c>
      <c r="B483" s="1" t="s">
        <v>8</v>
      </c>
      <c r="C483" s="2" t="s">
        <v>428</v>
      </c>
      <c r="D483" s="2">
        <v>8.6</v>
      </c>
      <c r="E483" s="2">
        <v>2021.0</v>
      </c>
      <c r="F483" s="2" t="s">
        <v>10</v>
      </c>
      <c r="G483" s="2" t="s">
        <v>10</v>
      </c>
    </row>
    <row r="484" ht="14.25" customHeight="1">
      <c r="A484" s="1" t="s">
        <v>429</v>
      </c>
      <c r="B484" s="1" t="s">
        <v>8</v>
      </c>
      <c r="C484" s="2" t="s">
        <v>287</v>
      </c>
      <c r="D484" s="2">
        <v>8.6</v>
      </c>
      <c r="E484" s="2">
        <v>2016.0</v>
      </c>
      <c r="F484" s="2" t="s">
        <v>10</v>
      </c>
      <c r="G484" s="2" t="s">
        <v>10</v>
      </c>
    </row>
    <row r="485" ht="14.25" customHeight="1">
      <c r="A485" s="1" t="s">
        <v>430</v>
      </c>
      <c r="B485" s="1" t="s">
        <v>8</v>
      </c>
      <c r="C485" s="2" t="s">
        <v>32</v>
      </c>
      <c r="D485" s="2">
        <v>8.6</v>
      </c>
      <c r="E485" s="2">
        <v>1997.0</v>
      </c>
      <c r="F485" s="2" t="s">
        <v>10</v>
      </c>
      <c r="G485" s="2" t="s">
        <v>10</v>
      </c>
    </row>
    <row r="486" ht="14.25" customHeight="1">
      <c r="A486" s="1" t="s">
        <v>431</v>
      </c>
      <c r="B486" s="1" t="s">
        <v>8</v>
      </c>
      <c r="C486" s="2" t="s">
        <v>49</v>
      </c>
      <c r="D486" s="2">
        <v>8.6</v>
      </c>
      <c r="E486" s="2">
        <v>2019.0</v>
      </c>
      <c r="F486" s="2">
        <v>2019.0</v>
      </c>
      <c r="G486" s="2" t="s">
        <v>10</v>
      </c>
    </row>
    <row r="487" ht="14.25" customHeight="1">
      <c r="A487" s="1" t="s">
        <v>432</v>
      </c>
      <c r="B487" s="1" t="s">
        <v>8</v>
      </c>
      <c r="C487" s="2" t="s">
        <v>433</v>
      </c>
      <c r="D487" s="2">
        <v>8.6</v>
      </c>
      <c r="E487" s="2">
        <v>2020.0</v>
      </c>
      <c r="F487" s="2" t="s">
        <v>10</v>
      </c>
      <c r="G487" s="2">
        <v>7620000.0</v>
      </c>
    </row>
    <row r="488" ht="14.25" customHeight="1">
      <c r="A488" s="1" t="s">
        <v>432</v>
      </c>
      <c r="B488" s="1" t="s">
        <v>8</v>
      </c>
      <c r="C488" s="2" t="s">
        <v>433</v>
      </c>
      <c r="D488" s="2">
        <v>8.6</v>
      </c>
      <c r="E488" s="2">
        <v>2020.0</v>
      </c>
      <c r="F488" s="2" t="s">
        <v>10</v>
      </c>
      <c r="G488" s="2">
        <v>9770000.0</v>
      </c>
    </row>
    <row r="489" ht="14.25" customHeight="1">
      <c r="A489" s="1" t="s">
        <v>432</v>
      </c>
      <c r="B489" s="1" t="s">
        <v>8</v>
      </c>
      <c r="C489" s="2" t="s">
        <v>433</v>
      </c>
      <c r="D489" s="2">
        <v>8.6</v>
      </c>
      <c r="E489" s="2">
        <v>2020.0</v>
      </c>
      <c r="F489" s="2" t="s">
        <v>10</v>
      </c>
      <c r="G489" s="2">
        <v>1.367E7</v>
      </c>
    </row>
    <row r="490" ht="14.25" customHeight="1">
      <c r="A490" s="1" t="s">
        <v>432</v>
      </c>
      <c r="B490" s="1" t="s">
        <v>8</v>
      </c>
      <c r="C490" s="2" t="s">
        <v>433</v>
      </c>
      <c r="D490" s="2">
        <v>8.6</v>
      </c>
      <c r="E490" s="2">
        <v>2020.0</v>
      </c>
      <c r="F490" s="2" t="s">
        <v>10</v>
      </c>
      <c r="G490" s="2">
        <v>2.047E7</v>
      </c>
    </row>
    <row r="491" ht="14.25" customHeight="1">
      <c r="A491" s="1" t="s">
        <v>432</v>
      </c>
      <c r="B491" s="1" t="s">
        <v>8</v>
      </c>
      <c r="C491" s="2" t="s">
        <v>433</v>
      </c>
      <c r="D491" s="2">
        <v>8.6</v>
      </c>
      <c r="E491" s="2">
        <v>2020.0</v>
      </c>
      <c r="F491" s="2" t="s">
        <v>10</v>
      </c>
      <c r="G491" s="2">
        <v>3.244E7</v>
      </c>
    </row>
    <row r="492" ht="14.25" customHeight="1">
      <c r="A492" s="1" t="s">
        <v>432</v>
      </c>
      <c r="B492" s="1" t="s">
        <v>8</v>
      </c>
      <c r="C492" s="2" t="s">
        <v>433</v>
      </c>
      <c r="D492" s="2">
        <v>8.6</v>
      </c>
      <c r="E492" s="2">
        <v>2020.0</v>
      </c>
      <c r="F492" s="2" t="s">
        <v>10</v>
      </c>
      <c r="G492" s="2">
        <v>2.095E7</v>
      </c>
    </row>
    <row r="493" ht="14.25" customHeight="1">
      <c r="A493" s="1" t="s">
        <v>434</v>
      </c>
      <c r="B493" s="1" t="s">
        <v>20</v>
      </c>
      <c r="C493" s="2" t="s">
        <v>287</v>
      </c>
      <c r="D493" s="2">
        <v>8.6</v>
      </c>
      <c r="E493" s="2">
        <v>2022.0</v>
      </c>
      <c r="F493" s="2" t="s">
        <v>10</v>
      </c>
      <c r="G493" s="2" t="s">
        <v>10</v>
      </c>
    </row>
    <row r="494" ht="14.25" customHeight="1">
      <c r="A494" s="1" t="s">
        <v>435</v>
      </c>
      <c r="B494" s="1" t="s">
        <v>8</v>
      </c>
      <c r="C494" s="2" t="s">
        <v>32</v>
      </c>
      <c r="D494" s="2">
        <v>8.6</v>
      </c>
      <c r="E494" s="2">
        <v>2024.0</v>
      </c>
      <c r="F494" s="2" t="s">
        <v>10</v>
      </c>
      <c r="G494" s="2" t="s">
        <v>10</v>
      </c>
    </row>
    <row r="495" ht="14.25" customHeight="1">
      <c r="A495" s="1" t="s">
        <v>436</v>
      </c>
      <c r="B495" s="1" t="s">
        <v>20</v>
      </c>
      <c r="C495" s="2" t="s">
        <v>18</v>
      </c>
      <c r="D495" s="2">
        <v>8.6</v>
      </c>
      <c r="E495" s="2">
        <v>1973.0</v>
      </c>
      <c r="F495" s="2" t="s">
        <v>10</v>
      </c>
      <c r="G495" s="2" t="s">
        <v>10</v>
      </c>
    </row>
    <row r="496" ht="14.25" customHeight="1">
      <c r="A496" s="1" t="s">
        <v>437</v>
      </c>
      <c r="B496" s="1" t="s">
        <v>8</v>
      </c>
      <c r="C496" s="2" t="s">
        <v>187</v>
      </c>
      <c r="D496" s="2">
        <v>8.6</v>
      </c>
      <c r="E496" s="2">
        <v>2019.0</v>
      </c>
      <c r="F496" s="2" t="s">
        <v>10</v>
      </c>
      <c r="G496" s="2" t="s">
        <v>10</v>
      </c>
    </row>
    <row r="497" ht="14.25" customHeight="1">
      <c r="A497" s="1" t="s">
        <v>438</v>
      </c>
      <c r="B497" s="1" t="s">
        <v>8</v>
      </c>
      <c r="C497" s="2" t="s">
        <v>163</v>
      </c>
      <c r="D497" s="2">
        <v>8.6</v>
      </c>
      <c r="E497" s="2">
        <v>2019.0</v>
      </c>
      <c r="F497" s="2" t="s">
        <v>10</v>
      </c>
      <c r="G497" s="2" t="s">
        <v>10</v>
      </c>
    </row>
    <row r="498" ht="14.25" customHeight="1">
      <c r="A498" s="1" t="s">
        <v>88</v>
      </c>
      <c r="B498" s="1" t="s">
        <v>8</v>
      </c>
      <c r="C498" s="2" t="s">
        <v>25</v>
      </c>
      <c r="D498" s="2">
        <v>8.6</v>
      </c>
      <c r="E498" s="2">
        <v>1999.0</v>
      </c>
      <c r="F498" s="2" t="s">
        <v>10</v>
      </c>
      <c r="G498" s="2" t="s">
        <v>10</v>
      </c>
    </row>
    <row r="499" ht="14.25" customHeight="1">
      <c r="A499" s="1" t="s">
        <v>439</v>
      </c>
      <c r="B499" s="1" t="s">
        <v>8</v>
      </c>
      <c r="C499" s="2" t="s">
        <v>187</v>
      </c>
      <c r="D499" s="2">
        <v>8.6</v>
      </c>
      <c r="E499" s="2">
        <v>2015.0</v>
      </c>
      <c r="F499" s="2" t="s">
        <v>10</v>
      </c>
      <c r="G499" s="2" t="s">
        <v>10</v>
      </c>
    </row>
    <row r="500" ht="14.25" customHeight="1">
      <c r="A500" s="1" t="s">
        <v>440</v>
      </c>
      <c r="B500" s="1" t="s">
        <v>20</v>
      </c>
      <c r="C500" s="2" t="s">
        <v>441</v>
      </c>
      <c r="D500" s="2">
        <v>8.5</v>
      </c>
      <c r="E500" s="2">
        <v>2012.0</v>
      </c>
      <c r="F500" s="2">
        <v>2012.0</v>
      </c>
      <c r="G500" s="2" t="s">
        <v>10</v>
      </c>
    </row>
    <row r="501" ht="14.25" customHeight="1">
      <c r="A501" s="1" t="s">
        <v>442</v>
      </c>
      <c r="B501" s="1" t="s">
        <v>20</v>
      </c>
      <c r="C501" s="2" t="s">
        <v>34</v>
      </c>
      <c r="D501" s="2">
        <v>8.5</v>
      </c>
      <c r="E501" s="2">
        <v>2000.0</v>
      </c>
      <c r="F501" s="2" t="s">
        <v>10</v>
      </c>
      <c r="G501" s="2" t="s">
        <v>10</v>
      </c>
    </row>
    <row r="502" ht="14.25" customHeight="1">
      <c r="A502" s="1" t="s">
        <v>443</v>
      </c>
      <c r="B502" s="1" t="s">
        <v>20</v>
      </c>
      <c r="C502" s="2" t="s">
        <v>231</v>
      </c>
      <c r="D502" s="2">
        <v>8.5</v>
      </c>
      <c r="E502" s="2">
        <v>2006.0</v>
      </c>
      <c r="F502" s="2" t="s">
        <v>10</v>
      </c>
      <c r="G502" s="2" t="s">
        <v>10</v>
      </c>
    </row>
    <row r="503" ht="14.25" customHeight="1">
      <c r="A503" s="1" t="s">
        <v>444</v>
      </c>
      <c r="B503" s="1" t="s">
        <v>20</v>
      </c>
      <c r="C503" s="2" t="s">
        <v>9</v>
      </c>
      <c r="D503" s="2">
        <v>8.5</v>
      </c>
      <c r="E503" s="2">
        <v>2006.0</v>
      </c>
      <c r="F503" s="2">
        <v>2006.0</v>
      </c>
      <c r="G503" s="2" t="s">
        <v>10</v>
      </c>
    </row>
    <row r="504" ht="14.25" customHeight="1">
      <c r="A504" s="1" t="s">
        <v>445</v>
      </c>
      <c r="B504" s="1" t="s">
        <v>20</v>
      </c>
      <c r="C504" s="2" t="s">
        <v>446</v>
      </c>
      <c r="D504" s="2">
        <v>8.5</v>
      </c>
      <c r="E504" s="2">
        <v>1985.0</v>
      </c>
      <c r="F504" s="2" t="s">
        <v>10</v>
      </c>
      <c r="G504" s="2" t="s">
        <v>10</v>
      </c>
    </row>
    <row r="505" ht="14.25" customHeight="1">
      <c r="A505" s="1" t="s">
        <v>447</v>
      </c>
      <c r="B505" s="1" t="s">
        <v>20</v>
      </c>
      <c r="C505" s="2" t="s">
        <v>69</v>
      </c>
      <c r="D505" s="2">
        <v>8.5</v>
      </c>
      <c r="E505" s="2">
        <v>1994.0</v>
      </c>
      <c r="F505" s="2" t="s">
        <v>10</v>
      </c>
      <c r="G505" s="2" t="s">
        <v>10</v>
      </c>
    </row>
    <row r="506" ht="14.25" customHeight="1">
      <c r="A506" s="1" t="s">
        <v>448</v>
      </c>
      <c r="B506" s="1" t="s">
        <v>20</v>
      </c>
      <c r="C506" s="2" t="s">
        <v>36</v>
      </c>
      <c r="D506" s="2">
        <v>8.5</v>
      </c>
      <c r="E506" s="2">
        <v>1998.0</v>
      </c>
      <c r="F506" s="2">
        <v>1998.0</v>
      </c>
      <c r="G506" s="2" t="s">
        <v>10</v>
      </c>
    </row>
    <row r="507" ht="14.25" customHeight="1">
      <c r="A507" s="1" t="s">
        <v>449</v>
      </c>
      <c r="B507" s="1" t="s">
        <v>20</v>
      </c>
      <c r="C507" s="2" t="s">
        <v>395</v>
      </c>
      <c r="D507" s="2">
        <v>8.5</v>
      </c>
      <c r="E507" s="2">
        <v>1994.0</v>
      </c>
      <c r="F507" s="2" t="s">
        <v>10</v>
      </c>
      <c r="G507" s="2" t="s">
        <v>10</v>
      </c>
    </row>
    <row r="508" ht="14.25" customHeight="1">
      <c r="A508" s="1" t="s">
        <v>450</v>
      </c>
      <c r="B508" s="1" t="s">
        <v>20</v>
      </c>
      <c r="C508" s="2" t="s">
        <v>53</v>
      </c>
      <c r="D508" s="2">
        <v>8.5</v>
      </c>
      <c r="E508" s="2">
        <v>1995.0</v>
      </c>
      <c r="F508" s="2" t="s">
        <v>10</v>
      </c>
      <c r="G508" s="2" t="s">
        <v>10</v>
      </c>
    </row>
    <row r="509" ht="14.25" customHeight="1">
      <c r="A509" s="1" t="s">
        <v>451</v>
      </c>
      <c r="B509" s="1" t="s">
        <v>20</v>
      </c>
      <c r="C509" s="2" t="s">
        <v>452</v>
      </c>
      <c r="D509" s="2">
        <v>8.5</v>
      </c>
      <c r="E509" s="2">
        <v>2014.0</v>
      </c>
      <c r="F509" s="2" t="s">
        <v>10</v>
      </c>
      <c r="G509" s="2" t="s">
        <v>10</v>
      </c>
    </row>
    <row r="510" ht="14.25" customHeight="1">
      <c r="A510" s="1" t="s">
        <v>453</v>
      </c>
      <c r="B510" s="1" t="s">
        <v>20</v>
      </c>
      <c r="C510" s="2" t="s">
        <v>299</v>
      </c>
      <c r="D510" s="2">
        <v>8.5</v>
      </c>
      <c r="E510" s="2">
        <v>2019.0</v>
      </c>
      <c r="F510" s="2" t="s">
        <v>10</v>
      </c>
      <c r="G510" s="2" t="s">
        <v>10</v>
      </c>
    </row>
    <row r="511" ht="14.25" customHeight="1">
      <c r="A511" s="1" t="s">
        <v>454</v>
      </c>
      <c r="B511" s="1" t="s">
        <v>20</v>
      </c>
      <c r="C511" s="2" t="s">
        <v>455</v>
      </c>
      <c r="D511" s="2">
        <v>8.5</v>
      </c>
      <c r="E511" s="2">
        <v>1979.0</v>
      </c>
      <c r="F511" s="2" t="s">
        <v>10</v>
      </c>
      <c r="G511" s="2" t="s">
        <v>10</v>
      </c>
    </row>
    <row r="512" ht="14.25" customHeight="1">
      <c r="A512" s="1" t="s">
        <v>456</v>
      </c>
      <c r="B512" s="1" t="s">
        <v>20</v>
      </c>
      <c r="C512" s="2" t="s">
        <v>63</v>
      </c>
      <c r="D512" s="2">
        <v>8.5</v>
      </c>
      <c r="E512" s="2">
        <v>2011.0</v>
      </c>
      <c r="F512" s="2">
        <v>2011.0</v>
      </c>
      <c r="G512" s="2" t="s">
        <v>10</v>
      </c>
    </row>
    <row r="513" ht="14.25" customHeight="1">
      <c r="A513" s="1" t="s">
        <v>457</v>
      </c>
      <c r="B513" s="1" t="s">
        <v>20</v>
      </c>
      <c r="C513" s="2" t="s">
        <v>311</v>
      </c>
      <c r="D513" s="2">
        <v>8.5</v>
      </c>
      <c r="E513" s="2">
        <v>2002.0</v>
      </c>
      <c r="F513" s="2">
        <v>2002.0</v>
      </c>
      <c r="G513" s="2" t="s">
        <v>10</v>
      </c>
    </row>
    <row r="514" ht="14.25" customHeight="1">
      <c r="A514" s="1" t="s">
        <v>458</v>
      </c>
      <c r="B514" s="1" t="s">
        <v>20</v>
      </c>
      <c r="C514" s="2" t="s">
        <v>459</v>
      </c>
      <c r="D514" s="2">
        <v>8.5</v>
      </c>
      <c r="E514" s="2">
        <v>1960.0</v>
      </c>
      <c r="F514" s="2">
        <v>2020.0</v>
      </c>
      <c r="G514" s="2" t="s">
        <v>10</v>
      </c>
    </row>
    <row r="515" ht="14.25" customHeight="1">
      <c r="A515" s="1" t="s">
        <v>460</v>
      </c>
      <c r="B515" s="1" t="s">
        <v>20</v>
      </c>
      <c r="C515" s="2" t="s">
        <v>461</v>
      </c>
      <c r="D515" s="2">
        <v>8.5</v>
      </c>
      <c r="E515" s="2">
        <v>1942.0</v>
      </c>
      <c r="F515" s="2" t="s">
        <v>10</v>
      </c>
      <c r="G515" s="2" t="s">
        <v>10</v>
      </c>
    </row>
    <row r="516" ht="14.25" customHeight="1">
      <c r="A516" s="1" t="s">
        <v>462</v>
      </c>
      <c r="B516" s="1" t="s">
        <v>8</v>
      </c>
      <c r="C516" s="2" t="s">
        <v>34</v>
      </c>
      <c r="D516" s="2">
        <v>8.5</v>
      </c>
      <c r="E516" s="2">
        <v>2013.0</v>
      </c>
      <c r="F516" s="2" t="s">
        <v>10</v>
      </c>
      <c r="G516" s="2" t="s">
        <v>10</v>
      </c>
    </row>
    <row r="517" ht="14.25" customHeight="1">
      <c r="A517" s="1" t="s">
        <v>463</v>
      </c>
      <c r="B517" s="1" t="s">
        <v>8</v>
      </c>
      <c r="C517" s="2" t="s">
        <v>18</v>
      </c>
      <c r="D517" s="2">
        <v>8.5</v>
      </c>
      <c r="E517" s="2">
        <v>2020.0</v>
      </c>
      <c r="F517" s="2">
        <v>2020.0</v>
      </c>
      <c r="G517" s="2" t="s">
        <v>10</v>
      </c>
    </row>
    <row r="518" ht="14.25" customHeight="1">
      <c r="A518" s="1" t="s">
        <v>464</v>
      </c>
      <c r="B518" s="1" t="s">
        <v>20</v>
      </c>
      <c r="C518" s="2" t="s">
        <v>18</v>
      </c>
      <c r="D518" s="2">
        <v>8.5</v>
      </c>
      <c r="E518" s="2">
        <v>2022.0</v>
      </c>
      <c r="F518" s="2" t="s">
        <v>10</v>
      </c>
      <c r="G518" s="2" t="s">
        <v>10</v>
      </c>
    </row>
    <row r="519" ht="14.25" customHeight="1">
      <c r="A519" s="1" t="s">
        <v>465</v>
      </c>
      <c r="B519" s="1" t="s">
        <v>20</v>
      </c>
      <c r="C519" s="2" t="s">
        <v>34</v>
      </c>
      <c r="D519" s="2">
        <v>8.5</v>
      </c>
      <c r="E519" s="2">
        <v>2024.0</v>
      </c>
      <c r="F519" s="2" t="s">
        <v>10</v>
      </c>
      <c r="G519" s="2" t="s">
        <v>10</v>
      </c>
    </row>
    <row r="520" ht="14.25" customHeight="1">
      <c r="A520" s="1" t="s">
        <v>466</v>
      </c>
      <c r="B520" s="1" t="s">
        <v>8</v>
      </c>
      <c r="C520" s="2" t="s">
        <v>231</v>
      </c>
      <c r="D520" s="2">
        <v>8.5</v>
      </c>
      <c r="E520" s="2">
        <v>2016.0</v>
      </c>
      <c r="F520" s="2" t="s">
        <v>10</v>
      </c>
      <c r="G520" s="2" t="s">
        <v>10</v>
      </c>
    </row>
    <row r="521" ht="14.25" customHeight="1">
      <c r="A521" s="1" t="s">
        <v>467</v>
      </c>
      <c r="B521" s="1" t="s">
        <v>20</v>
      </c>
      <c r="C521" s="2" t="s">
        <v>468</v>
      </c>
      <c r="D521" s="2">
        <v>8.5</v>
      </c>
      <c r="E521" s="2">
        <v>1954.0</v>
      </c>
      <c r="F521" s="2" t="s">
        <v>10</v>
      </c>
      <c r="G521" s="2" t="s">
        <v>10</v>
      </c>
    </row>
    <row r="522" ht="14.25" customHeight="1">
      <c r="A522" s="1" t="s">
        <v>469</v>
      </c>
      <c r="B522" s="1" t="s">
        <v>8</v>
      </c>
      <c r="C522" s="2" t="s">
        <v>187</v>
      </c>
      <c r="D522" s="2">
        <v>8.5</v>
      </c>
      <c r="E522" s="2">
        <v>2009.0</v>
      </c>
      <c r="F522" s="2" t="s">
        <v>10</v>
      </c>
      <c r="G522" s="2" t="s">
        <v>10</v>
      </c>
    </row>
    <row r="523" ht="14.25" customHeight="1">
      <c r="A523" s="1" t="s">
        <v>470</v>
      </c>
      <c r="B523" s="1" t="s">
        <v>8</v>
      </c>
      <c r="C523" s="2" t="s">
        <v>9</v>
      </c>
      <c r="D523" s="2">
        <v>8.5</v>
      </c>
      <c r="E523" s="2">
        <v>2015.0</v>
      </c>
      <c r="F523" s="2" t="s">
        <v>10</v>
      </c>
      <c r="G523" s="2" t="s">
        <v>10</v>
      </c>
    </row>
    <row r="524" ht="14.25" customHeight="1">
      <c r="A524" s="1" t="s">
        <v>471</v>
      </c>
      <c r="B524" s="1" t="s">
        <v>8</v>
      </c>
      <c r="C524" s="2" t="s">
        <v>9</v>
      </c>
      <c r="D524" s="2">
        <v>8.5</v>
      </c>
      <c r="E524" s="2">
        <v>2017.0</v>
      </c>
      <c r="F524" s="2">
        <v>2020.0</v>
      </c>
      <c r="G524" s="2">
        <v>1.677E7</v>
      </c>
    </row>
    <row r="525" ht="14.25" customHeight="1">
      <c r="A525" s="1" t="s">
        <v>471</v>
      </c>
      <c r="B525" s="1" t="s">
        <v>8</v>
      </c>
      <c r="C525" s="2" t="s">
        <v>9</v>
      </c>
      <c r="D525" s="2">
        <v>8.5</v>
      </c>
      <c r="E525" s="2">
        <v>2017.0</v>
      </c>
      <c r="F525" s="2">
        <v>2020.0</v>
      </c>
      <c r="G525" s="2">
        <v>2.191E7</v>
      </c>
    </row>
    <row r="526" ht="14.25" customHeight="1">
      <c r="A526" s="1" t="s">
        <v>471</v>
      </c>
      <c r="B526" s="1" t="s">
        <v>8</v>
      </c>
      <c r="C526" s="2" t="s">
        <v>9</v>
      </c>
      <c r="D526" s="2">
        <v>8.5</v>
      </c>
      <c r="E526" s="2">
        <v>2017.0</v>
      </c>
      <c r="F526" s="2">
        <v>2020.0</v>
      </c>
      <c r="G526" s="2">
        <v>3.14E7</v>
      </c>
    </row>
    <row r="527" ht="14.25" customHeight="1">
      <c r="A527" s="1" t="s">
        <v>471</v>
      </c>
      <c r="B527" s="1" t="s">
        <v>8</v>
      </c>
      <c r="C527" s="2" t="s">
        <v>9</v>
      </c>
      <c r="D527" s="2">
        <v>8.5</v>
      </c>
      <c r="E527" s="2">
        <v>2017.0</v>
      </c>
      <c r="F527" s="2">
        <v>2020.0</v>
      </c>
      <c r="G527" s="2">
        <v>4.862E7</v>
      </c>
    </row>
    <row r="528" ht="14.25" customHeight="1">
      <c r="A528" s="1" t="s">
        <v>471</v>
      </c>
      <c r="B528" s="1" t="s">
        <v>8</v>
      </c>
      <c r="C528" s="2" t="s">
        <v>9</v>
      </c>
      <c r="D528" s="2">
        <v>8.5</v>
      </c>
      <c r="E528" s="2">
        <v>2017.0</v>
      </c>
      <c r="F528" s="2">
        <v>2020.0</v>
      </c>
      <c r="G528" s="2">
        <v>1.0212E8</v>
      </c>
    </row>
    <row r="529" ht="14.25" customHeight="1">
      <c r="A529" s="1" t="s">
        <v>471</v>
      </c>
      <c r="B529" s="1" t="s">
        <v>8</v>
      </c>
      <c r="C529" s="2" t="s">
        <v>9</v>
      </c>
      <c r="D529" s="2">
        <v>8.5</v>
      </c>
      <c r="E529" s="2">
        <v>2017.0</v>
      </c>
      <c r="F529" s="2">
        <v>2020.0</v>
      </c>
      <c r="G529" s="2">
        <v>1.364E7</v>
      </c>
    </row>
    <row r="530" ht="14.25" customHeight="1">
      <c r="A530" s="1" t="s">
        <v>471</v>
      </c>
      <c r="B530" s="1" t="s">
        <v>8</v>
      </c>
      <c r="C530" s="2" t="s">
        <v>9</v>
      </c>
      <c r="D530" s="2">
        <v>8.5</v>
      </c>
      <c r="E530" s="2">
        <v>2017.0</v>
      </c>
      <c r="F530" s="2">
        <v>2020.0</v>
      </c>
      <c r="G530" s="2">
        <v>7.84E7</v>
      </c>
    </row>
    <row r="531" ht="14.25" customHeight="1">
      <c r="A531" s="1" t="s">
        <v>471</v>
      </c>
      <c r="B531" s="1" t="s">
        <v>8</v>
      </c>
      <c r="C531" s="2" t="s">
        <v>9</v>
      </c>
      <c r="D531" s="2">
        <v>8.5</v>
      </c>
      <c r="E531" s="2">
        <v>2017.0</v>
      </c>
      <c r="F531" s="2">
        <v>2020.0</v>
      </c>
      <c r="G531" s="2">
        <v>9110000.0</v>
      </c>
    </row>
    <row r="532" ht="14.25" customHeight="1">
      <c r="A532" s="1" t="s">
        <v>471</v>
      </c>
      <c r="B532" s="1" t="s">
        <v>8</v>
      </c>
      <c r="C532" s="2" t="s">
        <v>9</v>
      </c>
      <c r="D532" s="2">
        <v>8.5</v>
      </c>
      <c r="E532" s="2">
        <v>2017.0</v>
      </c>
      <c r="F532" s="2">
        <v>2020.0</v>
      </c>
      <c r="G532" s="2">
        <v>1.286E7</v>
      </c>
    </row>
    <row r="533" ht="14.25" customHeight="1">
      <c r="A533" s="1" t="s">
        <v>471</v>
      </c>
      <c r="B533" s="1" t="s">
        <v>8</v>
      </c>
      <c r="C533" s="2" t="s">
        <v>9</v>
      </c>
      <c r="D533" s="2">
        <v>8.5</v>
      </c>
      <c r="E533" s="2">
        <v>2017.0</v>
      </c>
      <c r="F533" s="2">
        <v>2020.0</v>
      </c>
      <c r="G533" s="2">
        <v>1.799E7</v>
      </c>
    </row>
    <row r="534" ht="14.25" customHeight="1">
      <c r="A534" s="1" t="s">
        <v>471</v>
      </c>
      <c r="B534" s="1" t="s">
        <v>8</v>
      </c>
      <c r="C534" s="2" t="s">
        <v>9</v>
      </c>
      <c r="D534" s="2">
        <v>8.5</v>
      </c>
      <c r="E534" s="2">
        <v>2017.0</v>
      </c>
      <c r="F534" s="2">
        <v>2020.0</v>
      </c>
      <c r="G534" s="2">
        <v>2.477E7</v>
      </c>
    </row>
    <row r="535" ht="14.25" customHeight="1">
      <c r="A535" s="1" t="s">
        <v>471</v>
      </c>
      <c r="B535" s="1" t="s">
        <v>8</v>
      </c>
      <c r="C535" s="2" t="s">
        <v>9</v>
      </c>
      <c r="D535" s="2">
        <v>8.5</v>
      </c>
      <c r="E535" s="2">
        <v>2017.0</v>
      </c>
      <c r="F535" s="2">
        <v>2020.0</v>
      </c>
      <c r="G535" s="2">
        <v>4.463E7</v>
      </c>
    </row>
    <row r="536" ht="14.25" customHeight="1">
      <c r="A536" s="1" t="s">
        <v>471</v>
      </c>
      <c r="B536" s="1" t="s">
        <v>8</v>
      </c>
      <c r="C536" s="2" t="s">
        <v>9</v>
      </c>
      <c r="D536" s="2">
        <v>8.5</v>
      </c>
      <c r="E536" s="2">
        <v>2017.0</v>
      </c>
      <c r="F536" s="2">
        <v>2020.0</v>
      </c>
      <c r="G536" s="2">
        <v>1.993E7</v>
      </c>
    </row>
    <row r="537" ht="14.25" customHeight="1">
      <c r="A537" s="1" t="s">
        <v>471</v>
      </c>
      <c r="B537" s="1" t="s">
        <v>8</v>
      </c>
      <c r="C537" s="2" t="s">
        <v>9</v>
      </c>
      <c r="D537" s="2">
        <v>8.5</v>
      </c>
      <c r="E537" s="2">
        <v>2017.0</v>
      </c>
      <c r="F537" s="2">
        <v>2020.0</v>
      </c>
      <c r="G537" s="2">
        <v>1.736E7</v>
      </c>
    </row>
    <row r="538" ht="14.25" customHeight="1">
      <c r="A538" s="1" t="s">
        <v>471</v>
      </c>
      <c r="B538" s="1" t="s">
        <v>8</v>
      </c>
      <c r="C538" s="2" t="s">
        <v>9</v>
      </c>
      <c r="D538" s="2">
        <v>8.5</v>
      </c>
      <c r="E538" s="2">
        <v>2017.0</v>
      </c>
      <c r="F538" s="2">
        <v>2020.0</v>
      </c>
      <c r="G538" s="2">
        <v>1.721E7</v>
      </c>
    </row>
    <row r="539" ht="14.25" customHeight="1">
      <c r="A539" s="1" t="s">
        <v>471</v>
      </c>
      <c r="B539" s="1" t="s">
        <v>8</v>
      </c>
      <c r="C539" s="2" t="s">
        <v>9</v>
      </c>
      <c r="D539" s="2">
        <v>8.5</v>
      </c>
      <c r="E539" s="2">
        <v>2017.0</v>
      </c>
      <c r="F539" s="2">
        <v>2020.0</v>
      </c>
      <c r="G539" s="2">
        <v>9.634E7</v>
      </c>
    </row>
    <row r="540" ht="14.25" customHeight="1">
      <c r="A540" s="1" t="s">
        <v>471</v>
      </c>
      <c r="B540" s="1" t="s">
        <v>8</v>
      </c>
      <c r="C540" s="2" t="s">
        <v>9</v>
      </c>
      <c r="D540" s="2">
        <v>8.5</v>
      </c>
      <c r="E540" s="2">
        <v>2017.0</v>
      </c>
      <c r="F540" s="2">
        <v>2020.0</v>
      </c>
      <c r="G540" s="2">
        <v>3.523E7</v>
      </c>
    </row>
    <row r="541" ht="14.25" customHeight="1">
      <c r="A541" s="1" t="s">
        <v>471</v>
      </c>
      <c r="B541" s="1" t="s">
        <v>8</v>
      </c>
      <c r="C541" s="2" t="s">
        <v>9</v>
      </c>
      <c r="D541" s="2">
        <v>8.5</v>
      </c>
      <c r="E541" s="2">
        <v>2017.0</v>
      </c>
      <c r="F541" s="2">
        <v>2020.0</v>
      </c>
      <c r="G541" s="2">
        <v>2.154E7</v>
      </c>
    </row>
    <row r="542" ht="14.25" customHeight="1">
      <c r="A542" s="1" t="s">
        <v>471</v>
      </c>
      <c r="B542" s="1" t="s">
        <v>8</v>
      </c>
      <c r="C542" s="2" t="s">
        <v>9</v>
      </c>
      <c r="D542" s="2">
        <v>8.5</v>
      </c>
      <c r="E542" s="2">
        <v>2017.0</v>
      </c>
      <c r="F542" s="2">
        <v>2020.0</v>
      </c>
      <c r="G542" s="2">
        <v>2.028E7</v>
      </c>
    </row>
    <row r="543" ht="14.25" customHeight="1">
      <c r="A543" s="1" t="s">
        <v>471</v>
      </c>
      <c r="B543" s="1" t="s">
        <v>8</v>
      </c>
      <c r="C543" s="2" t="s">
        <v>9</v>
      </c>
      <c r="D543" s="2">
        <v>8.5</v>
      </c>
      <c r="E543" s="2">
        <v>2017.0</v>
      </c>
      <c r="F543" s="2">
        <v>2020.0</v>
      </c>
      <c r="G543" s="2">
        <v>7.701E7</v>
      </c>
    </row>
    <row r="544" ht="14.25" customHeight="1">
      <c r="A544" s="1" t="s">
        <v>471</v>
      </c>
      <c r="B544" s="1" t="s">
        <v>8</v>
      </c>
      <c r="C544" s="2" t="s">
        <v>9</v>
      </c>
      <c r="D544" s="2">
        <v>8.5</v>
      </c>
      <c r="E544" s="2">
        <v>2017.0</v>
      </c>
      <c r="F544" s="2">
        <v>2020.0</v>
      </c>
      <c r="G544" s="2">
        <v>2.448E7</v>
      </c>
    </row>
    <row r="545" ht="14.25" customHeight="1">
      <c r="A545" s="1" t="s">
        <v>472</v>
      </c>
      <c r="B545" s="1" t="s">
        <v>20</v>
      </c>
      <c r="C545" s="2" t="s">
        <v>249</v>
      </c>
      <c r="D545" s="2">
        <v>8.5</v>
      </c>
      <c r="E545" s="2">
        <v>1968.0</v>
      </c>
      <c r="F545" s="2">
        <v>1968.0</v>
      </c>
      <c r="G545" s="2" t="s">
        <v>10</v>
      </c>
    </row>
    <row r="546" ht="14.25" customHeight="1">
      <c r="A546" s="1" t="s">
        <v>473</v>
      </c>
      <c r="B546" s="1" t="s">
        <v>20</v>
      </c>
      <c r="C546" s="2" t="s">
        <v>474</v>
      </c>
      <c r="D546" s="2">
        <v>8.5</v>
      </c>
      <c r="E546" s="2">
        <v>1988.0</v>
      </c>
      <c r="F546" s="2" t="s">
        <v>10</v>
      </c>
      <c r="G546" s="2" t="s">
        <v>10</v>
      </c>
    </row>
    <row r="547" ht="14.25" customHeight="1">
      <c r="A547" s="1" t="s">
        <v>475</v>
      </c>
      <c r="B547" s="1" t="s">
        <v>8</v>
      </c>
      <c r="C547" s="2" t="s">
        <v>476</v>
      </c>
      <c r="D547" s="2">
        <v>8.5</v>
      </c>
      <c r="E547" s="2">
        <v>2018.0</v>
      </c>
      <c r="F547" s="2">
        <v>2018.0</v>
      </c>
      <c r="G547" s="2" t="s">
        <v>10</v>
      </c>
    </row>
    <row r="548" ht="14.25" customHeight="1">
      <c r="A548" s="1" t="s">
        <v>477</v>
      </c>
      <c r="B548" s="1" t="s">
        <v>8</v>
      </c>
      <c r="C548" s="2" t="s">
        <v>63</v>
      </c>
      <c r="D548" s="2">
        <v>8.5</v>
      </c>
      <c r="E548" s="2">
        <v>2011.0</v>
      </c>
      <c r="F548" s="2" t="s">
        <v>10</v>
      </c>
      <c r="G548" s="2" t="s">
        <v>10</v>
      </c>
    </row>
    <row r="549" ht="14.25" customHeight="1">
      <c r="A549" s="1" t="s">
        <v>478</v>
      </c>
      <c r="B549" s="1" t="s">
        <v>8</v>
      </c>
      <c r="C549" s="2" t="s">
        <v>32</v>
      </c>
      <c r="D549" s="2">
        <v>8.5</v>
      </c>
      <c r="E549" s="2">
        <v>2009.0</v>
      </c>
      <c r="F549" s="2">
        <v>2015.0</v>
      </c>
      <c r="G549" s="2" t="s">
        <v>10</v>
      </c>
    </row>
    <row r="550" ht="14.25" customHeight="1">
      <c r="A550" s="1" t="s">
        <v>479</v>
      </c>
      <c r="B550" s="1" t="s">
        <v>20</v>
      </c>
      <c r="C550" s="2" t="s">
        <v>154</v>
      </c>
      <c r="D550" s="2">
        <v>8.5</v>
      </c>
      <c r="E550" s="2">
        <v>1988.0</v>
      </c>
      <c r="F550" s="2" t="s">
        <v>10</v>
      </c>
      <c r="G550" s="2" t="s">
        <v>10</v>
      </c>
    </row>
    <row r="551" ht="14.25" customHeight="1">
      <c r="A551" s="1" t="s">
        <v>480</v>
      </c>
      <c r="B551" s="1" t="s">
        <v>8</v>
      </c>
      <c r="C551" s="2" t="s">
        <v>481</v>
      </c>
      <c r="D551" s="2">
        <v>8.5</v>
      </c>
      <c r="E551" s="2">
        <v>2013.0</v>
      </c>
      <c r="F551" s="2">
        <v>2015.0</v>
      </c>
      <c r="G551" s="2" t="s">
        <v>10</v>
      </c>
    </row>
    <row r="552" ht="14.25" customHeight="1">
      <c r="A552" s="1" t="s">
        <v>482</v>
      </c>
      <c r="B552" s="1" t="s">
        <v>20</v>
      </c>
      <c r="C552" s="2" t="s">
        <v>187</v>
      </c>
      <c r="D552" s="2">
        <v>8.5</v>
      </c>
      <c r="E552" s="2">
        <v>1936.0</v>
      </c>
      <c r="F552" s="2" t="s">
        <v>10</v>
      </c>
      <c r="G552" s="2" t="s">
        <v>10</v>
      </c>
    </row>
    <row r="553" ht="14.25" customHeight="1">
      <c r="A553" s="1" t="s">
        <v>483</v>
      </c>
      <c r="B553" s="1" t="s">
        <v>8</v>
      </c>
      <c r="C553" s="2" t="s">
        <v>55</v>
      </c>
      <c r="D553" s="2">
        <v>8.5</v>
      </c>
      <c r="E553" s="2">
        <v>1999.0</v>
      </c>
      <c r="F553" s="2" t="s">
        <v>10</v>
      </c>
      <c r="G553" s="2" t="s">
        <v>10</v>
      </c>
    </row>
    <row r="554" ht="14.25" customHeight="1">
      <c r="A554" s="1" t="s">
        <v>484</v>
      </c>
      <c r="B554" s="1" t="s">
        <v>8</v>
      </c>
      <c r="C554" s="2" t="s">
        <v>147</v>
      </c>
      <c r="D554" s="2">
        <v>8.5</v>
      </c>
      <c r="E554" s="2">
        <v>2010.0</v>
      </c>
      <c r="F554" s="2">
        <v>2013.0</v>
      </c>
      <c r="G554" s="2" t="s">
        <v>10</v>
      </c>
    </row>
    <row r="555" ht="14.25" customHeight="1">
      <c r="A555" s="1" t="s">
        <v>485</v>
      </c>
      <c r="B555" s="1" t="s">
        <v>8</v>
      </c>
      <c r="C555" s="2" t="s">
        <v>63</v>
      </c>
      <c r="D555" s="2">
        <v>8.5</v>
      </c>
      <c r="E555" s="2">
        <v>2022.0</v>
      </c>
      <c r="F555" s="2" t="s">
        <v>10</v>
      </c>
      <c r="G555" s="2" t="s">
        <v>10</v>
      </c>
    </row>
    <row r="556" ht="14.25" customHeight="1">
      <c r="A556" s="1" t="s">
        <v>486</v>
      </c>
      <c r="B556" s="1" t="s">
        <v>8</v>
      </c>
      <c r="C556" s="2" t="s">
        <v>125</v>
      </c>
      <c r="D556" s="2">
        <v>8.5</v>
      </c>
      <c r="E556" s="2">
        <v>2005.0</v>
      </c>
      <c r="F556" s="2" t="s">
        <v>10</v>
      </c>
      <c r="G556" s="2" t="s">
        <v>10</v>
      </c>
    </row>
    <row r="557" ht="14.25" customHeight="1">
      <c r="A557" s="1" t="s">
        <v>487</v>
      </c>
      <c r="B557" s="1" t="s">
        <v>20</v>
      </c>
      <c r="C557" s="2" t="s">
        <v>187</v>
      </c>
      <c r="D557" s="2">
        <v>8.5</v>
      </c>
      <c r="E557" s="2">
        <v>1931.0</v>
      </c>
      <c r="F557" s="2" t="s">
        <v>10</v>
      </c>
      <c r="G557" s="2" t="s">
        <v>10</v>
      </c>
    </row>
    <row r="558" ht="14.25" customHeight="1">
      <c r="A558" s="1" t="s">
        <v>488</v>
      </c>
      <c r="B558" s="1" t="s">
        <v>8</v>
      </c>
      <c r="C558" s="2" t="s">
        <v>69</v>
      </c>
      <c r="D558" s="2">
        <v>8.5</v>
      </c>
      <c r="E558" s="2">
        <v>2011.0</v>
      </c>
      <c r="F558" s="2">
        <v>2016.0</v>
      </c>
      <c r="G558" s="2" t="s">
        <v>10</v>
      </c>
    </row>
    <row r="559" ht="14.25" customHeight="1">
      <c r="A559" s="1" t="s">
        <v>489</v>
      </c>
      <c r="B559" s="1" t="s">
        <v>8</v>
      </c>
      <c r="C559" s="2" t="s">
        <v>231</v>
      </c>
      <c r="D559" s="2">
        <v>8.5</v>
      </c>
      <c r="E559" s="2">
        <v>2015.0</v>
      </c>
      <c r="F559" s="2" t="s">
        <v>10</v>
      </c>
      <c r="G559" s="2" t="s">
        <v>10</v>
      </c>
    </row>
    <row r="560" ht="14.25" customHeight="1">
      <c r="A560" s="1" t="s">
        <v>490</v>
      </c>
      <c r="B560" s="1" t="s">
        <v>8</v>
      </c>
      <c r="C560" s="2" t="s">
        <v>14</v>
      </c>
      <c r="D560" s="2">
        <v>8.5</v>
      </c>
      <c r="E560" s="2">
        <v>2015.0</v>
      </c>
      <c r="F560" s="2">
        <v>2020.0</v>
      </c>
      <c r="G560" s="2">
        <v>1.297E7</v>
      </c>
    </row>
    <row r="561" ht="14.25" customHeight="1">
      <c r="A561" s="1" t="s">
        <v>490</v>
      </c>
      <c r="B561" s="1" t="s">
        <v>8</v>
      </c>
      <c r="C561" s="2" t="s">
        <v>14</v>
      </c>
      <c r="D561" s="2">
        <v>8.5</v>
      </c>
      <c r="E561" s="2">
        <v>2015.0</v>
      </c>
      <c r="F561" s="2">
        <v>2020.0</v>
      </c>
      <c r="G561" s="2">
        <v>1.911E7</v>
      </c>
    </row>
    <row r="562" ht="14.25" customHeight="1">
      <c r="A562" s="1" t="s">
        <v>490</v>
      </c>
      <c r="B562" s="1" t="s">
        <v>8</v>
      </c>
      <c r="C562" s="2" t="s">
        <v>14</v>
      </c>
      <c r="D562" s="2">
        <v>8.5</v>
      </c>
      <c r="E562" s="2">
        <v>2015.0</v>
      </c>
      <c r="F562" s="2">
        <v>2020.0</v>
      </c>
      <c r="G562" s="2">
        <v>2.782E7</v>
      </c>
    </row>
    <row r="563" ht="14.25" customHeight="1">
      <c r="A563" s="1" t="s">
        <v>490</v>
      </c>
      <c r="B563" s="1" t="s">
        <v>8</v>
      </c>
      <c r="C563" s="2" t="s">
        <v>14</v>
      </c>
      <c r="D563" s="2">
        <v>8.5</v>
      </c>
      <c r="E563" s="2">
        <v>2015.0</v>
      </c>
      <c r="F563" s="2">
        <v>2020.0</v>
      </c>
      <c r="G563" s="2">
        <v>4.895E7</v>
      </c>
    </row>
    <row r="564" ht="14.25" customHeight="1">
      <c r="A564" s="1" t="s">
        <v>490</v>
      </c>
      <c r="B564" s="1" t="s">
        <v>8</v>
      </c>
      <c r="C564" s="2" t="s">
        <v>14</v>
      </c>
      <c r="D564" s="2">
        <v>8.5</v>
      </c>
      <c r="E564" s="2">
        <v>2015.0</v>
      </c>
      <c r="F564" s="2">
        <v>2020.0</v>
      </c>
      <c r="G564" s="2">
        <v>6.354E7</v>
      </c>
    </row>
    <row r="565" ht="14.25" customHeight="1">
      <c r="A565" s="1" t="s">
        <v>490</v>
      </c>
      <c r="B565" s="1" t="s">
        <v>8</v>
      </c>
      <c r="C565" s="2" t="s">
        <v>14</v>
      </c>
      <c r="D565" s="2">
        <v>8.5</v>
      </c>
      <c r="E565" s="2">
        <v>2015.0</v>
      </c>
      <c r="F565" s="2">
        <v>2020.0</v>
      </c>
      <c r="G565" s="2">
        <v>1.718E7</v>
      </c>
    </row>
    <row r="566" ht="14.25" customHeight="1">
      <c r="A566" s="1" t="s">
        <v>491</v>
      </c>
      <c r="B566" s="1" t="s">
        <v>8</v>
      </c>
      <c r="C566" s="2" t="s">
        <v>32</v>
      </c>
      <c r="D566" s="2">
        <v>8.5</v>
      </c>
      <c r="E566" s="2">
        <v>2014.0</v>
      </c>
      <c r="F566" s="2" t="s">
        <v>10</v>
      </c>
      <c r="G566" s="2" t="s">
        <v>10</v>
      </c>
    </row>
    <row r="567" ht="14.25" customHeight="1">
      <c r="A567" s="1" t="s">
        <v>492</v>
      </c>
      <c r="B567" s="1" t="s">
        <v>8</v>
      </c>
      <c r="C567" s="2" t="s">
        <v>32</v>
      </c>
      <c r="D567" s="2">
        <v>8.5</v>
      </c>
      <c r="E567" s="2">
        <v>2006.0</v>
      </c>
      <c r="F567" s="2">
        <v>2013.0</v>
      </c>
      <c r="G567" s="2" t="s">
        <v>10</v>
      </c>
    </row>
    <row r="568" ht="14.25" customHeight="1">
      <c r="A568" s="1" t="s">
        <v>493</v>
      </c>
      <c r="B568" s="1" t="s">
        <v>8</v>
      </c>
      <c r="C568" s="2" t="s">
        <v>32</v>
      </c>
      <c r="D568" s="2">
        <v>8.5</v>
      </c>
      <c r="E568" s="2">
        <v>2015.0</v>
      </c>
      <c r="F568" s="2">
        <v>2020.0</v>
      </c>
      <c r="G568" s="2" t="s">
        <v>10</v>
      </c>
    </row>
    <row r="569" ht="14.25" customHeight="1">
      <c r="A569" s="1" t="s">
        <v>494</v>
      </c>
      <c r="B569" s="1" t="s">
        <v>8</v>
      </c>
      <c r="C569" s="2" t="s">
        <v>147</v>
      </c>
      <c r="D569" s="2">
        <v>8.5</v>
      </c>
      <c r="E569" s="2">
        <v>2011.0</v>
      </c>
      <c r="F569" s="2" t="s">
        <v>10</v>
      </c>
      <c r="G569" s="2" t="s">
        <v>10</v>
      </c>
    </row>
    <row r="570" ht="14.25" customHeight="1">
      <c r="A570" s="1" t="s">
        <v>495</v>
      </c>
      <c r="B570" s="1" t="s">
        <v>8</v>
      </c>
      <c r="C570" s="2" t="s">
        <v>25</v>
      </c>
      <c r="D570" s="2">
        <v>8.5</v>
      </c>
      <c r="E570" s="2">
        <v>2020.0</v>
      </c>
      <c r="F570" s="2" t="s">
        <v>10</v>
      </c>
      <c r="G570" s="2">
        <v>2600000.0</v>
      </c>
    </row>
    <row r="571" ht="14.25" customHeight="1">
      <c r="A571" s="1" t="s">
        <v>495</v>
      </c>
      <c r="B571" s="1" t="s">
        <v>8</v>
      </c>
      <c r="C571" s="2" t="s">
        <v>25</v>
      </c>
      <c r="D571" s="2">
        <v>8.5</v>
      </c>
      <c r="E571" s="2">
        <v>2020.0</v>
      </c>
      <c r="F571" s="2" t="s">
        <v>10</v>
      </c>
      <c r="G571" s="2">
        <v>2200000.0</v>
      </c>
    </row>
    <row r="572" ht="14.25" customHeight="1">
      <c r="A572" s="1" t="s">
        <v>495</v>
      </c>
      <c r="B572" s="1" t="s">
        <v>8</v>
      </c>
      <c r="C572" s="2" t="s">
        <v>25</v>
      </c>
      <c r="D572" s="2">
        <v>8.5</v>
      </c>
      <c r="E572" s="2">
        <v>2020.0</v>
      </c>
      <c r="F572" s="2" t="s">
        <v>10</v>
      </c>
      <c r="G572" s="2">
        <v>1900000.0</v>
      </c>
    </row>
    <row r="573" ht="14.25" customHeight="1">
      <c r="A573" s="1" t="s">
        <v>83</v>
      </c>
      <c r="B573" s="1" t="s">
        <v>8</v>
      </c>
      <c r="C573" s="2" t="s">
        <v>63</v>
      </c>
      <c r="D573" s="2">
        <v>8.5</v>
      </c>
      <c r="E573" s="2">
        <v>2001.0</v>
      </c>
      <c r="F573" s="2" t="s">
        <v>10</v>
      </c>
      <c r="G573" s="2" t="s">
        <v>10</v>
      </c>
    </row>
    <row r="574" ht="14.25" customHeight="1">
      <c r="A574" s="1" t="s">
        <v>496</v>
      </c>
      <c r="B574" s="1" t="s">
        <v>8</v>
      </c>
      <c r="C574" s="2" t="s">
        <v>497</v>
      </c>
      <c r="D574" s="2">
        <v>8.5</v>
      </c>
      <c r="E574" s="2">
        <v>2015.0</v>
      </c>
      <c r="F574" s="2">
        <v>2018.0</v>
      </c>
      <c r="G574" s="2" t="s">
        <v>10</v>
      </c>
    </row>
    <row r="575" ht="14.25" customHeight="1">
      <c r="A575" s="1" t="s">
        <v>498</v>
      </c>
      <c r="B575" s="1" t="s">
        <v>8</v>
      </c>
      <c r="C575" s="2" t="s">
        <v>69</v>
      </c>
      <c r="D575" s="2">
        <v>8.5</v>
      </c>
      <c r="E575" s="2">
        <v>2018.0</v>
      </c>
      <c r="F575" s="2">
        <v>2019.0</v>
      </c>
      <c r="G575" s="2" t="s">
        <v>10</v>
      </c>
    </row>
    <row r="576" ht="14.25" customHeight="1">
      <c r="A576" s="1" t="s">
        <v>499</v>
      </c>
      <c r="B576" s="1" t="s">
        <v>8</v>
      </c>
      <c r="C576" s="2" t="s">
        <v>258</v>
      </c>
      <c r="D576" s="2">
        <v>8.5</v>
      </c>
      <c r="E576" s="2">
        <v>1995.0</v>
      </c>
      <c r="F576" s="2">
        <v>1995.0</v>
      </c>
      <c r="G576" s="2" t="s">
        <v>10</v>
      </c>
    </row>
    <row r="577" ht="14.25" customHeight="1">
      <c r="A577" s="1" t="s">
        <v>500</v>
      </c>
      <c r="B577" s="1" t="s">
        <v>8</v>
      </c>
      <c r="C577" s="2" t="s">
        <v>36</v>
      </c>
      <c r="D577" s="2">
        <v>8.5</v>
      </c>
      <c r="E577" s="2">
        <v>2014.0</v>
      </c>
      <c r="F577" s="2" t="s">
        <v>10</v>
      </c>
      <c r="G577" s="2" t="s">
        <v>10</v>
      </c>
    </row>
    <row r="578" ht="14.25" customHeight="1">
      <c r="A578" s="1" t="s">
        <v>501</v>
      </c>
      <c r="B578" s="1" t="s">
        <v>8</v>
      </c>
      <c r="C578" s="2" t="s">
        <v>154</v>
      </c>
      <c r="D578" s="2">
        <v>8.5</v>
      </c>
      <c r="E578" s="2">
        <v>2022.0</v>
      </c>
      <c r="F578" s="2" t="s">
        <v>10</v>
      </c>
      <c r="G578" s="2">
        <v>8300000.0</v>
      </c>
    </row>
    <row r="579" ht="14.25" customHeight="1">
      <c r="A579" s="1" t="s">
        <v>501</v>
      </c>
      <c r="B579" s="1" t="s">
        <v>8</v>
      </c>
      <c r="C579" s="2" t="s">
        <v>154</v>
      </c>
      <c r="D579" s="2">
        <v>8.5</v>
      </c>
      <c r="E579" s="2">
        <v>2022.0</v>
      </c>
      <c r="F579" s="2" t="s">
        <v>10</v>
      </c>
      <c r="G579" s="2">
        <v>1.87E7</v>
      </c>
    </row>
    <row r="580" ht="14.25" customHeight="1">
      <c r="A580" s="1" t="s">
        <v>501</v>
      </c>
      <c r="B580" s="1" t="s">
        <v>8</v>
      </c>
      <c r="C580" s="2" t="s">
        <v>154</v>
      </c>
      <c r="D580" s="2">
        <v>8.5</v>
      </c>
      <c r="E580" s="2">
        <v>2022.0</v>
      </c>
      <c r="F580" s="2" t="s">
        <v>10</v>
      </c>
      <c r="G580" s="2">
        <v>2.85E7</v>
      </c>
    </row>
    <row r="581" ht="14.25" customHeight="1">
      <c r="A581" s="1" t="s">
        <v>501</v>
      </c>
      <c r="B581" s="1" t="s">
        <v>8</v>
      </c>
      <c r="C581" s="2" t="s">
        <v>154</v>
      </c>
      <c r="D581" s="2">
        <v>8.5</v>
      </c>
      <c r="E581" s="2">
        <v>2022.0</v>
      </c>
      <c r="F581" s="2" t="s">
        <v>10</v>
      </c>
      <c r="G581" s="2">
        <v>1.497E7</v>
      </c>
    </row>
    <row r="582" ht="14.25" customHeight="1">
      <c r="A582" s="1" t="s">
        <v>501</v>
      </c>
      <c r="B582" s="1" t="s">
        <v>8</v>
      </c>
      <c r="C582" s="2" t="s">
        <v>154</v>
      </c>
      <c r="D582" s="2">
        <v>8.5</v>
      </c>
      <c r="E582" s="2">
        <v>2022.0</v>
      </c>
      <c r="F582" s="2" t="s">
        <v>10</v>
      </c>
      <c r="G582" s="2">
        <v>2.394E7</v>
      </c>
    </row>
    <row r="583" ht="14.25" customHeight="1">
      <c r="A583" s="1" t="s">
        <v>501</v>
      </c>
      <c r="B583" s="1" t="s">
        <v>8</v>
      </c>
      <c r="C583" s="2" t="s">
        <v>154</v>
      </c>
      <c r="D583" s="2">
        <v>8.5</v>
      </c>
      <c r="E583" s="2">
        <v>2022.0</v>
      </c>
      <c r="F583" s="2" t="s">
        <v>10</v>
      </c>
      <c r="G583" s="2">
        <v>1.455E7</v>
      </c>
    </row>
    <row r="584" ht="14.25" customHeight="1">
      <c r="A584" s="1" t="s">
        <v>502</v>
      </c>
      <c r="B584" s="1" t="s">
        <v>8</v>
      </c>
      <c r="C584" s="2" t="s">
        <v>63</v>
      </c>
      <c r="D584" s="2">
        <v>8.5</v>
      </c>
      <c r="E584" s="2">
        <v>2010.0</v>
      </c>
      <c r="F584" s="2" t="s">
        <v>10</v>
      </c>
      <c r="G584" s="2" t="s">
        <v>10</v>
      </c>
    </row>
    <row r="585" ht="14.25" customHeight="1">
      <c r="A585" s="1" t="s">
        <v>241</v>
      </c>
      <c r="B585" s="1" t="s">
        <v>8</v>
      </c>
      <c r="C585" s="2" t="s">
        <v>34</v>
      </c>
      <c r="D585" s="2">
        <v>8.5</v>
      </c>
      <c r="E585" s="2">
        <v>2003.0</v>
      </c>
      <c r="F585" s="2" t="s">
        <v>10</v>
      </c>
      <c r="G585" s="2" t="s">
        <v>10</v>
      </c>
    </row>
    <row r="586" ht="14.25" customHeight="1">
      <c r="A586" s="1" t="s">
        <v>503</v>
      </c>
      <c r="B586" s="1" t="s">
        <v>8</v>
      </c>
      <c r="C586" s="2" t="s">
        <v>25</v>
      </c>
      <c r="D586" s="2">
        <v>8.5</v>
      </c>
      <c r="E586" s="2">
        <v>2003.0</v>
      </c>
      <c r="F586" s="2">
        <v>2017.0</v>
      </c>
      <c r="G586" s="2" t="s">
        <v>10</v>
      </c>
    </row>
    <row r="587" ht="14.25" customHeight="1">
      <c r="A587" s="1" t="s">
        <v>503</v>
      </c>
      <c r="B587" s="1" t="s">
        <v>8</v>
      </c>
      <c r="C587" s="2" t="s">
        <v>25</v>
      </c>
      <c r="D587" s="2">
        <v>8.5</v>
      </c>
      <c r="E587" s="2">
        <v>2003.0</v>
      </c>
      <c r="F587" s="2">
        <v>2003.0</v>
      </c>
      <c r="G587" s="2" t="s">
        <v>10</v>
      </c>
    </row>
    <row r="588" ht="14.25" customHeight="1">
      <c r="A588" s="1" t="s">
        <v>234</v>
      </c>
      <c r="B588" s="1" t="s">
        <v>8</v>
      </c>
      <c r="C588" s="2" t="s">
        <v>481</v>
      </c>
      <c r="D588" s="2">
        <v>8.5</v>
      </c>
      <c r="E588" s="2">
        <v>2017.0</v>
      </c>
      <c r="F588" s="2">
        <v>1990.0</v>
      </c>
      <c r="G588" s="2" t="s">
        <v>10</v>
      </c>
    </row>
    <row r="589" ht="14.25" customHeight="1">
      <c r="A589" s="1" t="s">
        <v>504</v>
      </c>
      <c r="B589" s="1" t="s">
        <v>20</v>
      </c>
      <c r="C589" s="2" t="s">
        <v>505</v>
      </c>
      <c r="D589" s="2">
        <v>8.5</v>
      </c>
      <c r="E589" s="2">
        <v>2010.0</v>
      </c>
      <c r="F589" s="2">
        <v>2010.0</v>
      </c>
      <c r="G589" s="2" t="s">
        <v>10</v>
      </c>
    </row>
    <row r="590" ht="14.25" customHeight="1">
      <c r="A590" s="1" t="s">
        <v>506</v>
      </c>
      <c r="B590" s="1" t="s">
        <v>20</v>
      </c>
      <c r="C590" s="2" t="s">
        <v>507</v>
      </c>
      <c r="D590" s="2">
        <v>8.5</v>
      </c>
      <c r="E590" s="2">
        <v>2022.0</v>
      </c>
      <c r="F590" s="2" t="s">
        <v>10</v>
      </c>
      <c r="G590" s="2" t="s">
        <v>10</v>
      </c>
    </row>
    <row r="591" ht="14.25" customHeight="1">
      <c r="A591" s="1" t="s">
        <v>508</v>
      </c>
      <c r="B591" s="1" t="s">
        <v>8</v>
      </c>
      <c r="C591" s="2" t="s">
        <v>25</v>
      </c>
      <c r="D591" s="2">
        <v>8.5</v>
      </c>
      <c r="E591" s="2">
        <v>1986.0</v>
      </c>
      <c r="F591" s="2" t="s">
        <v>10</v>
      </c>
      <c r="G591" s="2" t="s">
        <v>10</v>
      </c>
    </row>
    <row r="592" ht="14.25" customHeight="1">
      <c r="A592" s="1" t="s">
        <v>509</v>
      </c>
      <c r="B592" s="1" t="s">
        <v>20</v>
      </c>
      <c r="C592" s="2" t="s">
        <v>239</v>
      </c>
      <c r="D592" s="2">
        <v>8.5</v>
      </c>
      <c r="E592" s="2">
        <v>2023.0</v>
      </c>
      <c r="F592" s="2" t="s">
        <v>10</v>
      </c>
      <c r="G592" s="2" t="s">
        <v>10</v>
      </c>
    </row>
    <row r="593" ht="14.25" customHeight="1">
      <c r="A593" s="1" t="s">
        <v>508</v>
      </c>
      <c r="B593" s="1" t="s">
        <v>8</v>
      </c>
      <c r="C593" s="2" t="s">
        <v>25</v>
      </c>
      <c r="D593" s="2">
        <v>8.5</v>
      </c>
      <c r="E593" s="2">
        <v>1995.0</v>
      </c>
      <c r="F593" s="2" t="s">
        <v>10</v>
      </c>
      <c r="G593" s="2" t="s">
        <v>10</v>
      </c>
    </row>
    <row r="594" ht="14.25" customHeight="1">
      <c r="A594" s="1" t="s">
        <v>510</v>
      </c>
      <c r="B594" s="1" t="s">
        <v>8</v>
      </c>
      <c r="C594" s="2" t="s">
        <v>9</v>
      </c>
      <c r="D594" s="2">
        <v>8.5</v>
      </c>
      <c r="E594" s="2">
        <v>2014.0</v>
      </c>
      <c r="F594" s="2">
        <v>2016.0</v>
      </c>
      <c r="G594" s="2" t="s">
        <v>10</v>
      </c>
    </row>
    <row r="595" ht="14.25" customHeight="1">
      <c r="A595" s="1" t="s">
        <v>511</v>
      </c>
      <c r="B595" s="1" t="s">
        <v>8</v>
      </c>
      <c r="C595" s="2" t="s">
        <v>512</v>
      </c>
      <c r="D595" s="2">
        <v>8.5</v>
      </c>
      <c r="E595" s="2">
        <v>2007.0</v>
      </c>
      <c r="F595" s="2" t="s">
        <v>10</v>
      </c>
      <c r="G595" s="2" t="s">
        <v>10</v>
      </c>
    </row>
    <row r="596" ht="14.25" customHeight="1">
      <c r="A596" s="1" t="s">
        <v>513</v>
      </c>
      <c r="B596" s="1" t="s">
        <v>8</v>
      </c>
      <c r="C596" s="2" t="s">
        <v>53</v>
      </c>
      <c r="D596" s="2">
        <v>8.5</v>
      </c>
      <c r="E596" s="2">
        <v>2020.0</v>
      </c>
      <c r="F596" s="2" t="s">
        <v>10</v>
      </c>
      <c r="G596" s="2" t="s">
        <v>10</v>
      </c>
    </row>
    <row r="597" ht="14.25" customHeight="1">
      <c r="A597" s="1" t="s">
        <v>514</v>
      </c>
      <c r="B597" s="1" t="s">
        <v>8</v>
      </c>
      <c r="C597" s="2" t="s">
        <v>32</v>
      </c>
      <c r="D597" s="2">
        <v>8.5</v>
      </c>
      <c r="E597" s="2">
        <v>2018.0</v>
      </c>
      <c r="F597" s="2">
        <v>2019.0</v>
      </c>
      <c r="G597" s="2" t="s">
        <v>10</v>
      </c>
    </row>
    <row r="598" ht="14.25" customHeight="1">
      <c r="A598" s="1" t="s">
        <v>515</v>
      </c>
      <c r="B598" s="1" t="s">
        <v>8</v>
      </c>
      <c r="C598" s="2" t="s">
        <v>516</v>
      </c>
      <c r="D598" s="2">
        <v>8.5</v>
      </c>
      <c r="E598" s="2">
        <v>1972.0</v>
      </c>
      <c r="F598" s="2" t="s">
        <v>10</v>
      </c>
      <c r="G598" s="2" t="s">
        <v>10</v>
      </c>
    </row>
    <row r="599" ht="14.25" customHeight="1">
      <c r="A599" s="1" t="s">
        <v>517</v>
      </c>
      <c r="B599" s="1" t="s">
        <v>8</v>
      </c>
      <c r="C599" s="2" t="s">
        <v>25</v>
      </c>
      <c r="D599" s="2">
        <v>8.5</v>
      </c>
      <c r="E599" s="2">
        <v>2010.0</v>
      </c>
      <c r="F599" s="2" t="s">
        <v>10</v>
      </c>
      <c r="G599" s="2" t="s">
        <v>10</v>
      </c>
    </row>
    <row r="600" ht="14.25" customHeight="1">
      <c r="A600" s="1" t="s">
        <v>518</v>
      </c>
      <c r="B600" s="1" t="s">
        <v>8</v>
      </c>
      <c r="C600" s="2" t="s">
        <v>25</v>
      </c>
      <c r="D600" s="2">
        <v>8.5</v>
      </c>
      <c r="E600" s="2">
        <v>2001.0</v>
      </c>
      <c r="F600" s="2" t="s">
        <v>10</v>
      </c>
      <c r="G600" s="2" t="s">
        <v>10</v>
      </c>
    </row>
    <row r="601" ht="14.25" customHeight="1">
      <c r="A601" s="1" t="s">
        <v>519</v>
      </c>
      <c r="B601" s="1" t="s">
        <v>8</v>
      </c>
      <c r="C601" s="2" t="s">
        <v>32</v>
      </c>
      <c r="D601" s="2">
        <v>8.5</v>
      </c>
      <c r="E601" s="2">
        <v>1999.0</v>
      </c>
      <c r="F601" s="2" t="s">
        <v>10</v>
      </c>
      <c r="G601" s="2" t="s">
        <v>10</v>
      </c>
    </row>
    <row r="602" ht="14.25" customHeight="1">
      <c r="A602" s="1" t="s">
        <v>520</v>
      </c>
      <c r="B602" s="1" t="s">
        <v>8</v>
      </c>
      <c r="C602" s="2" t="s">
        <v>25</v>
      </c>
      <c r="D602" s="2">
        <v>8.5</v>
      </c>
      <c r="E602" s="2">
        <v>2004.0</v>
      </c>
      <c r="F602" s="2" t="s">
        <v>10</v>
      </c>
      <c r="G602" s="2" t="s">
        <v>10</v>
      </c>
    </row>
    <row r="603" ht="14.25" customHeight="1">
      <c r="A603" s="1" t="s">
        <v>521</v>
      </c>
      <c r="B603" s="1" t="s">
        <v>20</v>
      </c>
      <c r="C603" s="2" t="s">
        <v>69</v>
      </c>
      <c r="D603" s="2">
        <v>8.5</v>
      </c>
      <c r="E603" s="2">
        <v>2024.0</v>
      </c>
      <c r="F603" s="2" t="s">
        <v>10</v>
      </c>
      <c r="G603" s="2" t="s">
        <v>10</v>
      </c>
    </row>
    <row r="604" ht="14.25" customHeight="1">
      <c r="A604" s="1" t="s">
        <v>522</v>
      </c>
      <c r="B604" s="1" t="s">
        <v>8</v>
      </c>
      <c r="C604" s="2" t="s">
        <v>25</v>
      </c>
      <c r="D604" s="2">
        <v>8.5</v>
      </c>
      <c r="E604" s="2">
        <v>2001.0</v>
      </c>
      <c r="F604" s="2" t="s">
        <v>10</v>
      </c>
      <c r="G604" s="2" t="s">
        <v>10</v>
      </c>
    </row>
    <row r="605" ht="14.25" customHeight="1">
      <c r="A605" s="1" t="s">
        <v>523</v>
      </c>
      <c r="B605" s="1" t="s">
        <v>8</v>
      </c>
      <c r="C605" s="2" t="s">
        <v>524</v>
      </c>
      <c r="D605" s="2">
        <v>8.5</v>
      </c>
      <c r="E605" s="2">
        <v>2019.0</v>
      </c>
      <c r="F605" s="2">
        <v>2021.0</v>
      </c>
      <c r="G605" s="2">
        <v>2.623E7</v>
      </c>
    </row>
    <row r="606" ht="14.25" customHeight="1">
      <c r="A606" s="1" t="s">
        <v>523</v>
      </c>
      <c r="B606" s="1" t="s">
        <v>8</v>
      </c>
      <c r="C606" s="2" t="s">
        <v>524</v>
      </c>
      <c r="D606" s="2">
        <v>8.5</v>
      </c>
      <c r="E606" s="2">
        <v>2019.0</v>
      </c>
      <c r="F606" s="2">
        <v>2021.0</v>
      </c>
      <c r="G606" s="2">
        <v>2.576E7</v>
      </c>
    </row>
    <row r="607" ht="14.25" customHeight="1">
      <c r="A607" s="1" t="s">
        <v>523</v>
      </c>
      <c r="B607" s="1" t="s">
        <v>8</v>
      </c>
      <c r="C607" s="2" t="s">
        <v>524</v>
      </c>
      <c r="D607" s="2">
        <v>8.5</v>
      </c>
      <c r="E607" s="2">
        <v>2019.0</v>
      </c>
      <c r="F607" s="2">
        <v>2021.0</v>
      </c>
      <c r="G607" s="2">
        <v>2.902E7</v>
      </c>
    </row>
    <row r="608" ht="14.25" customHeight="1">
      <c r="A608" s="1" t="s">
        <v>523</v>
      </c>
      <c r="B608" s="1" t="s">
        <v>8</v>
      </c>
      <c r="C608" s="2" t="s">
        <v>524</v>
      </c>
      <c r="D608" s="2">
        <v>8.5</v>
      </c>
      <c r="E608" s="2">
        <v>2019.0</v>
      </c>
      <c r="F608" s="2">
        <v>2021.0</v>
      </c>
      <c r="G608" s="2">
        <v>2.801E7</v>
      </c>
    </row>
    <row r="609" ht="14.25" customHeight="1">
      <c r="A609" s="1" t="s">
        <v>525</v>
      </c>
      <c r="B609" s="1" t="s">
        <v>8</v>
      </c>
      <c r="C609" s="2" t="s">
        <v>44</v>
      </c>
      <c r="D609" s="2">
        <v>8.5</v>
      </c>
      <c r="E609" s="2">
        <v>2014.0</v>
      </c>
      <c r="F609" s="2" t="s">
        <v>10</v>
      </c>
      <c r="G609" s="2" t="s">
        <v>10</v>
      </c>
    </row>
    <row r="610" ht="14.25" customHeight="1">
      <c r="A610" s="1" t="s">
        <v>526</v>
      </c>
      <c r="B610" s="1" t="s">
        <v>8</v>
      </c>
      <c r="C610" s="2" t="s">
        <v>527</v>
      </c>
      <c r="D610" s="2">
        <v>8.5</v>
      </c>
      <c r="E610" s="2">
        <v>2001.0</v>
      </c>
      <c r="F610" s="2">
        <v>2018.0</v>
      </c>
      <c r="G610" s="2" t="s">
        <v>10</v>
      </c>
    </row>
    <row r="611" ht="14.25" customHeight="1">
      <c r="A611" s="1" t="s">
        <v>528</v>
      </c>
      <c r="B611" s="1" t="s">
        <v>8</v>
      </c>
      <c r="C611" s="2" t="s">
        <v>203</v>
      </c>
      <c r="D611" s="2">
        <v>8.5</v>
      </c>
      <c r="E611" s="2">
        <v>2016.0</v>
      </c>
      <c r="F611" s="2">
        <v>2018.0</v>
      </c>
      <c r="G611" s="2" t="s">
        <v>10</v>
      </c>
    </row>
    <row r="612" ht="14.25" customHeight="1">
      <c r="A612" s="1" t="s">
        <v>529</v>
      </c>
      <c r="B612" s="1" t="s">
        <v>8</v>
      </c>
      <c r="C612" s="2" t="s">
        <v>530</v>
      </c>
      <c r="D612" s="2">
        <v>8.5</v>
      </c>
      <c r="E612" s="2">
        <v>2004.0</v>
      </c>
      <c r="F612" s="2" t="s">
        <v>10</v>
      </c>
      <c r="G612" s="2" t="s">
        <v>10</v>
      </c>
    </row>
    <row r="613" ht="14.25" customHeight="1">
      <c r="A613" s="1" t="s">
        <v>531</v>
      </c>
      <c r="B613" s="1" t="s">
        <v>8</v>
      </c>
      <c r="C613" s="2" t="s">
        <v>118</v>
      </c>
      <c r="D613" s="2">
        <v>8.5</v>
      </c>
      <c r="E613" s="2">
        <v>2000.0</v>
      </c>
      <c r="F613" s="2" t="s">
        <v>10</v>
      </c>
      <c r="G613" s="2" t="s">
        <v>10</v>
      </c>
    </row>
    <row r="614" ht="14.25" customHeight="1">
      <c r="A614" s="1" t="s">
        <v>532</v>
      </c>
      <c r="B614" s="1" t="s">
        <v>8</v>
      </c>
      <c r="C614" s="2" t="s">
        <v>107</v>
      </c>
      <c r="D614" s="2">
        <v>8.5</v>
      </c>
      <c r="E614" s="2">
        <v>1998.0</v>
      </c>
      <c r="F614" s="2" t="s">
        <v>10</v>
      </c>
      <c r="G614" s="2" t="s">
        <v>10</v>
      </c>
    </row>
    <row r="615" ht="14.25" customHeight="1">
      <c r="A615" s="1" t="s">
        <v>533</v>
      </c>
      <c r="B615" s="1" t="s">
        <v>20</v>
      </c>
      <c r="C615" s="2" t="s">
        <v>142</v>
      </c>
      <c r="D615" s="2">
        <v>8.5</v>
      </c>
      <c r="E615" s="2">
        <v>2008.0</v>
      </c>
      <c r="F615" s="2" t="s">
        <v>10</v>
      </c>
      <c r="G615" s="2" t="s">
        <v>10</v>
      </c>
    </row>
    <row r="616" ht="14.25" customHeight="1">
      <c r="A616" s="1" t="s">
        <v>534</v>
      </c>
      <c r="B616" s="1" t="s">
        <v>20</v>
      </c>
      <c r="C616" s="2" t="s">
        <v>12</v>
      </c>
      <c r="D616" s="2">
        <v>8.5</v>
      </c>
      <c r="E616" s="2">
        <v>1992.0</v>
      </c>
      <c r="F616" s="2" t="s">
        <v>10</v>
      </c>
      <c r="G616" s="2" t="s">
        <v>10</v>
      </c>
    </row>
    <row r="617" ht="14.25" customHeight="1">
      <c r="A617" s="1" t="s">
        <v>535</v>
      </c>
      <c r="B617" s="1" t="s">
        <v>8</v>
      </c>
      <c r="C617" s="2" t="s">
        <v>163</v>
      </c>
      <c r="D617" s="2">
        <v>8.5</v>
      </c>
      <c r="E617" s="2">
        <v>2014.0</v>
      </c>
      <c r="F617" s="2">
        <v>2014.0</v>
      </c>
      <c r="G617" s="2" t="s">
        <v>10</v>
      </c>
    </row>
    <row r="618" ht="14.25" customHeight="1">
      <c r="A618" s="1">
        <v>96.0</v>
      </c>
      <c r="B618" s="1" t="s">
        <v>20</v>
      </c>
      <c r="C618" s="2" t="s">
        <v>154</v>
      </c>
      <c r="D618" s="2">
        <v>8.5</v>
      </c>
      <c r="E618" s="2">
        <v>2018.0</v>
      </c>
      <c r="F618" s="2" t="s">
        <v>10</v>
      </c>
      <c r="G618" s="2" t="s">
        <v>10</v>
      </c>
    </row>
    <row r="619" ht="14.25" customHeight="1">
      <c r="A619" s="1" t="s">
        <v>536</v>
      </c>
      <c r="B619" s="1" t="s">
        <v>8</v>
      </c>
      <c r="C619" s="2" t="s">
        <v>25</v>
      </c>
      <c r="D619" s="2">
        <v>8.5</v>
      </c>
      <c r="E619" s="2">
        <v>2012.0</v>
      </c>
      <c r="F619" s="2">
        <v>2016.0</v>
      </c>
      <c r="G619" s="2">
        <v>8770000.0</v>
      </c>
    </row>
    <row r="620" ht="14.25" customHeight="1">
      <c r="A620" s="1" t="s">
        <v>536</v>
      </c>
      <c r="B620" s="1" t="s">
        <v>8</v>
      </c>
      <c r="C620" s="2" t="s">
        <v>25</v>
      </c>
      <c r="D620" s="2">
        <v>8.5</v>
      </c>
      <c r="E620" s="2">
        <v>2012.0</v>
      </c>
      <c r="F620" s="2">
        <v>2016.0</v>
      </c>
      <c r="G620" s="2">
        <v>1.398E7</v>
      </c>
    </row>
    <row r="621" ht="14.25" customHeight="1">
      <c r="A621" s="1" t="s">
        <v>537</v>
      </c>
      <c r="B621" s="1" t="s">
        <v>8</v>
      </c>
      <c r="C621" s="2" t="s">
        <v>203</v>
      </c>
      <c r="D621" s="2">
        <v>8.5</v>
      </c>
      <c r="E621" s="2">
        <v>2005.0</v>
      </c>
      <c r="F621" s="2" t="s">
        <v>10</v>
      </c>
      <c r="G621" s="2" t="s">
        <v>10</v>
      </c>
    </row>
    <row r="622" ht="14.25" customHeight="1">
      <c r="A622" s="1" t="s">
        <v>538</v>
      </c>
      <c r="B622" s="1" t="s">
        <v>8</v>
      </c>
      <c r="C622" s="2" t="s">
        <v>299</v>
      </c>
      <c r="D622" s="2">
        <v>8.5</v>
      </c>
      <c r="E622" s="2">
        <v>2021.0</v>
      </c>
      <c r="F622" s="2" t="s">
        <v>10</v>
      </c>
      <c r="G622" s="2" t="s">
        <v>10</v>
      </c>
    </row>
    <row r="623" ht="14.25" customHeight="1">
      <c r="A623" s="1" t="s">
        <v>539</v>
      </c>
      <c r="B623" s="1" t="s">
        <v>8</v>
      </c>
      <c r="C623" s="2" t="s">
        <v>18</v>
      </c>
      <c r="D623" s="2">
        <v>8.5</v>
      </c>
      <c r="E623" s="2">
        <v>2010.0</v>
      </c>
      <c r="F623" s="2">
        <v>2012.0</v>
      </c>
      <c r="G623" s="2" t="s">
        <v>10</v>
      </c>
    </row>
    <row r="624" ht="14.25" customHeight="1">
      <c r="A624" s="1" t="s">
        <v>540</v>
      </c>
      <c r="B624" s="1" t="s">
        <v>8</v>
      </c>
      <c r="C624" s="2" t="s">
        <v>299</v>
      </c>
      <c r="D624" s="2">
        <v>8.5</v>
      </c>
      <c r="E624" s="2">
        <v>2020.0</v>
      </c>
      <c r="F624" s="2">
        <v>2020.0</v>
      </c>
      <c r="G624" s="2" t="s">
        <v>10</v>
      </c>
    </row>
    <row r="625" ht="14.25" customHeight="1">
      <c r="A625" s="1" t="s">
        <v>541</v>
      </c>
      <c r="B625" s="1" t="s">
        <v>8</v>
      </c>
      <c r="C625" s="2" t="s">
        <v>9</v>
      </c>
      <c r="D625" s="2">
        <v>8.5</v>
      </c>
      <c r="E625" s="2">
        <v>2009.0</v>
      </c>
      <c r="F625" s="2" t="s">
        <v>10</v>
      </c>
      <c r="G625" s="2" t="s">
        <v>10</v>
      </c>
    </row>
    <row r="626" ht="14.25" customHeight="1">
      <c r="A626" s="1" t="s">
        <v>542</v>
      </c>
      <c r="B626" s="1" t="s">
        <v>8</v>
      </c>
      <c r="C626" s="2" t="s">
        <v>32</v>
      </c>
      <c r="D626" s="2">
        <v>8.5</v>
      </c>
      <c r="E626" s="2">
        <v>1951.0</v>
      </c>
      <c r="F626" s="2" t="s">
        <v>10</v>
      </c>
      <c r="G626" s="2" t="s">
        <v>10</v>
      </c>
    </row>
    <row r="627" ht="14.25" customHeight="1">
      <c r="A627" s="1" t="s">
        <v>543</v>
      </c>
      <c r="B627" s="1" t="s">
        <v>8</v>
      </c>
      <c r="C627" s="2" t="s">
        <v>130</v>
      </c>
      <c r="D627" s="2">
        <v>8.5</v>
      </c>
      <c r="E627" s="2">
        <v>2022.0</v>
      </c>
      <c r="F627" s="2">
        <v>2016.0</v>
      </c>
      <c r="G627" s="2" t="s">
        <v>10</v>
      </c>
    </row>
    <row r="628" ht="14.25" customHeight="1">
      <c r="A628" s="1" t="s">
        <v>544</v>
      </c>
      <c r="B628" s="1" t="s">
        <v>8</v>
      </c>
      <c r="C628" s="2" t="s">
        <v>36</v>
      </c>
      <c r="D628" s="2">
        <v>8.5</v>
      </c>
      <c r="E628" s="2">
        <v>2019.0</v>
      </c>
      <c r="F628" s="2">
        <v>2019.0</v>
      </c>
      <c r="G628" s="2" t="s">
        <v>10</v>
      </c>
    </row>
    <row r="629" ht="14.25" customHeight="1">
      <c r="A629" s="1" t="s">
        <v>545</v>
      </c>
      <c r="B629" s="1" t="s">
        <v>20</v>
      </c>
      <c r="C629" s="2" t="s">
        <v>546</v>
      </c>
      <c r="D629" s="2">
        <v>8.5</v>
      </c>
      <c r="E629" s="2">
        <v>2021.0</v>
      </c>
      <c r="F629" s="2" t="s">
        <v>10</v>
      </c>
      <c r="G629" s="2" t="s">
        <v>10</v>
      </c>
    </row>
    <row r="630" ht="14.25" customHeight="1">
      <c r="A630" s="1" t="s">
        <v>547</v>
      </c>
      <c r="B630" s="1" t="s">
        <v>8</v>
      </c>
      <c r="C630" s="2" t="s">
        <v>22</v>
      </c>
      <c r="D630" s="2">
        <v>8.5</v>
      </c>
      <c r="E630" s="2">
        <v>2023.0</v>
      </c>
      <c r="F630" s="2" t="s">
        <v>10</v>
      </c>
      <c r="G630" s="2" t="s">
        <v>10</v>
      </c>
    </row>
    <row r="631" ht="14.25" customHeight="1">
      <c r="A631" s="1" t="s">
        <v>548</v>
      </c>
      <c r="B631" s="1" t="s">
        <v>8</v>
      </c>
      <c r="C631" s="2" t="s">
        <v>80</v>
      </c>
      <c r="D631" s="2">
        <v>8.5</v>
      </c>
      <c r="E631" s="2">
        <v>1977.0</v>
      </c>
      <c r="F631" s="2" t="s">
        <v>10</v>
      </c>
      <c r="G631" s="2" t="s">
        <v>10</v>
      </c>
    </row>
    <row r="632" ht="14.25" customHeight="1">
      <c r="A632" s="1" t="s">
        <v>549</v>
      </c>
      <c r="B632" s="1" t="s">
        <v>20</v>
      </c>
      <c r="C632" s="2" t="s">
        <v>154</v>
      </c>
      <c r="D632" s="2">
        <v>8.5</v>
      </c>
      <c r="E632" s="2">
        <v>2003.0</v>
      </c>
      <c r="F632" s="2" t="s">
        <v>10</v>
      </c>
      <c r="G632" s="2" t="s">
        <v>10</v>
      </c>
    </row>
    <row r="633" ht="14.25" customHeight="1">
      <c r="A633" s="1" t="s">
        <v>550</v>
      </c>
      <c r="B633" s="1" t="s">
        <v>8</v>
      </c>
      <c r="C633" s="2" t="s">
        <v>425</v>
      </c>
      <c r="D633" s="2">
        <v>8.5</v>
      </c>
      <c r="E633" s="2">
        <v>2009.0</v>
      </c>
      <c r="F633" s="2" t="s">
        <v>10</v>
      </c>
      <c r="G633" s="2" t="s">
        <v>10</v>
      </c>
    </row>
    <row r="634" ht="14.25" customHeight="1">
      <c r="A634" s="1" t="s">
        <v>551</v>
      </c>
      <c r="B634" s="1" t="s">
        <v>20</v>
      </c>
      <c r="C634" s="2" t="s">
        <v>552</v>
      </c>
      <c r="D634" s="2">
        <v>8.5</v>
      </c>
      <c r="E634" s="2">
        <v>2023.0</v>
      </c>
      <c r="F634" s="2" t="s">
        <v>10</v>
      </c>
      <c r="G634" s="2" t="s">
        <v>10</v>
      </c>
    </row>
    <row r="635" ht="14.25" customHeight="1">
      <c r="A635" s="1" t="s">
        <v>553</v>
      </c>
      <c r="B635" s="1" t="s">
        <v>20</v>
      </c>
      <c r="C635" s="2" t="s">
        <v>262</v>
      </c>
      <c r="D635" s="2">
        <v>8.5</v>
      </c>
      <c r="E635" s="2">
        <v>2019.0</v>
      </c>
      <c r="F635" s="2" t="s">
        <v>10</v>
      </c>
      <c r="G635" s="2">
        <v>2110000.0</v>
      </c>
    </row>
    <row r="636" ht="14.25" customHeight="1">
      <c r="A636" s="1" t="s">
        <v>553</v>
      </c>
      <c r="B636" s="1" t="s">
        <v>20</v>
      </c>
      <c r="C636" s="2" t="s">
        <v>262</v>
      </c>
      <c r="D636" s="2">
        <v>8.5</v>
      </c>
      <c r="E636" s="2">
        <v>2019.0</v>
      </c>
      <c r="F636" s="2" t="s">
        <v>10</v>
      </c>
      <c r="G636" s="2">
        <v>5490000.0</v>
      </c>
    </row>
    <row r="637" ht="14.25" customHeight="1">
      <c r="A637" s="1" t="s">
        <v>553</v>
      </c>
      <c r="B637" s="1" t="s">
        <v>20</v>
      </c>
      <c r="C637" s="2" t="s">
        <v>262</v>
      </c>
      <c r="D637" s="2">
        <v>8.5</v>
      </c>
      <c r="E637" s="2">
        <v>2019.0</v>
      </c>
      <c r="F637" s="2" t="s">
        <v>10</v>
      </c>
      <c r="G637" s="2">
        <v>4470000.0</v>
      </c>
    </row>
    <row r="638" ht="14.25" customHeight="1">
      <c r="A638" s="1" t="s">
        <v>554</v>
      </c>
      <c r="B638" s="1" t="s">
        <v>20</v>
      </c>
      <c r="C638" s="2" t="s">
        <v>299</v>
      </c>
      <c r="D638" s="2">
        <v>8.5</v>
      </c>
      <c r="E638" s="2">
        <v>1964.0</v>
      </c>
      <c r="F638" s="2" t="s">
        <v>10</v>
      </c>
      <c r="G638" s="2" t="s">
        <v>10</v>
      </c>
    </row>
    <row r="639" ht="14.25" customHeight="1">
      <c r="A639" s="1" t="s">
        <v>555</v>
      </c>
      <c r="B639" s="1" t="s">
        <v>8</v>
      </c>
      <c r="C639" s="2" t="s">
        <v>114</v>
      </c>
      <c r="D639" s="2">
        <v>8.5</v>
      </c>
      <c r="E639" s="2">
        <v>1985.0</v>
      </c>
      <c r="F639" s="2" t="s">
        <v>10</v>
      </c>
      <c r="G639" s="2" t="s">
        <v>10</v>
      </c>
    </row>
    <row r="640" ht="14.25" customHeight="1">
      <c r="A640" s="1" t="s">
        <v>556</v>
      </c>
      <c r="B640" s="1" t="s">
        <v>20</v>
      </c>
      <c r="C640" s="2" t="s">
        <v>16</v>
      </c>
      <c r="D640" s="2">
        <v>8.5</v>
      </c>
      <c r="E640" s="2">
        <v>2009.0</v>
      </c>
      <c r="F640" s="2">
        <v>2015.0</v>
      </c>
      <c r="G640" s="2">
        <v>8070000.0</v>
      </c>
    </row>
    <row r="641" ht="14.25" customHeight="1">
      <c r="A641" s="1" t="s">
        <v>556</v>
      </c>
      <c r="B641" s="1" t="s">
        <v>20</v>
      </c>
      <c r="C641" s="2" t="s">
        <v>16</v>
      </c>
      <c r="D641" s="2">
        <v>8.5</v>
      </c>
      <c r="E641" s="2">
        <v>2009.0</v>
      </c>
      <c r="F641" s="2">
        <v>2015.0</v>
      </c>
      <c r="G641" s="2">
        <v>1.035E7</v>
      </c>
    </row>
    <row r="642" ht="14.25" customHeight="1">
      <c r="A642" s="1" t="s">
        <v>557</v>
      </c>
      <c r="B642" s="1" t="s">
        <v>8</v>
      </c>
      <c r="C642" s="2" t="s">
        <v>154</v>
      </c>
      <c r="D642" s="2">
        <v>8.5</v>
      </c>
      <c r="E642" s="2">
        <v>2000.0</v>
      </c>
      <c r="F642" s="2" t="s">
        <v>10</v>
      </c>
      <c r="G642" s="2" t="s">
        <v>10</v>
      </c>
    </row>
    <row r="643" ht="14.25" customHeight="1">
      <c r="A643" s="1" t="s">
        <v>558</v>
      </c>
      <c r="B643" s="1" t="s">
        <v>8</v>
      </c>
      <c r="C643" s="2" t="s">
        <v>559</v>
      </c>
      <c r="D643" s="2">
        <v>8.5</v>
      </c>
      <c r="E643" s="2">
        <v>2019.0</v>
      </c>
      <c r="F643" s="2" t="s">
        <v>10</v>
      </c>
      <c r="G643" s="2" t="s">
        <v>10</v>
      </c>
    </row>
    <row r="644" ht="14.25" customHeight="1">
      <c r="A644" s="1" t="s">
        <v>560</v>
      </c>
      <c r="B644" s="1" t="s">
        <v>20</v>
      </c>
      <c r="C644" s="2" t="s">
        <v>118</v>
      </c>
      <c r="D644" s="2">
        <v>8.5</v>
      </c>
      <c r="E644" s="2">
        <v>1977.0</v>
      </c>
      <c r="F644" s="2" t="s">
        <v>10</v>
      </c>
      <c r="G644" s="2" t="s">
        <v>10</v>
      </c>
    </row>
    <row r="645" ht="14.25" customHeight="1">
      <c r="A645" s="1" t="s">
        <v>561</v>
      </c>
      <c r="B645" s="1" t="s">
        <v>8</v>
      </c>
      <c r="C645" s="2" t="s">
        <v>530</v>
      </c>
      <c r="D645" s="2">
        <v>8.5</v>
      </c>
      <c r="E645" s="2">
        <v>2014.0</v>
      </c>
      <c r="F645" s="2" t="s">
        <v>10</v>
      </c>
      <c r="G645" s="2" t="s">
        <v>10</v>
      </c>
    </row>
    <row r="646" ht="14.25" customHeight="1">
      <c r="A646" s="1" t="s">
        <v>562</v>
      </c>
      <c r="B646" s="1" t="s">
        <v>8</v>
      </c>
      <c r="C646" s="2" t="s">
        <v>63</v>
      </c>
      <c r="D646" s="2">
        <v>8.5</v>
      </c>
      <c r="E646" s="2">
        <v>2019.0</v>
      </c>
      <c r="F646" s="2" t="s">
        <v>10</v>
      </c>
      <c r="G646" s="2" t="s">
        <v>10</v>
      </c>
    </row>
    <row r="647" ht="14.25" customHeight="1">
      <c r="A647" s="1" t="s">
        <v>563</v>
      </c>
      <c r="B647" s="1" t="s">
        <v>8</v>
      </c>
      <c r="C647" s="2" t="s">
        <v>564</v>
      </c>
      <c r="D647" s="2">
        <v>8.5</v>
      </c>
      <c r="E647" s="2">
        <v>2018.0</v>
      </c>
      <c r="F647" s="2">
        <v>2020.0</v>
      </c>
      <c r="G647" s="2">
        <v>2.306E7</v>
      </c>
    </row>
    <row r="648" ht="14.25" customHeight="1">
      <c r="A648" s="1" t="s">
        <v>563</v>
      </c>
      <c r="B648" s="1" t="s">
        <v>8</v>
      </c>
      <c r="C648" s="2" t="s">
        <v>564</v>
      </c>
      <c r="D648" s="2">
        <v>8.5</v>
      </c>
      <c r="E648" s="2">
        <v>2018.0</v>
      </c>
      <c r="F648" s="2">
        <v>2020.0</v>
      </c>
      <c r="G648" s="2">
        <v>1.442E7</v>
      </c>
    </row>
    <row r="649" ht="14.25" customHeight="1">
      <c r="A649" s="1" t="s">
        <v>565</v>
      </c>
      <c r="B649" s="1" t="s">
        <v>8</v>
      </c>
      <c r="C649" s="2" t="s">
        <v>566</v>
      </c>
      <c r="D649" s="2">
        <v>8.5</v>
      </c>
      <c r="E649" s="2">
        <v>2002.0</v>
      </c>
      <c r="F649" s="2" t="s">
        <v>10</v>
      </c>
      <c r="G649" s="2" t="s">
        <v>10</v>
      </c>
    </row>
    <row r="650" ht="14.25" customHeight="1">
      <c r="A650" s="1" t="s">
        <v>567</v>
      </c>
      <c r="B650" s="1" t="s">
        <v>20</v>
      </c>
      <c r="C650" s="2" t="s">
        <v>9</v>
      </c>
      <c r="D650" s="2">
        <v>8.5</v>
      </c>
      <c r="E650" s="2">
        <v>1960.0</v>
      </c>
      <c r="F650" s="2" t="s">
        <v>10</v>
      </c>
      <c r="G650" s="2" t="s">
        <v>10</v>
      </c>
    </row>
    <row r="651" ht="14.25" customHeight="1">
      <c r="A651" s="1" t="s">
        <v>568</v>
      </c>
      <c r="B651" s="1" t="s">
        <v>8</v>
      </c>
      <c r="C651" s="2" t="s">
        <v>25</v>
      </c>
      <c r="D651" s="2">
        <v>8.5</v>
      </c>
      <c r="E651" s="2">
        <v>1996.0</v>
      </c>
      <c r="F651" s="2">
        <v>1998.0</v>
      </c>
      <c r="G651" s="2" t="s">
        <v>10</v>
      </c>
    </row>
    <row r="652" ht="14.25" customHeight="1">
      <c r="A652" s="1" t="s">
        <v>569</v>
      </c>
      <c r="B652" s="1" t="s">
        <v>8</v>
      </c>
      <c r="C652" s="2" t="s">
        <v>114</v>
      </c>
      <c r="D652" s="2">
        <v>8.5</v>
      </c>
      <c r="E652" s="2">
        <v>2007.0</v>
      </c>
      <c r="F652" s="2">
        <v>2019.0</v>
      </c>
      <c r="G652" s="2" t="s">
        <v>10</v>
      </c>
    </row>
    <row r="653" ht="14.25" customHeight="1">
      <c r="A653" s="1" t="s">
        <v>570</v>
      </c>
      <c r="B653" s="1" t="s">
        <v>8</v>
      </c>
      <c r="C653" s="2" t="s">
        <v>63</v>
      </c>
      <c r="D653" s="2">
        <v>8.5</v>
      </c>
      <c r="E653" s="2">
        <v>2016.0</v>
      </c>
      <c r="F653" s="2" t="s">
        <v>10</v>
      </c>
      <c r="G653" s="2" t="s">
        <v>10</v>
      </c>
    </row>
    <row r="654" ht="14.25" customHeight="1">
      <c r="A654" s="1" t="s">
        <v>571</v>
      </c>
      <c r="B654" s="1" t="s">
        <v>8</v>
      </c>
      <c r="C654" s="2" t="s">
        <v>359</v>
      </c>
      <c r="D654" s="2">
        <v>8.5</v>
      </c>
      <c r="E654" s="2">
        <v>2004.0</v>
      </c>
      <c r="F654" s="2" t="s">
        <v>10</v>
      </c>
      <c r="G654" s="2" t="s">
        <v>10</v>
      </c>
    </row>
    <row r="655" ht="14.25" customHeight="1">
      <c r="A655" s="1" t="s">
        <v>572</v>
      </c>
      <c r="B655" s="1" t="s">
        <v>20</v>
      </c>
      <c r="C655" s="2" t="s">
        <v>118</v>
      </c>
      <c r="D655" s="2">
        <v>8.5</v>
      </c>
      <c r="E655" s="2">
        <v>1979.0</v>
      </c>
      <c r="F655" s="2">
        <v>1979.0</v>
      </c>
      <c r="G655" s="2" t="s">
        <v>10</v>
      </c>
    </row>
    <row r="656" ht="14.25" customHeight="1">
      <c r="A656" s="1" t="s">
        <v>573</v>
      </c>
      <c r="B656" s="1" t="s">
        <v>8</v>
      </c>
      <c r="C656" s="2" t="s">
        <v>262</v>
      </c>
      <c r="D656" s="2">
        <v>8.5</v>
      </c>
      <c r="E656" s="2">
        <v>2014.0</v>
      </c>
      <c r="F656" s="2">
        <v>2020.0</v>
      </c>
      <c r="G656" s="2">
        <v>3300000.0</v>
      </c>
    </row>
    <row r="657" ht="14.25" customHeight="1">
      <c r="A657" s="1" t="s">
        <v>573</v>
      </c>
      <c r="B657" s="1" t="s">
        <v>8</v>
      </c>
      <c r="C657" s="2" t="s">
        <v>262</v>
      </c>
      <c r="D657" s="2">
        <v>8.5</v>
      </c>
      <c r="E657" s="2">
        <v>2014.0</v>
      </c>
      <c r="F657" s="2">
        <v>2020.0</v>
      </c>
      <c r="G657" s="2">
        <v>6600000.0</v>
      </c>
    </row>
    <row r="658" ht="14.25" customHeight="1">
      <c r="A658" s="1" t="s">
        <v>574</v>
      </c>
      <c r="B658" s="1" t="s">
        <v>8</v>
      </c>
      <c r="C658" s="2" t="s">
        <v>187</v>
      </c>
      <c r="D658" s="2">
        <v>8.5</v>
      </c>
      <c r="E658" s="2">
        <v>2013.0</v>
      </c>
      <c r="F658" s="2" t="s">
        <v>10</v>
      </c>
      <c r="G658" s="2" t="s">
        <v>10</v>
      </c>
    </row>
    <row r="659" ht="14.25" customHeight="1">
      <c r="A659" s="1" t="s">
        <v>575</v>
      </c>
      <c r="B659" s="1" t="s">
        <v>8</v>
      </c>
      <c r="C659" s="2" t="s">
        <v>576</v>
      </c>
      <c r="D659" s="2">
        <v>8.5</v>
      </c>
      <c r="E659" s="2">
        <v>2020.0</v>
      </c>
      <c r="F659" s="2" t="s">
        <v>10</v>
      </c>
      <c r="G659" s="2" t="s">
        <v>10</v>
      </c>
    </row>
    <row r="660" ht="14.25" customHeight="1">
      <c r="A660" s="1" t="s">
        <v>577</v>
      </c>
      <c r="B660" s="1" t="s">
        <v>8</v>
      </c>
      <c r="C660" s="2" t="s">
        <v>53</v>
      </c>
      <c r="D660" s="2">
        <v>8.5</v>
      </c>
      <c r="E660" s="2">
        <v>1955.0</v>
      </c>
      <c r="F660" s="2" t="s">
        <v>10</v>
      </c>
      <c r="G660" s="2" t="s">
        <v>10</v>
      </c>
    </row>
    <row r="661" ht="14.25" customHeight="1">
      <c r="A661" s="1" t="s">
        <v>578</v>
      </c>
      <c r="B661" s="1" t="s">
        <v>20</v>
      </c>
      <c r="C661" s="2" t="s">
        <v>187</v>
      </c>
      <c r="D661" s="2">
        <v>8.5</v>
      </c>
      <c r="E661" s="2">
        <v>2019.0</v>
      </c>
      <c r="F661" s="2" t="s">
        <v>10</v>
      </c>
      <c r="G661" s="2" t="s">
        <v>10</v>
      </c>
    </row>
    <row r="662" ht="14.25" customHeight="1">
      <c r="A662" s="1" t="s">
        <v>579</v>
      </c>
      <c r="B662" s="1" t="s">
        <v>8</v>
      </c>
      <c r="C662" s="2" t="s">
        <v>32</v>
      </c>
      <c r="D662" s="2">
        <v>8.5</v>
      </c>
      <c r="E662" s="2">
        <v>2005.0</v>
      </c>
      <c r="F662" s="2" t="s">
        <v>10</v>
      </c>
      <c r="G662" s="2" t="s">
        <v>10</v>
      </c>
    </row>
    <row r="663" ht="14.25" customHeight="1">
      <c r="A663" s="1" t="s">
        <v>580</v>
      </c>
      <c r="B663" s="1" t="s">
        <v>8</v>
      </c>
      <c r="C663" s="2" t="s">
        <v>63</v>
      </c>
      <c r="D663" s="2">
        <v>8.5</v>
      </c>
      <c r="E663" s="2">
        <v>2016.0</v>
      </c>
      <c r="F663" s="2" t="s">
        <v>10</v>
      </c>
      <c r="G663" s="2" t="s">
        <v>10</v>
      </c>
    </row>
    <row r="664" ht="14.25" customHeight="1">
      <c r="A664" s="1" t="s">
        <v>581</v>
      </c>
      <c r="B664" s="1" t="s">
        <v>8</v>
      </c>
      <c r="C664" s="2" t="s">
        <v>18</v>
      </c>
      <c r="D664" s="2">
        <v>8.5</v>
      </c>
      <c r="E664" s="2">
        <v>1973.0</v>
      </c>
      <c r="F664" s="2" t="s">
        <v>10</v>
      </c>
      <c r="G664" s="2" t="s">
        <v>10</v>
      </c>
    </row>
    <row r="665" ht="14.25" customHeight="1">
      <c r="A665" s="1" t="s">
        <v>582</v>
      </c>
      <c r="B665" s="1" t="s">
        <v>20</v>
      </c>
      <c r="C665" s="2" t="s">
        <v>154</v>
      </c>
      <c r="D665" s="2">
        <v>8.5</v>
      </c>
      <c r="E665" s="2">
        <v>1977.0</v>
      </c>
      <c r="F665" s="2" t="s">
        <v>10</v>
      </c>
      <c r="G665" s="2" t="s">
        <v>10</v>
      </c>
    </row>
    <row r="666" ht="14.25" customHeight="1">
      <c r="A666" s="1" t="s">
        <v>583</v>
      </c>
      <c r="B666" s="1" t="s">
        <v>8</v>
      </c>
      <c r="C666" s="2" t="s">
        <v>584</v>
      </c>
      <c r="D666" s="2">
        <v>8.5</v>
      </c>
      <c r="E666" s="2">
        <v>2015.0</v>
      </c>
      <c r="F666" s="2">
        <v>2019.0</v>
      </c>
      <c r="G666" s="2" t="s">
        <v>10</v>
      </c>
    </row>
    <row r="667" ht="14.25" customHeight="1">
      <c r="A667" s="1" t="s">
        <v>585</v>
      </c>
      <c r="B667" s="1" t="s">
        <v>8</v>
      </c>
      <c r="C667" s="2" t="s">
        <v>25</v>
      </c>
      <c r="D667" s="2">
        <v>8.5</v>
      </c>
      <c r="E667" s="2">
        <v>1992.0</v>
      </c>
      <c r="F667" s="2" t="s">
        <v>10</v>
      </c>
      <c r="G667" s="2" t="s">
        <v>10</v>
      </c>
    </row>
    <row r="668" ht="14.25" customHeight="1">
      <c r="A668" s="1" t="s">
        <v>586</v>
      </c>
      <c r="B668" s="1" t="s">
        <v>8</v>
      </c>
      <c r="C668" s="2" t="s">
        <v>203</v>
      </c>
      <c r="D668" s="2">
        <v>8.5</v>
      </c>
      <c r="E668" s="2">
        <v>1996.0</v>
      </c>
      <c r="F668" s="2" t="s">
        <v>10</v>
      </c>
      <c r="G668" s="2" t="s">
        <v>10</v>
      </c>
    </row>
    <row r="669" ht="14.25" customHeight="1">
      <c r="A669" s="1" t="s">
        <v>587</v>
      </c>
      <c r="B669" s="1" t="s">
        <v>8</v>
      </c>
      <c r="C669" s="2" t="s">
        <v>588</v>
      </c>
      <c r="D669" s="2">
        <v>8.5</v>
      </c>
      <c r="E669" s="2">
        <v>2004.0</v>
      </c>
      <c r="F669" s="2" t="s">
        <v>10</v>
      </c>
      <c r="G669" s="2" t="s">
        <v>10</v>
      </c>
    </row>
    <row r="670" ht="14.25" customHeight="1">
      <c r="A670" s="1" t="s">
        <v>589</v>
      </c>
      <c r="B670" s="1" t="s">
        <v>8</v>
      </c>
      <c r="C670" s="2" t="s">
        <v>142</v>
      </c>
      <c r="D670" s="2">
        <v>8.5</v>
      </c>
      <c r="E670" s="2">
        <v>2017.0</v>
      </c>
      <c r="F670" s="2" t="s">
        <v>10</v>
      </c>
      <c r="G670" s="2" t="s">
        <v>10</v>
      </c>
    </row>
    <row r="671" ht="14.25" customHeight="1">
      <c r="A671" s="1" t="s">
        <v>590</v>
      </c>
      <c r="B671" s="1" t="s">
        <v>8</v>
      </c>
      <c r="C671" s="2" t="s">
        <v>591</v>
      </c>
      <c r="D671" s="2">
        <v>8.5</v>
      </c>
      <c r="E671" s="2">
        <v>2023.0</v>
      </c>
      <c r="F671" s="2" t="s">
        <v>10</v>
      </c>
      <c r="G671" s="2" t="s">
        <v>10</v>
      </c>
    </row>
    <row r="672" ht="14.25" customHeight="1">
      <c r="A672" s="1" t="s">
        <v>592</v>
      </c>
      <c r="B672" s="1" t="s">
        <v>8</v>
      </c>
      <c r="C672" s="2" t="s">
        <v>593</v>
      </c>
      <c r="D672" s="2">
        <v>8.5</v>
      </c>
      <c r="E672" s="2">
        <v>2020.0</v>
      </c>
      <c r="F672" s="2" t="s">
        <v>10</v>
      </c>
      <c r="G672" s="2" t="s">
        <v>10</v>
      </c>
    </row>
    <row r="673" ht="14.25" customHeight="1">
      <c r="A673" s="1" t="s">
        <v>594</v>
      </c>
      <c r="B673" s="1" t="s">
        <v>8</v>
      </c>
      <c r="C673" s="2" t="s">
        <v>231</v>
      </c>
      <c r="D673" s="2">
        <v>8.5</v>
      </c>
      <c r="E673" s="2">
        <v>1967.0</v>
      </c>
      <c r="F673" s="2" t="s">
        <v>10</v>
      </c>
      <c r="G673" s="2" t="s">
        <v>10</v>
      </c>
    </row>
    <row r="674" ht="14.25" customHeight="1">
      <c r="A674" s="1" t="s">
        <v>333</v>
      </c>
      <c r="B674" s="1" t="s">
        <v>8</v>
      </c>
      <c r="C674" s="2" t="s">
        <v>18</v>
      </c>
      <c r="D674" s="2">
        <v>8.5</v>
      </c>
      <c r="E674" s="2">
        <v>1990.0</v>
      </c>
      <c r="F674" s="2">
        <v>2018.0</v>
      </c>
      <c r="G674" s="2" t="s">
        <v>10</v>
      </c>
    </row>
    <row r="675" ht="14.25" customHeight="1">
      <c r="A675" s="1" t="s">
        <v>595</v>
      </c>
      <c r="B675" s="1" t="s">
        <v>8</v>
      </c>
      <c r="C675" s="2" t="s">
        <v>67</v>
      </c>
      <c r="D675" s="2">
        <v>8.5</v>
      </c>
      <c r="E675" s="2">
        <v>2007.0</v>
      </c>
      <c r="F675" s="2" t="s">
        <v>10</v>
      </c>
      <c r="G675" s="2" t="s">
        <v>10</v>
      </c>
    </row>
    <row r="676" ht="14.25" customHeight="1">
      <c r="A676" s="1" t="s">
        <v>596</v>
      </c>
      <c r="B676" s="1" t="s">
        <v>8</v>
      </c>
      <c r="C676" s="2" t="s">
        <v>597</v>
      </c>
      <c r="D676" s="2">
        <v>8.5</v>
      </c>
      <c r="E676" s="2">
        <v>2005.0</v>
      </c>
      <c r="F676" s="2" t="s">
        <v>10</v>
      </c>
      <c r="G676" s="2" t="s">
        <v>10</v>
      </c>
    </row>
    <row r="677" ht="14.25" customHeight="1">
      <c r="A677" s="1" t="s">
        <v>598</v>
      </c>
      <c r="B677" s="1" t="s">
        <v>8</v>
      </c>
      <c r="C677" s="2" t="s">
        <v>262</v>
      </c>
      <c r="D677" s="2">
        <v>8.5</v>
      </c>
      <c r="E677" s="2">
        <v>2022.0</v>
      </c>
      <c r="F677" s="2" t="s">
        <v>10</v>
      </c>
      <c r="G677" s="2" t="s">
        <v>10</v>
      </c>
    </row>
    <row r="678" ht="14.25" customHeight="1">
      <c r="A678" s="1" t="s">
        <v>599</v>
      </c>
      <c r="B678" s="1" t="s">
        <v>20</v>
      </c>
      <c r="C678" s="2" t="s">
        <v>69</v>
      </c>
      <c r="D678" s="2">
        <v>8.5</v>
      </c>
      <c r="E678" s="2">
        <v>1991.0</v>
      </c>
      <c r="F678" s="2" t="s">
        <v>10</v>
      </c>
      <c r="G678" s="2" t="s">
        <v>10</v>
      </c>
    </row>
    <row r="679" ht="14.25" customHeight="1">
      <c r="A679" s="1" t="s">
        <v>600</v>
      </c>
      <c r="B679" s="1" t="s">
        <v>20</v>
      </c>
      <c r="C679" s="2" t="s">
        <v>601</v>
      </c>
      <c r="D679" s="2">
        <v>8.5</v>
      </c>
      <c r="E679" s="2">
        <v>2019.0</v>
      </c>
      <c r="F679" s="2" t="s">
        <v>10</v>
      </c>
      <c r="G679" s="2" t="s">
        <v>10</v>
      </c>
    </row>
    <row r="680" ht="14.25" customHeight="1">
      <c r="A680" s="1" t="s">
        <v>602</v>
      </c>
      <c r="B680" s="1" t="s">
        <v>8</v>
      </c>
      <c r="C680" s="2" t="s">
        <v>169</v>
      </c>
      <c r="D680" s="2">
        <v>8.5</v>
      </c>
      <c r="E680" s="2">
        <v>2024.0</v>
      </c>
      <c r="F680" s="2" t="s">
        <v>10</v>
      </c>
      <c r="G680" s="2" t="s">
        <v>10</v>
      </c>
    </row>
    <row r="681" ht="14.25" customHeight="1">
      <c r="A681" s="1" t="s">
        <v>603</v>
      </c>
      <c r="B681" s="1" t="s">
        <v>8</v>
      </c>
      <c r="C681" s="2" t="s">
        <v>163</v>
      </c>
      <c r="D681" s="2">
        <v>8.5</v>
      </c>
      <c r="E681" s="2">
        <v>1999.0</v>
      </c>
      <c r="F681" s="2" t="s">
        <v>10</v>
      </c>
      <c r="G681" s="2" t="s">
        <v>10</v>
      </c>
    </row>
    <row r="682" ht="14.25" customHeight="1">
      <c r="A682" s="1" t="s">
        <v>604</v>
      </c>
      <c r="B682" s="1" t="s">
        <v>20</v>
      </c>
      <c r="C682" s="2" t="s">
        <v>32</v>
      </c>
      <c r="D682" s="2">
        <v>8.5</v>
      </c>
      <c r="E682" s="2">
        <v>1980.0</v>
      </c>
      <c r="F682" s="2" t="s">
        <v>10</v>
      </c>
      <c r="G682" s="2" t="s">
        <v>10</v>
      </c>
    </row>
    <row r="683" ht="14.25" customHeight="1">
      <c r="A683" s="1" t="s">
        <v>605</v>
      </c>
      <c r="B683" s="1" t="s">
        <v>8</v>
      </c>
      <c r="C683" s="2" t="s">
        <v>63</v>
      </c>
      <c r="D683" s="2">
        <v>8.5</v>
      </c>
      <c r="E683" s="2">
        <v>2020.0</v>
      </c>
      <c r="F683" s="2" t="s">
        <v>10</v>
      </c>
      <c r="G683" s="2" t="s">
        <v>10</v>
      </c>
    </row>
    <row r="684" ht="14.25" customHeight="1">
      <c r="A684" s="1" t="s">
        <v>606</v>
      </c>
      <c r="B684" s="1" t="s">
        <v>8</v>
      </c>
      <c r="C684" s="2" t="s">
        <v>18</v>
      </c>
      <c r="D684" s="2">
        <v>8.5</v>
      </c>
      <c r="E684" s="2">
        <v>2021.0</v>
      </c>
      <c r="F684" s="2">
        <v>2021.0</v>
      </c>
      <c r="G684" s="2" t="s">
        <v>10</v>
      </c>
    </row>
    <row r="685" ht="14.25" customHeight="1">
      <c r="A685" s="1" t="s">
        <v>607</v>
      </c>
      <c r="B685" s="1" t="s">
        <v>8</v>
      </c>
      <c r="C685" s="2" t="s">
        <v>226</v>
      </c>
      <c r="D685" s="2">
        <v>8.5</v>
      </c>
      <c r="E685" s="2">
        <v>1968.0</v>
      </c>
      <c r="F685" s="2" t="s">
        <v>10</v>
      </c>
      <c r="G685" s="2" t="s">
        <v>10</v>
      </c>
    </row>
    <row r="686" ht="14.25" customHeight="1">
      <c r="A686" s="1" t="s">
        <v>608</v>
      </c>
      <c r="B686" s="1" t="s">
        <v>8</v>
      </c>
      <c r="C686" s="2" t="s">
        <v>425</v>
      </c>
      <c r="D686" s="2">
        <v>8.5</v>
      </c>
      <c r="E686" s="2">
        <v>2012.0</v>
      </c>
      <c r="F686" s="2" t="s">
        <v>10</v>
      </c>
      <c r="G686" s="2" t="s">
        <v>10</v>
      </c>
    </row>
    <row r="687" ht="14.25" customHeight="1">
      <c r="A687" s="1" t="s">
        <v>609</v>
      </c>
      <c r="B687" s="1" t="s">
        <v>8</v>
      </c>
      <c r="C687" s="2" t="s">
        <v>325</v>
      </c>
      <c r="D687" s="2">
        <v>8.5</v>
      </c>
      <c r="E687" s="2">
        <v>2016.0</v>
      </c>
      <c r="F687" s="2">
        <v>2016.0</v>
      </c>
      <c r="G687" s="2" t="s">
        <v>10</v>
      </c>
    </row>
    <row r="688" ht="14.25" customHeight="1">
      <c r="A688" s="1" t="s">
        <v>610</v>
      </c>
      <c r="B688" s="1" t="s">
        <v>20</v>
      </c>
      <c r="C688" s="2" t="s">
        <v>611</v>
      </c>
      <c r="D688" s="2">
        <v>8.4</v>
      </c>
      <c r="E688" s="2">
        <v>2012.0</v>
      </c>
      <c r="F688" s="2" t="s">
        <v>10</v>
      </c>
      <c r="G688" s="2">
        <v>7750000.0</v>
      </c>
    </row>
    <row r="689" ht="14.25" customHeight="1">
      <c r="A689" s="1" t="s">
        <v>612</v>
      </c>
      <c r="B689" s="1" t="s">
        <v>20</v>
      </c>
      <c r="C689" s="2" t="s">
        <v>613</v>
      </c>
      <c r="D689" s="2">
        <v>8.4</v>
      </c>
      <c r="E689" s="2">
        <v>2009.0</v>
      </c>
      <c r="F689" s="2">
        <v>2009.0</v>
      </c>
      <c r="G689" s="2" t="s">
        <v>10</v>
      </c>
    </row>
    <row r="690" ht="14.25" customHeight="1">
      <c r="A690" s="1" t="s">
        <v>614</v>
      </c>
      <c r="B690" s="1" t="s">
        <v>20</v>
      </c>
      <c r="C690" s="2" t="s">
        <v>9</v>
      </c>
      <c r="D690" s="2">
        <v>8.4</v>
      </c>
      <c r="E690" s="2">
        <v>2019.0</v>
      </c>
      <c r="F690" s="2">
        <v>2012.0</v>
      </c>
      <c r="G690" s="2" t="s">
        <v>10</v>
      </c>
    </row>
    <row r="691" ht="14.25" customHeight="1">
      <c r="A691" s="1" t="s">
        <v>615</v>
      </c>
      <c r="B691" s="1" t="s">
        <v>20</v>
      </c>
      <c r="C691" s="2" t="s">
        <v>616</v>
      </c>
      <c r="D691" s="2">
        <v>8.4</v>
      </c>
      <c r="E691" s="2">
        <v>2000.0</v>
      </c>
      <c r="F691" s="2" t="s">
        <v>10</v>
      </c>
      <c r="G691" s="2" t="s">
        <v>10</v>
      </c>
    </row>
    <row r="692" ht="14.25" customHeight="1">
      <c r="A692" s="1" t="s">
        <v>617</v>
      </c>
      <c r="B692" s="1" t="s">
        <v>20</v>
      </c>
      <c r="C692" s="2" t="s">
        <v>34</v>
      </c>
      <c r="D692" s="2">
        <v>8.4</v>
      </c>
      <c r="E692" s="2">
        <v>2019.0</v>
      </c>
      <c r="F692" s="2" t="s">
        <v>10</v>
      </c>
      <c r="G692" s="2" t="s">
        <v>10</v>
      </c>
    </row>
    <row r="693" ht="14.25" customHeight="1">
      <c r="A693" s="1" t="s">
        <v>618</v>
      </c>
      <c r="B693" s="1" t="s">
        <v>20</v>
      </c>
      <c r="C693" s="2" t="s">
        <v>151</v>
      </c>
      <c r="D693" s="2">
        <v>8.4</v>
      </c>
      <c r="E693" s="2">
        <v>2018.0</v>
      </c>
      <c r="F693" s="2">
        <v>2018.0</v>
      </c>
      <c r="G693" s="2" t="s">
        <v>10</v>
      </c>
    </row>
    <row r="694" ht="14.25" customHeight="1">
      <c r="A694" s="1" t="s">
        <v>619</v>
      </c>
      <c r="B694" s="1" t="s">
        <v>20</v>
      </c>
      <c r="C694" s="2" t="s">
        <v>328</v>
      </c>
      <c r="D694" s="2">
        <v>8.4</v>
      </c>
      <c r="E694" s="2">
        <v>2008.0</v>
      </c>
      <c r="F694" s="2" t="s">
        <v>10</v>
      </c>
      <c r="G694" s="2" t="s">
        <v>10</v>
      </c>
    </row>
    <row r="695" ht="14.25" customHeight="1">
      <c r="A695" s="1" t="s">
        <v>620</v>
      </c>
      <c r="B695" s="1" t="s">
        <v>20</v>
      </c>
      <c r="C695" s="2" t="s">
        <v>621</v>
      </c>
      <c r="D695" s="2">
        <v>8.4</v>
      </c>
      <c r="E695" s="2">
        <v>1980.0</v>
      </c>
      <c r="F695" s="2" t="s">
        <v>10</v>
      </c>
      <c r="G695" s="2" t="s">
        <v>10</v>
      </c>
    </row>
    <row r="696" ht="14.25" customHeight="1">
      <c r="A696" s="1" t="s">
        <v>622</v>
      </c>
      <c r="B696" s="1" t="s">
        <v>20</v>
      </c>
      <c r="C696" s="2" t="s">
        <v>623</v>
      </c>
      <c r="D696" s="2">
        <v>8.4</v>
      </c>
      <c r="E696" s="2">
        <v>1981.0</v>
      </c>
      <c r="F696" s="2" t="s">
        <v>10</v>
      </c>
      <c r="G696" s="2" t="s">
        <v>10</v>
      </c>
    </row>
    <row r="697" ht="14.25" customHeight="1">
      <c r="A697" s="1" t="s">
        <v>624</v>
      </c>
      <c r="B697" s="1" t="s">
        <v>20</v>
      </c>
      <c r="C697" s="2" t="s">
        <v>151</v>
      </c>
      <c r="D697" s="2">
        <v>8.4</v>
      </c>
      <c r="E697" s="2">
        <v>1986.0</v>
      </c>
      <c r="F697" s="2" t="s">
        <v>10</v>
      </c>
      <c r="G697" s="2" t="s">
        <v>10</v>
      </c>
    </row>
    <row r="698" ht="14.25" customHeight="1">
      <c r="A698" s="1" t="s">
        <v>625</v>
      </c>
      <c r="B698" s="1" t="s">
        <v>20</v>
      </c>
      <c r="C698" s="2" t="s">
        <v>626</v>
      </c>
      <c r="D698" s="2">
        <v>8.4</v>
      </c>
      <c r="E698" s="2">
        <v>1979.0</v>
      </c>
      <c r="F698" s="2" t="s">
        <v>10</v>
      </c>
      <c r="G698" s="2" t="s">
        <v>10</v>
      </c>
    </row>
    <row r="699" ht="14.25" customHeight="1">
      <c r="A699" s="1" t="s">
        <v>627</v>
      </c>
      <c r="B699" s="1" t="s">
        <v>20</v>
      </c>
      <c r="C699" s="2" t="s">
        <v>25</v>
      </c>
      <c r="D699" s="2">
        <v>8.4</v>
      </c>
      <c r="E699" s="2">
        <v>2018.0</v>
      </c>
      <c r="F699" s="2">
        <v>2018.0</v>
      </c>
      <c r="G699" s="2">
        <v>5910000.0</v>
      </c>
    </row>
    <row r="700" ht="14.25" customHeight="1">
      <c r="A700" s="1" t="s">
        <v>627</v>
      </c>
      <c r="B700" s="1" t="s">
        <v>20</v>
      </c>
      <c r="C700" s="2" t="s">
        <v>25</v>
      </c>
      <c r="D700" s="2">
        <v>8.4</v>
      </c>
      <c r="E700" s="2">
        <v>2018.0</v>
      </c>
      <c r="F700" s="2">
        <v>2018.0</v>
      </c>
      <c r="G700" s="2">
        <v>1.394E7</v>
      </c>
    </row>
    <row r="701" ht="14.25" customHeight="1">
      <c r="A701" s="1" t="s">
        <v>628</v>
      </c>
      <c r="B701" s="1" t="s">
        <v>20</v>
      </c>
      <c r="C701" s="2" t="s">
        <v>395</v>
      </c>
      <c r="D701" s="2">
        <v>8.4</v>
      </c>
      <c r="E701" s="2">
        <v>2017.0</v>
      </c>
      <c r="F701" s="2" t="s">
        <v>10</v>
      </c>
      <c r="G701" s="2" t="s">
        <v>10</v>
      </c>
    </row>
    <row r="702" ht="14.25" customHeight="1">
      <c r="A702" s="1" t="s">
        <v>629</v>
      </c>
      <c r="B702" s="1" t="s">
        <v>8</v>
      </c>
      <c r="C702" s="2" t="s">
        <v>63</v>
      </c>
      <c r="D702" s="2">
        <v>8.4</v>
      </c>
      <c r="E702" s="2">
        <v>2011.0</v>
      </c>
      <c r="F702" s="2">
        <v>2018.0</v>
      </c>
      <c r="G702" s="2">
        <v>2.03E7</v>
      </c>
    </row>
    <row r="703" ht="14.25" customHeight="1">
      <c r="A703" s="1" t="s">
        <v>629</v>
      </c>
      <c r="B703" s="1" t="s">
        <v>8</v>
      </c>
      <c r="C703" s="2" t="s">
        <v>63</v>
      </c>
      <c r="D703" s="2">
        <v>8.4</v>
      </c>
      <c r="E703" s="2">
        <v>2011.0</v>
      </c>
      <c r="F703" s="2">
        <v>2018.0</v>
      </c>
      <c r="G703" s="2">
        <v>2.07E7</v>
      </c>
    </row>
    <row r="704" ht="14.25" customHeight="1">
      <c r="A704" s="1" t="s">
        <v>629</v>
      </c>
      <c r="B704" s="1" t="s">
        <v>8</v>
      </c>
      <c r="C704" s="2" t="s">
        <v>63</v>
      </c>
      <c r="D704" s="2">
        <v>8.4</v>
      </c>
      <c r="E704" s="2">
        <v>2011.0</v>
      </c>
      <c r="F704" s="2">
        <v>2018.0</v>
      </c>
      <c r="G704" s="2">
        <v>2.62E7</v>
      </c>
    </row>
    <row r="705" ht="14.25" customHeight="1">
      <c r="A705" s="1" t="s">
        <v>629</v>
      </c>
      <c r="B705" s="1" t="s">
        <v>8</v>
      </c>
      <c r="C705" s="2" t="s">
        <v>63</v>
      </c>
      <c r="D705" s="2">
        <v>8.4</v>
      </c>
      <c r="E705" s="2">
        <v>2011.0</v>
      </c>
      <c r="F705" s="2">
        <v>2018.0</v>
      </c>
      <c r="G705" s="2">
        <v>2.77E7</v>
      </c>
    </row>
    <row r="706" ht="14.25" customHeight="1">
      <c r="A706" s="1" t="s">
        <v>630</v>
      </c>
      <c r="B706" s="1" t="s">
        <v>8</v>
      </c>
      <c r="C706" s="2" t="s">
        <v>92</v>
      </c>
      <c r="D706" s="2">
        <v>8.4</v>
      </c>
      <c r="E706" s="2">
        <v>2005.0</v>
      </c>
      <c r="F706" s="2">
        <v>2019.0</v>
      </c>
      <c r="G706" s="2" t="s">
        <v>10</v>
      </c>
    </row>
    <row r="707" ht="14.25" customHeight="1">
      <c r="A707" s="1" t="s">
        <v>631</v>
      </c>
      <c r="B707" s="1" t="s">
        <v>20</v>
      </c>
      <c r="C707" s="2" t="s">
        <v>63</v>
      </c>
      <c r="D707" s="2">
        <v>8.4</v>
      </c>
      <c r="E707" s="2">
        <v>2009.0</v>
      </c>
      <c r="F707" s="2">
        <v>2009.0</v>
      </c>
      <c r="G707" s="2" t="s">
        <v>10</v>
      </c>
    </row>
    <row r="708" ht="14.25" customHeight="1">
      <c r="A708" s="1" t="s">
        <v>632</v>
      </c>
      <c r="B708" s="1" t="s">
        <v>20</v>
      </c>
      <c r="C708" s="2" t="s">
        <v>311</v>
      </c>
      <c r="D708" s="2">
        <v>8.4</v>
      </c>
      <c r="E708" s="2">
        <v>1984.0</v>
      </c>
      <c r="F708" s="2" t="s">
        <v>10</v>
      </c>
      <c r="G708" s="2" t="s">
        <v>10</v>
      </c>
    </row>
    <row r="709" ht="14.25" customHeight="1">
      <c r="A709" s="1" t="s">
        <v>633</v>
      </c>
      <c r="B709" s="1" t="s">
        <v>20</v>
      </c>
      <c r="C709" s="2" t="s">
        <v>468</v>
      </c>
      <c r="D709" s="2">
        <v>8.4</v>
      </c>
      <c r="E709" s="2">
        <v>2006.0</v>
      </c>
      <c r="F709" s="2">
        <v>2006.0</v>
      </c>
      <c r="G709" s="2" t="s">
        <v>10</v>
      </c>
    </row>
    <row r="710" ht="14.25" customHeight="1">
      <c r="A710" s="1" t="s">
        <v>634</v>
      </c>
      <c r="B710" s="1" t="s">
        <v>8</v>
      </c>
      <c r="C710" s="2" t="s">
        <v>527</v>
      </c>
      <c r="D710" s="2">
        <v>8.4</v>
      </c>
      <c r="E710" s="2">
        <v>2013.0</v>
      </c>
      <c r="F710" s="2" t="s">
        <v>10</v>
      </c>
      <c r="G710" s="2" t="s">
        <v>10</v>
      </c>
    </row>
    <row r="711" ht="14.25" customHeight="1">
      <c r="A711" s="1" t="s">
        <v>635</v>
      </c>
      <c r="B711" s="1" t="s">
        <v>20</v>
      </c>
      <c r="C711" s="2" t="s">
        <v>597</v>
      </c>
      <c r="D711" s="2">
        <v>8.4</v>
      </c>
      <c r="E711" s="2">
        <v>2016.0</v>
      </c>
      <c r="F711" s="2" t="s">
        <v>10</v>
      </c>
      <c r="G711" s="2" t="s">
        <v>10</v>
      </c>
    </row>
    <row r="712" ht="14.25" customHeight="1">
      <c r="A712" s="1" t="s">
        <v>636</v>
      </c>
      <c r="B712" s="1" t="s">
        <v>8</v>
      </c>
      <c r="C712" s="2" t="s">
        <v>69</v>
      </c>
      <c r="D712" s="2">
        <v>8.4</v>
      </c>
      <c r="E712" s="2">
        <v>2017.0</v>
      </c>
      <c r="F712" s="2" t="s">
        <v>10</v>
      </c>
      <c r="G712" s="2" t="s">
        <v>10</v>
      </c>
    </row>
    <row r="713" ht="14.25" customHeight="1">
      <c r="A713" s="1" t="s">
        <v>637</v>
      </c>
      <c r="B713" s="1" t="s">
        <v>8</v>
      </c>
      <c r="C713" s="2" t="s">
        <v>63</v>
      </c>
      <c r="D713" s="2">
        <v>8.4</v>
      </c>
      <c r="E713" s="2">
        <v>2001.0</v>
      </c>
      <c r="F713" s="2" t="s">
        <v>10</v>
      </c>
      <c r="G713" s="2" t="s">
        <v>10</v>
      </c>
    </row>
    <row r="714" ht="14.25" customHeight="1">
      <c r="A714" s="1" t="s">
        <v>183</v>
      </c>
      <c r="B714" s="1" t="s">
        <v>20</v>
      </c>
      <c r="C714" s="2" t="s">
        <v>184</v>
      </c>
      <c r="D714" s="2">
        <v>8.4</v>
      </c>
      <c r="E714" s="2">
        <v>1981.0</v>
      </c>
      <c r="F714" s="2" t="s">
        <v>10</v>
      </c>
      <c r="G714" s="2" t="s">
        <v>10</v>
      </c>
    </row>
    <row r="715" ht="14.25" customHeight="1">
      <c r="A715" s="1" t="s">
        <v>638</v>
      </c>
      <c r="B715" s="1" t="s">
        <v>8</v>
      </c>
      <c r="C715" s="2" t="s">
        <v>639</v>
      </c>
      <c r="D715" s="2">
        <v>8.4</v>
      </c>
      <c r="E715" s="2">
        <v>2017.0</v>
      </c>
      <c r="F715" s="2" t="s">
        <v>10</v>
      </c>
      <c r="G715" s="2" t="s">
        <v>10</v>
      </c>
    </row>
    <row r="716" ht="14.25" customHeight="1">
      <c r="A716" s="1" t="s">
        <v>640</v>
      </c>
      <c r="B716" s="1" t="s">
        <v>8</v>
      </c>
      <c r="C716" s="2" t="s">
        <v>231</v>
      </c>
      <c r="D716" s="2">
        <v>8.4</v>
      </c>
      <c r="E716" s="2">
        <v>2008.0</v>
      </c>
      <c r="F716" s="2" t="s">
        <v>10</v>
      </c>
      <c r="G716" s="2" t="s">
        <v>10</v>
      </c>
    </row>
    <row r="717" ht="14.25" customHeight="1">
      <c r="A717" s="1" t="s">
        <v>641</v>
      </c>
      <c r="B717" s="1" t="s">
        <v>20</v>
      </c>
      <c r="C717" s="2" t="s">
        <v>516</v>
      </c>
      <c r="D717" s="2">
        <v>8.4</v>
      </c>
      <c r="E717" s="2">
        <v>1940.0</v>
      </c>
      <c r="F717" s="2" t="s">
        <v>10</v>
      </c>
      <c r="G717" s="2" t="s">
        <v>10</v>
      </c>
    </row>
    <row r="718" ht="14.25" customHeight="1">
      <c r="A718" s="1" t="s">
        <v>642</v>
      </c>
      <c r="B718" s="1" t="s">
        <v>20</v>
      </c>
      <c r="C718" s="2" t="s">
        <v>643</v>
      </c>
      <c r="D718" s="2">
        <v>8.4</v>
      </c>
      <c r="E718" s="2">
        <v>1950.0</v>
      </c>
      <c r="F718" s="2" t="s">
        <v>10</v>
      </c>
      <c r="G718" s="2" t="s">
        <v>10</v>
      </c>
    </row>
    <row r="719" ht="14.25" customHeight="1">
      <c r="A719" s="1" t="s">
        <v>644</v>
      </c>
      <c r="B719" s="1" t="s">
        <v>8</v>
      </c>
      <c r="C719" s="2" t="s">
        <v>53</v>
      </c>
      <c r="D719" s="2">
        <v>8.4</v>
      </c>
      <c r="E719" s="2">
        <v>2017.0</v>
      </c>
      <c r="F719" s="2" t="s">
        <v>10</v>
      </c>
      <c r="G719" s="2" t="s">
        <v>10</v>
      </c>
    </row>
    <row r="720" ht="14.25" customHeight="1">
      <c r="A720" s="1" t="s">
        <v>645</v>
      </c>
      <c r="B720" s="1" t="s">
        <v>20</v>
      </c>
      <c r="C720" s="2" t="s">
        <v>184</v>
      </c>
      <c r="D720" s="2">
        <v>8.4</v>
      </c>
      <c r="E720" s="2">
        <v>1957.0</v>
      </c>
      <c r="F720" s="2" t="s">
        <v>10</v>
      </c>
      <c r="G720" s="2" t="s">
        <v>10</v>
      </c>
    </row>
    <row r="721" ht="14.25" customHeight="1">
      <c r="A721" s="1" t="s">
        <v>646</v>
      </c>
      <c r="B721" s="1" t="s">
        <v>8</v>
      </c>
      <c r="C721" s="2" t="s">
        <v>253</v>
      </c>
      <c r="D721" s="2">
        <v>8.4</v>
      </c>
      <c r="E721" s="2">
        <v>2018.0</v>
      </c>
      <c r="F721" s="2">
        <v>2021.0</v>
      </c>
      <c r="G721" s="2">
        <v>1.353E7</v>
      </c>
    </row>
    <row r="722" ht="14.25" customHeight="1">
      <c r="A722" s="1" t="s">
        <v>646</v>
      </c>
      <c r="B722" s="1" t="s">
        <v>8</v>
      </c>
      <c r="C722" s="2" t="s">
        <v>253</v>
      </c>
      <c r="D722" s="2">
        <v>8.4</v>
      </c>
      <c r="E722" s="2">
        <v>2018.0</v>
      </c>
      <c r="F722" s="2">
        <v>2021.0</v>
      </c>
      <c r="G722" s="2">
        <v>2.082E7</v>
      </c>
    </row>
    <row r="723" ht="14.25" customHeight="1">
      <c r="A723" s="1" t="s">
        <v>646</v>
      </c>
      <c r="B723" s="1" t="s">
        <v>8</v>
      </c>
      <c r="C723" s="2" t="s">
        <v>253</v>
      </c>
      <c r="D723" s="2">
        <v>8.4</v>
      </c>
      <c r="E723" s="2">
        <v>2018.0</v>
      </c>
      <c r="F723" s="2">
        <v>2021.0</v>
      </c>
      <c r="G723" s="2">
        <v>3.812E7</v>
      </c>
    </row>
    <row r="724" ht="14.25" customHeight="1">
      <c r="A724" s="1" t="s">
        <v>646</v>
      </c>
      <c r="B724" s="1" t="s">
        <v>8</v>
      </c>
      <c r="C724" s="2" t="s">
        <v>253</v>
      </c>
      <c r="D724" s="2">
        <v>8.4</v>
      </c>
      <c r="E724" s="2">
        <v>2018.0</v>
      </c>
      <c r="F724" s="2">
        <v>2021.0</v>
      </c>
      <c r="G724" s="2">
        <v>9.555E7</v>
      </c>
    </row>
    <row r="725" ht="14.25" customHeight="1">
      <c r="A725" s="1" t="s">
        <v>646</v>
      </c>
      <c r="B725" s="1" t="s">
        <v>8</v>
      </c>
      <c r="C725" s="2" t="s">
        <v>253</v>
      </c>
      <c r="D725" s="2">
        <v>8.4</v>
      </c>
      <c r="E725" s="2">
        <v>2018.0</v>
      </c>
      <c r="F725" s="2">
        <v>2021.0</v>
      </c>
      <c r="G725" s="2">
        <v>1.067E8</v>
      </c>
    </row>
    <row r="726" ht="14.25" customHeight="1">
      <c r="A726" s="1" t="s">
        <v>646</v>
      </c>
      <c r="B726" s="1" t="s">
        <v>8</v>
      </c>
      <c r="C726" s="2" t="s">
        <v>253</v>
      </c>
      <c r="D726" s="2">
        <v>8.4</v>
      </c>
      <c r="E726" s="2">
        <v>2018.0</v>
      </c>
      <c r="F726" s="2">
        <v>2021.0</v>
      </c>
      <c r="G726" s="2">
        <v>2.384E7</v>
      </c>
    </row>
    <row r="727" ht="14.25" customHeight="1">
      <c r="A727" s="1" t="s">
        <v>646</v>
      </c>
      <c r="B727" s="1" t="s">
        <v>8</v>
      </c>
      <c r="C727" s="2" t="s">
        <v>253</v>
      </c>
      <c r="D727" s="2">
        <v>8.4</v>
      </c>
      <c r="E727" s="2">
        <v>2018.0</v>
      </c>
      <c r="F727" s="2">
        <v>2021.0</v>
      </c>
      <c r="G727" s="2">
        <v>4.124E7</v>
      </c>
    </row>
    <row r="728" ht="14.25" customHeight="1">
      <c r="A728" s="1" t="s">
        <v>646</v>
      </c>
      <c r="B728" s="1" t="s">
        <v>8</v>
      </c>
      <c r="C728" s="2" t="s">
        <v>253</v>
      </c>
      <c r="D728" s="2">
        <v>8.4</v>
      </c>
      <c r="E728" s="2">
        <v>2018.0</v>
      </c>
      <c r="F728" s="2">
        <v>2021.0</v>
      </c>
      <c r="G728" s="2">
        <v>1.395E7</v>
      </c>
    </row>
    <row r="729" ht="14.25" customHeight="1">
      <c r="A729" s="1" t="s">
        <v>646</v>
      </c>
      <c r="B729" s="1" t="s">
        <v>8</v>
      </c>
      <c r="C729" s="2" t="s">
        <v>253</v>
      </c>
      <c r="D729" s="2">
        <v>8.4</v>
      </c>
      <c r="E729" s="2">
        <v>2018.0</v>
      </c>
      <c r="F729" s="2">
        <v>2021.0</v>
      </c>
      <c r="G729" s="2">
        <v>1.0781E8</v>
      </c>
    </row>
    <row r="730" ht="14.25" customHeight="1">
      <c r="A730" s="1" t="s">
        <v>646</v>
      </c>
      <c r="B730" s="1" t="s">
        <v>8</v>
      </c>
      <c r="C730" s="2" t="s">
        <v>253</v>
      </c>
      <c r="D730" s="2">
        <v>8.4</v>
      </c>
      <c r="E730" s="2">
        <v>2018.0</v>
      </c>
      <c r="F730" s="2">
        <v>2021.0</v>
      </c>
      <c r="G730" s="2">
        <v>2.385E7</v>
      </c>
    </row>
    <row r="731" ht="14.25" customHeight="1">
      <c r="A731" s="1" t="s">
        <v>646</v>
      </c>
      <c r="B731" s="1" t="s">
        <v>8</v>
      </c>
      <c r="C731" s="2" t="s">
        <v>253</v>
      </c>
      <c r="D731" s="2">
        <v>8.4</v>
      </c>
      <c r="E731" s="2">
        <v>2018.0</v>
      </c>
      <c r="F731" s="2">
        <v>2021.0</v>
      </c>
      <c r="G731" s="2">
        <v>2.01E7</v>
      </c>
    </row>
    <row r="732" ht="14.25" customHeight="1">
      <c r="A732" s="1" t="s">
        <v>646</v>
      </c>
      <c r="B732" s="1" t="s">
        <v>8</v>
      </c>
      <c r="C732" s="2" t="s">
        <v>253</v>
      </c>
      <c r="D732" s="2">
        <v>8.4</v>
      </c>
      <c r="E732" s="2">
        <v>2018.0</v>
      </c>
      <c r="F732" s="2">
        <v>2021.0</v>
      </c>
      <c r="G732" s="2">
        <v>1.934E7</v>
      </c>
    </row>
    <row r="733" ht="14.25" customHeight="1">
      <c r="A733" s="1" t="s">
        <v>646</v>
      </c>
      <c r="B733" s="1" t="s">
        <v>8</v>
      </c>
      <c r="C733" s="2" t="s">
        <v>253</v>
      </c>
      <c r="D733" s="2">
        <v>8.4</v>
      </c>
      <c r="E733" s="2">
        <v>2018.0</v>
      </c>
      <c r="F733" s="2">
        <v>2021.0</v>
      </c>
      <c r="G733" s="2">
        <v>1.2006E8</v>
      </c>
    </row>
    <row r="734" ht="14.25" customHeight="1">
      <c r="A734" s="1" t="s">
        <v>646</v>
      </c>
      <c r="B734" s="1" t="s">
        <v>8</v>
      </c>
      <c r="C734" s="2" t="s">
        <v>253</v>
      </c>
      <c r="D734" s="2">
        <v>8.4</v>
      </c>
      <c r="E734" s="2">
        <v>2018.0</v>
      </c>
      <c r="F734" s="2">
        <v>2021.0</v>
      </c>
      <c r="G734" s="2">
        <v>1.345E7</v>
      </c>
    </row>
    <row r="735" ht="14.25" customHeight="1">
      <c r="A735" s="1" t="s">
        <v>647</v>
      </c>
      <c r="B735" s="1" t="s">
        <v>8</v>
      </c>
      <c r="C735" s="2" t="s">
        <v>25</v>
      </c>
      <c r="D735" s="2">
        <v>8.4</v>
      </c>
      <c r="E735" s="2">
        <v>2019.0</v>
      </c>
      <c r="F735" s="2">
        <v>2021.0</v>
      </c>
      <c r="G735" s="2">
        <v>1.539E7</v>
      </c>
    </row>
    <row r="736" ht="14.25" customHeight="1">
      <c r="A736" s="1" t="s">
        <v>647</v>
      </c>
      <c r="B736" s="1" t="s">
        <v>8</v>
      </c>
      <c r="C736" s="2" t="s">
        <v>25</v>
      </c>
      <c r="D736" s="2">
        <v>8.4</v>
      </c>
      <c r="E736" s="2">
        <v>2019.0</v>
      </c>
      <c r="F736" s="2">
        <v>2021.0</v>
      </c>
      <c r="G736" s="2">
        <v>1.442E7</v>
      </c>
    </row>
    <row r="737" ht="14.25" customHeight="1">
      <c r="A737" s="1">
        <v>24.0</v>
      </c>
      <c r="B737" s="1" t="s">
        <v>8</v>
      </c>
      <c r="C737" s="2" t="s">
        <v>69</v>
      </c>
      <c r="D737" s="2">
        <v>8.4</v>
      </c>
      <c r="E737" s="2">
        <v>2001.0</v>
      </c>
      <c r="F737" s="2" t="s">
        <v>10</v>
      </c>
      <c r="G737" s="2" t="s">
        <v>10</v>
      </c>
    </row>
    <row r="738" ht="14.25" customHeight="1">
      <c r="A738" s="1" t="s">
        <v>648</v>
      </c>
      <c r="B738" s="1" t="s">
        <v>8</v>
      </c>
      <c r="C738" s="2" t="s">
        <v>53</v>
      </c>
      <c r="D738" s="2">
        <v>8.4</v>
      </c>
      <c r="E738" s="2">
        <v>2021.0</v>
      </c>
      <c r="F738" s="2" t="s">
        <v>10</v>
      </c>
      <c r="G738" s="2" t="s">
        <v>10</v>
      </c>
    </row>
    <row r="739" ht="14.25" customHeight="1">
      <c r="A739" s="1" t="s">
        <v>649</v>
      </c>
      <c r="B739" s="1" t="s">
        <v>8</v>
      </c>
      <c r="C739" s="2" t="s">
        <v>34</v>
      </c>
      <c r="D739" s="2">
        <v>8.4</v>
      </c>
      <c r="E739" s="2">
        <v>2022.0</v>
      </c>
      <c r="F739" s="2" t="s">
        <v>10</v>
      </c>
      <c r="G739" s="2" t="s">
        <v>10</v>
      </c>
    </row>
    <row r="740" ht="14.25" customHeight="1">
      <c r="A740" s="1" t="s">
        <v>650</v>
      </c>
      <c r="B740" s="1" t="s">
        <v>8</v>
      </c>
      <c r="C740" s="2" t="s">
        <v>63</v>
      </c>
      <c r="D740" s="2">
        <v>8.4</v>
      </c>
      <c r="E740" s="2">
        <v>2004.0</v>
      </c>
      <c r="F740" s="2" t="s">
        <v>10</v>
      </c>
      <c r="G740" s="2" t="s">
        <v>10</v>
      </c>
    </row>
    <row r="741" ht="14.25" customHeight="1">
      <c r="A741" s="1" t="s">
        <v>651</v>
      </c>
      <c r="B741" s="1" t="s">
        <v>8</v>
      </c>
      <c r="C741" s="2" t="s">
        <v>53</v>
      </c>
      <c r="D741" s="2">
        <v>8.4</v>
      </c>
      <c r="E741" s="2">
        <v>2016.0</v>
      </c>
      <c r="F741" s="2" t="s">
        <v>10</v>
      </c>
      <c r="G741" s="2" t="s">
        <v>10</v>
      </c>
    </row>
    <row r="742" ht="14.25" customHeight="1">
      <c r="A742" s="1" t="s">
        <v>652</v>
      </c>
      <c r="B742" s="1" t="s">
        <v>8</v>
      </c>
      <c r="C742" s="2" t="s">
        <v>653</v>
      </c>
      <c r="D742" s="2">
        <v>8.4</v>
      </c>
      <c r="E742" s="2">
        <v>2008.0</v>
      </c>
      <c r="F742" s="2" t="s">
        <v>10</v>
      </c>
      <c r="G742" s="2" t="s">
        <v>10</v>
      </c>
    </row>
    <row r="743" ht="14.25" customHeight="1">
      <c r="A743" s="1" t="s">
        <v>654</v>
      </c>
      <c r="B743" s="1" t="s">
        <v>8</v>
      </c>
      <c r="C743" s="2" t="s">
        <v>63</v>
      </c>
      <c r="D743" s="2">
        <v>8.4</v>
      </c>
      <c r="E743" s="2">
        <v>2019.0</v>
      </c>
      <c r="F743" s="2">
        <v>2020.0</v>
      </c>
      <c r="G743" s="2" t="s">
        <v>10</v>
      </c>
    </row>
    <row r="744" ht="14.25" customHeight="1">
      <c r="A744" s="1" t="s">
        <v>655</v>
      </c>
      <c r="B744" s="1" t="s">
        <v>8</v>
      </c>
      <c r="C744" s="2" t="s">
        <v>53</v>
      </c>
      <c r="D744" s="2">
        <v>8.4</v>
      </c>
      <c r="E744" s="2">
        <v>2010.0</v>
      </c>
      <c r="F744" s="2" t="s">
        <v>10</v>
      </c>
      <c r="G744" s="2" t="s">
        <v>10</v>
      </c>
    </row>
    <row r="745" ht="14.25" customHeight="1">
      <c r="A745" s="1" t="s">
        <v>656</v>
      </c>
      <c r="B745" s="1" t="s">
        <v>20</v>
      </c>
      <c r="C745" s="2" t="s">
        <v>53</v>
      </c>
      <c r="D745" s="2">
        <v>8.4</v>
      </c>
      <c r="E745" s="2">
        <v>1957.0</v>
      </c>
      <c r="F745" s="2" t="s">
        <v>10</v>
      </c>
      <c r="G745" s="2" t="s">
        <v>10</v>
      </c>
    </row>
    <row r="746" ht="14.25" customHeight="1">
      <c r="A746" s="1" t="s">
        <v>657</v>
      </c>
      <c r="B746" s="1" t="s">
        <v>8</v>
      </c>
      <c r="C746" s="2" t="s">
        <v>25</v>
      </c>
      <c r="D746" s="2">
        <v>8.4</v>
      </c>
      <c r="E746" s="2">
        <v>2002.0</v>
      </c>
      <c r="F746" s="2">
        <v>2006.0</v>
      </c>
      <c r="G746" s="2" t="s">
        <v>10</v>
      </c>
    </row>
    <row r="747" ht="14.25" customHeight="1">
      <c r="A747" s="1" t="s">
        <v>658</v>
      </c>
      <c r="B747" s="1" t="s">
        <v>8</v>
      </c>
      <c r="C747" s="2" t="s">
        <v>53</v>
      </c>
      <c r="D747" s="2">
        <v>8.4</v>
      </c>
      <c r="E747" s="2">
        <v>2013.0</v>
      </c>
      <c r="F747" s="2">
        <v>2017.0</v>
      </c>
      <c r="G747" s="2" t="s">
        <v>10</v>
      </c>
    </row>
    <row r="748" ht="14.25" customHeight="1">
      <c r="A748" s="1" t="s">
        <v>659</v>
      </c>
      <c r="B748" s="1" t="s">
        <v>8</v>
      </c>
      <c r="C748" s="2" t="s">
        <v>69</v>
      </c>
      <c r="D748" s="2">
        <v>8.4</v>
      </c>
      <c r="E748" s="2">
        <v>2013.0</v>
      </c>
      <c r="F748" s="2" t="s">
        <v>10</v>
      </c>
      <c r="G748" s="2" t="s">
        <v>10</v>
      </c>
    </row>
    <row r="749" ht="14.25" customHeight="1">
      <c r="A749" s="1" t="s">
        <v>660</v>
      </c>
      <c r="B749" s="1" t="s">
        <v>8</v>
      </c>
      <c r="C749" s="2" t="s">
        <v>25</v>
      </c>
      <c r="D749" s="2">
        <v>8.4</v>
      </c>
      <c r="E749" s="2">
        <v>2008.0</v>
      </c>
      <c r="F749" s="2" t="s">
        <v>10</v>
      </c>
      <c r="G749" s="2" t="s">
        <v>10</v>
      </c>
    </row>
    <row r="750" ht="14.25" customHeight="1">
      <c r="A750" s="1" t="s">
        <v>661</v>
      </c>
      <c r="B750" s="1" t="s">
        <v>8</v>
      </c>
      <c r="C750" s="2" t="s">
        <v>53</v>
      </c>
      <c r="D750" s="2">
        <v>8.4</v>
      </c>
      <c r="E750" s="2">
        <v>2013.0</v>
      </c>
      <c r="F750" s="2" t="s">
        <v>10</v>
      </c>
      <c r="G750" s="2" t="s">
        <v>10</v>
      </c>
    </row>
    <row r="751" ht="14.25" customHeight="1">
      <c r="A751" s="1" t="s">
        <v>662</v>
      </c>
      <c r="B751" s="1" t="s">
        <v>8</v>
      </c>
      <c r="C751" s="2" t="s">
        <v>663</v>
      </c>
      <c r="D751" s="2">
        <v>8.4</v>
      </c>
      <c r="E751" s="2">
        <v>2006.0</v>
      </c>
      <c r="F751" s="2" t="s">
        <v>10</v>
      </c>
      <c r="G751" s="2" t="s">
        <v>10</v>
      </c>
    </row>
    <row r="752" ht="14.25" customHeight="1">
      <c r="A752" s="1" t="s">
        <v>664</v>
      </c>
      <c r="B752" s="1" t="s">
        <v>20</v>
      </c>
      <c r="C752" s="2" t="s">
        <v>18</v>
      </c>
      <c r="D752" s="2">
        <v>8.4</v>
      </c>
      <c r="E752" s="2">
        <v>2018.0</v>
      </c>
      <c r="F752" s="2" t="s">
        <v>10</v>
      </c>
      <c r="G752" s="2" t="s">
        <v>10</v>
      </c>
    </row>
    <row r="753" ht="14.25" customHeight="1">
      <c r="A753" s="1" t="s">
        <v>665</v>
      </c>
      <c r="B753" s="1" t="s">
        <v>8</v>
      </c>
      <c r="C753" s="2" t="s">
        <v>34</v>
      </c>
      <c r="D753" s="2">
        <v>8.4</v>
      </c>
      <c r="E753" s="2">
        <v>1997.0</v>
      </c>
      <c r="F753" s="2">
        <v>2006.0</v>
      </c>
      <c r="G753" s="2" t="s">
        <v>10</v>
      </c>
    </row>
    <row r="754" ht="14.25" customHeight="1">
      <c r="A754" s="1" t="s">
        <v>666</v>
      </c>
      <c r="B754" s="1" t="s">
        <v>8</v>
      </c>
      <c r="C754" s="2" t="s">
        <v>40</v>
      </c>
      <c r="D754" s="2">
        <v>8.4</v>
      </c>
      <c r="E754" s="2">
        <v>2016.0</v>
      </c>
      <c r="F754" s="2" t="s">
        <v>10</v>
      </c>
      <c r="G754" s="2" t="s">
        <v>10</v>
      </c>
    </row>
    <row r="755" ht="14.25" customHeight="1">
      <c r="A755" s="1" t="s">
        <v>667</v>
      </c>
      <c r="B755" s="1" t="s">
        <v>8</v>
      </c>
      <c r="C755" s="2" t="s">
        <v>154</v>
      </c>
      <c r="D755" s="2">
        <v>8.4</v>
      </c>
      <c r="E755" s="2">
        <v>2020.0</v>
      </c>
      <c r="F755" s="2" t="s">
        <v>10</v>
      </c>
      <c r="G755" s="2" t="s">
        <v>10</v>
      </c>
    </row>
    <row r="756" ht="14.25" customHeight="1">
      <c r="A756" s="1" t="s">
        <v>668</v>
      </c>
      <c r="B756" s="1" t="s">
        <v>8</v>
      </c>
      <c r="C756" s="2" t="s">
        <v>32</v>
      </c>
      <c r="D756" s="2">
        <v>8.4</v>
      </c>
      <c r="E756" s="2">
        <v>2008.0</v>
      </c>
      <c r="F756" s="2">
        <v>2010.0</v>
      </c>
      <c r="G756" s="2" t="s">
        <v>10</v>
      </c>
    </row>
    <row r="757" ht="14.25" customHeight="1">
      <c r="A757" s="1" t="s">
        <v>669</v>
      </c>
      <c r="B757" s="1" t="s">
        <v>8</v>
      </c>
      <c r="C757" s="2" t="s">
        <v>151</v>
      </c>
      <c r="D757" s="2">
        <v>8.4</v>
      </c>
      <c r="E757" s="2">
        <v>1966.0</v>
      </c>
      <c r="F757" s="2">
        <v>2009.0</v>
      </c>
      <c r="G757" s="2" t="s">
        <v>10</v>
      </c>
    </row>
    <row r="758" ht="14.25" customHeight="1">
      <c r="A758" s="1" t="s">
        <v>670</v>
      </c>
      <c r="B758" s="1" t="s">
        <v>8</v>
      </c>
      <c r="C758" s="2" t="s">
        <v>9</v>
      </c>
      <c r="D758" s="2">
        <v>8.4</v>
      </c>
      <c r="E758" s="2">
        <v>2018.0</v>
      </c>
      <c r="F758" s="2" t="s">
        <v>10</v>
      </c>
      <c r="G758" s="2" t="s">
        <v>10</v>
      </c>
    </row>
    <row r="759" ht="14.25" customHeight="1">
      <c r="A759" s="1" t="s">
        <v>671</v>
      </c>
      <c r="B759" s="1" t="s">
        <v>8</v>
      </c>
      <c r="C759" s="2" t="s">
        <v>53</v>
      </c>
      <c r="D759" s="2">
        <v>8.4</v>
      </c>
      <c r="E759" s="2">
        <v>2009.0</v>
      </c>
      <c r="F759" s="2" t="s">
        <v>10</v>
      </c>
      <c r="G759" s="2" t="s">
        <v>10</v>
      </c>
    </row>
    <row r="760" ht="14.25" customHeight="1">
      <c r="A760" s="1" t="s">
        <v>672</v>
      </c>
      <c r="B760" s="1" t="s">
        <v>8</v>
      </c>
      <c r="C760" s="2" t="s">
        <v>673</v>
      </c>
      <c r="D760" s="2">
        <v>8.4</v>
      </c>
      <c r="E760" s="2">
        <v>2015.0</v>
      </c>
      <c r="F760" s="2" t="s">
        <v>10</v>
      </c>
      <c r="G760" s="2" t="s">
        <v>10</v>
      </c>
    </row>
    <row r="761" ht="14.25" customHeight="1">
      <c r="A761" s="1" t="s">
        <v>674</v>
      </c>
      <c r="B761" s="1" t="s">
        <v>8</v>
      </c>
      <c r="C761" s="2" t="s">
        <v>53</v>
      </c>
      <c r="D761" s="2">
        <v>8.4</v>
      </c>
      <c r="E761" s="2">
        <v>2004.0</v>
      </c>
      <c r="F761" s="2" t="s">
        <v>10</v>
      </c>
      <c r="G761" s="2" t="s">
        <v>10</v>
      </c>
    </row>
    <row r="762" ht="14.25" customHeight="1">
      <c r="A762" s="1" t="s">
        <v>675</v>
      </c>
      <c r="B762" s="1" t="s">
        <v>8</v>
      </c>
      <c r="C762" s="2" t="s">
        <v>32</v>
      </c>
      <c r="D762" s="2">
        <v>8.4</v>
      </c>
      <c r="E762" s="2">
        <v>2012.0</v>
      </c>
      <c r="F762" s="2" t="s">
        <v>10</v>
      </c>
      <c r="G762" s="2" t="s">
        <v>10</v>
      </c>
    </row>
    <row r="763" ht="14.25" customHeight="1">
      <c r="A763" s="1" t="s">
        <v>676</v>
      </c>
      <c r="B763" s="1" t="s">
        <v>8</v>
      </c>
      <c r="C763" s="2" t="s">
        <v>122</v>
      </c>
      <c r="D763" s="2">
        <v>8.4</v>
      </c>
      <c r="E763" s="2">
        <v>2016.0</v>
      </c>
      <c r="F763" s="2">
        <v>2016.0</v>
      </c>
      <c r="G763" s="2" t="s">
        <v>10</v>
      </c>
    </row>
    <row r="764" ht="14.25" customHeight="1">
      <c r="A764" s="1" t="s">
        <v>677</v>
      </c>
      <c r="B764" s="1" t="s">
        <v>8</v>
      </c>
      <c r="C764" s="2" t="s">
        <v>32</v>
      </c>
      <c r="D764" s="2">
        <v>8.4</v>
      </c>
      <c r="E764" s="2">
        <v>2000.0</v>
      </c>
      <c r="F764" s="2" t="s">
        <v>10</v>
      </c>
      <c r="G764" s="2" t="s">
        <v>10</v>
      </c>
    </row>
    <row r="765" ht="14.25" customHeight="1">
      <c r="A765" s="1" t="s">
        <v>678</v>
      </c>
      <c r="B765" s="1" t="s">
        <v>8</v>
      </c>
      <c r="C765" s="2" t="s">
        <v>184</v>
      </c>
      <c r="D765" s="2">
        <v>8.4</v>
      </c>
      <c r="E765" s="2">
        <v>2008.0</v>
      </c>
      <c r="F765" s="2" t="s">
        <v>10</v>
      </c>
      <c r="G765" s="2" t="s">
        <v>10</v>
      </c>
    </row>
    <row r="766" ht="14.25" customHeight="1">
      <c r="A766" s="1" t="s">
        <v>679</v>
      </c>
      <c r="B766" s="1" t="s">
        <v>8</v>
      </c>
      <c r="C766" s="2" t="s">
        <v>284</v>
      </c>
      <c r="D766" s="2">
        <v>8.4</v>
      </c>
      <c r="E766" s="2">
        <v>2007.0</v>
      </c>
      <c r="F766" s="2" t="s">
        <v>10</v>
      </c>
      <c r="G766" s="2" t="s">
        <v>10</v>
      </c>
    </row>
    <row r="767" ht="14.25" customHeight="1">
      <c r="A767" s="1" t="s">
        <v>680</v>
      </c>
      <c r="B767" s="1" t="s">
        <v>20</v>
      </c>
      <c r="C767" s="2" t="s">
        <v>53</v>
      </c>
      <c r="D767" s="2">
        <v>8.4</v>
      </c>
      <c r="E767" s="2">
        <v>1963.0</v>
      </c>
      <c r="F767" s="2" t="s">
        <v>10</v>
      </c>
      <c r="G767" s="2" t="s">
        <v>10</v>
      </c>
    </row>
    <row r="768" ht="14.25" customHeight="1">
      <c r="A768" s="1" t="s">
        <v>681</v>
      </c>
      <c r="B768" s="1" t="s">
        <v>8</v>
      </c>
      <c r="C768" s="2" t="s">
        <v>231</v>
      </c>
      <c r="D768" s="2">
        <v>8.4</v>
      </c>
      <c r="E768" s="2">
        <v>2013.0</v>
      </c>
      <c r="F768" s="2" t="s">
        <v>10</v>
      </c>
      <c r="G768" s="2" t="s">
        <v>10</v>
      </c>
    </row>
    <row r="769" ht="14.25" customHeight="1">
      <c r="A769" s="1" t="s">
        <v>682</v>
      </c>
      <c r="B769" s="1" t="s">
        <v>20</v>
      </c>
      <c r="C769" s="2" t="s">
        <v>142</v>
      </c>
      <c r="D769" s="2">
        <v>8.4</v>
      </c>
      <c r="E769" s="2">
        <v>2009.0</v>
      </c>
      <c r="F769" s="2" t="s">
        <v>10</v>
      </c>
      <c r="G769" s="2" t="s">
        <v>10</v>
      </c>
    </row>
    <row r="770" ht="14.25" customHeight="1">
      <c r="A770" s="1" t="s">
        <v>683</v>
      </c>
      <c r="B770" s="1" t="s">
        <v>8</v>
      </c>
      <c r="C770" s="2" t="s">
        <v>25</v>
      </c>
      <c r="D770" s="2">
        <v>8.4</v>
      </c>
      <c r="E770" s="2">
        <v>1992.0</v>
      </c>
      <c r="F770" s="2" t="s">
        <v>10</v>
      </c>
      <c r="G770" s="2" t="s">
        <v>10</v>
      </c>
    </row>
    <row r="771" ht="14.25" customHeight="1">
      <c r="A771" s="1" t="s">
        <v>684</v>
      </c>
      <c r="B771" s="1" t="s">
        <v>8</v>
      </c>
      <c r="C771" s="2" t="s">
        <v>69</v>
      </c>
      <c r="D771" s="2">
        <v>8.4</v>
      </c>
      <c r="E771" s="2">
        <v>2019.0</v>
      </c>
      <c r="F771" s="2">
        <v>2018.0</v>
      </c>
      <c r="G771" s="2" t="s">
        <v>10</v>
      </c>
    </row>
    <row r="772" ht="14.25" customHeight="1">
      <c r="A772" s="1" t="s">
        <v>685</v>
      </c>
      <c r="B772" s="1" t="s">
        <v>8</v>
      </c>
      <c r="C772" s="2" t="s">
        <v>686</v>
      </c>
      <c r="D772" s="2">
        <v>8.4</v>
      </c>
      <c r="E772" s="2">
        <v>2003.0</v>
      </c>
      <c r="F772" s="2" t="s">
        <v>10</v>
      </c>
      <c r="G772" s="2" t="s">
        <v>10</v>
      </c>
    </row>
    <row r="773" ht="14.25" customHeight="1">
      <c r="A773" s="1" t="s">
        <v>687</v>
      </c>
      <c r="B773" s="1" t="s">
        <v>8</v>
      </c>
      <c r="C773" s="2" t="s">
        <v>25</v>
      </c>
      <c r="D773" s="2">
        <v>8.4</v>
      </c>
      <c r="E773" s="2">
        <v>2022.0</v>
      </c>
      <c r="F773" s="2" t="s">
        <v>10</v>
      </c>
      <c r="G773" s="2" t="s">
        <v>10</v>
      </c>
    </row>
    <row r="774" ht="14.25" customHeight="1">
      <c r="A774" s="1" t="s">
        <v>688</v>
      </c>
      <c r="B774" s="1" t="s">
        <v>20</v>
      </c>
      <c r="C774" s="2" t="s">
        <v>63</v>
      </c>
      <c r="D774" s="2">
        <v>8.4</v>
      </c>
      <c r="E774" s="2">
        <v>2023.0</v>
      </c>
      <c r="F774" s="2" t="s">
        <v>10</v>
      </c>
      <c r="G774" s="2" t="s">
        <v>10</v>
      </c>
    </row>
    <row r="775" ht="14.25" customHeight="1">
      <c r="A775" s="1" t="s">
        <v>689</v>
      </c>
      <c r="B775" s="1" t="s">
        <v>20</v>
      </c>
      <c r="C775" s="2" t="s">
        <v>69</v>
      </c>
      <c r="D775" s="2">
        <v>8.4</v>
      </c>
      <c r="E775" s="2">
        <v>2019.0</v>
      </c>
      <c r="F775" s="2" t="s">
        <v>10</v>
      </c>
      <c r="G775" s="2" t="s">
        <v>10</v>
      </c>
    </row>
    <row r="776" ht="14.25" customHeight="1">
      <c r="A776" s="1" t="s">
        <v>690</v>
      </c>
      <c r="B776" s="1" t="s">
        <v>8</v>
      </c>
      <c r="C776" s="2" t="s">
        <v>55</v>
      </c>
      <c r="D776" s="2">
        <v>8.4</v>
      </c>
      <c r="E776" s="2">
        <v>2011.0</v>
      </c>
      <c r="F776" s="2" t="s">
        <v>10</v>
      </c>
      <c r="G776" s="2" t="s">
        <v>10</v>
      </c>
    </row>
    <row r="777" ht="14.25" customHeight="1">
      <c r="A777" s="1" t="s">
        <v>691</v>
      </c>
      <c r="B777" s="1" t="s">
        <v>8</v>
      </c>
      <c r="C777" s="2" t="s">
        <v>692</v>
      </c>
      <c r="D777" s="2">
        <v>8.4</v>
      </c>
      <c r="E777" s="2">
        <v>2008.0</v>
      </c>
      <c r="F777" s="2" t="s">
        <v>10</v>
      </c>
      <c r="G777" s="2" t="s">
        <v>10</v>
      </c>
    </row>
    <row r="778" ht="14.25" customHeight="1">
      <c r="A778" s="1" t="s">
        <v>693</v>
      </c>
      <c r="B778" s="1" t="s">
        <v>8</v>
      </c>
      <c r="C778" s="2" t="s">
        <v>9</v>
      </c>
      <c r="D778" s="2">
        <v>8.4</v>
      </c>
      <c r="E778" s="2">
        <v>2011.0</v>
      </c>
      <c r="F778" s="2">
        <v>2019.0</v>
      </c>
      <c r="G778" s="2">
        <v>1.86E7</v>
      </c>
    </row>
    <row r="779" ht="14.25" customHeight="1">
      <c r="A779" s="1" t="s">
        <v>693</v>
      </c>
      <c r="B779" s="1" t="s">
        <v>8</v>
      </c>
      <c r="C779" s="2" t="s">
        <v>9</v>
      </c>
      <c r="D779" s="2">
        <v>8.4</v>
      </c>
      <c r="E779" s="2">
        <v>2011.0</v>
      </c>
      <c r="F779" s="2">
        <v>2019.0</v>
      </c>
      <c r="G779" s="2">
        <v>2.87E7</v>
      </c>
    </row>
    <row r="780" ht="14.25" customHeight="1">
      <c r="A780" s="1" t="s">
        <v>693</v>
      </c>
      <c r="B780" s="1" t="s">
        <v>8</v>
      </c>
      <c r="C780" s="2" t="s">
        <v>9</v>
      </c>
      <c r="D780" s="2">
        <v>8.4</v>
      </c>
      <c r="E780" s="2">
        <v>2011.0</v>
      </c>
      <c r="F780" s="2">
        <v>2019.0</v>
      </c>
      <c r="G780" s="2">
        <v>1.649E7</v>
      </c>
    </row>
    <row r="781" ht="14.25" customHeight="1">
      <c r="A781" s="1" t="s">
        <v>693</v>
      </c>
      <c r="B781" s="1" t="s">
        <v>8</v>
      </c>
      <c r="C781" s="2" t="s">
        <v>9</v>
      </c>
      <c r="D781" s="2">
        <v>8.4</v>
      </c>
      <c r="E781" s="2">
        <v>2011.0</v>
      </c>
      <c r="F781" s="2">
        <v>2019.0</v>
      </c>
      <c r="G781" s="2">
        <v>1.32E7</v>
      </c>
    </row>
    <row r="782" ht="14.25" customHeight="1">
      <c r="A782" s="1" t="s">
        <v>693</v>
      </c>
      <c r="B782" s="1" t="s">
        <v>8</v>
      </c>
      <c r="C782" s="2" t="s">
        <v>9</v>
      </c>
      <c r="D782" s="2">
        <v>8.4</v>
      </c>
      <c r="E782" s="2">
        <v>2011.0</v>
      </c>
      <c r="F782" s="2">
        <v>2019.0</v>
      </c>
      <c r="G782" s="2">
        <v>3.064E7</v>
      </c>
    </row>
    <row r="783" ht="14.25" customHeight="1">
      <c r="A783" s="1" t="s">
        <v>693</v>
      </c>
      <c r="B783" s="1" t="s">
        <v>8</v>
      </c>
      <c r="C783" s="2" t="s">
        <v>9</v>
      </c>
      <c r="D783" s="2">
        <v>8.4</v>
      </c>
      <c r="E783" s="2">
        <v>2011.0</v>
      </c>
      <c r="F783" s="2">
        <v>2019.0</v>
      </c>
      <c r="G783" s="2">
        <v>1.926E7</v>
      </c>
    </row>
    <row r="784" ht="14.25" customHeight="1">
      <c r="A784" s="1" t="s">
        <v>693</v>
      </c>
      <c r="B784" s="1" t="s">
        <v>8</v>
      </c>
      <c r="C784" s="2" t="s">
        <v>9</v>
      </c>
      <c r="D784" s="2">
        <v>8.4</v>
      </c>
      <c r="E784" s="2">
        <v>2011.0</v>
      </c>
      <c r="F784" s="2">
        <v>2019.0</v>
      </c>
      <c r="G784" s="2">
        <v>2.174E7</v>
      </c>
    </row>
    <row r="785" ht="14.25" customHeight="1">
      <c r="A785" s="1" t="s">
        <v>694</v>
      </c>
      <c r="B785" s="1" t="s">
        <v>20</v>
      </c>
      <c r="C785" s="2" t="s">
        <v>53</v>
      </c>
      <c r="D785" s="2">
        <v>8.4</v>
      </c>
      <c r="E785" s="2">
        <v>2021.0</v>
      </c>
      <c r="F785" s="2" t="s">
        <v>10</v>
      </c>
      <c r="G785" s="2" t="s">
        <v>10</v>
      </c>
    </row>
    <row r="786" ht="14.25" customHeight="1">
      <c r="A786" s="1" t="s">
        <v>695</v>
      </c>
      <c r="B786" s="1" t="s">
        <v>8</v>
      </c>
      <c r="C786" s="2" t="s">
        <v>67</v>
      </c>
      <c r="D786" s="2">
        <v>8.4</v>
      </c>
      <c r="E786" s="2">
        <v>1988.0</v>
      </c>
      <c r="F786" s="2" t="s">
        <v>10</v>
      </c>
      <c r="G786" s="2" t="s">
        <v>10</v>
      </c>
    </row>
    <row r="787" ht="14.25" customHeight="1">
      <c r="A787" s="1" t="s">
        <v>486</v>
      </c>
      <c r="B787" s="1" t="s">
        <v>8</v>
      </c>
      <c r="C787" s="2" t="s">
        <v>105</v>
      </c>
      <c r="D787" s="2">
        <v>8.4</v>
      </c>
      <c r="E787" s="2">
        <v>1963.0</v>
      </c>
      <c r="F787" s="2" t="s">
        <v>10</v>
      </c>
      <c r="G787" s="2" t="s">
        <v>10</v>
      </c>
    </row>
    <row r="788" ht="14.25" customHeight="1">
      <c r="A788" s="1" t="s">
        <v>696</v>
      </c>
      <c r="B788" s="1" t="s">
        <v>8</v>
      </c>
      <c r="C788" s="2" t="s">
        <v>25</v>
      </c>
      <c r="D788" s="2">
        <v>8.4</v>
      </c>
      <c r="E788" s="2">
        <v>2019.0</v>
      </c>
      <c r="F788" s="2" t="s">
        <v>10</v>
      </c>
      <c r="G788" s="2" t="s">
        <v>10</v>
      </c>
    </row>
    <row r="789" ht="14.25" customHeight="1">
      <c r="A789" s="1" t="s">
        <v>697</v>
      </c>
      <c r="B789" s="1" t="s">
        <v>8</v>
      </c>
      <c r="C789" s="2" t="s">
        <v>173</v>
      </c>
      <c r="D789" s="2">
        <v>8.4</v>
      </c>
      <c r="E789" s="2">
        <v>2005.0</v>
      </c>
      <c r="F789" s="2" t="s">
        <v>10</v>
      </c>
      <c r="G789" s="2" t="s">
        <v>10</v>
      </c>
    </row>
    <row r="790" ht="14.25" customHeight="1">
      <c r="A790" s="1" t="s">
        <v>698</v>
      </c>
      <c r="B790" s="1" t="s">
        <v>20</v>
      </c>
      <c r="C790" s="2" t="s">
        <v>282</v>
      </c>
      <c r="D790" s="2">
        <v>8.4</v>
      </c>
      <c r="E790" s="2">
        <v>2011.0</v>
      </c>
      <c r="F790" s="2" t="s">
        <v>10</v>
      </c>
      <c r="G790" s="2" t="s">
        <v>10</v>
      </c>
    </row>
    <row r="791" ht="14.25" customHeight="1">
      <c r="A791" s="1" t="s">
        <v>699</v>
      </c>
      <c r="B791" s="1" t="s">
        <v>8</v>
      </c>
      <c r="C791" s="2" t="s">
        <v>391</v>
      </c>
      <c r="D791" s="2">
        <v>8.4</v>
      </c>
      <c r="E791" s="2">
        <v>1988.0</v>
      </c>
      <c r="F791" s="2" t="s">
        <v>10</v>
      </c>
      <c r="G791" s="2" t="s">
        <v>10</v>
      </c>
    </row>
    <row r="792" ht="14.25" customHeight="1">
      <c r="A792" s="1" t="s">
        <v>700</v>
      </c>
      <c r="B792" s="1" t="s">
        <v>8</v>
      </c>
      <c r="C792" s="2" t="s">
        <v>80</v>
      </c>
      <c r="D792" s="2">
        <v>8.4</v>
      </c>
      <c r="E792" s="2">
        <v>2008.0</v>
      </c>
      <c r="F792" s="2" t="s">
        <v>10</v>
      </c>
      <c r="G792" s="2" t="s">
        <v>10</v>
      </c>
    </row>
    <row r="793" ht="14.25" customHeight="1">
      <c r="A793" s="1" t="s">
        <v>701</v>
      </c>
      <c r="B793" s="1" t="s">
        <v>8</v>
      </c>
      <c r="C793" s="2" t="s">
        <v>32</v>
      </c>
      <c r="D793" s="2">
        <v>8.4</v>
      </c>
      <c r="E793" s="2">
        <v>2014.0</v>
      </c>
      <c r="F793" s="2" t="s">
        <v>10</v>
      </c>
      <c r="G793" s="2" t="s">
        <v>10</v>
      </c>
    </row>
    <row r="794" ht="14.25" customHeight="1">
      <c r="A794" s="1" t="s">
        <v>702</v>
      </c>
      <c r="B794" s="1" t="s">
        <v>8</v>
      </c>
      <c r="C794" s="2" t="s">
        <v>25</v>
      </c>
      <c r="D794" s="2">
        <v>8.4</v>
      </c>
      <c r="E794" s="2">
        <v>1994.0</v>
      </c>
      <c r="F794" s="2" t="s">
        <v>10</v>
      </c>
      <c r="G794" s="2" t="s">
        <v>10</v>
      </c>
    </row>
    <row r="795" ht="14.25" customHeight="1">
      <c r="A795" s="1" t="s">
        <v>703</v>
      </c>
      <c r="B795" s="1" t="s">
        <v>8</v>
      </c>
      <c r="C795" s="2" t="s">
        <v>18</v>
      </c>
      <c r="D795" s="2">
        <v>8.4</v>
      </c>
      <c r="E795" s="2">
        <v>2014.0</v>
      </c>
      <c r="F795" s="2">
        <v>2017.0</v>
      </c>
      <c r="G795" s="2" t="s">
        <v>10</v>
      </c>
    </row>
    <row r="796" ht="14.25" customHeight="1">
      <c r="A796" s="1" t="s">
        <v>704</v>
      </c>
      <c r="B796" s="1" t="s">
        <v>8</v>
      </c>
      <c r="C796" s="2" t="s">
        <v>36</v>
      </c>
      <c r="D796" s="2">
        <v>8.4</v>
      </c>
      <c r="E796" s="2">
        <v>2017.0</v>
      </c>
      <c r="F796" s="2" t="s">
        <v>10</v>
      </c>
      <c r="G796" s="2" t="s">
        <v>10</v>
      </c>
    </row>
    <row r="797" ht="14.25" customHeight="1">
      <c r="A797" s="1" t="s">
        <v>705</v>
      </c>
      <c r="B797" s="1" t="s">
        <v>8</v>
      </c>
      <c r="C797" s="2" t="s">
        <v>34</v>
      </c>
      <c r="D797" s="2">
        <v>8.4</v>
      </c>
      <c r="E797" s="2">
        <v>1993.0</v>
      </c>
      <c r="F797" s="2" t="s">
        <v>10</v>
      </c>
      <c r="G797" s="2" t="s">
        <v>10</v>
      </c>
    </row>
    <row r="798" ht="14.25" customHeight="1">
      <c r="A798" s="1" t="s">
        <v>706</v>
      </c>
      <c r="B798" s="1" t="s">
        <v>20</v>
      </c>
      <c r="C798" s="2" t="s">
        <v>339</v>
      </c>
      <c r="D798" s="2">
        <v>8.4</v>
      </c>
      <c r="E798" s="2">
        <v>2019.0</v>
      </c>
      <c r="F798" s="2" t="s">
        <v>10</v>
      </c>
      <c r="G798" s="2" t="s">
        <v>10</v>
      </c>
    </row>
    <row r="799" ht="14.25" customHeight="1">
      <c r="A799" s="1" t="s">
        <v>707</v>
      </c>
      <c r="B799" s="1" t="s">
        <v>8</v>
      </c>
      <c r="C799" s="2" t="s">
        <v>53</v>
      </c>
      <c r="D799" s="2">
        <v>8.4</v>
      </c>
      <c r="E799" s="2">
        <v>2006.0</v>
      </c>
      <c r="F799" s="2" t="s">
        <v>10</v>
      </c>
      <c r="G799" s="2" t="s">
        <v>10</v>
      </c>
    </row>
    <row r="800" ht="14.25" customHeight="1">
      <c r="A800" s="1" t="s">
        <v>708</v>
      </c>
      <c r="B800" s="1" t="s">
        <v>8</v>
      </c>
      <c r="C800" s="2" t="s">
        <v>14</v>
      </c>
      <c r="D800" s="2">
        <v>8.4</v>
      </c>
      <c r="E800" s="2">
        <v>2013.0</v>
      </c>
      <c r="F800" s="2" t="s">
        <v>10</v>
      </c>
      <c r="G800" s="2" t="s">
        <v>10</v>
      </c>
    </row>
    <row r="801" ht="14.25" customHeight="1">
      <c r="A801" s="1" t="s">
        <v>709</v>
      </c>
      <c r="B801" s="1" t="s">
        <v>8</v>
      </c>
      <c r="C801" s="2" t="s">
        <v>710</v>
      </c>
      <c r="D801" s="2">
        <v>8.4</v>
      </c>
      <c r="E801" s="2">
        <v>2018.0</v>
      </c>
      <c r="F801" s="2">
        <v>2018.0</v>
      </c>
      <c r="G801" s="2" t="s">
        <v>10</v>
      </c>
    </row>
    <row r="802" ht="14.25" customHeight="1">
      <c r="A802" s="1" t="s">
        <v>711</v>
      </c>
      <c r="B802" s="1" t="s">
        <v>8</v>
      </c>
      <c r="C802" s="2" t="s">
        <v>53</v>
      </c>
      <c r="D802" s="2">
        <v>8.4</v>
      </c>
      <c r="E802" s="2">
        <v>2015.0</v>
      </c>
      <c r="F802" s="2" t="s">
        <v>10</v>
      </c>
      <c r="G802" s="2" t="s">
        <v>10</v>
      </c>
    </row>
    <row r="803" ht="14.25" customHeight="1">
      <c r="A803" s="1" t="s">
        <v>712</v>
      </c>
      <c r="B803" s="1" t="s">
        <v>8</v>
      </c>
      <c r="C803" s="2" t="s">
        <v>217</v>
      </c>
      <c r="D803" s="2">
        <v>8.4</v>
      </c>
      <c r="E803" s="2">
        <v>2021.0</v>
      </c>
      <c r="F803" s="2">
        <v>2021.0</v>
      </c>
      <c r="G803" s="2" t="s">
        <v>10</v>
      </c>
    </row>
    <row r="804" ht="14.25" customHeight="1">
      <c r="A804" s="1" t="s">
        <v>713</v>
      </c>
      <c r="B804" s="1" t="s">
        <v>8</v>
      </c>
      <c r="C804" s="2" t="s">
        <v>9</v>
      </c>
      <c r="D804" s="2">
        <v>8.4</v>
      </c>
      <c r="E804" s="2">
        <v>2017.0</v>
      </c>
      <c r="F804" s="2">
        <v>2020.0</v>
      </c>
      <c r="G804" s="2" t="s">
        <v>10</v>
      </c>
    </row>
    <row r="805" ht="14.25" customHeight="1">
      <c r="A805" s="1" t="s">
        <v>714</v>
      </c>
      <c r="B805" s="1" t="s">
        <v>8</v>
      </c>
      <c r="C805" s="2" t="s">
        <v>53</v>
      </c>
      <c r="D805" s="2">
        <v>8.4</v>
      </c>
      <c r="E805" s="2">
        <v>2007.0</v>
      </c>
      <c r="F805" s="2" t="s">
        <v>10</v>
      </c>
      <c r="G805" s="2" t="s">
        <v>10</v>
      </c>
    </row>
    <row r="806" ht="14.25" customHeight="1">
      <c r="A806" s="1" t="s">
        <v>715</v>
      </c>
      <c r="B806" s="1" t="s">
        <v>8</v>
      </c>
      <c r="C806" s="2" t="s">
        <v>36</v>
      </c>
      <c r="D806" s="2">
        <v>8.4</v>
      </c>
      <c r="E806" s="2">
        <v>2022.0</v>
      </c>
      <c r="F806" s="2" t="s">
        <v>10</v>
      </c>
      <c r="G806" s="2" t="s">
        <v>10</v>
      </c>
    </row>
    <row r="807" ht="14.25" customHeight="1">
      <c r="A807" s="1" t="s">
        <v>716</v>
      </c>
      <c r="B807" s="1" t="s">
        <v>8</v>
      </c>
      <c r="C807" s="2" t="s">
        <v>717</v>
      </c>
      <c r="D807" s="2">
        <v>8.4</v>
      </c>
      <c r="E807" s="2">
        <v>2019.0</v>
      </c>
      <c r="F807" s="2" t="s">
        <v>10</v>
      </c>
      <c r="G807" s="2" t="s">
        <v>10</v>
      </c>
    </row>
    <row r="808" ht="14.25" customHeight="1">
      <c r="A808" s="1" t="s">
        <v>718</v>
      </c>
      <c r="B808" s="1" t="s">
        <v>8</v>
      </c>
      <c r="C808" s="2" t="s">
        <v>719</v>
      </c>
      <c r="D808" s="2">
        <v>8.4</v>
      </c>
      <c r="E808" s="2">
        <v>2019.0</v>
      </c>
      <c r="F808" s="2">
        <v>2019.0</v>
      </c>
      <c r="G808" s="2" t="s">
        <v>10</v>
      </c>
    </row>
    <row r="809" ht="14.25" customHeight="1">
      <c r="A809" s="1" t="s">
        <v>720</v>
      </c>
      <c r="B809" s="1" t="s">
        <v>8</v>
      </c>
      <c r="C809" s="2" t="s">
        <v>721</v>
      </c>
      <c r="D809" s="2">
        <v>8.4</v>
      </c>
      <c r="E809" s="2">
        <v>1982.0</v>
      </c>
      <c r="F809" s="2" t="s">
        <v>10</v>
      </c>
      <c r="G809" s="2" t="s">
        <v>10</v>
      </c>
    </row>
    <row r="810" ht="14.25" customHeight="1">
      <c r="A810" s="1" t="s">
        <v>722</v>
      </c>
      <c r="B810" s="1" t="s">
        <v>8</v>
      </c>
      <c r="C810" s="2" t="s">
        <v>723</v>
      </c>
      <c r="D810" s="2">
        <v>8.4</v>
      </c>
      <c r="E810" s="2">
        <v>2016.0</v>
      </c>
      <c r="F810" s="2" t="s">
        <v>10</v>
      </c>
      <c r="G810" s="2" t="s">
        <v>10</v>
      </c>
    </row>
    <row r="811" ht="14.25" customHeight="1">
      <c r="A811" s="1" t="s">
        <v>724</v>
      </c>
      <c r="B811" s="1" t="s">
        <v>8</v>
      </c>
      <c r="C811" s="2" t="s">
        <v>725</v>
      </c>
      <c r="D811" s="2">
        <v>8.4</v>
      </c>
      <c r="E811" s="2">
        <v>1976.0</v>
      </c>
      <c r="F811" s="2" t="s">
        <v>10</v>
      </c>
      <c r="G811" s="2" t="s">
        <v>10</v>
      </c>
    </row>
    <row r="812" ht="14.25" customHeight="1">
      <c r="A812" s="1" t="s">
        <v>247</v>
      </c>
      <c r="B812" s="1" t="s">
        <v>8</v>
      </c>
      <c r="C812" s="2" t="s">
        <v>12</v>
      </c>
      <c r="D812" s="2">
        <v>8.4</v>
      </c>
      <c r="E812" s="2">
        <v>1978.0</v>
      </c>
      <c r="F812" s="2" t="s">
        <v>10</v>
      </c>
      <c r="G812" s="2" t="s">
        <v>10</v>
      </c>
    </row>
    <row r="813" ht="14.25" customHeight="1">
      <c r="A813" s="1" t="s">
        <v>726</v>
      </c>
      <c r="B813" s="1" t="s">
        <v>8</v>
      </c>
      <c r="C813" s="2" t="s">
        <v>727</v>
      </c>
      <c r="D813" s="2">
        <v>8.4</v>
      </c>
      <c r="E813" s="2">
        <v>2003.0</v>
      </c>
      <c r="F813" s="2" t="s">
        <v>10</v>
      </c>
      <c r="G813" s="2" t="s">
        <v>10</v>
      </c>
    </row>
    <row r="814" ht="14.25" customHeight="1">
      <c r="A814" s="1" t="s">
        <v>728</v>
      </c>
      <c r="B814" s="1" t="s">
        <v>20</v>
      </c>
      <c r="C814" s="2" t="s">
        <v>87</v>
      </c>
      <c r="D814" s="2">
        <v>8.4</v>
      </c>
      <c r="E814" s="2">
        <v>2014.0</v>
      </c>
      <c r="F814" s="2" t="s">
        <v>10</v>
      </c>
      <c r="G814" s="2" t="s">
        <v>10</v>
      </c>
    </row>
    <row r="815" ht="14.25" customHeight="1">
      <c r="A815" s="1" t="s">
        <v>729</v>
      </c>
      <c r="B815" s="1" t="s">
        <v>20</v>
      </c>
      <c r="C815" s="2" t="s">
        <v>63</v>
      </c>
      <c r="D815" s="2">
        <v>8.4</v>
      </c>
      <c r="E815" s="2">
        <v>2004.0</v>
      </c>
      <c r="F815" s="2" t="s">
        <v>10</v>
      </c>
      <c r="G815" s="2" t="s">
        <v>10</v>
      </c>
    </row>
    <row r="816" ht="14.25" customHeight="1">
      <c r="A816" s="1" t="s">
        <v>730</v>
      </c>
      <c r="B816" s="1" t="s">
        <v>8</v>
      </c>
      <c r="C816" s="2" t="s">
        <v>25</v>
      </c>
      <c r="D816" s="2">
        <v>8.4</v>
      </c>
      <c r="E816" s="2">
        <v>2001.0</v>
      </c>
      <c r="F816" s="2" t="s">
        <v>10</v>
      </c>
      <c r="G816" s="2" t="s">
        <v>10</v>
      </c>
    </row>
    <row r="817" ht="14.25" customHeight="1">
      <c r="A817" s="1" t="s">
        <v>731</v>
      </c>
      <c r="B817" s="1" t="s">
        <v>8</v>
      </c>
      <c r="C817" s="2" t="s">
        <v>63</v>
      </c>
      <c r="D817" s="2">
        <v>8.4</v>
      </c>
      <c r="E817" s="2">
        <v>1990.0</v>
      </c>
      <c r="F817" s="2" t="s">
        <v>10</v>
      </c>
      <c r="G817" s="2" t="s">
        <v>10</v>
      </c>
    </row>
    <row r="818" ht="14.25" customHeight="1">
      <c r="A818" s="1" t="s">
        <v>732</v>
      </c>
      <c r="B818" s="1" t="s">
        <v>8</v>
      </c>
      <c r="C818" s="2" t="s">
        <v>187</v>
      </c>
      <c r="D818" s="2">
        <v>8.4</v>
      </c>
      <c r="E818" s="2">
        <v>1994.0</v>
      </c>
      <c r="F818" s="2" t="s">
        <v>10</v>
      </c>
      <c r="G818" s="2" t="s">
        <v>10</v>
      </c>
    </row>
    <row r="819" ht="14.25" customHeight="1">
      <c r="A819" s="1" t="s">
        <v>733</v>
      </c>
      <c r="B819" s="1" t="s">
        <v>20</v>
      </c>
      <c r="C819" s="2" t="s">
        <v>69</v>
      </c>
      <c r="D819" s="2">
        <v>8.4</v>
      </c>
      <c r="E819" s="2">
        <v>2004.0</v>
      </c>
      <c r="F819" s="2">
        <v>2004.0</v>
      </c>
      <c r="G819" s="2" t="s">
        <v>10</v>
      </c>
    </row>
    <row r="820" ht="14.25" customHeight="1">
      <c r="A820" s="1" t="s">
        <v>734</v>
      </c>
      <c r="B820" s="1" t="s">
        <v>20</v>
      </c>
      <c r="C820" s="2" t="s">
        <v>69</v>
      </c>
      <c r="D820" s="2">
        <v>8.4</v>
      </c>
      <c r="E820" s="2">
        <v>2015.0</v>
      </c>
      <c r="F820" s="2" t="s">
        <v>10</v>
      </c>
      <c r="G820" s="2" t="s">
        <v>10</v>
      </c>
    </row>
    <row r="821" ht="14.25" customHeight="1">
      <c r="A821" s="1" t="s">
        <v>735</v>
      </c>
      <c r="B821" s="1" t="s">
        <v>8</v>
      </c>
      <c r="C821" s="2" t="s">
        <v>527</v>
      </c>
      <c r="D821" s="2">
        <v>8.4</v>
      </c>
      <c r="E821" s="2">
        <v>1982.0</v>
      </c>
      <c r="F821" s="2" t="s">
        <v>10</v>
      </c>
      <c r="G821" s="2" t="s">
        <v>10</v>
      </c>
    </row>
    <row r="822" ht="14.25" customHeight="1">
      <c r="A822" s="1" t="s">
        <v>736</v>
      </c>
      <c r="B822" s="1" t="s">
        <v>8</v>
      </c>
      <c r="C822" s="2" t="s">
        <v>187</v>
      </c>
      <c r="D822" s="2">
        <v>8.4</v>
      </c>
      <c r="E822" s="2">
        <v>2004.0</v>
      </c>
      <c r="F822" s="2" t="s">
        <v>10</v>
      </c>
      <c r="G822" s="2" t="s">
        <v>10</v>
      </c>
    </row>
    <row r="823" ht="14.25" customHeight="1">
      <c r="A823" s="1" t="s">
        <v>737</v>
      </c>
      <c r="B823" s="1" t="s">
        <v>20</v>
      </c>
      <c r="C823" s="2" t="s">
        <v>69</v>
      </c>
      <c r="D823" s="2">
        <v>8.4</v>
      </c>
      <c r="E823" s="2">
        <v>2018.0</v>
      </c>
      <c r="F823" s="2" t="s">
        <v>10</v>
      </c>
      <c r="G823" s="2" t="s">
        <v>10</v>
      </c>
    </row>
    <row r="824" ht="14.25" customHeight="1">
      <c r="A824" s="1" t="s">
        <v>738</v>
      </c>
      <c r="B824" s="1" t="s">
        <v>8</v>
      </c>
      <c r="C824" s="2" t="s">
        <v>25</v>
      </c>
      <c r="D824" s="2">
        <v>8.4</v>
      </c>
      <c r="E824" s="2">
        <v>2008.0</v>
      </c>
      <c r="F824" s="2" t="s">
        <v>10</v>
      </c>
      <c r="G824" s="2" t="s">
        <v>10</v>
      </c>
    </row>
    <row r="825" ht="14.25" customHeight="1">
      <c r="A825" s="1" t="s">
        <v>739</v>
      </c>
      <c r="B825" s="1" t="s">
        <v>8</v>
      </c>
      <c r="C825" s="2" t="s">
        <v>25</v>
      </c>
      <c r="D825" s="2">
        <v>8.4</v>
      </c>
      <c r="E825" s="2">
        <v>1997.0</v>
      </c>
      <c r="F825" s="2" t="s">
        <v>10</v>
      </c>
      <c r="G825" s="2" t="s">
        <v>10</v>
      </c>
    </row>
    <row r="826" ht="14.25" customHeight="1">
      <c r="A826" s="1" t="s">
        <v>740</v>
      </c>
      <c r="B826" s="1" t="s">
        <v>8</v>
      </c>
      <c r="C826" s="2" t="s">
        <v>25</v>
      </c>
      <c r="D826" s="2">
        <v>8.4</v>
      </c>
      <c r="E826" s="2">
        <v>2016.0</v>
      </c>
      <c r="F826" s="2" t="s">
        <v>10</v>
      </c>
      <c r="G826" s="2" t="s">
        <v>10</v>
      </c>
    </row>
    <row r="827" ht="14.25" customHeight="1">
      <c r="A827" s="1" t="s">
        <v>741</v>
      </c>
      <c r="B827" s="1" t="s">
        <v>8</v>
      </c>
      <c r="C827" s="2" t="s">
        <v>742</v>
      </c>
      <c r="D827" s="2">
        <v>8.4</v>
      </c>
      <c r="E827" s="2">
        <v>2022.0</v>
      </c>
      <c r="F827" s="2" t="s">
        <v>10</v>
      </c>
      <c r="G827" s="2" t="s">
        <v>10</v>
      </c>
    </row>
    <row r="828" ht="14.25" customHeight="1">
      <c r="A828" s="1" t="s">
        <v>743</v>
      </c>
      <c r="B828" s="1" t="s">
        <v>8</v>
      </c>
      <c r="C828" s="2" t="s">
        <v>63</v>
      </c>
      <c r="D828" s="2">
        <v>8.4</v>
      </c>
      <c r="E828" s="2">
        <v>1971.0</v>
      </c>
      <c r="F828" s="2" t="s">
        <v>10</v>
      </c>
      <c r="G828" s="2" t="s">
        <v>10</v>
      </c>
    </row>
    <row r="829" ht="14.25" customHeight="1">
      <c r="A829" s="1" t="s">
        <v>744</v>
      </c>
      <c r="B829" s="1" t="s">
        <v>8</v>
      </c>
      <c r="C829" s="2" t="s">
        <v>80</v>
      </c>
      <c r="D829" s="2">
        <v>8.4</v>
      </c>
      <c r="E829" s="2">
        <v>1977.0</v>
      </c>
      <c r="F829" s="2">
        <v>2016.0</v>
      </c>
      <c r="G829" s="2" t="s">
        <v>10</v>
      </c>
    </row>
    <row r="830" ht="14.25" customHeight="1">
      <c r="A830" s="1" t="s">
        <v>745</v>
      </c>
      <c r="B830" s="1" t="s">
        <v>8</v>
      </c>
      <c r="C830" s="2" t="s">
        <v>187</v>
      </c>
      <c r="D830" s="2">
        <v>8.4</v>
      </c>
      <c r="E830" s="2">
        <v>2013.0</v>
      </c>
      <c r="F830" s="2" t="s">
        <v>10</v>
      </c>
      <c r="G830" s="2" t="s">
        <v>10</v>
      </c>
    </row>
    <row r="831" ht="14.25" customHeight="1">
      <c r="A831" s="1" t="s">
        <v>746</v>
      </c>
      <c r="B831" s="1" t="s">
        <v>20</v>
      </c>
      <c r="C831" s="2" t="s">
        <v>18</v>
      </c>
      <c r="D831" s="2">
        <v>8.4</v>
      </c>
      <c r="E831" s="2">
        <v>1954.0</v>
      </c>
      <c r="F831" s="2" t="s">
        <v>10</v>
      </c>
      <c r="G831" s="2" t="s">
        <v>10</v>
      </c>
    </row>
    <row r="832" ht="14.25" customHeight="1">
      <c r="A832" s="1" t="s">
        <v>747</v>
      </c>
      <c r="B832" s="1" t="s">
        <v>8</v>
      </c>
      <c r="C832" s="2" t="s">
        <v>305</v>
      </c>
      <c r="D832" s="2">
        <v>8.4</v>
      </c>
      <c r="E832" s="2">
        <v>1960.0</v>
      </c>
      <c r="F832" s="2">
        <v>1967.0</v>
      </c>
      <c r="G832" s="2" t="s">
        <v>10</v>
      </c>
    </row>
    <row r="833" ht="14.25" customHeight="1">
      <c r="A833" s="1" t="s">
        <v>748</v>
      </c>
      <c r="B833" s="1" t="s">
        <v>20</v>
      </c>
      <c r="C833" s="2" t="s">
        <v>18</v>
      </c>
      <c r="D833" s="2">
        <v>8.4</v>
      </c>
      <c r="E833" s="2">
        <v>1959.0</v>
      </c>
      <c r="F833" s="2" t="s">
        <v>10</v>
      </c>
      <c r="G833" s="2" t="s">
        <v>10</v>
      </c>
    </row>
    <row r="834" ht="14.25" customHeight="1">
      <c r="A834" s="1" t="s">
        <v>749</v>
      </c>
      <c r="B834" s="1" t="s">
        <v>8</v>
      </c>
      <c r="C834" s="2" t="s">
        <v>750</v>
      </c>
      <c r="D834" s="2">
        <v>8.4</v>
      </c>
      <c r="E834" s="2">
        <v>2010.0</v>
      </c>
      <c r="F834" s="2" t="s">
        <v>10</v>
      </c>
      <c r="G834" s="2" t="s">
        <v>10</v>
      </c>
    </row>
    <row r="835" ht="14.25" customHeight="1">
      <c r="A835" s="1" t="s">
        <v>751</v>
      </c>
      <c r="B835" s="1" t="s">
        <v>20</v>
      </c>
      <c r="C835" s="2" t="s">
        <v>169</v>
      </c>
      <c r="D835" s="2">
        <v>8.4</v>
      </c>
      <c r="E835" s="2">
        <v>2018.0</v>
      </c>
      <c r="F835" s="2" t="s">
        <v>10</v>
      </c>
      <c r="G835" s="2" t="s">
        <v>10</v>
      </c>
    </row>
    <row r="836" ht="14.25" customHeight="1">
      <c r="A836" s="1" t="s">
        <v>752</v>
      </c>
      <c r="B836" s="1" t="s">
        <v>20</v>
      </c>
      <c r="C836" s="2" t="s">
        <v>530</v>
      </c>
      <c r="D836" s="2">
        <v>8.4</v>
      </c>
      <c r="E836" s="2">
        <v>1965.0</v>
      </c>
      <c r="F836" s="2" t="s">
        <v>10</v>
      </c>
      <c r="G836" s="2" t="s">
        <v>10</v>
      </c>
    </row>
    <row r="837" ht="14.25" customHeight="1">
      <c r="A837" s="1" t="s">
        <v>753</v>
      </c>
      <c r="B837" s="1" t="s">
        <v>8</v>
      </c>
      <c r="C837" s="2" t="s">
        <v>63</v>
      </c>
      <c r="D837" s="2">
        <v>8.4</v>
      </c>
      <c r="E837" s="2">
        <v>2019.0</v>
      </c>
      <c r="F837" s="2" t="s">
        <v>10</v>
      </c>
      <c r="G837" s="2" t="s">
        <v>10</v>
      </c>
    </row>
    <row r="838" ht="14.25" customHeight="1">
      <c r="A838" s="1" t="s">
        <v>754</v>
      </c>
      <c r="B838" s="1" t="s">
        <v>8</v>
      </c>
      <c r="C838" s="2" t="s">
        <v>18</v>
      </c>
      <c r="D838" s="2">
        <v>8.4</v>
      </c>
      <c r="E838" s="2">
        <v>2022.0</v>
      </c>
      <c r="F838" s="2" t="s">
        <v>10</v>
      </c>
      <c r="G838" s="2" t="s">
        <v>10</v>
      </c>
    </row>
    <row r="839" ht="14.25" customHeight="1">
      <c r="A839" s="1" t="s">
        <v>755</v>
      </c>
      <c r="B839" s="1" t="s">
        <v>20</v>
      </c>
      <c r="C839" s="2" t="s">
        <v>756</v>
      </c>
      <c r="D839" s="2">
        <v>8.4</v>
      </c>
      <c r="E839" s="2">
        <v>1975.0</v>
      </c>
      <c r="F839" s="2" t="s">
        <v>10</v>
      </c>
      <c r="G839" s="2" t="s">
        <v>10</v>
      </c>
    </row>
    <row r="840" ht="14.25" customHeight="1">
      <c r="A840" s="1" t="s">
        <v>757</v>
      </c>
      <c r="B840" s="1" t="s">
        <v>20</v>
      </c>
      <c r="C840" s="2" t="s">
        <v>63</v>
      </c>
      <c r="D840" s="2">
        <v>8.4</v>
      </c>
      <c r="E840" s="2">
        <v>2002.0</v>
      </c>
      <c r="F840" s="2" t="s">
        <v>10</v>
      </c>
      <c r="G840" s="2" t="s">
        <v>10</v>
      </c>
    </row>
    <row r="841" ht="14.25" customHeight="1">
      <c r="A841" s="1" t="s">
        <v>758</v>
      </c>
      <c r="B841" s="1" t="s">
        <v>8</v>
      </c>
      <c r="C841" s="2" t="s">
        <v>80</v>
      </c>
      <c r="D841" s="2">
        <v>8.4</v>
      </c>
      <c r="E841" s="2">
        <v>2023.0</v>
      </c>
      <c r="F841" s="2" t="s">
        <v>10</v>
      </c>
      <c r="G841" s="2" t="s">
        <v>10</v>
      </c>
    </row>
    <row r="842" ht="14.25" customHeight="1">
      <c r="A842" s="1" t="s">
        <v>759</v>
      </c>
      <c r="B842" s="1" t="s">
        <v>8</v>
      </c>
      <c r="C842" s="2" t="s">
        <v>760</v>
      </c>
      <c r="D842" s="2">
        <v>8.4</v>
      </c>
      <c r="E842" s="2">
        <v>2007.0</v>
      </c>
      <c r="F842" s="2" t="s">
        <v>10</v>
      </c>
      <c r="G842" s="2" t="s">
        <v>10</v>
      </c>
    </row>
    <row r="843" ht="14.25" customHeight="1">
      <c r="A843" s="1" t="s">
        <v>761</v>
      </c>
      <c r="B843" s="1" t="s">
        <v>8</v>
      </c>
      <c r="C843" s="2" t="s">
        <v>32</v>
      </c>
      <c r="D843" s="2">
        <v>8.4</v>
      </c>
      <c r="E843" s="2">
        <v>1990.0</v>
      </c>
      <c r="F843" s="2" t="s">
        <v>10</v>
      </c>
      <c r="G843" s="2" t="s">
        <v>10</v>
      </c>
    </row>
    <row r="844" ht="14.25" customHeight="1">
      <c r="A844" s="1" t="s">
        <v>762</v>
      </c>
      <c r="B844" s="1" t="s">
        <v>8</v>
      </c>
      <c r="C844" s="2" t="s">
        <v>25</v>
      </c>
      <c r="D844" s="2">
        <v>8.4</v>
      </c>
      <c r="E844" s="2">
        <v>2021.0</v>
      </c>
      <c r="F844" s="2" t="s">
        <v>10</v>
      </c>
      <c r="G844" s="2" t="s">
        <v>10</v>
      </c>
    </row>
    <row r="845" ht="14.25" customHeight="1">
      <c r="A845" s="1" t="s">
        <v>763</v>
      </c>
      <c r="B845" s="1" t="s">
        <v>8</v>
      </c>
      <c r="C845" s="2" t="s">
        <v>60</v>
      </c>
      <c r="D845" s="2">
        <v>8.4</v>
      </c>
      <c r="E845" s="2">
        <v>2020.0</v>
      </c>
      <c r="F845" s="2">
        <v>2020.0</v>
      </c>
      <c r="G845" s="2" t="s">
        <v>10</v>
      </c>
    </row>
    <row r="846" ht="14.25" customHeight="1">
      <c r="A846" s="1" t="s">
        <v>764</v>
      </c>
      <c r="B846" s="1" t="s">
        <v>20</v>
      </c>
      <c r="C846" s="2" t="s">
        <v>9</v>
      </c>
      <c r="D846" s="2">
        <v>8.4</v>
      </c>
      <c r="E846" s="2">
        <v>2015.0</v>
      </c>
      <c r="F846" s="2" t="s">
        <v>10</v>
      </c>
      <c r="G846" s="2" t="s">
        <v>10</v>
      </c>
    </row>
    <row r="847" ht="14.25" customHeight="1">
      <c r="A847" s="1" t="s">
        <v>765</v>
      </c>
      <c r="B847" s="1" t="s">
        <v>8</v>
      </c>
      <c r="C847" s="2" t="s">
        <v>766</v>
      </c>
      <c r="D847" s="2">
        <v>8.4</v>
      </c>
      <c r="E847" s="2">
        <v>1999.0</v>
      </c>
      <c r="F847" s="2" t="s">
        <v>10</v>
      </c>
      <c r="G847" s="2" t="s">
        <v>10</v>
      </c>
    </row>
    <row r="848" ht="14.25" customHeight="1">
      <c r="A848" s="1" t="s">
        <v>767</v>
      </c>
      <c r="B848" s="1" t="s">
        <v>8</v>
      </c>
      <c r="C848" s="2" t="s">
        <v>768</v>
      </c>
      <c r="D848" s="2">
        <v>8.4</v>
      </c>
      <c r="E848" s="2">
        <v>2018.0</v>
      </c>
      <c r="F848" s="2" t="s">
        <v>10</v>
      </c>
      <c r="G848" s="2" t="s">
        <v>10</v>
      </c>
    </row>
    <row r="849" ht="14.25" customHeight="1">
      <c r="A849" s="1" t="s">
        <v>769</v>
      </c>
      <c r="B849" s="1" t="s">
        <v>8</v>
      </c>
      <c r="C849" s="2" t="s">
        <v>305</v>
      </c>
      <c r="D849" s="2">
        <v>8.4</v>
      </c>
      <c r="E849" s="2">
        <v>1961.0</v>
      </c>
      <c r="F849" s="2" t="s">
        <v>10</v>
      </c>
      <c r="G849" s="2" t="s">
        <v>10</v>
      </c>
    </row>
    <row r="850" ht="14.25" customHeight="1">
      <c r="A850" s="1" t="s">
        <v>770</v>
      </c>
      <c r="B850" s="1" t="s">
        <v>8</v>
      </c>
      <c r="C850" s="2" t="s">
        <v>212</v>
      </c>
      <c r="D850" s="2">
        <v>8.4</v>
      </c>
      <c r="E850" s="2">
        <v>2023.0</v>
      </c>
      <c r="F850" s="2" t="s">
        <v>10</v>
      </c>
      <c r="G850" s="2" t="s">
        <v>10</v>
      </c>
    </row>
    <row r="851" ht="14.25" customHeight="1">
      <c r="A851" s="1" t="s">
        <v>771</v>
      </c>
      <c r="B851" s="1" t="s">
        <v>20</v>
      </c>
      <c r="C851" s="2" t="s">
        <v>25</v>
      </c>
      <c r="D851" s="2">
        <v>8.4</v>
      </c>
      <c r="E851" s="2">
        <v>2020.0</v>
      </c>
      <c r="F851" s="2" t="s">
        <v>10</v>
      </c>
      <c r="G851" s="2" t="s">
        <v>10</v>
      </c>
    </row>
    <row r="852" ht="14.25" customHeight="1">
      <c r="A852" s="1" t="s">
        <v>772</v>
      </c>
      <c r="B852" s="1" t="s">
        <v>20</v>
      </c>
      <c r="C852" s="2" t="s">
        <v>361</v>
      </c>
      <c r="D852" s="2">
        <v>8.4</v>
      </c>
      <c r="E852" s="2">
        <v>1987.0</v>
      </c>
      <c r="F852" s="2" t="s">
        <v>10</v>
      </c>
      <c r="G852" s="2" t="s">
        <v>10</v>
      </c>
    </row>
    <row r="853" ht="14.25" customHeight="1">
      <c r="A853" s="1" t="s">
        <v>773</v>
      </c>
      <c r="B853" s="1" t="s">
        <v>8</v>
      </c>
      <c r="C853" s="2" t="s">
        <v>217</v>
      </c>
      <c r="D853" s="2">
        <v>8.4</v>
      </c>
      <c r="E853" s="2">
        <v>2014.0</v>
      </c>
      <c r="F853" s="2" t="s">
        <v>10</v>
      </c>
      <c r="G853" s="2" t="s">
        <v>10</v>
      </c>
    </row>
    <row r="854" ht="14.25" customHeight="1">
      <c r="A854" s="1" t="s">
        <v>774</v>
      </c>
      <c r="B854" s="1" t="s">
        <v>20</v>
      </c>
      <c r="C854" s="2" t="s">
        <v>32</v>
      </c>
      <c r="D854" s="2">
        <v>8.4</v>
      </c>
      <c r="E854" s="2">
        <v>2004.0</v>
      </c>
      <c r="F854" s="2" t="s">
        <v>10</v>
      </c>
      <c r="G854" s="2" t="s">
        <v>10</v>
      </c>
    </row>
    <row r="855" ht="14.25" customHeight="1">
      <c r="A855" s="1" t="s">
        <v>775</v>
      </c>
      <c r="B855" s="1" t="s">
        <v>8</v>
      </c>
      <c r="C855" s="2" t="s">
        <v>760</v>
      </c>
      <c r="D855" s="2">
        <v>8.4</v>
      </c>
      <c r="E855" s="2">
        <v>2005.0</v>
      </c>
      <c r="F855" s="2" t="s">
        <v>10</v>
      </c>
      <c r="G855" s="2" t="s">
        <v>10</v>
      </c>
    </row>
    <row r="856" ht="14.25" customHeight="1">
      <c r="A856" s="1" t="s">
        <v>776</v>
      </c>
      <c r="B856" s="1" t="s">
        <v>8</v>
      </c>
      <c r="C856" s="2" t="s">
        <v>25</v>
      </c>
      <c r="D856" s="2">
        <v>8.4</v>
      </c>
      <c r="E856" s="2">
        <v>1986.0</v>
      </c>
      <c r="F856" s="2" t="s">
        <v>10</v>
      </c>
      <c r="G856" s="2" t="s">
        <v>10</v>
      </c>
    </row>
    <row r="857" ht="14.25" customHeight="1">
      <c r="A857" s="1" t="s">
        <v>777</v>
      </c>
      <c r="B857" s="1" t="s">
        <v>8</v>
      </c>
      <c r="C857" s="2" t="s">
        <v>530</v>
      </c>
      <c r="D857" s="2">
        <v>8.4</v>
      </c>
      <c r="E857" s="2">
        <v>2010.0</v>
      </c>
      <c r="F857" s="2" t="s">
        <v>10</v>
      </c>
      <c r="G857" s="2" t="s">
        <v>10</v>
      </c>
    </row>
    <row r="858" ht="14.25" customHeight="1">
      <c r="A858" s="1" t="s">
        <v>778</v>
      </c>
      <c r="B858" s="1" t="s">
        <v>8</v>
      </c>
      <c r="C858" s="2" t="s">
        <v>32</v>
      </c>
      <c r="D858" s="2">
        <v>8.4</v>
      </c>
      <c r="E858" s="2">
        <v>1988.0</v>
      </c>
      <c r="F858" s="2" t="s">
        <v>10</v>
      </c>
      <c r="G858" s="2" t="s">
        <v>10</v>
      </c>
    </row>
    <row r="859" ht="14.25" customHeight="1">
      <c r="A859" s="1" t="s">
        <v>779</v>
      </c>
      <c r="B859" s="1" t="s">
        <v>8</v>
      </c>
      <c r="C859" s="2" t="s">
        <v>780</v>
      </c>
      <c r="D859" s="2">
        <v>8.4</v>
      </c>
      <c r="E859" s="2">
        <v>2022.0</v>
      </c>
      <c r="F859" s="2" t="s">
        <v>10</v>
      </c>
      <c r="G859" s="2" t="s">
        <v>10</v>
      </c>
    </row>
    <row r="860" ht="14.25" customHeight="1">
      <c r="A860" s="1" t="s">
        <v>781</v>
      </c>
      <c r="B860" s="1" t="s">
        <v>20</v>
      </c>
      <c r="C860" s="2" t="s">
        <v>114</v>
      </c>
      <c r="D860" s="2">
        <v>8.4</v>
      </c>
      <c r="E860" s="2">
        <v>2024.0</v>
      </c>
      <c r="F860" s="2" t="s">
        <v>10</v>
      </c>
      <c r="G860" s="2" t="s">
        <v>10</v>
      </c>
    </row>
    <row r="861" ht="14.25" customHeight="1">
      <c r="A861" s="1" t="s">
        <v>782</v>
      </c>
      <c r="B861" s="1" t="s">
        <v>8</v>
      </c>
      <c r="C861" s="2" t="s">
        <v>53</v>
      </c>
      <c r="D861" s="2">
        <v>8.4</v>
      </c>
      <c r="E861" s="2">
        <v>2017.0</v>
      </c>
      <c r="F861" s="2">
        <v>2020.0</v>
      </c>
      <c r="G861" s="2" t="s">
        <v>10</v>
      </c>
    </row>
    <row r="862" ht="14.25" customHeight="1">
      <c r="A862" s="1" t="s">
        <v>783</v>
      </c>
      <c r="B862" s="1" t="s">
        <v>8</v>
      </c>
      <c r="C862" s="2" t="s">
        <v>32</v>
      </c>
      <c r="D862" s="2">
        <v>8.4</v>
      </c>
      <c r="E862" s="2">
        <v>1995.0</v>
      </c>
      <c r="F862" s="2" t="s">
        <v>10</v>
      </c>
      <c r="G862" s="2" t="s">
        <v>10</v>
      </c>
    </row>
    <row r="863" ht="14.25" customHeight="1">
      <c r="A863" s="1" t="s">
        <v>784</v>
      </c>
      <c r="B863" s="1" t="s">
        <v>8</v>
      </c>
      <c r="C863" s="2" t="s">
        <v>785</v>
      </c>
      <c r="D863" s="2">
        <v>8.4</v>
      </c>
      <c r="E863" s="2">
        <v>1987.0</v>
      </c>
      <c r="F863" s="2" t="s">
        <v>10</v>
      </c>
      <c r="G863" s="2" t="s">
        <v>10</v>
      </c>
    </row>
    <row r="864" ht="14.25" customHeight="1">
      <c r="A864" s="1" t="s">
        <v>786</v>
      </c>
      <c r="B864" s="1" t="s">
        <v>8</v>
      </c>
      <c r="C864" s="2" t="s">
        <v>67</v>
      </c>
      <c r="D864" s="2">
        <v>8.4</v>
      </c>
      <c r="E864" s="2">
        <v>1992.0</v>
      </c>
      <c r="F864" s="2" t="s">
        <v>10</v>
      </c>
      <c r="G864" s="2" t="s">
        <v>10</v>
      </c>
    </row>
    <row r="865" ht="14.25" customHeight="1">
      <c r="A865" s="1" t="s">
        <v>787</v>
      </c>
      <c r="B865" s="1" t="s">
        <v>8</v>
      </c>
      <c r="C865" s="2" t="s">
        <v>25</v>
      </c>
      <c r="D865" s="2">
        <v>8.4</v>
      </c>
      <c r="E865" s="2">
        <v>2019.0</v>
      </c>
      <c r="F865" s="2" t="s">
        <v>10</v>
      </c>
      <c r="G865" s="2" t="s">
        <v>10</v>
      </c>
    </row>
    <row r="866" ht="14.25" customHeight="1">
      <c r="A866" s="1" t="s">
        <v>788</v>
      </c>
      <c r="B866" s="1" t="s">
        <v>20</v>
      </c>
      <c r="C866" s="2" t="s">
        <v>18</v>
      </c>
      <c r="D866" s="2">
        <v>8.3</v>
      </c>
      <c r="E866" s="2">
        <v>1999.0</v>
      </c>
      <c r="F866" s="2">
        <v>1999.0</v>
      </c>
      <c r="G866" s="2" t="s">
        <v>10</v>
      </c>
    </row>
    <row r="867" ht="14.25" customHeight="1">
      <c r="A867" s="1" t="s">
        <v>789</v>
      </c>
      <c r="B867" s="1" t="s">
        <v>20</v>
      </c>
      <c r="C867" s="2" t="s">
        <v>55</v>
      </c>
      <c r="D867" s="2">
        <v>8.3</v>
      </c>
      <c r="E867" s="2">
        <v>2009.0</v>
      </c>
      <c r="F867" s="2" t="s">
        <v>10</v>
      </c>
      <c r="G867" s="2" t="s">
        <v>10</v>
      </c>
    </row>
    <row r="868" ht="14.25" customHeight="1">
      <c r="A868" s="1" t="s">
        <v>790</v>
      </c>
      <c r="B868" s="1" t="s">
        <v>20</v>
      </c>
      <c r="C868" s="2" t="s">
        <v>212</v>
      </c>
      <c r="D868" s="2">
        <v>8.3</v>
      </c>
      <c r="E868" s="2">
        <v>1983.0</v>
      </c>
      <c r="F868" s="2" t="s">
        <v>10</v>
      </c>
      <c r="G868" s="2" t="s">
        <v>10</v>
      </c>
    </row>
    <row r="869" ht="14.25" customHeight="1">
      <c r="A869" s="1" t="s">
        <v>791</v>
      </c>
      <c r="B869" s="1" t="s">
        <v>20</v>
      </c>
      <c r="C869" s="2" t="s">
        <v>792</v>
      </c>
      <c r="D869" s="2">
        <v>8.3</v>
      </c>
      <c r="E869" s="2">
        <v>1992.0</v>
      </c>
      <c r="F869" s="2" t="s">
        <v>10</v>
      </c>
      <c r="G869" s="2" t="s">
        <v>10</v>
      </c>
    </row>
    <row r="870" ht="14.25" customHeight="1">
      <c r="A870" s="1" t="s">
        <v>793</v>
      </c>
      <c r="B870" s="1" t="s">
        <v>20</v>
      </c>
      <c r="C870" s="2" t="s">
        <v>794</v>
      </c>
      <c r="D870" s="2">
        <v>8.3</v>
      </c>
      <c r="E870" s="2">
        <v>1995.0</v>
      </c>
      <c r="F870" s="2" t="s">
        <v>10</v>
      </c>
      <c r="G870" s="2" t="s">
        <v>10</v>
      </c>
    </row>
    <row r="871" ht="14.25" customHeight="1">
      <c r="A871" s="1" t="s">
        <v>795</v>
      </c>
      <c r="B871" s="1" t="s">
        <v>20</v>
      </c>
      <c r="C871" s="2" t="s">
        <v>796</v>
      </c>
      <c r="D871" s="2">
        <v>8.3</v>
      </c>
      <c r="E871" s="2">
        <v>2004.0</v>
      </c>
      <c r="F871" s="2" t="s">
        <v>10</v>
      </c>
      <c r="G871" s="2" t="s">
        <v>10</v>
      </c>
    </row>
    <row r="872" ht="14.25" customHeight="1">
      <c r="A872" s="1" t="s">
        <v>797</v>
      </c>
      <c r="B872" s="1" t="s">
        <v>20</v>
      </c>
      <c r="C872" s="2" t="s">
        <v>154</v>
      </c>
      <c r="D872" s="2">
        <v>8.3</v>
      </c>
      <c r="E872" s="2">
        <v>1997.0</v>
      </c>
      <c r="F872" s="2" t="s">
        <v>10</v>
      </c>
      <c r="G872" s="2" t="s">
        <v>10</v>
      </c>
    </row>
    <row r="873" ht="14.25" customHeight="1">
      <c r="A873" s="1" t="s">
        <v>798</v>
      </c>
      <c r="B873" s="1" t="s">
        <v>20</v>
      </c>
      <c r="C873" s="2" t="s">
        <v>55</v>
      </c>
      <c r="D873" s="2">
        <v>8.3</v>
      </c>
      <c r="E873" s="2">
        <v>1995.0</v>
      </c>
      <c r="F873" s="2" t="s">
        <v>10</v>
      </c>
      <c r="G873" s="2" t="s">
        <v>10</v>
      </c>
    </row>
    <row r="874" ht="14.25" customHeight="1">
      <c r="A874" s="1" t="s">
        <v>799</v>
      </c>
      <c r="B874" s="1" t="s">
        <v>20</v>
      </c>
      <c r="C874" s="2" t="s">
        <v>36</v>
      </c>
      <c r="D874" s="2">
        <v>8.3</v>
      </c>
      <c r="E874" s="2">
        <v>1983.0</v>
      </c>
      <c r="F874" s="2" t="s">
        <v>10</v>
      </c>
      <c r="G874" s="2" t="s">
        <v>10</v>
      </c>
    </row>
    <row r="875" ht="14.25" customHeight="1">
      <c r="A875" s="1" t="s">
        <v>800</v>
      </c>
      <c r="B875" s="1" t="s">
        <v>20</v>
      </c>
      <c r="C875" s="2" t="s">
        <v>18</v>
      </c>
      <c r="D875" s="2">
        <v>8.3</v>
      </c>
      <c r="E875" s="2">
        <v>2000.0</v>
      </c>
      <c r="F875" s="2" t="s">
        <v>10</v>
      </c>
      <c r="G875" s="2" t="s">
        <v>10</v>
      </c>
    </row>
    <row r="876" ht="14.25" customHeight="1">
      <c r="A876" s="1" t="s">
        <v>801</v>
      </c>
      <c r="B876" s="1" t="s">
        <v>20</v>
      </c>
      <c r="C876" s="2" t="s">
        <v>55</v>
      </c>
      <c r="D876" s="2">
        <v>8.3</v>
      </c>
      <c r="E876" s="2">
        <v>2010.0</v>
      </c>
      <c r="F876" s="2" t="s">
        <v>10</v>
      </c>
      <c r="G876" s="2" t="s">
        <v>10</v>
      </c>
    </row>
    <row r="877" ht="14.25" customHeight="1">
      <c r="A877" s="1" t="s">
        <v>802</v>
      </c>
      <c r="B877" s="1" t="s">
        <v>20</v>
      </c>
      <c r="C877" s="2" t="s">
        <v>80</v>
      </c>
      <c r="D877" s="2">
        <v>8.3</v>
      </c>
      <c r="E877" s="2">
        <v>2023.0</v>
      </c>
      <c r="F877" s="2" t="s">
        <v>10</v>
      </c>
      <c r="G877" s="2" t="s">
        <v>10</v>
      </c>
    </row>
    <row r="878" ht="14.25" customHeight="1">
      <c r="A878" s="1" t="s">
        <v>803</v>
      </c>
      <c r="B878" s="1" t="s">
        <v>20</v>
      </c>
      <c r="C878" s="2" t="s">
        <v>118</v>
      </c>
      <c r="D878" s="2">
        <v>8.3</v>
      </c>
      <c r="E878" s="2">
        <v>2001.0</v>
      </c>
      <c r="F878" s="2" t="s">
        <v>10</v>
      </c>
      <c r="G878" s="2" t="s">
        <v>10</v>
      </c>
    </row>
    <row r="879" ht="14.25" customHeight="1">
      <c r="A879" s="1" t="s">
        <v>804</v>
      </c>
      <c r="B879" s="1" t="s">
        <v>8</v>
      </c>
      <c r="C879" s="2" t="s">
        <v>187</v>
      </c>
      <c r="D879" s="2">
        <v>8.3</v>
      </c>
      <c r="E879" s="2">
        <v>2005.0</v>
      </c>
      <c r="F879" s="2" t="s">
        <v>10</v>
      </c>
      <c r="G879" s="2" t="s">
        <v>10</v>
      </c>
    </row>
    <row r="880" ht="14.25" customHeight="1">
      <c r="A880" s="1" t="s">
        <v>805</v>
      </c>
      <c r="B880" s="1" t="s">
        <v>20</v>
      </c>
      <c r="C880" s="2" t="s">
        <v>806</v>
      </c>
      <c r="D880" s="2">
        <v>8.3</v>
      </c>
      <c r="E880" s="2">
        <v>1968.0</v>
      </c>
      <c r="F880" s="2" t="s">
        <v>10</v>
      </c>
      <c r="G880" s="2" t="s">
        <v>10</v>
      </c>
    </row>
    <row r="881" ht="14.25" customHeight="1">
      <c r="A881" s="1" t="s">
        <v>807</v>
      </c>
      <c r="B881" s="1" t="s">
        <v>20</v>
      </c>
      <c r="C881" s="2" t="s">
        <v>69</v>
      </c>
      <c r="D881" s="2">
        <v>8.3</v>
      </c>
      <c r="E881" s="2">
        <v>1995.0</v>
      </c>
      <c r="F881" s="2" t="s">
        <v>10</v>
      </c>
      <c r="G881" s="2">
        <v>4520000.0</v>
      </c>
    </row>
    <row r="882" ht="14.25" customHeight="1">
      <c r="A882" s="1" t="s">
        <v>807</v>
      </c>
      <c r="B882" s="1" t="s">
        <v>20</v>
      </c>
      <c r="C882" s="2" t="s">
        <v>69</v>
      </c>
      <c r="D882" s="2">
        <v>8.3</v>
      </c>
      <c r="E882" s="2">
        <v>1995.0</v>
      </c>
      <c r="F882" s="2" t="s">
        <v>10</v>
      </c>
      <c r="G882" s="2">
        <v>7650000.0</v>
      </c>
    </row>
    <row r="883" ht="14.25" customHeight="1">
      <c r="A883" s="1" t="s">
        <v>808</v>
      </c>
      <c r="B883" s="1" t="s">
        <v>20</v>
      </c>
      <c r="C883" s="2" t="s">
        <v>507</v>
      </c>
      <c r="D883" s="2">
        <v>8.3</v>
      </c>
      <c r="E883" s="2">
        <v>2003.0</v>
      </c>
      <c r="F883" s="2" t="s">
        <v>10</v>
      </c>
      <c r="G883" s="2" t="s">
        <v>10</v>
      </c>
    </row>
    <row r="884" ht="14.25" customHeight="1">
      <c r="A884" s="1" t="s">
        <v>809</v>
      </c>
      <c r="B884" s="1" t="s">
        <v>8</v>
      </c>
      <c r="C884" s="2" t="s">
        <v>78</v>
      </c>
      <c r="D884" s="2">
        <v>8.3</v>
      </c>
      <c r="E884" s="2">
        <v>2004.0</v>
      </c>
      <c r="F884" s="2" t="s">
        <v>10</v>
      </c>
      <c r="G884" s="2" t="s">
        <v>10</v>
      </c>
    </row>
    <row r="885" ht="14.25" customHeight="1">
      <c r="A885" s="1" t="s">
        <v>810</v>
      </c>
      <c r="B885" s="1" t="s">
        <v>8</v>
      </c>
      <c r="C885" s="2" t="s">
        <v>69</v>
      </c>
      <c r="D885" s="2">
        <v>8.3</v>
      </c>
      <c r="E885" s="2">
        <v>2005.0</v>
      </c>
      <c r="F885" s="2" t="s">
        <v>10</v>
      </c>
      <c r="G885" s="2" t="s">
        <v>10</v>
      </c>
    </row>
    <row r="886" ht="14.25" customHeight="1">
      <c r="A886" s="1" t="s">
        <v>811</v>
      </c>
      <c r="B886" s="1" t="s">
        <v>20</v>
      </c>
      <c r="C886" s="2" t="s">
        <v>181</v>
      </c>
      <c r="D886" s="2">
        <v>8.3</v>
      </c>
      <c r="E886" s="2">
        <v>1964.0</v>
      </c>
      <c r="F886" s="2" t="s">
        <v>10</v>
      </c>
      <c r="G886" s="2" t="s">
        <v>10</v>
      </c>
    </row>
    <row r="887" ht="14.25" customHeight="1">
      <c r="A887" s="1" t="s">
        <v>812</v>
      </c>
      <c r="B887" s="1" t="s">
        <v>20</v>
      </c>
      <c r="C887" s="2" t="s">
        <v>222</v>
      </c>
      <c r="D887" s="2">
        <v>8.3</v>
      </c>
      <c r="E887" s="2">
        <v>1941.0</v>
      </c>
      <c r="F887" s="2" t="s">
        <v>10</v>
      </c>
      <c r="G887" s="2" t="s">
        <v>10</v>
      </c>
    </row>
    <row r="888" ht="14.25" customHeight="1">
      <c r="A888" s="1" t="s">
        <v>813</v>
      </c>
      <c r="B888" s="1" t="s">
        <v>8</v>
      </c>
      <c r="C888" s="2" t="s">
        <v>34</v>
      </c>
      <c r="D888" s="2">
        <v>8.3</v>
      </c>
      <c r="E888" s="2">
        <v>2022.0</v>
      </c>
      <c r="F888" s="2" t="s">
        <v>10</v>
      </c>
      <c r="G888" s="2" t="s">
        <v>10</v>
      </c>
    </row>
    <row r="889" ht="14.25" customHeight="1">
      <c r="A889" s="1" t="s">
        <v>814</v>
      </c>
      <c r="B889" s="1" t="s">
        <v>20</v>
      </c>
      <c r="C889" s="2" t="s">
        <v>815</v>
      </c>
      <c r="D889" s="2">
        <v>8.3</v>
      </c>
      <c r="E889" s="2">
        <v>1997.0</v>
      </c>
      <c r="F889" s="2" t="s">
        <v>10</v>
      </c>
      <c r="G889" s="2" t="s">
        <v>10</v>
      </c>
    </row>
    <row r="890" ht="14.25" customHeight="1">
      <c r="A890" s="1" t="s">
        <v>816</v>
      </c>
      <c r="B890" s="1" t="s">
        <v>20</v>
      </c>
      <c r="C890" s="2" t="s">
        <v>817</v>
      </c>
      <c r="D890" s="2">
        <v>8.3</v>
      </c>
      <c r="E890" s="2">
        <v>1958.0</v>
      </c>
      <c r="F890" s="2" t="s">
        <v>10</v>
      </c>
      <c r="G890" s="2" t="s">
        <v>10</v>
      </c>
    </row>
    <row r="891" ht="14.25" customHeight="1">
      <c r="A891" s="1" t="s">
        <v>818</v>
      </c>
      <c r="B891" s="1" t="s">
        <v>20</v>
      </c>
      <c r="C891" s="2" t="s">
        <v>36</v>
      </c>
      <c r="D891" s="2">
        <v>8.3</v>
      </c>
      <c r="E891" s="2">
        <v>1984.0</v>
      </c>
      <c r="F891" s="2">
        <v>1984.0</v>
      </c>
      <c r="G891" s="2" t="s">
        <v>10</v>
      </c>
    </row>
    <row r="892" ht="14.25" customHeight="1">
      <c r="A892" s="1" t="s">
        <v>819</v>
      </c>
      <c r="B892" s="1" t="s">
        <v>20</v>
      </c>
      <c r="C892" s="2" t="s">
        <v>18</v>
      </c>
      <c r="D892" s="2">
        <v>8.3</v>
      </c>
      <c r="E892" s="2">
        <v>2012.0</v>
      </c>
      <c r="F892" s="2">
        <v>2015.0</v>
      </c>
      <c r="G892" s="2" t="s">
        <v>10</v>
      </c>
    </row>
    <row r="893" ht="14.25" customHeight="1">
      <c r="A893" s="1" t="s">
        <v>820</v>
      </c>
      <c r="B893" s="1" t="s">
        <v>8</v>
      </c>
      <c r="C893" s="2" t="s">
        <v>53</v>
      </c>
      <c r="D893" s="2">
        <v>8.3</v>
      </c>
      <c r="E893" s="2">
        <v>2011.0</v>
      </c>
      <c r="F893" s="2">
        <v>2019.0</v>
      </c>
      <c r="G893" s="2" t="s">
        <v>10</v>
      </c>
    </row>
    <row r="894" ht="14.25" customHeight="1">
      <c r="A894" s="1" t="s">
        <v>821</v>
      </c>
      <c r="B894" s="1" t="s">
        <v>20</v>
      </c>
      <c r="C894" s="2" t="s">
        <v>822</v>
      </c>
      <c r="D894" s="2">
        <v>8.3</v>
      </c>
      <c r="E894" s="2">
        <v>1959.0</v>
      </c>
      <c r="F894" s="2" t="s">
        <v>10</v>
      </c>
      <c r="G894" s="2" t="s">
        <v>10</v>
      </c>
    </row>
    <row r="895" ht="14.25" customHeight="1">
      <c r="A895" s="1" t="s">
        <v>823</v>
      </c>
      <c r="B895" s="1" t="s">
        <v>20</v>
      </c>
      <c r="C895" s="2" t="s">
        <v>36</v>
      </c>
      <c r="D895" s="2">
        <v>8.3</v>
      </c>
      <c r="E895" s="2">
        <v>1962.0</v>
      </c>
      <c r="F895" s="2" t="s">
        <v>10</v>
      </c>
      <c r="G895" s="2" t="s">
        <v>10</v>
      </c>
    </row>
    <row r="896" ht="14.25" customHeight="1">
      <c r="A896" s="1" t="s">
        <v>824</v>
      </c>
      <c r="B896" s="1" t="s">
        <v>20</v>
      </c>
      <c r="C896" s="2" t="s">
        <v>825</v>
      </c>
      <c r="D896" s="2">
        <v>8.3</v>
      </c>
      <c r="E896" s="2">
        <v>1962.0</v>
      </c>
      <c r="F896" s="2" t="s">
        <v>10</v>
      </c>
      <c r="G896" s="2" t="s">
        <v>10</v>
      </c>
    </row>
    <row r="897" ht="14.25" customHeight="1">
      <c r="A897" s="1" t="s">
        <v>826</v>
      </c>
      <c r="B897" s="1" t="s">
        <v>20</v>
      </c>
      <c r="C897" s="2" t="s">
        <v>530</v>
      </c>
      <c r="D897" s="2">
        <v>8.3</v>
      </c>
      <c r="E897" s="2">
        <v>1973.0</v>
      </c>
      <c r="F897" s="2" t="s">
        <v>10</v>
      </c>
      <c r="G897" s="2" t="s">
        <v>10</v>
      </c>
    </row>
    <row r="898" ht="14.25" customHeight="1">
      <c r="A898" s="1" t="s">
        <v>827</v>
      </c>
      <c r="B898" s="1" t="s">
        <v>8</v>
      </c>
      <c r="C898" s="2" t="s">
        <v>34</v>
      </c>
      <c r="D898" s="2">
        <v>8.3</v>
      </c>
      <c r="E898" s="2">
        <v>2024.0</v>
      </c>
      <c r="F898" s="2" t="s">
        <v>10</v>
      </c>
      <c r="G898" s="2" t="s">
        <v>10</v>
      </c>
    </row>
    <row r="899" ht="14.25" customHeight="1">
      <c r="A899" s="1" t="s">
        <v>828</v>
      </c>
      <c r="B899" s="1" t="s">
        <v>20</v>
      </c>
      <c r="C899" s="2" t="s">
        <v>829</v>
      </c>
      <c r="D899" s="2">
        <v>8.3</v>
      </c>
      <c r="E899" s="2">
        <v>1952.0</v>
      </c>
      <c r="F899" s="2" t="s">
        <v>10</v>
      </c>
      <c r="G899" s="2" t="s">
        <v>10</v>
      </c>
    </row>
    <row r="900" ht="14.25" customHeight="1">
      <c r="A900" s="1" t="s">
        <v>830</v>
      </c>
      <c r="B900" s="1" t="s">
        <v>20</v>
      </c>
      <c r="C900" s="2" t="s">
        <v>18</v>
      </c>
      <c r="D900" s="2">
        <v>8.3</v>
      </c>
      <c r="E900" s="2">
        <v>2011.0</v>
      </c>
      <c r="F900" s="2">
        <v>2011.0</v>
      </c>
      <c r="G900" s="2" t="s">
        <v>10</v>
      </c>
    </row>
    <row r="901" ht="14.25" customHeight="1">
      <c r="A901" s="1" t="s">
        <v>831</v>
      </c>
      <c r="B901" s="1" t="s">
        <v>8</v>
      </c>
      <c r="C901" s="2" t="s">
        <v>18</v>
      </c>
      <c r="D901" s="2">
        <v>8.3</v>
      </c>
      <c r="E901" s="2">
        <v>2019.0</v>
      </c>
      <c r="F901" s="2">
        <v>2018.0</v>
      </c>
      <c r="G901" s="2" t="s">
        <v>10</v>
      </c>
    </row>
    <row r="902" ht="14.25" customHeight="1">
      <c r="A902" s="1" t="s">
        <v>832</v>
      </c>
      <c r="B902" s="1" t="s">
        <v>20</v>
      </c>
      <c r="C902" s="2" t="s">
        <v>833</v>
      </c>
      <c r="D902" s="2">
        <v>8.3</v>
      </c>
      <c r="E902" s="2">
        <v>2016.0</v>
      </c>
      <c r="F902" s="2">
        <v>2016.0</v>
      </c>
      <c r="G902" s="2" t="s">
        <v>10</v>
      </c>
    </row>
    <row r="903" ht="14.25" customHeight="1">
      <c r="A903" s="1" t="s">
        <v>834</v>
      </c>
      <c r="B903" s="1" t="s">
        <v>20</v>
      </c>
      <c r="C903" s="2" t="s">
        <v>626</v>
      </c>
      <c r="D903" s="2">
        <v>8.3</v>
      </c>
      <c r="E903" s="2">
        <v>2010.0</v>
      </c>
      <c r="F903" s="2" t="s">
        <v>10</v>
      </c>
      <c r="G903" s="2" t="s">
        <v>10</v>
      </c>
    </row>
    <row r="904" ht="14.25" customHeight="1">
      <c r="A904" s="1" t="s">
        <v>835</v>
      </c>
      <c r="B904" s="1" t="s">
        <v>20</v>
      </c>
      <c r="C904" s="2" t="s">
        <v>114</v>
      </c>
      <c r="D904" s="2">
        <v>8.3</v>
      </c>
      <c r="E904" s="2">
        <v>2007.0</v>
      </c>
      <c r="F904" s="2" t="s">
        <v>10</v>
      </c>
      <c r="G904" s="2" t="s">
        <v>10</v>
      </c>
    </row>
    <row r="905" ht="14.25" customHeight="1">
      <c r="A905" s="1" t="s">
        <v>836</v>
      </c>
      <c r="B905" s="1" t="s">
        <v>20</v>
      </c>
      <c r="C905" s="2" t="s">
        <v>187</v>
      </c>
      <c r="D905" s="2">
        <v>8.3</v>
      </c>
      <c r="E905" s="2">
        <v>1960.0</v>
      </c>
      <c r="F905" s="2">
        <v>2014.0</v>
      </c>
      <c r="G905" s="2" t="s">
        <v>10</v>
      </c>
    </row>
    <row r="906" ht="14.25" customHeight="1">
      <c r="A906" s="1" t="s">
        <v>837</v>
      </c>
      <c r="B906" s="1" t="s">
        <v>20</v>
      </c>
      <c r="C906" s="2" t="s">
        <v>838</v>
      </c>
      <c r="D906" s="2">
        <v>8.3</v>
      </c>
      <c r="E906" s="2">
        <v>1927.0</v>
      </c>
      <c r="F906" s="2" t="s">
        <v>10</v>
      </c>
      <c r="G906" s="2" t="s">
        <v>10</v>
      </c>
    </row>
    <row r="907" ht="14.25" customHeight="1">
      <c r="A907" s="1" t="s">
        <v>839</v>
      </c>
      <c r="B907" s="1" t="s">
        <v>8</v>
      </c>
      <c r="C907" s="2" t="s">
        <v>63</v>
      </c>
      <c r="D907" s="2">
        <v>8.3</v>
      </c>
      <c r="E907" s="2">
        <v>2007.0</v>
      </c>
      <c r="F907" s="2" t="s">
        <v>10</v>
      </c>
      <c r="G907" s="2" t="s">
        <v>10</v>
      </c>
    </row>
    <row r="908" ht="14.25" customHeight="1">
      <c r="A908" s="1" t="s">
        <v>840</v>
      </c>
      <c r="B908" s="1" t="s">
        <v>8</v>
      </c>
      <c r="C908" s="2" t="s">
        <v>78</v>
      </c>
      <c r="D908" s="2">
        <v>8.3</v>
      </c>
      <c r="E908" s="2">
        <v>2014.0</v>
      </c>
      <c r="F908" s="2">
        <v>2018.0</v>
      </c>
      <c r="G908" s="2" t="s">
        <v>10</v>
      </c>
    </row>
    <row r="909" ht="14.25" customHeight="1">
      <c r="A909" s="1" t="s">
        <v>841</v>
      </c>
      <c r="B909" s="1" t="s">
        <v>20</v>
      </c>
      <c r="C909" s="2" t="s">
        <v>18</v>
      </c>
      <c r="D909" s="2">
        <v>8.3</v>
      </c>
      <c r="E909" s="2">
        <v>1948.0</v>
      </c>
      <c r="F909" s="2" t="s">
        <v>10</v>
      </c>
      <c r="G909" s="2" t="s">
        <v>10</v>
      </c>
    </row>
    <row r="910" ht="14.25" customHeight="1">
      <c r="A910" s="1" t="s">
        <v>842</v>
      </c>
      <c r="B910" s="1" t="s">
        <v>20</v>
      </c>
      <c r="C910" s="2" t="s">
        <v>134</v>
      </c>
      <c r="D910" s="2">
        <v>8.3</v>
      </c>
      <c r="E910" s="2">
        <v>1931.0</v>
      </c>
      <c r="F910" s="2" t="s">
        <v>10</v>
      </c>
      <c r="G910" s="2" t="s">
        <v>10</v>
      </c>
    </row>
    <row r="911" ht="14.25" customHeight="1">
      <c r="A911" s="1" t="s">
        <v>843</v>
      </c>
      <c r="B911" s="1" t="s">
        <v>20</v>
      </c>
      <c r="C911" s="2" t="s">
        <v>844</v>
      </c>
      <c r="D911" s="2">
        <v>8.3</v>
      </c>
      <c r="E911" s="2">
        <v>1944.0</v>
      </c>
      <c r="F911" s="2" t="s">
        <v>10</v>
      </c>
      <c r="G911" s="2" t="s">
        <v>10</v>
      </c>
    </row>
    <row r="912" ht="14.25" customHeight="1">
      <c r="A912" s="1" t="s">
        <v>85</v>
      </c>
      <c r="B912" s="1" t="s">
        <v>8</v>
      </c>
      <c r="C912" s="2" t="s">
        <v>845</v>
      </c>
      <c r="D912" s="2">
        <v>8.3</v>
      </c>
      <c r="E912" s="2">
        <v>2023.0</v>
      </c>
      <c r="F912" s="2">
        <v>2002.0</v>
      </c>
      <c r="G912" s="2">
        <v>1.09E7</v>
      </c>
    </row>
    <row r="913" ht="14.25" customHeight="1">
      <c r="A913" s="1" t="s">
        <v>85</v>
      </c>
      <c r="B913" s="1" t="s">
        <v>8</v>
      </c>
      <c r="C913" s="2" t="s">
        <v>845</v>
      </c>
      <c r="D913" s="2">
        <v>8.3</v>
      </c>
      <c r="E913" s="2">
        <v>2023.0</v>
      </c>
      <c r="F913" s="2">
        <v>2002.0</v>
      </c>
      <c r="G913" s="2">
        <v>1.43E7</v>
      </c>
    </row>
    <row r="914" ht="14.25" customHeight="1">
      <c r="A914" s="1" t="s">
        <v>85</v>
      </c>
      <c r="B914" s="1" t="s">
        <v>8</v>
      </c>
      <c r="C914" s="2" t="s">
        <v>845</v>
      </c>
      <c r="D914" s="2">
        <v>8.3</v>
      </c>
      <c r="E914" s="2">
        <v>2023.0</v>
      </c>
      <c r="F914" s="2">
        <v>2002.0</v>
      </c>
      <c r="G914" s="2">
        <v>1.88E7</v>
      </c>
    </row>
    <row r="915" ht="14.25" customHeight="1">
      <c r="A915" s="1" t="s">
        <v>85</v>
      </c>
      <c r="B915" s="1" t="s">
        <v>8</v>
      </c>
      <c r="C915" s="2" t="s">
        <v>845</v>
      </c>
      <c r="D915" s="2">
        <v>8.3</v>
      </c>
      <c r="E915" s="2">
        <v>2023.0</v>
      </c>
      <c r="F915" s="2">
        <v>2002.0</v>
      </c>
      <c r="G915" s="2">
        <v>2.84E7</v>
      </c>
    </row>
    <row r="916" ht="14.25" customHeight="1">
      <c r="A916" s="1" t="s">
        <v>85</v>
      </c>
      <c r="B916" s="1" t="s">
        <v>8</v>
      </c>
      <c r="C916" s="2" t="s">
        <v>845</v>
      </c>
      <c r="D916" s="2">
        <v>8.3</v>
      </c>
      <c r="E916" s="2">
        <v>2023.0</v>
      </c>
      <c r="F916" s="2">
        <v>2002.0</v>
      </c>
      <c r="G916" s="2">
        <v>4.66E7</v>
      </c>
    </row>
    <row r="917" ht="14.25" customHeight="1">
      <c r="A917" s="1" t="s">
        <v>85</v>
      </c>
      <c r="B917" s="1" t="s">
        <v>8</v>
      </c>
      <c r="C917" s="2" t="s">
        <v>845</v>
      </c>
      <c r="D917" s="2">
        <v>8.3</v>
      </c>
      <c r="E917" s="2">
        <v>2023.0</v>
      </c>
      <c r="F917" s="2">
        <v>2002.0</v>
      </c>
      <c r="G917" s="2">
        <v>7.55E7</v>
      </c>
    </row>
    <row r="918" ht="14.25" customHeight="1">
      <c r="A918" s="1" t="s">
        <v>85</v>
      </c>
      <c r="B918" s="1" t="s">
        <v>8</v>
      </c>
      <c r="C918" s="2" t="s">
        <v>845</v>
      </c>
      <c r="D918" s="2">
        <v>8.3</v>
      </c>
      <c r="E918" s="2">
        <v>2023.0</v>
      </c>
      <c r="F918" s="2">
        <v>2002.0</v>
      </c>
      <c r="G918" s="2">
        <v>1.457E8</v>
      </c>
    </row>
    <row r="919" ht="14.25" customHeight="1">
      <c r="A919" s="1" t="s">
        <v>85</v>
      </c>
      <c r="B919" s="1" t="s">
        <v>8</v>
      </c>
      <c r="C919" s="2" t="s">
        <v>845</v>
      </c>
      <c r="D919" s="2">
        <v>8.3</v>
      </c>
      <c r="E919" s="2">
        <v>2023.0</v>
      </c>
      <c r="F919" s="2">
        <v>2002.0</v>
      </c>
      <c r="G919" s="2">
        <v>1.401E8</v>
      </c>
    </row>
    <row r="920" ht="14.25" customHeight="1">
      <c r="A920" s="1" t="s">
        <v>846</v>
      </c>
      <c r="B920" s="1" t="s">
        <v>8</v>
      </c>
      <c r="C920" s="2" t="s">
        <v>34</v>
      </c>
      <c r="D920" s="2">
        <v>8.3</v>
      </c>
      <c r="E920" s="2">
        <v>1997.0</v>
      </c>
      <c r="F920" s="2" t="s">
        <v>10</v>
      </c>
      <c r="G920" s="2" t="s">
        <v>10</v>
      </c>
    </row>
    <row r="921" ht="14.25" customHeight="1">
      <c r="A921" s="1" t="s">
        <v>847</v>
      </c>
      <c r="B921" s="1" t="s">
        <v>8</v>
      </c>
      <c r="C921" s="2" t="s">
        <v>468</v>
      </c>
      <c r="D921" s="2">
        <v>8.3</v>
      </c>
      <c r="E921" s="2">
        <v>2017.0</v>
      </c>
      <c r="F921" s="2" t="s">
        <v>10</v>
      </c>
      <c r="G921" s="2">
        <v>8310000.0</v>
      </c>
    </row>
    <row r="922" ht="14.25" customHeight="1">
      <c r="A922" s="1" t="s">
        <v>847</v>
      </c>
      <c r="B922" s="1" t="s">
        <v>8</v>
      </c>
      <c r="C922" s="2" t="s">
        <v>468</v>
      </c>
      <c r="D922" s="2">
        <v>8.3</v>
      </c>
      <c r="E922" s="2">
        <v>2017.0</v>
      </c>
      <c r="F922" s="2" t="s">
        <v>10</v>
      </c>
      <c r="G922" s="2">
        <v>2.415E7</v>
      </c>
    </row>
    <row r="923" ht="14.25" customHeight="1">
      <c r="A923" s="1" t="s">
        <v>848</v>
      </c>
      <c r="B923" s="1" t="s">
        <v>8</v>
      </c>
      <c r="C923" s="2" t="s">
        <v>92</v>
      </c>
      <c r="D923" s="2">
        <v>8.3</v>
      </c>
      <c r="E923" s="2">
        <v>2013.0</v>
      </c>
      <c r="F923" s="2">
        <v>2018.0</v>
      </c>
      <c r="G923" s="2" t="s">
        <v>10</v>
      </c>
    </row>
    <row r="924" ht="14.25" customHeight="1">
      <c r="A924" s="1" t="s">
        <v>849</v>
      </c>
      <c r="B924" s="1" t="s">
        <v>8</v>
      </c>
      <c r="C924" s="2" t="s">
        <v>845</v>
      </c>
      <c r="D924" s="2">
        <v>8.3</v>
      </c>
      <c r="E924" s="2">
        <v>2022.0</v>
      </c>
      <c r="F924" s="2" t="s">
        <v>10</v>
      </c>
      <c r="G924" s="2" t="s">
        <v>10</v>
      </c>
    </row>
    <row r="925" ht="14.25" customHeight="1">
      <c r="A925" s="1" t="s">
        <v>850</v>
      </c>
      <c r="B925" s="1" t="s">
        <v>8</v>
      </c>
      <c r="C925" s="2" t="s">
        <v>25</v>
      </c>
      <c r="D925" s="2">
        <v>8.3</v>
      </c>
      <c r="E925" s="2">
        <v>2012.0</v>
      </c>
      <c r="F925" s="2">
        <v>2014.0</v>
      </c>
      <c r="G925" s="2" t="s">
        <v>10</v>
      </c>
    </row>
    <row r="926" ht="14.25" customHeight="1">
      <c r="A926" s="1" t="s">
        <v>851</v>
      </c>
      <c r="B926" s="1" t="s">
        <v>20</v>
      </c>
      <c r="C926" s="2" t="s">
        <v>187</v>
      </c>
      <c r="D926" s="2">
        <v>8.3</v>
      </c>
      <c r="E926" s="2">
        <v>2020.0</v>
      </c>
      <c r="F926" s="2" t="s">
        <v>10</v>
      </c>
      <c r="G926" s="2" t="s">
        <v>10</v>
      </c>
    </row>
    <row r="927" ht="14.25" customHeight="1">
      <c r="A927" s="1" t="s">
        <v>852</v>
      </c>
      <c r="B927" s="1" t="s">
        <v>8</v>
      </c>
      <c r="C927" s="2" t="s">
        <v>34</v>
      </c>
      <c r="D927" s="2">
        <v>8.3</v>
      </c>
      <c r="E927" s="2">
        <v>2010.0</v>
      </c>
      <c r="F927" s="2" t="s">
        <v>10</v>
      </c>
      <c r="G927" s="2">
        <v>1.53E7</v>
      </c>
    </row>
    <row r="928" ht="14.25" customHeight="1">
      <c r="A928" s="1" t="s">
        <v>852</v>
      </c>
      <c r="B928" s="1" t="s">
        <v>8</v>
      </c>
      <c r="C928" s="2" t="s">
        <v>34</v>
      </c>
      <c r="D928" s="2">
        <v>8.3</v>
      </c>
      <c r="E928" s="2">
        <v>2010.0</v>
      </c>
      <c r="F928" s="2" t="s">
        <v>10</v>
      </c>
      <c r="G928" s="2">
        <v>2.15E7</v>
      </c>
    </row>
    <row r="929" ht="14.25" customHeight="1">
      <c r="A929" s="1" t="s">
        <v>853</v>
      </c>
      <c r="B929" s="1" t="s">
        <v>8</v>
      </c>
      <c r="C929" s="2" t="s">
        <v>32</v>
      </c>
      <c r="D929" s="2">
        <v>8.3</v>
      </c>
      <c r="E929" s="2">
        <v>2006.0</v>
      </c>
      <c r="F929" s="2">
        <v>2012.0</v>
      </c>
      <c r="G929" s="2" t="s">
        <v>10</v>
      </c>
    </row>
    <row r="930" ht="14.25" customHeight="1">
      <c r="A930" s="1" t="s">
        <v>854</v>
      </c>
      <c r="B930" s="1" t="s">
        <v>20</v>
      </c>
      <c r="C930" s="2" t="s">
        <v>833</v>
      </c>
      <c r="D930" s="2">
        <v>8.3</v>
      </c>
      <c r="E930" s="2">
        <v>2021.0</v>
      </c>
      <c r="F930" s="2" t="s">
        <v>10</v>
      </c>
      <c r="G930" s="2" t="s">
        <v>10</v>
      </c>
    </row>
    <row r="931" ht="14.25" customHeight="1">
      <c r="A931" s="1" t="s">
        <v>855</v>
      </c>
      <c r="B931" s="1" t="s">
        <v>8</v>
      </c>
      <c r="C931" s="2" t="s">
        <v>217</v>
      </c>
      <c r="D931" s="2">
        <v>8.3</v>
      </c>
      <c r="E931" s="2">
        <v>2018.0</v>
      </c>
      <c r="F931" s="2">
        <v>2016.0</v>
      </c>
      <c r="G931" s="2" t="s">
        <v>10</v>
      </c>
    </row>
    <row r="932" ht="14.25" customHeight="1">
      <c r="A932" s="1" t="s">
        <v>714</v>
      </c>
      <c r="B932" s="1" t="s">
        <v>8</v>
      </c>
      <c r="C932" s="2" t="s">
        <v>53</v>
      </c>
      <c r="D932" s="2">
        <v>8.3</v>
      </c>
      <c r="E932" s="2">
        <v>2011.0</v>
      </c>
      <c r="F932" s="2" t="s">
        <v>10</v>
      </c>
      <c r="G932" s="2" t="s">
        <v>10</v>
      </c>
    </row>
    <row r="933" ht="14.25" customHeight="1">
      <c r="A933" s="1" t="s">
        <v>856</v>
      </c>
      <c r="B933" s="1" t="s">
        <v>8</v>
      </c>
      <c r="C933" s="2" t="s">
        <v>36</v>
      </c>
      <c r="D933" s="2">
        <v>8.3</v>
      </c>
      <c r="E933" s="2">
        <v>2019.0</v>
      </c>
      <c r="F933" s="2">
        <v>2019.0</v>
      </c>
      <c r="G933" s="2" t="s">
        <v>10</v>
      </c>
    </row>
    <row r="934" ht="14.25" customHeight="1">
      <c r="A934" s="1" t="s">
        <v>857</v>
      </c>
      <c r="B934" s="1" t="s">
        <v>20</v>
      </c>
      <c r="C934" s="2" t="s">
        <v>80</v>
      </c>
      <c r="D934" s="2">
        <v>8.3</v>
      </c>
      <c r="E934" s="2">
        <v>2020.0</v>
      </c>
      <c r="F934" s="2" t="s">
        <v>10</v>
      </c>
      <c r="G934" s="2" t="s">
        <v>10</v>
      </c>
    </row>
    <row r="935" ht="14.25" customHeight="1">
      <c r="A935" s="1" t="s">
        <v>858</v>
      </c>
      <c r="B935" s="1" t="s">
        <v>8</v>
      </c>
      <c r="C935" s="2" t="s">
        <v>639</v>
      </c>
      <c r="D935" s="2">
        <v>8.3</v>
      </c>
      <c r="E935" s="2">
        <v>2013.0</v>
      </c>
      <c r="F935" s="2" t="s">
        <v>10</v>
      </c>
      <c r="G935" s="2" t="s">
        <v>10</v>
      </c>
    </row>
    <row r="936" ht="14.25" customHeight="1">
      <c r="A936" s="1" t="s">
        <v>859</v>
      </c>
      <c r="B936" s="1" t="s">
        <v>8</v>
      </c>
      <c r="C936" s="2" t="s">
        <v>686</v>
      </c>
      <c r="D936" s="2">
        <v>8.3</v>
      </c>
      <c r="E936" s="2">
        <v>2014.0</v>
      </c>
      <c r="F936" s="2" t="s">
        <v>10</v>
      </c>
      <c r="G936" s="2" t="s">
        <v>10</v>
      </c>
    </row>
    <row r="937" ht="14.25" customHeight="1">
      <c r="A937" s="1" t="s">
        <v>860</v>
      </c>
      <c r="B937" s="1" t="s">
        <v>8</v>
      </c>
      <c r="C937" s="2" t="s">
        <v>18</v>
      </c>
      <c r="D937" s="2">
        <v>8.3</v>
      </c>
      <c r="E937" s="2">
        <v>2016.0</v>
      </c>
      <c r="F937" s="2" t="s">
        <v>10</v>
      </c>
      <c r="G937" s="2" t="s">
        <v>10</v>
      </c>
    </row>
    <row r="938" ht="14.25" customHeight="1">
      <c r="A938" s="1" t="s">
        <v>861</v>
      </c>
      <c r="B938" s="1" t="s">
        <v>8</v>
      </c>
      <c r="C938" s="2" t="s">
        <v>18</v>
      </c>
      <c r="D938" s="2">
        <v>8.3</v>
      </c>
      <c r="E938" s="2">
        <v>2021.0</v>
      </c>
      <c r="F938" s="2" t="s">
        <v>10</v>
      </c>
      <c r="G938" s="2">
        <v>1.396E7</v>
      </c>
    </row>
    <row r="939" ht="14.25" customHeight="1">
      <c r="A939" s="1" t="s">
        <v>861</v>
      </c>
      <c r="B939" s="1" t="s">
        <v>8</v>
      </c>
      <c r="C939" s="2" t="s">
        <v>18</v>
      </c>
      <c r="D939" s="2">
        <v>8.3</v>
      </c>
      <c r="E939" s="2">
        <v>2021.0</v>
      </c>
      <c r="F939" s="2" t="s">
        <v>10</v>
      </c>
      <c r="G939" s="2">
        <v>8750000.0</v>
      </c>
    </row>
    <row r="940" ht="14.25" customHeight="1">
      <c r="A940" s="1" t="s">
        <v>861</v>
      </c>
      <c r="B940" s="1" t="s">
        <v>8</v>
      </c>
      <c r="C940" s="2" t="s">
        <v>18</v>
      </c>
      <c r="D940" s="2">
        <v>8.3</v>
      </c>
      <c r="E940" s="2">
        <v>2021.0</v>
      </c>
      <c r="F940" s="2" t="s">
        <v>10</v>
      </c>
      <c r="G940" s="2">
        <v>1.062E7</v>
      </c>
    </row>
    <row r="941" ht="14.25" customHeight="1">
      <c r="A941" s="1" t="s">
        <v>861</v>
      </c>
      <c r="B941" s="1" t="s">
        <v>8</v>
      </c>
      <c r="C941" s="2" t="s">
        <v>18</v>
      </c>
      <c r="D941" s="2">
        <v>8.3</v>
      </c>
      <c r="E941" s="2">
        <v>2021.0</v>
      </c>
      <c r="F941" s="2" t="s">
        <v>10</v>
      </c>
      <c r="G941" s="2">
        <v>1.254E7</v>
      </c>
    </row>
    <row r="942" ht="14.25" customHeight="1">
      <c r="A942" s="1" t="s">
        <v>861</v>
      </c>
      <c r="B942" s="1" t="s">
        <v>8</v>
      </c>
      <c r="C942" s="2" t="s">
        <v>18</v>
      </c>
      <c r="D942" s="2">
        <v>8.3</v>
      </c>
      <c r="E942" s="2">
        <v>2021.0</v>
      </c>
      <c r="F942" s="2" t="s">
        <v>10</v>
      </c>
      <c r="G942" s="2">
        <v>1.58E7</v>
      </c>
    </row>
    <row r="943" ht="14.25" customHeight="1">
      <c r="A943" s="1" t="s">
        <v>861</v>
      </c>
      <c r="B943" s="1" t="s">
        <v>8</v>
      </c>
      <c r="C943" s="2" t="s">
        <v>18</v>
      </c>
      <c r="D943" s="2">
        <v>8.3</v>
      </c>
      <c r="E943" s="2">
        <v>2021.0</v>
      </c>
      <c r="F943" s="2" t="s">
        <v>10</v>
      </c>
      <c r="G943" s="2">
        <v>2.049E7</v>
      </c>
    </row>
    <row r="944" ht="14.25" customHeight="1">
      <c r="A944" s="1" t="s">
        <v>861</v>
      </c>
      <c r="B944" s="1" t="s">
        <v>8</v>
      </c>
      <c r="C944" s="2" t="s">
        <v>18</v>
      </c>
      <c r="D944" s="2">
        <v>8.3</v>
      </c>
      <c r="E944" s="2">
        <v>2021.0</v>
      </c>
      <c r="F944" s="2" t="s">
        <v>10</v>
      </c>
      <c r="G944" s="2">
        <v>2.392E7</v>
      </c>
    </row>
    <row r="945" ht="14.25" customHeight="1">
      <c r="A945" s="1" t="s">
        <v>861</v>
      </c>
      <c r="B945" s="1" t="s">
        <v>8</v>
      </c>
      <c r="C945" s="2" t="s">
        <v>18</v>
      </c>
      <c r="D945" s="2">
        <v>8.3</v>
      </c>
      <c r="E945" s="2">
        <v>2021.0</v>
      </c>
      <c r="F945" s="2" t="s">
        <v>10</v>
      </c>
      <c r="G945" s="2">
        <v>2.948E7</v>
      </c>
    </row>
    <row r="946" ht="14.25" customHeight="1">
      <c r="A946" s="1" t="s">
        <v>861</v>
      </c>
      <c r="B946" s="1" t="s">
        <v>8</v>
      </c>
      <c r="C946" s="2" t="s">
        <v>18</v>
      </c>
      <c r="D946" s="2">
        <v>8.3</v>
      </c>
      <c r="E946" s="2">
        <v>2021.0</v>
      </c>
      <c r="F946" s="2" t="s">
        <v>10</v>
      </c>
      <c r="G946" s="2">
        <v>4.129E7</v>
      </c>
    </row>
    <row r="947" ht="14.25" customHeight="1">
      <c r="A947" s="1" t="s">
        <v>861</v>
      </c>
      <c r="B947" s="1" t="s">
        <v>8</v>
      </c>
      <c r="C947" s="2" t="s">
        <v>18</v>
      </c>
      <c r="D947" s="2">
        <v>8.3</v>
      </c>
      <c r="E947" s="2">
        <v>2021.0</v>
      </c>
      <c r="F947" s="2" t="s">
        <v>10</v>
      </c>
      <c r="G947" s="2">
        <v>5.67E7</v>
      </c>
    </row>
    <row r="948" ht="14.25" customHeight="1">
      <c r="A948" s="1" t="s">
        <v>861</v>
      </c>
      <c r="B948" s="1" t="s">
        <v>8</v>
      </c>
      <c r="C948" s="2" t="s">
        <v>18</v>
      </c>
      <c r="D948" s="2">
        <v>8.3</v>
      </c>
      <c r="E948" s="2">
        <v>2021.0</v>
      </c>
      <c r="F948" s="2" t="s">
        <v>10</v>
      </c>
      <c r="G948" s="2">
        <v>7.904E7</v>
      </c>
    </row>
    <row r="949" ht="14.25" customHeight="1">
      <c r="A949" s="1" t="s">
        <v>861</v>
      </c>
      <c r="B949" s="1" t="s">
        <v>8</v>
      </c>
      <c r="C949" s="2" t="s">
        <v>18</v>
      </c>
      <c r="D949" s="2">
        <v>8.3</v>
      </c>
      <c r="E949" s="2">
        <v>2021.0</v>
      </c>
      <c r="F949" s="2" t="s">
        <v>10</v>
      </c>
      <c r="G949" s="2">
        <v>1.2928E8</v>
      </c>
    </row>
    <row r="950" ht="14.25" customHeight="1">
      <c r="A950" s="1" t="s">
        <v>861</v>
      </c>
      <c r="B950" s="1" t="s">
        <v>8</v>
      </c>
      <c r="C950" s="2" t="s">
        <v>18</v>
      </c>
      <c r="D950" s="2">
        <v>8.3</v>
      </c>
      <c r="E950" s="2">
        <v>2021.0</v>
      </c>
      <c r="F950" s="2" t="s">
        <v>10</v>
      </c>
      <c r="G950" s="2">
        <v>1.6652E8</v>
      </c>
    </row>
    <row r="951" ht="14.25" customHeight="1">
      <c r="A951" s="1" t="s">
        <v>861</v>
      </c>
      <c r="B951" s="1" t="s">
        <v>8</v>
      </c>
      <c r="C951" s="2" t="s">
        <v>18</v>
      </c>
      <c r="D951" s="2">
        <v>8.3</v>
      </c>
      <c r="E951" s="2">
        <v>2021.0</v>
      </c>
      <c r="F951" s="2" t="s">
        <v>10</v>
      </c>
      <c r="G951" s="2">
        <v>6.108E7</v>
      </c>
    </row>
    <row r="952" ht="14.25" customHeight="1">
      <c r="A952" s="1" t="s">
        <v>862</v>
      </c>
      <c r="B952" s="1" t="s">
        <v>20</v>
      </c>
      <c r="C952" s="2" t="s">
        <v>863</v>
      </c>
      <c r="D952" s="2">
        <v>8.3</v>
      </c>
      <c r="E952" s="2">
        <v>1985.0</v>
      </c>
      <c r="F952" s="2" t="s">
        <v>10</v>
      </c>
      <c r="G952" s="2" t="s">
        <v>10</v>
      </c>
    </row>
    <row r="953" ht="14.25" customHeight="1">
      <c r="A953" s="1" t="s">
        <v>864</v>
      </c>
      <c r="B953" s="1" t="s">
        <v>8</v>
      </c>
      <c r="C953" s="2" t="s">
        <v>299</v>
      </c>
      <c r="D953" s="2">
        <v>8.3</v>
      </c>
      <c r="E953" s="2">
        <v>2022.0</v>
      </c>
      <c r="F953" s="2" t="s">
        <v>10</v>
      </c>
      <c r="G953" s="2" t="s">
        <v>10</v>
      </c>
    </row>
    <row r="954" ht="14.25" customHeight="1">
      <c r="A954" s="1" t="s">
        <v>865</v>
      </c>
      <c r="B954" s="1" t="s">
        <v>8</v>
      </c>
      <c r="C954" s="2" t="s">
        <v>36</v>
      </c>
      <c r="D954" s="2">
        <v>8.3</v>
      </c>
      <c r="E954" s="2">
        <v>2018.0</v>
      </c>
      <c r="F954" s="2">
        <v>2020.0</v>
      </c>
      <c r="G954" s="2">
        <v>1.743E7</v>
      </c>
    </row>
    <row r="955" ht="14.25" customHeight="1">
      <c r="A955" s="1" t="s">
        <v>865</v>
      </c>
      <c r="B955" s="1" t="s">
        <v>8</v>
      </c>
      <c r="C955" s="2" t="s">
        <v>36</v>
      </c>
      <c r="D955" s="2">
        <v>8.3</v>
      </c>
      <c r="E955" s="2">
        <v>2018.0</v>
      </c>
      <c r="F955" s="2">
        <v>2020.0</v>
      </c>
      <c r="G955" s="2">
        <v>2.754E7</v>
      </c>
    </row>
    <row r="956" ht="14.25" customHeight="1">
      <c r="A956" s="1" t="s">
        <v>865</v>
      </c>
      <c r="B956" s="1" t="s">
        <v>8</v>
      </c>
      <c r="C956" s="2" t="s">
        <v>36</v>
      </c>
      <c r="D956" s="2">
        <v>8.3</v>
      </c>
      <c r="E956" s="2">
        <v>2018.0</v>
      </c>
      <c r="F956" s="2">
        <v>2020.0</v>
      </c>
      <c r="G956" s="2">
        <v>5.029E7</v>
      </c>
    </row>
    <row r="957" ht="14.25" customHeight="1">
      <c r="A957" s="1" t="s">
        <v>865</v>
      </c>
      <c r="B957" s="1" t="s">
        <v>8</v>
      </c>
      <c r="C957" s="2" t="s">
        <v>36</v>
      </c>
      <c r="D957" s="2">
        <v>8.3</v>
      </c>
      <c r="E957" s="2">
        <v>2018.0</v>
      </c>
      <c r="F957" s="2">
        <v>2020.0</v>
      </c>
      <c r="G957" s="2">
        <v>1.557E7</v>
      </c>
    </row>
    <row r="958" ht="14.25" customHeight="1">
      <c r="A958" s="1" t="s">
        <v>865</v>
      </c>
      <c r="B958" s="1" t="s">
        <v>8</v>
      </c>
      <c r="C958" s="2" t="s">
        <v>36</v>
      </c>
      <c r="D958" s="2">
        <v>8.3</v>
      </c>
      <c r="E958" s="2">
        <v>2018.0</v>
      </c>
      <c r="F958" s="2">
        <v>2020.0</v>
      </c>
      <c r="G958" s="2">
        <v>2.815E7</v>
      </c>
    </row>
    <row r="959" ht="14.25" customHeight="1">
      <c r="A959" s="1" t="s">
        <v>866</v>
      </c>
      <c r="B959" s="1" t="s">
        <v>8</v>
      </c>
      <c r="C959" s="2" t="s">
        <v>36</v>
      </c>
      <c r="D959" s="2">
        <v>8.3</v>
      </c>
      <c r="E959" s="2">
        <v>2013.0</v>
      </c>
      <c r="F959" s="2" t="s">
        <v>10</v>
      </c>
      <c r="G959" s="2" t="s">
        <v>10</v>
      </c>
    </row>
    <row r="960" ht="14.25" customHeight="1">
      <c r="A960" s="1" t="s">
        <v>867</v>
      </c>
      <c r="B960" s="1" t="s">
        <v>20</v>
      </c>
      <c r="C960" s="2" t="s">
        <v>18</v>
      </c>
      <c r="D960" s="2">
        <v>8.3</v>
      </c>
      <c r="E960" s="2">
        <v>1952.0</v>
      </c>
      <c r="F960" s="2" t="s">
        <v>10</v>
      </c>
      <c r="G960" s="2" t="s">
        <v>10</v>
      </c>
    </row>
    <row r="961" ht="14.25" customHeight="1">
      <c r="A961" s="1" t="s">
        <v>868</v>
      </c>
      <c r="B961" s="1" t="s">
        <v>8</v>
      </c>
      <c r="C961" s="2" t="s">
        <v>25</v>
      </c>
      <c r="D961" s="2">
        <v>8.3</v>
      </c>
      <c r="E961" s="2">
        <v>2022.0</v>
      </c>
      <c r="F961" s="2" t="s">
        <v>10</v>
      </c>
      <c r="G961" s="2">
        <v>8020000.0</v>
      </c>
    </row>
    <row r="962" ht="14.25" customHeight="1">
      <c r="A962" s="1" t="s">
        <v>868</v>
      </c>
      <c r="B962" s="1" t="s">
        <v>8</v>
      </c>
      <c r="C962" s="2" t="s">
        <v>25</v>
      </c>
      <c r="D962" s="2">
        <v>8.3</v>
      </c>
      <c r="E962" s="2">
        <v>2022.0</v>
      </c>
      <c r="F962" s="2" t="s">
        <v>10</v>
      </c>
      <c r="G962" s="2">
        <v>1.109E7</v>
      </c>
    </row>
    <row r="963" ht="14.25" customHeight="1">
      <c r="A963" s="1" t="s">
        <v>868</v>
      </c>
      <c r="B963" s="1" t="s">
        <v>8</v>
      </c>
      <c r="C963" s="2" t="s">
        <v>25</v>
      </c>
      <c r="D963" s="2">
        <v>8.3</v>
      </c>
      <c r="E963" s="2">
        <v>2022.0</v>
      </c>
      <c r="F963" s="2" t="s">
        <v>10</v>
      </c>
      <c r="G963" s="2">
        <v>1.376E7</v>
      </c>
    </row>
    <row r="964" ht="14.25" customHeight="1">
      <c r="A964" s="1" t="s">
        <v>868</v>
      </c>
      <c r="B964" s="1" t="s">
        <v>8</v>
      </c>
      <c r="C964" s="2" t="s">
        <v>25</v>
      </c>
      <c r="D964" s="2">
        <v>8.3</v>
      </c>
      <c r="E964" s="2">
        <v>2022.0</v>
      </c>
      <c r="F964" s="2" t="s">
        <v>10</v>
      </c>
      <c r="G964" s="2">
        <v>1.488E7</v>
      </c>
    </row>
    <row r="965" ht="14.25" customHeight="1">
      <c r="A965" s="1" t="s">
        <v>869</v>
      </c>
      <c r="B965" s="1" t="s">
        <v>20</v>
      </c>
      <c r="C965" s="2" t="s">
        <v>184</v>
      </c>
      <c r="D965" s="2">
        <v>8.3</v>
      </c>
      <c r="E965" s="2">
        <v>1961.0</v>
      </c>
      <c r="F965" s="2" t="s">
        <v>10</v>
      </c>
      <c r="G965" s="2" t="s">
        <v>10</v>
      </c>
    </row>
    <row r="966" ht="14.25" customHeight="1">
      <c r="A966" s="1" t="s">
        <v>870</v>
      </c>
      <c r="B966" s="1" t="s">
        <v>8</v>
      </c>
      <c r="C966" s="2" t="s">
        <v>25</v>
      </c>
      <c r="D966" s="2">
        <v>8.3</v>
      </c>
      <c r="E966" s="2">
        <v>2017.0</v>
      </c>
      <c r="F966" s="2">
        <v>2021.0</v>
      </c>
      <c r="G966" s="2" t="s">
        <v>10</v>
      </c>
    </row>
    <row r="967" ht="14.25" customHeight="1">
      <c r="A967" s="1" t="s">
        <v>871</v>
      </c>
      <c r="B967" s="1" t="s">
        <v>20</v>
      </c>
      <c r="C967" s="2" t="s">
        <v>69</v>
      </c>
      <c r="D967" s="2">
        <v>8.3</v>
      </c>
      <c r="E967" s="2">
        <v>2022.0</v>
      </c>
      <c r="F967" s="2" t="s">
        <v>10</v>
      </c>
      <c r="G967" s="2" t="s">
        <v>10</v>
      </c>
    </row>
    <row r="968" ht="14.25" customHeight="1">
      <c r="A968" s="1" t="s">
        <v>872</v>
      </c>
      <c r="B968" s="1" t="s">
        <v>8</v>
      </c>
      <c r="C968" s="2" t="s">
        <v>873</v>
      </c>
      <c r="D968" s="2">
        <v>8.3</v>
      </c>
      <c r="E968" s="2">
        <v>2022.0</v>
      </c>
      <c r="F968" s="2" t="s">
        <v>10</v>
      </c>
      <c r="G968" s="2" t="s">
        <v>10</v>
      </c>
    </row>
    <row r="969" ht="14.25" customHeight="1">
      <c r="A969" s="1" t="s">
        <v>874</v>
      </c>
      <c r="B969" s="1" t="s">
        <v>20</v>
      </c>
      <c r="C969" s="2" t="s">
        <v>187</v>
      </c>
      <c r="D969" s="2">
        <v>8.3</v>
      </c>
      <c r="E969" s="2">
        <v>2019.0</v>
      </c>
      <c r="F969" s="2" t="s">
        <v>10</v>
      </c>
      <c r="G969" s="2" t="s">
        <v>10</v>
      </c>
    </row>
    <row r="970" ht="14.25" customHeight="1">
      <c r="A970" s="1" t="s">
        <v>875</v>
      </c>
      <c r="B970" s="1" t="s">
        <v>8</v>
      </c>
      <c r="C970" s="2" t="s">
        <v>151</v>
      </c>
      <c r="D970" s="2">
        <v>8.3</v>
      </c>
      <c r="E970" s="2">
        <v>2022.0</v>
      </c>
      <c r="F970" s="2" t="s">
        <v>10</v>
      </c>
      <c r="G970" s="2" t="s">
        <v>10</v>
      </c>
    </row>
    <row r="971" ht="14.25" customHeight="1">
      <c r="A971" s="1" t="s">
        <v>876</v>
      </c>
      <c r="B971" s="1" t="s">
        <v>8</v>
      </c>
      <c r="C971" s="2" t="s">
        <v>63</v>
      </c>
      <c r="D971" s="2">
        <v>8.3</v>
      </c>
      <c r="E971" s="2">
        <v>2005.0</v>
      </c>
      <c r="F971" s="2">
        <v>2006.0</v>
      </c>
      <c r="G971" s="2" t="s">
        <v>10</v>
      </c>
    </row>
    <row r="972" ht="14.25" customHeight="1">
      <c r="A972" s="1">
        <v>1923.0</v>
      </c>
      <c r="B972" s="1" t="s">
        <v>8</v>
      </c>
      <c r="C972" s="2" t="s">
        <v>249</v>
      </c>
      <c r="D972" s="2">
        <v>8.3</v>
      </c>
      <c r="E972" s="2">
        <v>2022.0</v>
      </c>
      <c r="F972" s="2" t="s">
        <v>10</v>
      </c>
      <c r="G972" s="2" t="s">
        <v>10</v>
      </c>
    </row>
    <row r="973" ht="14.25" customHeight="1">
      <c r="A973" s="1" t="s">
        <v>877</v>
      </c>
      <c r="B973" s="1" t="s">
        <v>8</v>
      </c>
      <c r="C973" s="2" t="s">
        <v>878</v>
      </c>
      <c r="D973" s="2">
        <v>8.3</v>
      </c>
      <c r="E973" s="2">
        <v>2010.0</v>
      </c>
      <c r="F973" s="2" t="s">
        <v>10</v>
      </c>
      <c r="G973" s="2" t="s">
        <v>10</v>
      </c>
    </row>
    <row r="974" ht="14.25" customHeight="1">
      <c r="A974" s="1" t="s">
        <v>573</v>
      </c>
      <c r="B974" s="1" t="s">
        <v>8</v>
      </c>
      <c r="C974" s="2" t="s">
        <v>879</v>
      </c>
      <c r="D974" s="2">
        <v>8.3</v>
      </c>
      <c r="E974" s="2">
        <v>2019.0</v>
      </c>
      <c r="F974" s="2">
        <v>2020.0</v>
      </c>
      <c r="G974" s="2">
        <v>3300000.0</v>
      </c>
    </row>
    <row r="975" ht="14.25" customHeight="1">
      <c r="A975" s="1" t="s">
        <v>573</v>
      </c>
      <c r="B975" s="1" t="s">
        <v>8</v>
      </c>
      <c r="C975" s="2" t="s">
        <v>879</v>
      </c>
      <c r="D975" s="2">
        <v>8.3</v>
      </c>
      <c r="E975" s="2">
        <v>2019.0</v>
      </c>
      <c r="F975" s="2">
        <v>2020.0</v>
      </c>
      <c r="G975" s="2">
        <v>6600000.0</v>
      </c>
    </row>
    <row r="976" ht="14.25" customHeight="1">
      <c r="A976" s="1" t="s">
        <v>880</v>
      </c>
      <c r="B976" s="1" t="s">
        <v>8</v>
      </c>
      <c r="C976" s="2" t="s">
        <v>249</v>
      </c>
      <c r="D976" s="2">
        <v>8.3</v>
      </c>
      <c r="E976" s="2">
        <v>2011.0</v>
      </c>
      <c r="F976" s="2">
        <v>2016.0</v>
      </c>
      <c r="G976" s="2" t="s">
        <v>10</v>
      </c>
    </row>
    <row r="977" ht="14.25" customHeight="1">
      <c r="A977" s="1" t="s">
        <v>881</v>
      </c>
      <c r="B977" s="1" t="s">
        <v>8</v>
      </c>
      <c r="C977" s="2" t="s">
        <v>882</v>
      </c>
      <c r="D977" s="2">
        <v>8.3</v>
      </c>
      <c r="E977" s="2">
        <v>2003.0</v>
      </c>
      <c r="F977" s="2" t="s">
        <v>10</v>
      </c>
      <c r="G977" s="2" t="s">
        <v>10</v>
      </c>
    </row>
    <row r="978" ht="14.25" customHeight="1">
      <c r="A978" s="1" t="s">
        <v>883</v>
      </c>
      <c r="B978" s="1" t="s">
        <v>8</v>
      </c>
      <c r="C978" s="2" t="s">
        <v>55</v>
      </c>
      <c r="D978" s="2">
        <v>8.3</v>
      </c>
      <c r="E978" s="2">
        <v>1999.0</v>
      </c>
      <c r="F978" s="2" t="s">
        <v>10</v>
      </c>
      <c r="G978" s="2" t="s">
        <v>10</v>
      </c>
    </row>
    <row r="979" ht="14.25" customHeight="1">
      <c r="A979" s="1" t="s">
        <v>884</v>
      </c>
      <c r="B979" s="1" t="s">
        <v>8</v>
      </c>
      <c r="C979" s="2" t="s">
        <v>258</v>
      </c>
      <c r="D979" s="2">
        <v>8.3</v>
      </c>
      <c r="E979" s="2">
        <v>2014.0</v>
      </c>
      <c r="F979" s="2">
        <v>2014.0</v>
      </c>
      <c r="G979" s="2" t="s">
        <v>10</v>
      </c>
    </row>
    <row r="980" ht="14.25" customHeight="1">
      <c r="A980" s="1" t="s">
        <v>885</v>
      </c>
      <c r="B980" s="1" t="s">
        <v>20</v>
      </c>
      <c r="C980" s="2" t="s">
        <v>134</v>
      </c>
      <c r="D980" s="2">
        <v>8.3</v>
      </c>
      <c r="E980" s="2">
        <v>2018.0</v>
      </c>
      <c r="F980" s="2" t="s">
        <v>10</v>
      </c>
      <c r="G980" s="2" t="s">
        <v>10</v>
      </c>
    </row>
    <row r="981" ht="14.25" customHeight="1">
      <c r="A981" s="1" t="s">
        <v>886</v>
      </c>
      <c r="B981" s="1" t="s">
        <v>8</v>
      </c>
      <c r="C981" s="2" t="s">
        <v>9</v>
      </c>
      <c r="D981" s="2">
        <v>8.3</v>
      </c>
      <c r="E981" s="2">
        <v>2023.0</v>
      </c>
      <c r="F981" s="2" t="s">
        <v>10</v>
      </c>
      <c r="G981" s="2" t="s">
        <v>10</v>
      </c>
    </row>
    <row r="982" ht="14.25" customHeight="1">
      <c r="A982" s="1" t="s">
        <v>887</v>
      </c>
      <c r="B982" s="1" t="s">
        <v>8</v>
      </c>
      <c r="C982" s="2" t="s">
        <v>173</v>
      </c>
      <c r="D982" s="2">
        <v>8.3</v>
      </c>
      <c r="E982" s="2">
        <v>1996.0</v>
      </c>
      <c r="F982" s="2" t="s">
        <v>10</v>
      </c>
      <c r="G982" s="2" t="s">
        <v>10</v>
      </c>
    </row>
    <row r="983" ht="14.25" customHeight="1">
      <c r="A983" s="1" t="s">
        <v>888</v>
      </c>
      <c r="B983" s="1" t="s">
        <v>8</v>
      </c>
      <c r="C983" s="2" t="s">
        <v>18</v>
      </c>
      <c r="D983" s="2">
        <v>8.3</v>
      </c>
      <c r="E983" s="2">
        <v>2016.0</v>
      </c>
      <c r="F983" s="2" t="s">
        <v>10</v>
      </c>
      <c r="G983" s="2" t="s">
        <v>10</v>
      </c>
    </row>
    <row r="984" ht="14.25" customHeight="1">
      <c r="A984" s="1" t="s">
        <v>889</v>
      </c>
      <c r="B984" s="1" t="s">
        <v>20</v>
      </c>
      <c r="C984" s="2" t="s">
        <v>356</v>
      </c>
      <c r="D984" s="2">
        <v>8.3</v>
      </c>
      <c r="E984" s="2">
        <v>2021.0</v>
      </c>
      <c r="F984" s="2" t="s">
        <v>10</v>
      </c>
      <c r="G984" s="2" t="s">
        <v>10</v>
      </c>
    </row>
    <row r="985" ht="14.25" customHeight="1">
      <c r="A985" s="1" t="s">
        <v>890</v>
      </c>
      <c r="B985" s="1" t="s">
        <v>8</v>
      </c>
      <c r="C985" s="2" t="s">
        <v>69</v>
      </c>
      <c r="D985" s="2">
        <v>8.3</v>
      </c>
      <c r="E985" s="2">
        <v>2014.0</v>
      </c>
      <c r="F985" s="2" t="s">
        <v>10</v>
      </c>
      <c r="G985" s="2" t="s">
        <v>10</v>
      </c>
    </row>
    <row r="986" ht="14.25" customHeight="1">
      <c r="A986" s="1" t="s">
        <v>891</v>
      </c>
      <c r="B986" s="1" t="s">
        <v>8</v>
      </c>
      <c r="C986" s="2" t="s">
        <v>203</v>
      </c>
      <c r="D986" s="2">
        <v>8.3</v>
      </c>
      <c r="E986" s="2">
        <v>2022.0</v>
      </c>
      <c r="F986" s="2" t="s">
        <v>10</v>
      </c>
      <c r="G986" s="2">
        <v>1200000.0</v>
      </c>
    </row>
    <row r="987" ht="14.25" customHeight="1">
      <c r="A987" s="1" t="s">
        <v>892</v>
      </c>
      <c r="B987" s="1" t="s">
        <v>20</v>
      </c>
      <c r="C987" s="2" t="s">
        <v>53</v>
      </c>
      <c r="D987" s="2">
        <v>8.3</v>
      </c>
      <c r="E987" s="2">
        <v>2013.0</v>
      </c>
      <c r="F987" s="2">
        <v>2015.0</v>
      </c>
      <c r="G987" s="2" t="s">
        <v>10</v>
      </c>
    </row>
    <row r="988" ht="14.25" customHeight="1">
      <c r="A988" s="1" t="s">
        <v>893</v>
      </c>
      <c r="B988" s="1" t="s">
        <v>8</v>
      </c>
      <c r="C988" s="2" t="s">
        <v>53</v>
      </c>
      <c r="D988" s="2">
        <v>8.3</v>
      </c>
      <c r="E988" s="2">
        <v>1971.0</v>
      </c>
      <c r="F988" s="2" t="s">
        <v>10</v>
      </c>
      <c r="G988" s="2" t="s">
        <v>10</v>
      </c>
    </row>
    <row r="989" ht="14.25" customHeight="1">
      <c r="A989" s="1" t="s">
        <v>894</v>
      </c>
      <c r="B989" s="1" t="s">
        <v>8</v>
      </c>
      <c r="C989" s="2" t="s">
        <v>895</v>
      </c>
      <c r="D989" s="2">
        <v>8.3</v>
      </c>
      <c r="E989" s="2">
        <v>2022.0</v>
      </c>
      <c r="F989" s="2" t="s">
        <v>10</v>
      </c>
      <c r="G989" s="2" t="s">
        <v>10</v>
      </c>
    </row>
    <row r="990" ht="14.25" customHeight="1">
      <c r="A990" s="1" t="s">
        <v>896</v>
      </c>
      <c r="B990" s="1" t="s">
        <v>8</v>
      </c>
      <c r="C990" s="2" t="s">
        <v>69</v>
      </c>
      <c r="D990" s="2">
        <v>8.3</v>
      </c>
      <c r="E990" s="2">
        <v>2012.0</v>
      </c>
      <c r="F990" s="2">
        <v>2017.0</v>
      </c>
      <c r="G990" s="2" t="s">
        <v>10</v>
      </c>
    </row>
    <row r="991" ht="14.25" customHeight="1">
      <c r="A991" s="1" t="s">
        <v>897</v>
      </c>
      <c r="B991" s="1" t="s">
        <v>8</v>
      </c>
      <c r="C991" s="2" t="s">
        <v>34</v>
      </c>
      <c r="D991" s="2">
        <v>8.3</v>
      </c>
      <c r="E991" s="2">
        <v>1999.0</v>
      </c>
      <c r="F991" s="2" t="s">
        <v>10</v>
      </c>
      <c r="G991" s="2" t="s">
        <v>10</v>
      </c>
    </row>
    <row r="992" ht="14.25" customHeight="1">
      <c r="A992" s="1" t="s">
        <v>898</v>
      </c>
      <c r="B992" s="1" t="s">
        <v>8</v>
      </c>
      <c r="C992" s="2" t="s">
        <v>611</v>
      </c>
      <c r="D992" s="2">
        <v>8.3</v>
      </c>
      <c r="E992" s="2">
        <v>2015.0</v>
      </c>
      <c r="F992" s="2">
        <v>2020.0</v>
      </c>
      <c r="G992" s="2">
        <v>1.921E7</v>
      </c>
    </row>
    <row r="993" ht="14.25" customHeight="1">
      <c r="A993" s="1" t="s">
        <v>898</v>
      </c>
      <c r="B993" s="1" t="s">
        <v>8</v>
      </c>
      <c r="C993" s="2" t="s">
        <v>611</v>
      </c>
      <c r="D993" s="2">
        <v>8.3</v>
      </c>
      <c r="E993" s="2">
        <v>2015.0</v>
      </c>
      <c r="F993" s="2">
        <v>2020.0</v>
      </c>
      <c r="G993" s="2">
        <v>1.205E7</v>
      </c>
    </row>
    <row r="994" ht="14.25" customHeight="1">
      <c r="A994" s="1" t="s">
        <v>899</v>
      </c>
      <c r="B994" s="1" t="s">
        <v>8</v>
      </c>
      <c r="C994" s="2" t="s">
        <v>25</v>
      </c>
      <c r="D994" s="2">
        <v>8.3</v>
      </c>
      <c r="E994" s="2">
        <v>2015.0</v>
      </c>
      <c r="F994" s="2" t="s">
        <v>10</v>
      </c>
      <c r="G994" s="2" t="s">
        <v>10</v>
      </c>
    </row>
    <row r="995" ht="14.25" customHeight="1">
      <c r="A995" s="1" t="s">
        <v>900</v>
      </c>
      <c r="B995" s="1" t="s">
        <v>8</v>
      </c>
      <c r="C995" s="2" t="s">
        <v>63</v>
      </c>
      <c r="D995" s="2">
        <v>8.3</v>
      </c>
      <c r="E995" s="2">
        <v>2010.0</v>
      </c>
      <c r="F995" s="2" t="s">
        <v>10</v>
      </c>
      <c r="G995" s="2" t="s">
        <v>10</v>
      </c>
    </row>
    <row r="996" ht="14.25" customHeight="1">
      <c r="A996" s="1" t="s">
        <v>901</v>
      </c>
      <c r="B996" s="1" t="s">
        <v>8</v>
      </c>
      <c r="C996" s="2" t="s">
        <v>154</v>
      </c>
      <c r="D996" s="2">
        <v>8.3</v>
      </c>
      <c r="E996" s="2">
        <v>2015.0</v>
      </c>
      <c r="F996" s="2" t="s">
        <v>10</v>
      </c>
      <c r="G996" s="2" t="s">
        <v>10</v>
      </c>
    </row>
    <row r="997" ht="14.25" customHeight="1">
      <c r="A997" s="1" t="s">
        <v>902</v>
      </c>
      <c r="B997" s="1" t="s">
        <v>8</v>
      </c>
      <c r="C997" s="2" t="s">
        <v>756</v>
      </c>
      <c r="D997" s="2">
        <v>8.3</v>
      </c>
      <c r="E997" s="2">
        <v>2019.0</v>
      </c>
      <c r="F997" s="2" t="s">
        <v>10</v>
      </c>
      <c r="G997" s="2" t="s">
        <v>10</v>
      </c>
    </row>
    <row r="998" ht="14.25" customHeight="1">
      <c r="A998" s="1" t="s">
        <v>64</v>
      </c>
      <c r="B998" s="1" t="s">
        <v>8</v>
      </c>
      <c r="C998" s="2" t="s">
        <v>53</v>
      </c>
      <c r="D998" s="2">
        <v>8.3</v>
      </c>
      <c r="E998" s="2">
        <v>2007.0</v>
      </c>
      <c r="F998" s="2">
        <v>2018.0</v>
      </c>
      <c r="G998" s="2" t="s">
        <v>10</v>
      </c>
    </row>
    <row r="999" ht="14.25" customHeight="1">
      <c r="A999" s="1" t="s">
        <v>903</v>
      </c>
      <c r="B999" s="1" t="s">
        <v>8</v>
      </c>
      <c r="C999" s="2" t="s">
        <v>904</v>
      </c>
      <c r="D999" s="2">
        <v>8.3</v>
      </c>
      <c r="E999" s="2">
        <v>2010.0</v>
      </c>
      <c r="F999" s="2" t="s">
        <v>10</v>
      </c>
      <c r="G999" s="2" t="s">
        <v>10</v>
      </c>
    </row>
    <row r="1000" ht="14.25" customHeight="1">
      <c r="A1000" s="1" t="s">
        <v>905</v>
      </c>
      <c r="B1000" s="1" t="s">
        <v>8</v>
      </c>
      <c r="C1000" s="2" t="s">
        <v>838</v>
      </c>
      <c r="D1000" s="2">
        <v>8.3</v>
      </c>
      <c r="E1000" s="2">
        <v>2019.0</v>
      </c>
      <c r="F1000" s="2" t="s">
        <v>10</v>
      </c>
      <c r="G1000" s="2" t="s">
        <v>10</v>
      </c>
    </row>
    <row r="1001" ht="14.25" customHeight="1">
      <c r="A1001" s="1" t="s">
        <v>906</v>
      </c>
      <c r="B1001" s="1" t="s">
        <v>8</v>
      </c>
      <c r="C1001" s="2" t="s">
        <v>25</v>
      </c>
      <c r="D1001" s="2">
        <v>8.3</v>
      </c>
      <c r="E1001" s="2">
        <v>2024.0</v>
      </c>
      <c r="F1001" s="2" t="s">
        <v>10</v>
      </c>
      <c r="G1001" s="2" t="s">
        <v>10</v>
      </c>
    </row>
    <row r="1002" ht="14.25" customHeight="1">
      <c r="A1002" s="1" t="s">
        <v>907</v>
      </c>
      <c r="B1002" s="1" t="s">
        <v>8</v>
      </c>
      <c r="C1002" s="2" t="s">
        <v>36</v>
      </c>
      <c r="D1002" s="2">
        <v>8.3</v>
      </c>
      <c r="E1002" s="2">
        <v>2017.0</v>
      </c>
      <c r="F1002" s="2" t="s">
        <v>10</v>
      </c>
      <c r="G1002" s="2" t="s">
        <v>10</v>
      </c>
    </row>
    <row r="1003" ht="14.25" customHeight="1">
      <c r="A1003" s="1" t="s">
        <v>908</v>
      </c>
      <c r="B1003" s="1" t="s">
        <v>8</v>
      </c>
      <c r="C1003" s="2" t="s">
        <v>530</v>
      </c>
      <c r="D1003" s="2">
        <v>8.3</v>
      </c>
      <c r="E1003" s="2">
        <v>2019.0</v>
      </c>
      <c r="F1003" s="2" t="s">
        <v>10</v>
      </c>
      <c r="G1003" s="2" t="s">
        <v>10</v>
      </c>
    </row>
    <row r="1004" ht="14.25" customHeight="1">
      <c r="A1004" s="1" t="s">
        <v>909</v>
      </c>
      <c r="B1004" s="1" t="s">
        <v>8</v>
      </c>
      <c r="C1004" s="2" t="s">
        <v>910</v>
      </c>
      <c r="D1004" s="2">
        <v>8.3</v>
      </c>
      <c r="E1004" s="2">
        <v>2022.0</v>
      </c>
      <c r="F1004" s="2" t="s">
        <v>10</v>
      </c>
      <c r="G1004" s="2" t="s">
        <v>10</v>
      </c>
    </row>
    <row r="1005" ht="14.25" customHeight="1">
      <c r="A1005" s="1" t="s">
        <v>911</v>
      </c>
      <c r="B1005" s="1" t="s">
        <v>8</v>
      </c>
      <c r="C1005" s="2" t="s">
        <v>25</v>
      </c>
      <c r="D1005" s="2">
        <v>8.3</v>
      </c>
      <c r="E1005" s="2">
        <v>2018.0</v>
      </c>
      <c r="F1005" s="2">
        <v>2019.0</v>
      </c>
      <c r="G1005" s="2" t="s">
        <v>10</v>
      </c>
    </row>
    <row r="1006" ht="14.25" customHeight="1">
      <c r="A1006" s="1" t="s">
        <v>912</v>
      </c>
      <c r="B1006" s="1" t="s">
        <v>8</v>
      </c>
      <c r="C1006" s="2" t="s">
        <v>187</v>
      </c>
      <c r="D1006" s="2">
        <v>8.3</v>
      </c>
      <c r="E1006" s="2">
        <v>2018.0</v>
      </c>
      <c r="F1006" s="2">
        <v>2018.0</v>
      </c>
      <c r="G1006" s="2" t="s">
        <v>10</v>
      </c>
    </row>
    <row r="1007" ht="14.25" customHeight="1">
      <c r="A1007" s="1" t="s">
        <v>913</v>
      </c>
      <c r="B1007" s="1" t="s">
        <v>20</v>
      </c>
      <c r="C1007" s="2" t="s">
        <v>12</v>
      </c>
      <c r="D1007" s="2">
        <v>8.3</v>
      </c>
      <c r="E1007" s="2">
        <v>1929.0</v>
      </c>
      <c r="F1007" s="2" t="s">
        <v>10</v>
      </c>
      <c r="G1007" s="2" t="s">
        <v>10</v>
      </c>
    </row>
    <row r="1008" ht="14.25" customHeight="1">
      <c r="A1008" s="1" t="s">
        <v>914</v>
      </c>
      <c r="B1008" s="1" t="s">
        <v>20</v>
      </c>
      <c r="C1008" s="2" t="s">
        <v>915</v>
      </c>
      <c r="D1008" s="2">
        <v>8.3</v>
      </c>
      <c r="E1008" s="2">
        <v>1994.0</v>
      </c>
      <c r="F1008" s="2" t="s">
        <v>10</v>
      </c>
      <c r="G1008" s="2" t="s">
        <v>10</v>
      </c>
    </row>
    <row r="1009" ht="14.25" customHeight="1">
      <c r="A1009" s="1" t="s">
        <v>916</v>
      </c>
      <c r="B1009" s="1" t="s">
        <v>8</v>
      </c>
      <c r="C1009" s="2" t="s">
        <v>63</v>
      </c>
      <c r="D1009" s="2">
        <v>8.3</v>
      </c>
      <c r="E1009" s="2">
        <v>2004.0</v>
      </c>
      <c r="F1009" s="2" t="s">
        <v>10</v>
      </c>
      <c r="G1009" s="2" t="s">
        <v>10</v>
      </c>
    </row>
    <row r="1010" ht="14.25" customHeight="1">
      <c r="A1010" s="1" t="s">
        <v>917</v>
      </c>
      <c r="B1010" s="1" t="s">
        <v>8</v>
      </c>
      <c r="C1010" s="2" t="s">
        <v>18</v>
      </c>
      <c r="D1010" s="2">
        <v>8.3</v>
      </c>
      <c r="E1010" s="2">
        <v>2013.0</v>
      </c>
      <c r="F1010" s="2">
        <v>2016.0</v>
      </c>
      <c r="G1010" s="2" t="s">
        <v>10</v>
      </c>
    </row>
    <row r="1011" ht="14.25" customHeight="1">
      <c r="A1011" s="1" t="s">
        <v>918</v>
      </c>
      <c r="B1011" s="1" t="s">
        <v>8</v>
      </c>
      <c r="C1011" s="2" t="s">
        <v>169</v>
      </c>
      <c r="D1011" s="2">
        <v>8.3</v>
      </c>
      <c r="E1011" s="2">
        <v>2017.0</v>
      </c>
      <c r="F1011" s="2" t="s">
        <v>10</v>
      </c>
      <c r="G1011" s="2" t="s">
        <v>10</v>
      </c>
    </row>
    <row r="1012" ht="14.25" customHeight="1">
      <c r="A1012" s="1" t="s">
        <v>919</v>
      </c>
      <c r="B1012" s="1" t="s">
        <v>8</v>
      </c>
      <c r="C1012" s="2" t="s">
        <v>53</v>
      </c>
      <c r="D1012" s="2">
        <v>8.3</v>
      </c>
      <c r="E1012" s="2">
        <v>2013.0</v>
      </c>
      <c r="F1012" s="2" t="s">
        <v>10</v>
      </c>
      <c r="G1012" s="2" t="s">
        <v>10</v>
      </c>
    </row>
    <row r="1013" ht="14.25" customHeight="1">
      <c r="A1013" s="1" t="s">
        <v>920</v>
      </c>
      <c r="B1013" s="1" t="s">
        <v>20</v>
      </c>
      <c r="C1013" s="2" t="s">
        <v>87</v>
      </c>
      <c r="D1013" s="2">
        <v>8.3</v>
      </c>
      <c r="E1013" s="2">
        <v>2018.0</v>
      </c>
      <c r="F1013" s="2" t="s">
        <v>10</v>
      </c>
      <c r="G1013" s="2" t="s">
        <v>10</v>
      </c>
    </row>
    <row r="1014" ht="14.25" customHeight="1">
      <c r="A1014" s="1" t="s">
        <v>921</v>
      </c>
      <c r="B1014" s="1" t="s">
        <v>8</v>
      </c>
      <c r="C1014" s="2" t="s">
        <v>18</v>
      </c>
      <c r="D1014" s="2">
        <v>8.3</v>
      </c>
      <c r="E1014" s="2">
        <v>2014.0</v>
      </c>
      <c r="F1014" s="2" t="s">
        <v>10</v>
      </c>
      <c r="G1014" s="2" t="s">
        <v>10</v>
      </c>
    </row>
    <row r="1015" ht="14.25" customHeight="1">
      <c r="A1015" s="1" t="s">
        <v>922</v>
      </c>
      <c r="B1015" s="1" t="s">
        <v>8</v>
      </c>
      <c r="C1015" s="2" t="s">
        <v>32</v>
      </c>
      <c r="D1015" s="2">
        <v>8.3</v>
      </c>
      <c r="E1015" s="2">
        <v>2012.0</v>
      </c>
      <c r="F1015" s="2" t="s">
        <v>10</v>
      </c>
      <c r="G1015" s="2" t="s">
        <v>10</v>
      </c>
    </row>
    <row r="1016" ht="14.25" customHeight="1">
      <c r="A1016" s="1" t="s">
        <v>923</v>
      </c>
      <c r="B1016" s="1" t="s">
        <v>8</v>
      </c>
      <c r="C1016" s="2" t="s">
        <v>527</v>
      </c>
      <c r="D1016" s="2">
        <v>8.3</v>
      </c>
      <c r="E1016" s="2">
        <v>2021.0</v>
      </c>
      <c r="F1016" s="2" t="s">
        <v>10</v>
      </c>
      <c r="G1016" s="2" t="s">
        <v>10</v>
      </c>
    </row>
    <row r="1017" ht="14.25" customHeight="1">
      <c r="A1017" s="1" t="s">
        <v>924</v>
      </c>
      <c r="B1017" s="1" t="s">
        <v>8</v>
      </c>
      <c r="C1017" s="2" t="s">
        <v>25</v>
      </c>
      <c r="D1017" s="2">
        <v>8.3</v>
      </c>
      <c r="E1017" s="2">
        <v>2009.0</v>
      </c>
      <c r="F1017" s="2" t="s">
        <v>10</v>
      </c>
      <c r="G1017" s="2" t="s">
        <v>10</v>
      </c>
    </row>
    <row r="1018" ht="14.25" customHeight="1">
      <c r="A1018" s="1" t="s">
        <v>925</v>
      </c>
      <c r="B1018" s="1" t="s">
        <v>8</v>
      </c>
      <c r="C1018" s="2" t="s">
        <v>63</v>
      </c>
      <c r="D1018" s="2">
        <v>8.3</v>
      </c>
      <c r="E1018" s="2">
        <v>2006.0</v>
      </c>
      <c r="F1018" s="2" t="s">
        <v>10</v>
      </c>
      <c r="G1018" s="2" t="s">
        <v>10</v>
      </c>
    </row>
    <row r="1019" ht="14.25" customHeight="1">
      <c r="A1019" s="1" t="s">
        <v>926</v>
      </c>
      <c r="B1019" s="1" t="s">
        <v>8</v>
      </c>
      <c r="C1019" s="2" t="s">
        <v>25</v>
      </c>
      <c r="D1019" s="2">
        <v>8.3</v>
      </c>
      <c r="E1019" s="2">
        <v>2021.0</v>
      </c>
      <c r="F1019" s="2" t="s">
        <v>10</v>
      </c>
      <c r="G1019" s="2" t="s">
        <v>10</v>
      </c>
    </row>
    <row r="1020" ht="14.25" customHeight="1">
      <c r="A1020" s="1" t="s">
        <v>927</v>
      </c>
      <c r="B1020" s="1" t="s">
        <v>20</v>
      </c>
      <c r="C1020" s="2" t="s">
        <v>187</v>
      </c>
      <c r="D1020" s="2">
        <v>8.3</v>
      </c>
      <c r="E1020" s="2">
        <v>2015.0</v>
      </c>
      <c r="F1020" s="2" t="s">
        <v>10</v>
      </c>
      <c r="G1020" s="2" t="s">
        <v>10</v>
      </c>
    </row>
    <row r="1021" ht="14.25" customHeight="1">
      <c r="A1021" s="1" t="s">
        <v>928</v>
      </c>
      <c r="B1021" s="1" t="s">
        <v>20</v>
      </c>
      <c r="C1021" s="2" t="s">
        <v>187</v>
      </c>
      <c r="D1021" s="2">
        <v>8.3</v>
      </c>
      <c r="E1021" s="2">
        <v>2014.0</v>
      </c>
      <c r="F1021" s="2" t="s">
        <v>10</v>
      </c>
      <c r="G1021" s="2" t="s">
        <v>10</v>
      </c>
    </row>
    <row r="1022" ht="14.25" customHeight="1">
      <c r="A1022" s="1" t="s">
        <v>929</v>
      </c>
      <c r="B1022" s="1" t="s">
        <v>8</v>
      </c>
      <c r="C1022" s="2" t="s">
        <v>154</v>
      </c>
      <c r="D1022" s="2">
        <v>8.3</v>
      </c>
      <c r="E1022" s="2">
        <v>2006.0</v>
      </c>
      <c r="F1022" s="2" t="s">
        <v>10</v>
      </c>
      <c r="G1022" s="2" t="s">
        <v>10</v>
      </c>
    </row>
    <row r="1023" ht="14.25" customHeight="1">
      <c r="A1023" s="1" t="s">
        <v>930</v>
      </c>
      <c r="B1023" s="1" t="s">
        <v>8</v>
      </c>
      <c r="C1023" s="2" t="s">
        <v>187</v>
      </c>
      <c r="D1023" s="2">
        <v>8.3</v>
      </c>
      <c r="E1023" s="2">
        <v>2021.0</v>
      </c>
      <c r="F1023" s="2">
        <v>2021.0</v>
      </c>
      <c r="G1023" s="2">
        <v>7520000.0</v>
      </c>
    </row>
    <row r="1024" ht="14.25" customHeight="1">
      <c r="A1024" s="1" t="s">
        <v>930</v>
      </c>
      <c r="B1024" s="1" t="s">
        <v>8</v>
      </c>
      <c r="C1024" s="2" t="s">
        <v>187</v>
      </c>
      <c r="D1024" s="2">
        <v>8.3</v>
      </c>
      <c r="E1024" s="2">
        <v>2021.0</v>
      </c>
      <c r="F1024" s="2">
        <v>2021.0</v>
      </c>
      <c r="G1024" s="2">
        <v>9680000.0</v>
      </c>
    </row>
    <row r="1025" ht="14.25" customHeight="1">
      <c r="A1025" s="1" t="s">
        <v>930</v>
      </c>
      <c r="B1025" s="1" t="s">
        <v>8</v>
      </c>
      <c r="C1025" s="2" t="s">
        <v>187</v>
      </c>
      <c r="D1025" s="2">
        <v>8.3</v>
      </c>
      <c r="E1025" s="2">
        <v>2021.0</v>
      </c>
      <c r="F1025" s="2">
        <v>2021.0</v>
      </c>
      <c r="G1025" s="2">
        <v>1.156E7</v>
      </c>
    </row>
    <row r="1026" ht="14.25" customHeight="1">
      <c r="A1026" s="1" t="s">
        <v>930</v>
      </c>
      <c r="B1026" s="1" t="s">
        <v>8</v>
      </c>
      <c r="C1026" s="2" t="s">
        <v>187</v>
      </c>
      <c r="D1026" s="2">
        <v>8.3</v>
      </c>
      <c r="E1026" s="2">
        <v>2021.0</v>
      </c>
      <c r="F1026" s="2">
        <v>2021.0</v>
      </c>
      <c r="G1026" s="2">
        <v>1.331E7</v>
      </c>
    </row>
    <row r="1027" ht="14.25" customHeight="1">
      <c r="A1027" s="1" t="s">
        <v>930</v>
      </c>
      <c r="B1027" s="1" t="s">
        <v>8</v>
      </c>
      <c r="C1027" s="2" t="s">
        <v>187</v>
      </c>
      <c r="D1027" s="2">
        <v>8.3</v>
      </c>
      <c r="E1027" s="2">
        <v>2021.0</v>
      </c>
      <c r="F1027" s="2">
        <v>2021.0</v>
      </c>
      <c r="G1027" s="2">
        <v>1.315E7</v>
      </c>
    </row>
    <row r="1028" ht="14.25" customHeight="1">
      <c r="A1028" s="1" t="s">
        <v>930</v>
      </c>
      <c r="B1028" s="1" t="s">
        <v>8</v>
      </c>
      <c r="C1028" s="2" t="s">
        <v>187</v>
      </c>
      <c r="D1028" s="2">
        <v>8.3</v>
      </c>
      <c r="E1028" s="2">
        <v>2021.0</v>
      </c>
      <c r="F1028" s="2">
        <v>2021.0</v>
      </c>
      <c r="G1028" s="2">
        <v>1.382E7</v>
      </c>
    </row>
    <row r="1029" ht="14.25" customHeight="1">
      <c r="A1029" s="1" t="s">
        <v>930</v>
      </c>
      <c r="B1029" s="1" t="s">
        <v>8</v>
      </c>
      <c r="C1029" s="2" t="s">
        <v>187</v>
      </c>
      <c r="D1029" s="2">
        <v>8.3</v>
      </c>
      <c r="E1029" s="2">
        <v>2021.0</v>
      </c>
      <c r="F1029" s="2">
        <v>2021.0</v>
      </c>
      <c r="G1029" s="2">
        <v>1.601E7</v>
      </c>
    </row>
    <row r="1030" ht="14.25" customHeight="1">
      <c r="A1030" s="1" t="s">
        <v>930</v>
      </c>
      <c r="B1030" s="1" t="s">
        <v>8</v>
      </c>
      <c r="C1030" s="2" t="s">
        <v>187</v>
      </c>
      <c r="D1030" s="2">
        <v>8.3</v>
      </c>
      <c r="E1030" s="2">
        <v>2021.0</v>
      </c>
      <c r="F1030" s="2">
        <v>2021.0</v>
      </c>
      <c r="G1030" s="2">
        <v>1.829E7</v>
      </c>
    </row>
    <row r="1031" ht="14.25" customHeight="1">
      <c r="A1031" s="1" t="s">
        <v>930</v>
      </c>
      <c r="B1031" s="1" t="s">
        <v>8</v>
      </c>
      <c r="C1031" s="2" t="s">
        <v>187</v>
      </c>
      <c r="D1031" s="2">
        <v>8.3</v>
      </c>
      <c r="E1031" s="2">
        <v>2021.0</v>
      </c>
      <c r="F1031" s="2">
        <v>2021.0</v>
      </c>
      <c r="G1031" s="2">
        <v>3.184E7</v>
      </c>
    </row>
    <row r="1032" ht="14.25" customHeight="1">
      <c r="A1032" s="1" t="s">
        <v>930</v>
      </c>
      <c r="B1032" s="1" t="s">
        <v>8</v>
      </c>
      <c r="C1032" s="2" t="s">
        <v>187</v>
      </c>
      <c r="D1032" s="2">
        <v>8.3</v>
      </c>
      <c r="E1032" s="2">
        <v>2021.0</v>
      </c>
      <c r="F1032" s="2">
        <v>2021.0</v>
      </c>
      <c r="G1032" s="2">
        <v>3.774E7</v>
      </c>
    </row>
    <row r="1033" ht="14.25" customHeight="1">
      <c r="A1033" s="1" t="s">
        <v>930</v>
      </c>
      <c r="B1033" s="1" t="s">
        <v>8</v>
      </c>
      <c r="C1033" s="2" t="s">
        <v>187</v>
      </c>
      <c r="D1033" s="2">
        <v>8.3</v>
      </c>
      <c r="E1033" s="2">
        <v>2021.0</v>
      </c>
      <c r="F1033" s="2">
        <v>2021.0</v>
      </c>
      <c r="G1033" s="2">
        <v>3.289E7</v>
      </c>
    </row>
    <row r="1034" ht="14.25" customHeight="1">
      <c r="A1034" s="1" t="s">
        <v>930</v>
      </c>
      <c r="B1034" s="1" t="s">
        <v>8</v>
      </c>
      <c r="C1034" s="2" t="s">
        <v>187</v>
      </c>
      <c r="D1034" s="2">
        <v>8.3</v>
      </c>
      <c r="E1034" s="2">
        <v>2021.0</v>
      </c>
      <c r="F1034" s="2">
        <v>2021.0</v>
      </c>
      <c r="G1034" s="2">
        <v>2.833E7</v>
      </c>
    </row>
    <row r="1035" ht="14.25" customHeight="1">
      <c r="A1035" s="1" t="s">
        <v>930</v>
      </c>
      <c r="B1035" s="1" t="s">
        <v>8</v>
      </c>
      <c r="C1035" s="2" t="s">
        <v>187</v>
      </c>
      <c r="D1035" s="2">
        <v>8.3</v>
      </c>
      <c r="E1035" s="2">
        <v>2021.0</v>
      </c>
      <c r="F1035" s="2">
        <v>2021.0</v>
      </c>
      <c r="G1035" s="2">
        <v>2.336E7</v>
      </c>
    </row>
    <row r="1036" ht="14.25" customHeight="1">
      <c r="A1036" s="1" t="s">
        <v>930</v>
      </c>
      <c r="B1036" s="1" t="s">
        <v>8</v>
      </c>
      <c r="C1036" s="2" t="s">
        <v>187</v>
      </c>
      <c r="D1036" s="2">
        <v>8.3</v>
      </c>
      <c r="E1036" s="2">
        <v>2021.0</v>
      </c>
      <c r="F1036" s="2">
        <v>2021.0</v>
      </c>
      <c r="G1036" s="2">
        <v>1.858E7</v>
      </c>
    </row>
    <row r="1037" ht="14.25" customHeight="1">
      <c r="A1037" s="1" t="s">
        <v>930</v>
      </c>
      <c r="B1037" s="1" t="s">
        <v>8</v>
      </c>
      <c r="C1037" s="2" t="s">
        <v>187</v>
      </c>
      <c r="D1037" s="2">
        <v>8.3</v>
      </c>
      <c r="E1037" s="2">
        <v>2021.0</v>
      </c>
      <c r="F1037" s="2">
        <v>2021.0</v>
      </c>
      <c r="G1037" s="2">
        <v>1.487E7</v>
      </c>
    </row>
    <row r="1038" ht="14.25" customHeight="1">
      <c r="A1038" s="1" t="s">
        <v>930</v>
      </c>
      <c r="B1038" s="1" t="s">
        <v>8</v>
      </c>
      <c r="C1038" s="2" t="s">
        <v>187</v>
      </c>
      <c r="D1038" s="2">
        <v>8.3</v>
      </c>
      <c r="E1038" s="2">
        <v>2021.0</v>
      </c>
      <c r="F1038" s="2">
        <v>2021.0</v>
      </c>
      <c r="G1038" s="2">
        <v>9630000.0</v>
      </c>
    </row>
    <row r="1039" ht="14.25" customHeight="1">
      <c r="A1039" s="1" t="s">
        <v>931</v>
      </c>
      <c r="B1039" s="1" t="s">
        <v>20</v>
      </c>
      <c r="C1039" s="2" t="s">
        <v>69</v>
      </c>
      <c r="D1039" s="2">
        <v>8.3</v>
      </c>
      <c r="E1039" s="2">
        <v>2005.0</v>
      </c>
      <c r="F1039" s="2" t="s">
        <v>10</v>
      </c>
      <c r="G1039" s="2" t="s">
        <v>10</v>
      </c>
    </row>
    <row r="1040" ht="14.25" customHeight="1">
      <c r="A1040" s="1" t="s">
        <v>932</v>
      </c>
      <c r="B1040" s="1" t="s">
        <v>8</v>
      </c>
      <c r="C1040" s="2" t="s">
        <v>25</v>
      </c>
      <c r="D1040" s="2">
        <v>8.3</v>
      </c>
      <c r="E1040" s="2">
        <v>2007.0</v>
      </c>
      <c r="F1040" s="2">
        <v>2007.0</v>
      </c>
      <c r="G1040" s="2" t="s">
        <v>10</v>
      </c>
    </row>
    <row r="1041" ht="14.25" customHeight="1">
      <c r="A1041" s="1" t="s">
        <v>933</v>
      </c>
      <c r="B1041" s="1" t="s">
        <v>8</v>
      </c>
      <c r="C1041" s="2" t="s">
        <v>524</v>
      </c>
      <c r="D1041" s="2">
        <v>8.3</v>
      </c>
      <c r="E1041" s="2">
        <v>2022.0</v>
      </c>
      <c r="F1041" s="2" t="s">
        <v>10</v>
      </c>
      <c r="G1041" s="2" t="s">
        <v>10</v>
      </c>
    </row>
    <row r="1042" ht="14.25" customHeight="1">
      <c r="A1042" s="1" t="s">
        <v>934</v>
      </c>
      <c r="B1042" s="1" t="s">
        <v>8</v>
      </c>
      <c r="C1042" s="2" t="s">
        <v>935</v>
      </c>
      <c r="D1042" s="2">
        <v>8.3</v>
      </c>
      <c r="E1042" s="2">
        <v>2006.0</v>
      </c>
      <c r="F1042" s="2" t="s">
        <v>10</v>
      </c>
      <c r="G1042" s="2" t="s">
        <v>10</v>
      </c>
    </row>
    <row r="1043" ht="14.25" customHeight="1">
      <c r="A1043" s="1" t="s">
        <v>936</v>
      </c>
      <c r="B1043" s="1" t="s">
        <v>20</v>
      </c>
      <c r="C1043" s="2" t="s">
        <v>18</v>
      </c>
      <c r="D1043" s="2">
        <v>8.3</v>
      </c>
      <c r="E1043" s="2">
        <v>1965.0</v>
      </c>
      <c r="F1043" s="2" t="s">
        <v>10</v>
      </c>
      <c r="G1043" s="2" t="s">
        <v>10</v>
      </c>
    </row>
    <row r="1044" ht="14.25" customHeight="1">
      <c r="A1044" s="1" t="s">
        <v>937</v>
      </c>
      <c r="B1044" s="1" t="s">
        <v>20</v>
      </c>
      <c r="C1044" s="2" t="s">
        <v>154</v>
      </c>
      <c r="D1044" s="2">
        <v>8.3</v>
      </c>
      <c r="E1044" s="2">
        <v>1945.0</v>
      </c>
      <c r="F1044" s="2" t="s">
        <v>10</v>
      </c>
      <c r="G1044" s="2" t="s">
        <v>10</v>
      </c>
    </row>
    <row r="1045" ht="14.25" customHeight="1">
      <c r="A1045" s="1" t="s">
        <v>938</v>
      </c>
      <c r="B1045" s="1" t="s">
        <v>20</v>
      </c>
      <c r="C1045" s="2" t="s">
        <v>939</v>
      </c>
      <c r="D1045" s="2">
        <v>8.3</v>
      </c>
      <c r="E1045" s="2">
        <v>2021.0</v>
      </c>
      <c r="F1045" s="2" t="s">
        <v>10</v>
      </c>
      <c r="G1045" s="2" t="s">
        <v>10</v>
      </c>
    </row>
    <row r="1046" ht="14.25" customHeight="1">
      <c r="A1046" s="1" t="s">
        <v>940</v>
      </c>
      <c r="B1046" s="1" t="s">
        <v>20</v>
      </c>
      <c r="C1046" s="2" t="s">
        <v>184</v>
      </c>
      <c r="D1046" s="2">
        <v>8.3</v>
      </c>
      <c r="E1046" s="2">
        <v>1994.0</v>
      </c>
      <c r="F1046" s="2" t="s">
        <v>10</v>
      </c>
      <c r="G1046" s="2" t="s">
        <v>10</v>
      </c>
    </row>
    <row r="1047" ht="14.25" customHeight="1">
      <c r="A1047" s="1" t="s">
        <v>941</v>
      </c>
      <c r="B1047" s="1" t="s">
        <v>20</v>
      </c>
      <c r="C1047" s="2" t="s">
        <v>49</v>
      </c>
      <c r="D1047" s="2">
        <v>8.3</v>
      </c>
      <c r="E1047" s="2">
        <v>2015.0</v>
      </c>
      <c r="F1047" s="2">
        <v>2015.0</v>
      </c>
      <c r="G1047" s="2" t="s">
        <v>10</v>
      </c>
    </row>
    <row r="1048" ht="14.25" customHeight="1">
      <c r="A1048" s="1" t="s">
        <v>942</v>
      </c>
      <c r="B1048" s="1" t="s">
        <v>8</v>
      </c>
      <c r="C1048" s="2" t="s">
        <v>32</v>
      </c>
      <c r="D1048" s="2">
        <v>8.3</v>
      </c>
      <c r="E1048" s="2">
        <v>2018.0</v>
      </c>
      <c r="F1048" s="2" t="s">
        <v>10</v>
      </c>
      <c r="G1048" s="2" t="s">
        <v>10</v>
      </c>
    </row>
    <row r="1049" ht="14.25" customHeight="1">
      <c r="A1049" s="1" t="s">
        <v>943</v>
      </c>
      <c r="B1049" s="1" t="s">
        <v>8</v>
      </c>
      <c r="C1049" s="2" t="s">
        <v>53</v>
      </c>
      <c r="D1049" s="2">
        <v>8.3</v>
      </c>
      <c r="E1049" s="2">
        <v>2017.0</v>
      </c>
      <c r="F1049" s="2" t="s">
        <v>10</v>
      </c>
      <c r="G1049" s="2" t="s">
        <v>10</v>
      </c>
    </row>
    <row r="1050" ht="14.25" customHeight="1">
      <c r="A1050" s="1" t="s">
        <v>944</v>
      </c>
      <c r="B1050" s="1" t="s">
        <v>8</v>
      </c>
      <c r="C1050" s="2" t="s">
        <v>945</v>
      </c>
      <c r="D1050" s="2">
        <v>8.3</v>
      </c>
      <c r="E1050" s="2">
        <v>2019.0</v>
      </c>
      <c r="F1050" s="2" t="s">
        <v>10</v>
      </c>
      <c r="G1050" s="2" t="s">
        <v>10</v>
      </c>
    </row>
    <row r="1051" ht="14.25" customHeight="1">
      <c r="A1051" s="1" t="s">
        <v>946</v>
      </c>
      <c r="B1051" s="1" t="s">
        <v>20</v>
      </c>
      <c r="C1051" s="2" t="s">
        <v>461</v>
      </c>
      <c r="D1051" s="2">
        <v>8.3</v>
      </c>
      <c r="E1051" s="2">
        <v>1957.0</v>
      </c>
      <c r="F1051" s="2" t="s">
        <v>10</v>
      </c>
      <c r="G1051" s="2" t="s">
        <v>10</v>
      </c>
    </row>
    <row r="1052" ht="14.25" customHeight="1">
      <c r="A1052" s="1" t="s">
        <v>947</v>
      </c>
      <c r="B1052" s="1" t="s">
        <v>8</v>
      </c>
      <c r="C1052" s="2" t="s">
        <v>25</v>
      </c>
      <c r="D1052" s="2">
        <v>8.3</v>
      </c>
      <c r="E1052" s="2">
        <v>1991.0</v>
      </c>
      <c r="F1052" s="2">
        <v>2011.0</v>
      </c>
      <c r="G1052" s="2" t="s">
        <v>10</v>
      </c>
    </row>
    <row r="1053" ht="14.25" customHeight="1">
      <c r="A1053" s="1" t="s">
        <v>948</v>
      </c>
      <c r="B1053" s="1" t="s">
        <v>8</v>
      </c>
      <c r="C1053" s="2" t="s">
        <v>63</v>
      </c>
      <c r="D1053" s="2">
        <v>8.3</v>
      </c>
      <c r="E1053" s="2">
        <v>2020.0</v>
      </c>
      <c r="F1053" s="2" t="s">
        <v>10</v>
      </c>
      <c r="G1053" s="2" t="s">
        <v>10</v>
      </c>
    </row>
    <row r="1054" ht="14.25" customHeight="1">
      <c r="A1054" s="1" t="s">
        <v>949</v>
      </c>
      <c r="B1054" s="1" t="s">
        <v>8</v>
      </c>
      <c r="C1054" s="2" t="s">
        <v>69</v>
      </c>
      <c r="D1054" s="2">
        <v>8.3</v>
      </c>
      <c r="E1054" s="2">
        <v>2002.0</v>
      </c>
      <c r="F1054" s="2">
        <v>2015.0</v>
      </c>
      <c r="G1054" s="2" t="s">
        <v>10</v>
      </c>
    </row>
    <row r="1055" ht="14.25" customHeight="1">
      <c r="A1055" s="1" t="s">
        <v>950</v>
      </c>
      <c r="B1055" s="1" t="s">
        <v>8</v>
      </c>
      <c r="C1055" s="2" t="s">
        <v>18</v>
      </c>
      <c r="D1055" s="2">
        <v>8.3</v>
      </c>
      <c r="E1055" s="2">
        <v>2008.0</v>
      </c>
      <c r="F1055" s="2" t="s">
        <v>10</v>
      </c>
      <c r="G1055" s="2" t="s">
        <v>10</v>
      </c>
    </row>
    <row r="1056" ht="14.25" customHeight="1">
      <c r="A1056" s="1" t="s">
        <v>951</v>
      </c>
      <c r="B1056" s="1" t="s">
        <v>8</v>
      </c>
      <c r="C1056" s="2" t="s">
        <v>952</v>
      </c>
      <c r="D1056" s="2">
        <v>8.3</v>
      </c>
      <c r="E1056" s="2">
        <v>2006.0</v>
      </c>
      <c r="F1056" s="2" t="s">
        <v>10</v>
      </c>
      <c r="G1056" s="2" t="s">
        <v>10</v>
      </c>
    </row>
    <row r="1057" ht="14.25" customHeight="1">
      <c r="A1057" s="1" t="s">
        <v>953</v>
      </c>
      <c r="B1057" s="1" t="s">
        <v>8</v>
      </c>
      <c r="C1057" s="2" t="s">
        <v>226</v>
      </c>
      <c r="D1057" s="2">
        <v>8.3</v>
      </c>
      <c r="E1057" s="2">
        <v>2015.0</v>
      </c>
      <c r="F1057" s="2" t="s">
        <v>10</v>
      </c>
      <c r="G1057" s="2" t="s">
        <v>10</v>
      </c>
    </row>
    <row r="1058" ht="14.25" customHeight="1">
      <c r="A1058" s="1" t="s">
        <v>954</v>
      </c>
      <c r="B1058" s="1" t="s">
        <v>20</v>
      </c>
      <c r="C1058" s="2" t="s">
        <v>18</v>
      </c>
      <c r="D1058" s="2">
        <v>8.3</v>
      </c>
      <c r="E1058" s="2">
        <v>2022.0</v>
      </c>
      <c r="F1058" s="2" t="s">
        <v>10</v>
      </c>
      <c r="G1058" s="2">
        <v>2230000.0</v>
      </c>
    </row>
    <row r="1059" ht="14.25" customHeight="1">
      <c r="A1059" s="1" t="s">
        <v>955</v>
      </c>
      <c r="B1059" s="1" t="s">
        <v>8</v>
      </c>
      <c r="C1059" s="2" t="s">
        <v>69</v>
      </c>
      <c r="D1059" s="2">
        <v>8.3</v>
      </c>
      <c r="E1059" s="2">
        <v>2021.0</v>
      </c>
      <c r="F1059" s="2" t="s">
        <v>10</v>
      </c>
      <c r="G1059" s="2" t="s">
        <v>10</v>
      </c>
    </row>
    <row r="1060" ht="14.25" customHeight="1">
      <c r="A1060" s="1" t="s">
        <v>956</v>
      </c>
      <c r="B1060" s="1" t="s">
        <v>8</v>
      </c>
      <c r="C1060" s="2" t="s">
        <v>756</v>
      </c>
      <c r="D1060" s="2">
        <v>8.3</v>
      </c>
      <c r="E1060" s="2">
        <v>1985.0</v>
      </c>
      <c r="F1060" s="2" t="s">
        <v>10</v>
      </c>
      <c r="G1060" s="2" t="s">
        <v>10</v>
      </c>
    </row>
    <row r="1061" ht="14.25" customHeight="1">
      <c r="A1061" s="1" t="s">
        <v>957</v>
      </c>
      <c r="B1061" s="1" t="s">
        <v>20</v>
      </c>
      <c r="C1061" s="2" t="s">
        <v>663</v>
      </c>
      <c r="D1061" s="2">
        <v>8.3</v>
      </c>
      <c r="E1061" s="2">
        <v>2019.0</v>
      </c>
      <c r="F1061" s="2" t="s">
        <v>10</v>
      </c>
      <c r="G1061" s="2" t="s">
        <v>10</v>
      </c>
    </row>
    <row r="1062" ht="14.25" customHeight="1">
      <c r="A1062" s="1" t="s">
        <v>958</v>
      </c>
      <c r="B1062" s="1" t="s">
        <v>8</v>
      </c>
      <c r="C1062" s="2" t="s">
        <v>63</v>
      </c>
      <c r="D1062" s="2">
        <v>8.3</v>
      </c>
      <c r="E1062" s="2">
        <v>2015.0</v>
      </c>
      <c r="F1062" s="2">
        <v>2018.0</v>
      </c>
      <c r="G1062" s="2" t="s">
        <v>10</v>
      </c>
    </row>
    <row r="1063" ht="14.25" customHeight="1">
      <c r="A1063" s="1" t="s">
        <v>959</v>
      </c>
      <c r="B1063" s="1" t="s">
        <v>20</v>
      </c>
      <c r="C1063" s="2" t="s">
        <v>69</v>
      </c>
      <c r="D1063" s="2">
        <v>8.3</v>
      </c>
      <c r="E1063" s="2">
        <v>1998.0</v>
      </c>
      <c r="F1063" s="2" t="s">
        <v>10</v>
      </c>
      <c r="G1063" s="2" t="s">
        <v>10</v>
      </c>
    </row>
    <row r="1064" ht="14.25" customHeight="1">
      <c r="A1064" s="1" t="s">
        <v>960</v>
      </c>
      <c r="B1064" s="1" t="s">
        <v>8</v>
      </c>
      <c r="C1064" s="2" t="s">
        <v>25</v>
      </c>
      <c r="D1064" s="2">
        <v>8.3</v>
      </c>
      <c r="E1064" s="2">
        <v>2017.0</v>
      </c>
      <c r="F1064" s="2" t="s">
        <v>10</v>
      </c>
      <c r="G1064" s="2" t="s">
        <v>10</v>
      </c>
    </row>
    <row r="1065" ht="14.25" customHeight="1">
      <c r="A1065" s="1" t="s">
        <v>961</v>
      </c>
      <c r="B1065" s="1" t="s">
        <v>8</v>
      </c>
      <c r="C1065" s="2" t="s">
        <v>25</v>
      </c>
      <c r="D1065" s="2">
        <v>8.3</v>
      </c>
      <c r="E1065" s="2">
        <v>2010.0</v>
      </c>
      <c r="F1065" s="2" t="s">
        <v>10</v>
      </c>
      <c r="G1065" s="2" t="s">
        <v>10</v>
      </c>
    </row>
    <row r="1066" ht="14.25" customHeight="1">
      <c r="A1066" s="1" t="s">
        <v>962</v>
      </c>
      <c r="B1066" s="1" t="s">
        <v>20</v>
      </c>
      <c r="C1066" s="2" t="s">
        <v>963</v>
      </c>
      <c r="D1066" s="2">
        <v>8.3</v>
      </c>
      <c r="E1066" s="2">
        <v>1969.0</v>
      </c>
      <c r="F1066" s="2" t="s">
        <v>10</v>
      </c>
      <c r="G1066" s="2" t="s">
        <v>10</v>
      </c>
    </row>
    <row r="1067" ht="14.25" customHeight="1">
      <c r="A1067" s="1" t="s">
        <v>964</v>
      </c>
      <c r="B1067" s="1" t="s">
        <v>8</v>
      </c>
      <c r="C1067" s="2" t="s">
        <v>452</v>
      </c>
      <c r="D1067" s="2">
        <v>8.3</v>
      </c>
      <c r="E1067" s="2">
        <v>2010.0</v>
      </c>
      <c r="F1067" s="2" t="s">
        <v>10</v>
      </c>
      <c r="G1067" s="2" t="s">
        <v>10</v>
      </c>
    </row>
    <row r="1068" ht="14.25" customHeight="1">
      <c r="A1068" s="1" t="s">
        <v>965</v>
      </c>
      <c r="B1068" s="1" t="s">
        <v>20</v>
      </c>
      <c r="C1068" s="2" t="s">
        <v>154</v>
      </c>
      <c r="D1068" s="2">
        <v>8.3</v>
      </c>
      <c r="E1068" s="2">
        <v>2016.0</v>
      </c>
      <c r="F1068" s="2">
        <v>2016.0</v>
      </c>
      <c r="G1068" s="2" t="s">
        <v>10</v>
      </c>
    </row>
    <row r="1069" ht="14.25" customHeight="1">
      <c r="A1069" s="1" t="s">
        <v>966</v>
      </c>
      <c r="B1069" s="1" t="s">
        <v>20</v>
      </c>
      <c r="C1069" s="2" t="s">
        <v>530</v>
      </c>
      <c r="D1069" s="2">
        <v>8.3</v>
      </c>
      <c r="E1069" s="2">
        <v>1983.0</v>
      </c>
      <c r="F1069" s="2" t="s">
        <v>10</v>
      </c>
      <c r="G1069" s="2" t="s">
        <v>10</v>
      </c>
    </row>
    <row r="1070" ht="14.25" customHeight="1">
      <c r="A1070" s="1" t="s">
        <v>967</v>
      </c>
      <c r="B1070" s="1" t="s">
        <v>8</v>
      </c>
      <c r="C1070" s="2" t="s">
        <v>530</v>
      </c>
      <c r="D1070" s="2">
        <v>8.3</v>
      </c>
      <c r="E1070" s="2">
        <v>2010.0</v>
      </c>
      <c r="F1070" s="2" t="s">
        <v>10</v>
      </c>
      <c r="G1070" s="2" t="s">
        <v>10</v>
      </c>
    </row>
    <row r="1071" ht="14.25" customHeight="1">
      <c r="A1071" s="1" t="s">
        <v>968</v>
      </c>
      <c r="B1071" s="1" t="s">
        <v>20</v>
      </c>
      <c r="C1071" s="2" t="s">
        <v>18</v>
      </c>
      <c r="D1071" s="2">
        <v>8.3</v>
      </c>
      <c r="E1071" s="2">
        <v>2016.0</v>
      </c>
      <c r="F1071" s="2" t="s">
        <v>10</v>
      </c>
      <c r="G1071" s="2" t="s">
        <v>10</v>
      </c>
    </row>
    <row r="1072" ht="14.25" customHeight="1">
      <c r="A1072" s="1" t="s">
        <v>969</v>
      </c>
      <c r="B1072" s="1" t="s">
        <v>20</v>
      </c>
      <c r="C1072" s="2" t="s">
        <v>18</v>
      </c>
      <c r="D1072" s="2">
        <v>8.3</v>
      </c>
      <c r="E1072" s="2">
        <v>1967.0</v>
      </c>
      <c r="F1072" s="2" t="s">
        <v>10</v>
      </c>
      <c r="G1072" s="2" t="s">
        <v>10</v>
      </c>
    </row>
    <row r="1073" ht="14.25" customHeight="1">
      <c r="A1073" s="1" t="s">
        <v>970</v>
      </c>
      <c r="B1073" s="1" t="s">
        <v>8</v>
      </c>
      <c r="C1073" s="2" t="s">
        <v>32</v>
      </c>
      <c r="D1073" s="2">
        <v>8.3</v>
      </c>
      <c r="E1073" s="2">
        <v>1991.0</v>
      </c>
      <c r="F1073" s="2" t="s">
        <v>10</v>
      </c>
      <c r="G1073" s="2" t="s">
        <v>10</v>
      </c>
    </row>
    <row r="1074" ht="14.25" customHeight="1">
      <c r="A1074" s="1" t="s">
        <v>971</v>
      </c>
      <c r="B1074" s="1" t="s">
        <v>20</v>
      </c>
      <c r="C1074" s="2" t="s">
        <v>87</v>
      </c>
      <c r="D1074" s="2">
        <v>8.3</v>
      </c>
      <c r="E1074" s="2">
        <v>2014.0</v>
      </c>
      <c r="F1074" s="2">
        <v>2014.0</v>
      </c>
      <c r="G1074" s="2" t="s">
        <v>10</v>
      </c>
    </row>
    <row r="1075" ht="14.25" customHeight="1">
      <c r="A1075" s="1" t="s">
        <v>972</v>
      </c>
      <c r="B1075" s="1" t="s">
        <v>8</v>
      </c>
      <c r="C1075" s="2" t="s">
        <v>118</v>
      </c>
      <c r="D1075" s="2">
        <v>8.3</v>
      </c>
      <c r="E1075" s="2">
        <v>2016.0</v>
      </c>
      <c r="F1075" s="2" t="s">
        <v>10</v>
      </c>
      <c r="G1075" s="2" t="s">
        <v>10</v>
      </c>
    </row>
    <row r="1076" ht="14.25" customHeight="1">
      <c r="A1076" s="1" t="s">
        <v>973</v>
      </c>
      <c r="B1076" s="1" t="s">
        <v>8</v>
      </c>
      <c r="C1076" s="2" t="s">
        <v>25</v>
      </c>
      <c r="D1076" s="2">
        <v>8.3</v>
      </c>
      <c r="E1076" s="2">
        <v>2024.0</v>
      </c>
      <c r="F1076" s="2" t="s">
        <v>10</v>
      </c>
      <c r="G1076" s="2" t="s">
        <v>10</v>
      </c>
    </row>
    <row r="1077" ht="14.25" customHeight="1">
      <c r="A1077" s="1" t="s">
        <v>974</v>
      </c>
      <c r="B1077" s="1" t="s">
        <v>20</v>
      </c>
      <c r="C1077" s="2" t="s">
        <v>32</v>
      </c>
      <c r="D1077" s="2">
        <v>8.3</v>
      </c>
      <c r="E1077" s="2">
        <v>1976.0</v>
      </c>
      <c r="F1077" s="2" t="s">
        <v>10</v>
      </c>
      <c r="G1077" s="2" t="s">
        <v>10</v>
      </c>
    </row>
    <row r="1078" ht="14.25" customHeight="1">
      <c r="A1078" s="1" t="s">
        <v>975</v>
      </c>
      <c r="B1078" s="1" t="s">
        <v>20</v>
      </c>
      <c r="C1078" s="2" t="s">
        <v>60</v>
      </c>
      <c r="D1078" s="2">
        <v>8.3</v>
      </c>
      <c r="E1078" s="2">
        <v>1967.0</v>
      </c>
      <c r="F1078" s="2" t="s">
        <v>10</v>
      </c>
      <c r="G1078" s="2" t="s">
        <v>10</v>
      </c>
    </row>
    <row r="1079" ht="14.25" customHeight="1">
      <c r="A1079" s="1" t="s">
        <v>976</v>
      </c>
      <c r="B1079" s="1" t="s">
        <v>8</v>
      </c>
      <c r="C1079" s="2" t="s">
        <v>169</v>
      </c>
      <c r="D1079" s="2">
        <v>8.3</v>
      </c>
      <c r="E1079" s="2">
        <v>2022.0</v>
      </c>
      <c r="F1079" s="2" t="s">
        <v>10</v>
      </c>
      <c r="G1079" s="2" t="s">
        <v>10</v>
      </c>
    </row>
    <row r="1080" ht="14.25" customHeight="1">
      <c r="A1080" s="1">
        <v>2018.0</v>
      </c>
      <c r="B1080" s="1" t="s">
        <v>20</v>
      </c>
      <c r="C1080" s="2" t="s">
        <v>611</v>
      </c>
      <c r="D1080" s="2">
        <v>8.3</v>
      </c>
      <c r="E1080" s="2">
        <v>2023.0</v>
      </c>
      <c r="F1080" s="2" t="s">
        <v>10</v>
      </c>
      <c r="G1080" s="2" t="s">
        <v>10</v>
      </c>
    </row>
    <row r="1081" ht="14.25" customHeight="1">
      <c r="A1081" s="1" t="s">
        <v>977</v>
      </c>
      <c r="B1081" s="1" t="s">
        <v>20</v>
      </c>
      <c r="C1081" s="2" t="s">
        <v>639</v>
      </c>
      <c r="D1081" s="2">
        <v>8.3</v>
      </c>
      <c r="E1081" s="2">
        <v>2013.0</v>
      </c>
      <c r="F1081" s="2" t="s">
        <v>10</v>
      </c>
      <c r="G1081" s="2" t="s">
        <v>10</v>
      </c>
    </row>
    <row r="1082" ht="14.25" customHeight="1">
      <c r="A1082" s="1" t="s">
        <v>978</v>
      </c>
      <c r="B1082" s="1" t="s">
        <v>20</v>
      </c>
      <c r="C1082" s="2" t="s">
        <v>187</v>
      </c>
      <c r="D1082" s="2">
        <v>8.3</v>
      </c>
      <c r="E1082" s="2">
        <v>1975.0</v>
      </c>
      <c r="F1082" s="2">
        <v>1975.0</v>
      </c>
      <c r="G1082" s="2" t="s">
        <v>10</v>
      </c>
    </row>
    <row r="1083" ht="14.25" customHeight="1">
      <c r="A1083" s="1" t="s">
        <v>979</v>
      </c>
      <c r="B1083" s="1" t="s">
        <v>20</v>
      </c>
      <c r="C1083" s="2" t="s">
        <v>530</v>
      </c>
      <c r="D1083" s="2">
        <v>8.3</v>
      </c>
      <c r="E1083" s="2">
        <v>1971.0</v>
      </c>
      <c r="F1083" s="2" t="s">
        <v>10</v>
      </c>
      <c r="G1083" s="2" t="s">
        <v>10</v>
      </c>
    </row>
    <row r="1084" ht="14.25" customHeight="1">
      <c r="A1084" s="1" t="s">
        <v>980</v>
      </c>
      <c r="B1084" s="1" t="s">
        <v>8</v>
      </c>
      <c r="C1084" s="2" t="s">
        <v>284</v>
      </c>
      <c r="D1084" s="2">
        <v>8.3</v>
      </c>
      <c r="E1084" s="2">
        <v>2004.0</v>
      </c>
      <c r="F1084" s="2" t="s">
        <v>10</v>
      </c>
      <c r="G1084" s="2" t="s">
        <v>10</v>
      </c>
    </row>
    <row r="1085" ht="14.25" customHeight="1">
      <c r="A1085" s="1" t="s">
        <v>981</v>
      </c>
      <c r="B1085" s="1" t="s">
        <v>20</v>
      </c>
      <c r="C1085" s="2" t="s">
        <v>833</v>
      </c>
      <c r="D1085" s="2">
        <v>8.3</v>
      </c>
      <c r="E1085" s="2">
        <v>2024.0</v>
      </c>
      <c r="F1085" s="2" t="s">
        <v>10</v>
      </c>
      <c r="G1085" s="2" t="s">
        <v>10</v>
      </c>
    </row>
    <row r="1086" ht="14.25" customHeight="1">
      <c r="A1086" s="1" t="s">
        <v>982</v>
      </c>
      <c r="B1086" s="1" t="s">
        <v>8</v>
      </c>
      <c r="C1086" s="2" t="s">
        <v>63</v>
      </c>
      <c r="D1086" s="2">
        <v>8.3</v>
      </c>
      <c r="E1086" s="2">
        <v>2004.0</v>
      </c>
      <c r="F1086" s="2" t="s">
        <v>10</v>
      </c>
      <c r="G1086" s="2" t="s">
        <v>10</v>
      </c>
    </row>
    <row r="1087" ht="14.25" customHeight="1">
      <c r="A1087" s="1" t="s">
        <v>983</v>
      </c>
      <c r="B1087" s="1" t="s">
        <v>8</v>
      </c>
      <c r="C1087" s="2" t="s">
        <v>25</v>
      </c>
      <c r="D1087" s="2">
        <v>8.3</v>
      </c>
      <c r="E1087" s="2">
        <v>2017.0</v>
      </c>
      <c r="F1087" s="2" t="s">
        <v>10</v>
      </c>
      <c r="G1087" s="2" t="s">
        <v>10</v>
      </c>
    </row>
    <row r="1088" ht="14.25" customHeight="1">
      <c r="A1088" s="1" t="s">
        <v>984</v>
      </c>
      <c r="B1088" s="1" t="s">
        <v>8</v>
      </c>
      <c r="C1088" s="2" t="s">
        <v>53</v>
      </c>
      <c r="D1088" s="2">
        <v>8.3</v>
      </c>
      <c r="E1088" s="2">
        <v>1957.0</v>
      </c>
      <c r="F1088" s="2" t="s">
        <v>10</v>
      </c>
      <c r="G1088" s="2" t="s">
        <v>10</v>
      </c>
    </row>
    <row r="1089" ht="14.25" customHeight="1">
      <c r="A1089" s="1" t="s">
        <v>985</v>
      </c>
      <c r="B1089" s="1" t="s">
        <v>8</v>
      </c>
      <c r="C1089" s="2" t="s">
        <v>311</v>
      </c>
      <c r="D1089" s="2">
        <v>8.3</v>
      </c>
      <c r="E1089" s="2">
        <v>2019.0</v>
      </c>
      <c r="F1089" s="2" t="s">
        <v>10</v>
      </c>
      <c r="G1089" s="2" t="s">
        <v>10</v>
      </c>
    </row>
    <row r="1090" ht="14.25" customHeight="1">
      <c r="A1090" s="1" t="s">
        <v>986</v>
      </c>
      <c r="B1090" s="1" t="s">
        <v>8</v>
      </c>
      <c r="C1090" s="2" t="s">
        <v>987</v>
      </c>
      <c r="D1090" s="2">
        <v>8.3</v>
      </c>
      <c r="E1090" s="2">
        <v>2016.0</v>
      </c>
      <c r="F1090" s="2">
        <v>2018.0</v>
      </c>
      <c r="G1090" s="2" t="s">
        <v>10</v>
      </c>
    </row>
    <row r="1091" ht="14.25" customHeight="1">
      <c r="A1091" s="1" t="s">
        <v>988</v>
      </c>
      <c r="B1091" s="1" t="s">
        <v>20</v>
      </c>
      <c r="C1091" s="2" t="s">
        <v>989</v>
      </c>
      <c r="D1091" s="2">
        <v>8.3</v>
      </c>
      <c r="E1091" s="2">
        <v>2013.0</v>
      </c>
      <c r="F1091" s="2" t="s">
        <v>10</v>
      </c>
      <c r="G1091" s="2" t="s">
        <v>10</v>
      </c>
    </row>
    <row r="1092" ht="14.25" customHeight="1">
      <c r="A1092" s="1" t="s">
        <v>990</v>
      </c>
      <c r="B1092" s="1" t="s">
        <v>20</v>
      </c>
      <c r="C1092" s="2" t="s">
        <v>32</v>
      </c>
      <c r="D1092" s="2">
        <v>8.3</v>
      </c>
      <c r="E1092" s="2">
        <v>1974.0</v>
      </c>
      <c r="F1092" s="2" t="s">
        <v>10</v>
      </c>
      <c r="G1092" s="2" t="s">
        <v>10</v>
      </c>
    </row>
    <row r="1093" ht="14.25" customHeight="1">
      <c r="A1093" s="1" t="s">
        <v>991</v>
      </c>
      <c r="B1093" s="1" t="s">
        <v>8</v>
      </c>
      <c r="C1093" s="2" t="s">
        <v>69</v>
      </c>
      <c r="D1093" s="2">
        <v>8.3</v>
      </c>
      <c r="E1093" s="2">
        <v>2002.0</v>
      </c>
      <c r="F1093" s="2" t="s">
        <v>10</v>
      </c>
      <c r="G1093" s="2" t="s">
        <v>10</v>
      </c>
    </row>
    <row r="1094" ht="14.25" customHeight="1">
      <c r="A1094" s="1" t="s">
        <v>992</v>
      </c>
      <c r="B1094" s="1" t="s">
        <v>20</v>
      </c>
      <c r="C1094" s="2" t="s">
        <v>69</v>
      </c>
      <c r="D1094" s="2">
        <v>8.3</v>
      </c>
      <c r="E1094" s="2">
        <v>1995.0</v>
      </c>
      <c r="F1094" s="2" t="s">
        <v>10</v>
      </c>
      <c r="G1094" s="2" t="s">
        <v>10</v>
      </c>
    </row>
    <row r="1095" ht="14.25" customHeight="1">
      <c r="A1095" s="1" t="s">
        <v>993</v>
      </c>
      <c r="B1095" s="1" t="s">
        <v>8</v>
      </c>
      <c r="C1095" s="2" t="s">
        <v>564</v>
      </c>
      <c r="D1095" s="2">
        <v>8.3</v>
      </c>
      <c r="E1095" s="2">
        <v>2018.0</v>
      </c>
      <c r="F1095" s="2">
        <v>2021.0</v>
      </c>
      <c r="G1095" s="2">
        <v>1.29E7</v>
      </c>
    </row>
    <row r="1096" ht="14.25" customHeight="1">
      <c r="A1096" s="1" t="s">
        <v>993</v>
      </c>
      <c r="B1096" s="1" t="s">
        <v>8</v>
      </c>
      <c r="C1096" s="2" t="s">
        <v>564</v>
      </c>
      <c r="D1096" s="2">
        <v>8.3</v>
      </c>
      <c r="E1096" s="2">
        <v>2018.0</v>
      </c>
      <c r="F1096" s="2">
        <v>2021.0</v>
      </c>
      <c r="G1096" s="2">
        <v>1.393E7</v>
      </c>
    </row>
    <row r="1097" ht="14.25" customHeight="1">
      <c r="A1097" s="1" t="s">
        <v>994</v>
      </c>
      <c r="B1097" s="1" t="s">
        <v>8</v>
      </c>
      <c r="C1097" s="2" t="s">
        <v>530</v>
      </c>
      <c r="D1097" s="2">
        <v>8.3</v>
      </c>
      <c r="E1097" s="2">
        <v>2011.0</v>
      </c>
      <c r="F1097" s="2" t="s">
        <v>10</v>
      </c>
      <c r="G1097" s="2" t="s">
        <v>10</v>
      </c>
    </row>
    <row r="1098" ht="14.25" customHeight="1">
      <c r="A1098" s="1" t="s">
        <v>995</v>
      </c>
      <c r="B1098" s="1" t="s">
        <v>8</v>
      </c>
      <c r="C1098" s="2" t="s">
        <v>356</v>
      </c>
      <c r="D1098" s="2">
        <v>8.3</v>
      </c>
      <c r="E1098" s="2">
        <v>2011.0</v>
      </c>
      <c r="F1098" s="2" t="s">
        <v>10</v>
      </c>
      <c r="G1098" s="2" t="s">
        <v>10</v>
      </c>
    </row>
    <row r="1099" ht="14.25" customHeight="1">
      <c r="A1099" s="1" t="s">
        <v>996</v>
      </c>
      <c r="B1099" s="1" t="s">
        <v>20</v>
      </c>
      <c r="C1099" s="2" t="s">
        <v>910</v>
      </c>
      <c r="D1099" s="2">
        <v>8.3</v>
      </c>
      <c r="E1099" s="2">
        <v>2022.0</v>
      </c>
      <c r="F1099" s="2" t="s">
        <v>10</v>
      </c>
      <c r="G1099" s="2" t="s">
        <v>10</v>
      </c>
    </row>
    <row r="1100" ht="14.25" customHeight="1">
      <c r="A1100" s="1" t="s">
        <v>997</v>
      </c>
      <c r="B1100" s="1" t="s">
        <v>20</v>
      </c>
      <c r="C1100" s="2" t="s">
        <v>597</v>
      </c>
      <c r="D1100" s="2">
        <v>8.3</v>
      </c>
      <c r="E1100" s="2">
        <v>2020.0</v>
      </c>
      <c r="F1100" s="2" t="s">
        <v>10</v>
      </c>
      <c r="G1100" s="2">
        <v>1800000.0</v>
      </c>
    </row>
    <row r="1101" ht="14.25" customHeight="1">
      <c r="A1101" s="1" t="s">
        <v>998</v>
      </c>
      <c r="B1101" s="1" t="s">
        <v>8</v>
      </c>
      <c r="C1101" s="2" t="s">
        <v>18</v>
      </c>
      <c r="D1101" s="2">
        <v>8.3</v>
      </c>
      <c r="E1101" s="2">
        <v>2024.0</v>
      </c>
      <c r="F1101" s="2" t="s">
        <v>10</v>
      </c>
      <c r="G1101" s="2" t="s">
        <v>10</v>
      </c>
    </row>
    <row r="1102" ht="14.25" customHeight="1">
      <c r="A1102" s="1" t="s">
        <v>999</v>
      </c>
      <c r="B1102" s="1" t="s">
        <v>20</v>
      </c>
      <c r="C1102" s="2" t="s">
        <v>55</v>
      </c>
      <c r="D1102" s="2">
        <v>8.3</v>
      </c>
      <c r="E1102" s="2">
        <v>1986.0</v>
      </c>
      <c r="F1102" s="2" t="s">
        <v>10</v>
      </c>
      <c r="G1102" s="2" t="s">
        <v>10</v>
      </c>
    </row>
    <row r="1103" ht="14.25" customHeight="1">
      <c r="A1103" s="1" t="s">
        <v>1000</v>
      </c>
      <c r="B1103" s="1" t="s">
        <v>8</v>
      </c>
      <c r="C1103" s="2" t="s">
        <v>18</v>
      </c>
      <c r="D1103" s="2">
        <v>8.3</v>
      </c>
      <c r="E1103" s="2">
        <v>2007.0</v>
      </c>
      <c r="F1103" s="2" t="s">
        <v>10</v>
      </c>
      <c r="G1103" s="2" t="s">
        <v>10</v>
      </c>
    </row>
    <row r="1104" ht="14.25" customHeight="1">
      <c r="A1104" s="1" t="s">
        <v>1001</v>
      </c>
      <c r="B1104" s="1" t="s">
        <v>8</v>
      </c>
      <c r="C1104" s="2" t="s">
        <v>36</v>
      </c>
      <c r="D1104" s="2">
        <v>8.3</v>
      </c>
      <c r="E1104" s="2">
        <v>2005.0</v>
      </c>
      <c r="F1104" s="2" t="s">
        <v>10</v>
      </c>
      <c r="G1104" s="2" t="s">
        <v>10</v>
      </c>
    </row>
    <row r="1105" ht="14.25" customHeight="1">
      <c r="A1105" s="1" t="s">
        <v>1002</v>
      </c>
      <c r="B1105" s="1" t="s">
        <v>20</v>
      </c>
      <c r="C1105" s="2" t="s">
        <v>895</v>
      </c>
      <c r="D1105" s="2">
        <v>8.3</v>
      </c>
      <c r="E1105" s="2">
        <v>2016.0</v>
      </c>
      <c r="F1105" s="2" t="s">
        <v>10</v>
      </c>
      <c r="G1105" s="2" t="s">
        <v>10</v>
      </c>
    </row>
    <row r="1106" ht="14.25" customHeight="1">
      <c r="A1106" s="1" t="s">
        <v>1003</v>
      </c>
      <c r="B1106" s="1" t="s">
        <v>8</v>
      </c>
      <c r="C1106" s="2" t="s">
        <v>597</v>
      </c>
      <c r="D1106" s="2">
        <v>8.3</v>
      </c>
      <c r="E1106" s="2">
        <v>2023.0</v>
      </c>
      <c r="F1106" s="2" t="s">
        <v>10</v>
      </c>
      <c r="G1106" s="2" t="s">
        <v>10</v>
      </c>
    </row>
    <row r="1107" ht="14.25" customHeight="1">
      <c r="A1107" s="1" t="s">
        <v>1004</v>
      </c>
      <c r="B1107" s="1" t="s">
        <v>8</v>
      </c>
      <c r="C1107" s="2" t="s">
        <v>284</v>
      </c>
      <c r="D1107" s="2">
        <v>8.3</v>
      </c>
      <c r="E1107" s="2">
        <v>2017.0</v>
      </c>
      <c r="F1107" s="2" t="s">
        <v>10</v>
      </c>
      <c r="G1107" s="2" t="s">
        <v>10</v>
      </c>
    </row>
    <row r="1108" ht="14.25" customHeight="1">
      <c r="A1108" s="1" t="s">
        <v>1005</v>
      </c>
      <c r="B1108" s="1" t="s">
        <v>8</v>
      </c>
      <c r="C1108" s="2" t="s">
        <v>53</v>
      </c>
      <c r="D1108" s="2">
        <v>8.3</v>
      </c>
      <c r="E1108" s="2">
        <v>2003.0</v>
      </c>
      <c r="F1108" s="2">
        <v>2009.0</v>
      </c>
      <c r="G1108" s="2" t="s">
        <v>10</v>
      </c>
    </row>
    <row r="1109" ht="14.25" customHeight="1">
      <c r="A1109" s="1" t="s">
        <v>1006</v>
      </c>
      <c r="B1109" s="1" t="s">
        <v>8</v>
      </c>
      <c r="C1109" s="2" t="s">
        <v>428</v>
      </c>
      <c r="D1109" s="2">
        <v>8.3</v>
      </c>
      <c r="E1109" s="2">
        <v>2010.0</v>
      </c>
      <c r="F1109" s="2" t="s">
        <v>10</v>
      </c>
      <c r="G1109" s="2" t="s">
        <v>10</v>
      </c>
    </row>
    <row r="1110" ht="14.25" customHeight="1">
      <c r="A1110" s="1" t="s">
        <v>1007</v>
      </c>
      <c r="B1110" s="1" t="s">
        <v>8</v>
      </c>
      <c r="C1110" s="2" t="s">
        <v>32</v>
      </c>
      <c r="D1110" s="2">
        <v>8.3</v>
      </c>
      <c r="E1110" s="2">
        <v>2022.0</v>
      </c>
      <c r="F1110" s="2" t="s">
        <v>10</v>
      </c>
      <c r="G1110" s="2" t="s">
        <v>10</v>
      </c>
    </row>
    <row r="1111" ht="14.25" customHeight="1">
      <c r="A1111" s="1" t="s">
        <v>1008</v>
      </c>
      <c r="B1111" s="1" t="s">
        <v>8</v>
      </c>
      <c r="C1111" s="2" t="s">
        <v>32</v>
      </c>
      <c r="D1111" s="2">
        <v>8.3</v>
      </c>
      <c r="E1111" s="2">
        <v>1970.0</v>
      </c>
      <c r="F1111" s="2" t="s">
        <v>10</v>
      </c>
      <c r="G1111" s="2" t="s">
        <v>10</v>
      </c>
    </row>
    <row r="1112" ht="14.25" customHeight="1">
      <c r="A1112" s="1" t="s">
        <v>1009</v>
      </c>
      <c r="B1112" s="1" t="s">
        <v>8</v>
      </c>
      <c r="C1112" s="2" t="s">
        <v>395</v>
      </c>
      <c r="D1112" s="2">
        <v>8.3</v>
      </c>
      <c r="E1112" s="2">
        <v>2021.0</v>
      </c>
      <c r="F1112" s="2" t="s">
        <v>10</v>
      </c>
      <c r="G1112" s="2" t="s">
        <v>10</v>
      </c>
    </row>
    <row r="1113" ht="14.25" customHeight="1">
      <c r="A1113" s="1" t="s">
        <v>1010</v>
      </c>
      <c r="B1113" s="1" t="s">
        <v>20</v>
      </c>
      <c r="C1113" s="2" t="s">
        <v>63</v>
      </c>
      <c r="D1113" s="2">
        <v>8.3</v>
      </c>
      <c r="E1113" s="2">
        <v>2002.0</v>
      </c>
      <c r="F1113" s="2" t="s">
        <v>10</v>
      </c>
      <c r="G1113" s="2" t="s">
        <v>10</v>
      </c>
    </row>
    <row r="1114" ht="14.25" customHeight="1">
      <c r="A1114" s="1" t="s">
        <v>1011</v>
      </c>
      <c r="B1114" s="1" t="s">
        <v>8</v>
      </c>
      <c r="C1114" s="2" t="s">
        <v>32</v>
      </c>
      <c r="D1114" s="2">
        <v>8.3</v>
      </c>
      <c r="E1114" s="2">
        <v>1987.0</v>
      </c>
      <c r="F1114" s="2" t="s">
        <v>10</v>
      </c>
      <c r="G1114" s="2" t="s">
        <v>10</v>
      </c>
    </row>
    <row r="1115" ht="14.25" customHeight="1">
      <c r="A1115" s="1" t="s">
        <v>1012</v>
      </c>
      <c r="B1115" s="1" t="s">
        <v>20</v>
      </c>
      <c r="C1115" s="2" t="s">
        <v>1013</v>
      </c>
      <c r="D1115" s="2">
        <v>8.2</v>
      </c>
      <c r="E1115" s="2">
        <v>2013.0</v>
      </c>
      <c r="F1115" s="2" t="s">
        <v>10</v>
      </c>
      <c r="G1115" s="2">
        <v>9700000.0</v>
      </c>
    </row>
    <row r="1116" ht="14.25" customHeight="1">
      <c r="A1116" s="1" t="s">
        <v>1014</v>
      </c>
      <c r="B1116" s="1" t="s">
        <v>20</v>
      </c>
      <c r="C1116" s="2" t="s">
        <v>339</v>
      </c>
      <c r="D1116" s="2">
        <v>8.2</v>
      </c>
      <c r="E1116" s="2">
        <v>2005.0</v>
      </c>
      <c r="F1116" s="2" t="s">
        <v>10</v>
      </c>
      <c r="G1116" s="2" t="s">
        <v>10</v>
      </c>
    </row>
    <row r="1117" ht="14.25" customHeight="1">
      <c r="A1117" s="1" t="s">
        <v>1015</v>
      </c>
      <c r="B1117" s="1" t="s">
        <v>20</v>
      </c>
      <c r="C1117" s="2" t="s">
        <v>468</v>
      </c>
      <c r="D1117" s="2">
        <v>8.2</v>
      </c>
      <c r="E1117" s="2">
        <v>2010.0</v>
      </c>
      <c r="F1117" s="2">
        <v>2010.0</v>
      </c>
      <c r="G1117" s="2" t="s">
        <v>10</v>
      </c>
    </row>
    <row r="1118" ht="14.25" customHeight="1">
      <c r="A1118" s="1" t="s">
        <v>1016</v>
      </c>
      <c r="B1118" s="1" t="s">
        <v>20</v>
      </c>
      <c r="C1118" s="2" t="s">
        <v>63</v>
      </c>
      <c r="D1118" s="2">
        <v>8.2</v>
      </c>
      <c r="E1118" s="2">
        <v>1998.0</v>
      </c>
      <c r="F1118" s="2" t="s">
        <v>10</v>
      </c>
      <c r="G1118" s="2" t="s">
        <v>10</v>
      </c>
    </row>
    <row r="1119" ht="14.25" customHeight="1">
      <c r="A1119" s="1" t="s">
        <v>1017</v>
      </c>
      <c r="B1119" s="1" t="s">
        <v>20</v>
      </c>
      <c r="C1119" s="2" t="s">
        <v>291</v>
      </c>
      <c r="D1119" s="2">
        <v>8.2</v>
      </c>
      <c r="E1119" s="2">
        <v>2003.0</v>
      </c>
      <c r="F1119" s="2">
        <v>2003.0</v>
      </c>
      <c r="G1119" s="2" t="s">
        <v>10</v>
      </c>
    </row>
    <row r="1120" ht="14.25" customHeight="1">
      <c r="A1120" s="1" t="s">
        <v>1018</v>
      </c>
      <c r="B1120" s="1" t="s">
        <v>20</v>
      </c>
      <c r="C1120" s="2" t="s">
        <v>55</v>
      </c>
      <c r="D1120" s="2">
        <v>8.2</v>
      </c>
      <c r="E1120" s="2">
        <v>2003.0</v>
      </c>
      <c r="F1120" s="2" t="s">
        <v>10</v>
      </c>
      <c r="G1120" s="2" t="s">
        <v>10</v>
      </c>
    </row>
    <row r="1121" ht="14.25" customHeight="1">
      <c r="A1121" s="1" t="s">
        <v>1019</v>
      </c>
      <c r="B1121" s="1" t="s">
        <v>20</v>
      </c>
      <c r="C1121" s="2" t="s">
        <v>151</v>
      </c>
      <c r="D1121" s="2">
        <v>8.2</v>
      </c>
      <c r="E1121" s="2">
        <v>1993.0</v>
      </c>
      <c r="F1121" s="2" t="s">
        <v>10</v>
      </c>
      <c r="G1121" s="2" t="s">
        <v>10</v>
      </c>
    </row>
    <row r="1122" ht="14.25" customHeight="1">
      <c r="A1122" s="1" t="s">
        <v>1020</v>
      </c>
      <c r="B1122" s="1" t="s">
        <v>20</v>
      </c>
      <c r="C1122" s="2" t="s">
        <v>9</v>
      </c>
      <c r="D1122" s="2">
        <v>8.2</v>
      </c>
      <c r="E1122" s="2">
        <v>2007.0</v>
      </c>
      <c r="F1122" s="2" t="s">
        <v>10</v>
      </c>
      <c r="G1122" s="2" t="s">
        <v>10</v>
      </c>
    </row>
    <row r="1123" ht="14.25" customHeight="1">
      <c r="A1123" s="1" t="s">
        <v>1021</v>
      </c>
      <c r="B1123" s="1" t="s">
        <v>20</v>
      </c>
      <c r="C1123" s="2" t="s">
        <v>468</v>
      </c>
      <c r="D1123" s="2">
        <v>8.2</v>
      </c>
      <c r="E1123" s="2">
        <v>1999.0</v>
      </c>
      <c r="F1123" s="2" t="s">
        <v>10</v>
      </c>
      <c r="G1123" s="2" t="s">
        <v>10</v>
      </c>
    </row>
    <row r="1124" ht="14.25" customHeight="1">
      <c r="A1124" s="1" t="s">
        <v>1022</v>
      </c>
      <c r="B1124" s="1" t="s">
        <v>20</v>
      </c>
      <c r="C1124" s="2" t="s">
        <v>1023</v>
      </c>
      <c r="D1124" s="2">
        <v>8.2</v>
      </c>
      <c r="E1124" s="2">
        <v>2001.0</v>
      </c>
      <c r="F1124" s="2" t="s">
        <v>10</v>
      </c>
      <c r="G1124" s="2" t="s">
        <v>10</v>
      </c>
    </row>
    <row r="1125" ht="14.25" customHeight="1">
      <c r="A1125" s="1" t="s">
        <v>1024</v>
      </c>
      <c r="B1125" s="1" t="s">
        <v>20</v>
      </c>
      <c r="C1125" s="2" t="s">
        <v>1025</v>
      </c>
      <c r="D1125" s="2">
        <v>8.2</v>
      </c>
      <c r="E1125" s="2">
        <v>1988.0</v>
      </c>
      <c r="F1125" s="2" t="s">
        <v>10</v>
      </c>
      <c r="G1125" s="2" t="s">
        <v>10</v>
      </c>
    </row>
    <row r="1126" ht="14.25" customHeight="1">
      <c r="A1126" s="1" t="s">
        <v>1026</v>
      </c>
      <c r="B1126" s="1" t="s">
        <v>20</v>
      </c>
      <c r="C1126" s="2" t="s">
        <v>36</v>
      </c>
      <c r="D1126" s="2">
        <v>8.2</v>
      </c>
      <c r="E1126" s="2">
        <v>1976.0</v>
      </c>
      <c r="F1126" s="2">
        <v>2015.0</v>
      </c>
      <c r="G1126" s="2" t="s">
        <v>10</v>
      </c>
    </row>
    <row r="1127" ht="14.25" customHeight="1">
      <c r="A1127" s="1" t="s">
        <v>1027</v>
      </c>
      <c r="B1127" s="1" t="s">
        <v>20</v>
      </c>
      <c r="C1127" s="2" t="s">
        <v>527</v>
      </c>
      <c r="D1127" s="2">
        <v>8.2</v>
      </c>
      <c r="E1127" s="2">
        <v>2000.0</v>
      </c>
      <c r="F1127" s="2" t="s">
        <v>10</v>
      </c>
      <c r="G1127" s="2" t="s">
        <v>10</v>
      </c>
    </row>
    <row r="1128" ht="14.25" customHeight="1">
      <c r="A1128" s="1" t="s">
        <v>1028</v>
      </c>
      <c r="B1128" s="1" t="s">
        <v>20</v>
      </c>
      <c r="C1128" s="2" t="s">
        <v>212</v>
      </c>
      <c r="D1128" s="2">
        <v>8.2</v>
      </c>
      <c r="E1128" s="2">
        <v>2021.0</v>
      </c>
      <c r="F1128" s="2" t="s">
        <v>10</v>
      </c>
      <c r="G1128" s="2">
        <v>8080000.0</v>
      </c>
    </row>
    <row r="1129" ht="14.25" customHeight="1">
      <c r="A1129" s="1" t="s">
        <v>1029</v>
      </c>
      <c r="B1129" s="1" t="s">
        <v>20</v>
      </c>
      <c r="C1129" s="2" t="s">
        <v>1030</v>
      </c>
      <c r="D1129" s="2">
        <v>8.2</v>
      </c>
      <c r="E1129" s="2">
        <v>1971.0</v>
      </c>
      <c r="F1129" s="2">
        <v>1971.0</v>
      </c>
      <c r="G1129" s="2" t="s">
        <v>10</v>
      </c>
    </row>
    <row r="1130" ht="14.25" customHeight="1">
      <c r="A1130" s="1" t="s">
        <v>1031</v>
      </c>
      <c r="B1130" s="1" t="s">
        <v>20</v>
      </c>
      <c r="C1130" s="2" t="s">
        <v>53</v>
      </c>
      <c r="D1130" s="2">
        <v>8.2</v>
      </c>
      <c r="E1130" s="2">
        <v>2013.0</v>
      </c>
      <c r="F1130" s="2" t="s">
        <v>10</v>
      </c>
      <c r="G1130" s="2">
        <v>5100000.0</v>
      </c>
    </row>
    <row r="1131" ht="14.25" customHeight="1">
      <c r="A1131" s="1" t="s">
        <v>1031</v>
      </c>
      <c r="B1131" s="1" t="s">
        <v>20</v>
      </c>
      <c r="C1131" s="2" t="s">
        <v>53</v>
      </c>
      <c r="D1131" s="2">
        <v>8.2</v>
      </c>
      <c r="E1131" s="2">
        <v>2013.0</v>
      </c>
      <c r="F1131" s="2" t="s">
        <v>10</v>
      </c>
      <c r="G1131" s="2">
        <v>1.389E7</v>
      </c>
    </row>
    <row r="1132" ht="14.25" customHeight="1">
      <c r="A1132" s="1" t="s">
        <v>1031</v>
      </c>
      <c r="B1132" s="1" t="s">
        <v>20</v>
      </c>
      <c r="C1132" s="2" t="s">
        <v>53</v>
      </c>
      <c r="D1132" s="2">
        <v>8.2</v>
      </c>
      <c r="E1132" s="2">
        <v>2013.0</v>
      </c>
      <c r="F1132" s="2" t="s">
        <v>10</v>
      </c>
      <c r="G1132" s="3">
        <v>1.9E7</v>
      </c>
    </row>
    <row r="1133" ht="14.25" customHeight="1">
      <c r="A1133" s="1" t="s">
        <v>1032</v>
      </c>
      <c r="B1133" s="1" t="s">
        <v>20</v>
      </c>
      <c r="C1133" s="2" t="s">
        <v>623</v>
      </c>
      <c r="D1133" s="2">
        <v>8.2</v>
      </c>
      <c r="E1133" s="2">
        <v>1989.0</v>
      </c>
      <c r="F1133" s="2">
        <v>1989.0</v>
      </c>
      <c r="G1133" s="2" t="s">
        <v>10</v>
      </c>
    </row>
    <row r="1134" ht="14.25" customHeight="1">
      <c r="A1134" s="1" t="s">
        <v>1033</v>
      </c>
      <c r="B1134" s="1" t="s">
        <v>20</v>
      </c>
      <c r="C1134" s="2" t="s">
        <v>184</v>
      </c>
      <c r="D1134" s="2">
        <v>8.2</v>
      </c>
      <c r="E1134" s="2">
        <v>1987.0</v>
      </c>
      <c r="F1134" s="2" t="s">
        <v>10</v>
      </c>
      <c r="G1134" s="2" t="s">
        <v>10</v>
      </c>
    </row>
    <row r="1135" ht="14.25" customHeight="1">
      <c r="A1135" s="1" t="s">
        <v>1034</v>
      </c>
      <c r="B1135" s="1" t="s">
        <v>20</v>
      </c>
      <c r="C1135" s="2" t="s">
        <v>339</v>
      </c>
      <c r="D1135" s="2">
        <v>8.2</v>
      </c>
      <c r="E1135" s="2">
        <v>2022.0</v>
      </c>
      <c r="F1135" s="2" t="s">
        <v>10</v>
      </c>
      <c r="G1135" s="2" t="s">
        <v>10</v>
      </c>
    </row>
    <row r="1136" ht="14.25" customHeight="1">
      <c r="A1136" s="1" t="s">
        <v>1035</v>
      </c>
      <c r="B1136" s="1" t="s">
        <v>20</v>
      </c>
      <c r="C1136" s="2" t="s">
        <v>1036</v>
      </c>
      <c r="D1136" s="2">
        <v>8.2</v>
      </c>
      <c r="E1136" s="2">
        <v>2006.0</v>
      </c>
      <c r="F1136" s="2">
        <v>2006.0</v>
      </c>
      <c r="G1136" s="2" t="s">
        <v>10</v>
      </c>
    </row>
    <row r="1137" ht="14.25" customHeight="1">
      <c r="A1137" s="1">
        <v>1917.0</v>
      </c>
      <c r="B1137" s="1" t="s">
        <v>20</v>
      </c>
      <c r="C1137" s="2" t="s">
        <v>1037</v>
      </c>
      <c r="D1137" s="2">
        <v>8.2</v>
      </c>
      <c r="E1137" s="2">
        <v>2019.0</v>
      </c>
      <c r="F1137" s="2" t="s">
        <v>10</v>
      </c>
      <c r="G1137" s="2">
        <v>1.084E7</v>
      </c>
    </row>
    <row r="1138" ht="14.25" customHeight="1">
      <c r="A1138" s="1" t="s">
        <v>1038</v>
      </c>
      <c r="B1138" s="1" t="s">
        <v>20</v>
      </c>
      <c r="C1138" s="2" t="s">
        <v>18</v>
      </c>
      <c r="D1138" s="2">
        <v>8.2</v>
      </c>
      <c r="E1138" s="2">
        <v>2007.0</v>
      </c>
      <c r="F1138" s="2">
        <v>2007.0</v>
      </c>
      <c r="G1138" s="2" t="s">
        <v>10</v>
      </c>
    </row>
    <row r="1139" ht="14.25" customHeight="1">
      <c r="A1139" s="1" t="s">
        <v>1039</v>
      </c>
      <c r="B1139" s="1" t="s">
        <v>20</v>
      </c>
      <c r="C1139" s="2" t="s">
        <v>53</v>
      </c>
      <c r="D1139" s="2">
        <v>8.2</v>
      </c>
      <c r="E1139" s="2">
        <v>1997.0</v>
      </c>
      <c r="F1139" s="2" t="s">
        <v>10</v>
      </c>
      <c r="G1139" s="2" t="s">
        <v>10</v>
      </c>
    </row>
    <row r="1140" ht="14.25" customHeight="1">
      <c r="A1140" s="1" t="s">
        <v>1040</v>
      </c>
      <c r="B1140" s="1" t="s">
        <v>20</v>
      </c>
      <c r="C1140" s="2" t="s">
        <v>742</v>
      </c>
      <c r="D1140" s="2">
        <v>8.2</v>
      </c>
      <c r="E1140" s="2">
        <v>2018.0</v>
      </c>
      <c r="F1140" s="2" t="s">
        <v>10</v>
      </c>
      <c r="G1140" s="2" t="s">
        <v>10</v>
      </c>
    </row>
    <row r="1141" ht="14.25" customHeight="1">
      <c r="A1141" s="1" t="s">
        <v>1041</v>
      </c>
      <c r="B1141" s="1" t="s">
        <v>20</v>
      </c>
      <c r="C1141" s="2" t="s">
        <v>1042</v>
      </c>
      <c r="D1141" s="2">
        <v>8.2</v>
      </c>
      <c r="E1141" s="2">
        <v>1975.0</v>
      </c>
      <c r="F1141" s="2">
        <v>1975.0</v>
      </c>
      <c r="G1141" s="2" t="s">
        <v>10</v>
      </c>
    </row>
    <row r="1142" ht="14.25" customHeight="1">
      <c r="A1142" s="1" t="s">
        <v>1043</v>
      </c>
      <c r="B1142" s="1" t="s">
        <v>20</v>
      </c>
      <c r="C1142" s="2" t="s">
        <v>36</v>
      </c>
      <c r="D1142" s="2">
        <v>8.2</v>
      </c>
      <c r="E1142" s="2">
        <v>1995.0</v>
      </c>
      <c r="F1142" s="2" t="s">
        <v>10</v>
      </c>
      <c r="G1142" s="2" t="s">
        <v>10</v>
      </c>
    </row>
    <row r="1143" ht="14.25" customHeight="1">
      <c r="A1143" s="1" t="s">
        <v>1044</v>
      </c>
      <c r="B1143" s="1" t="s">
        <v>8</v>
      </c>
      <c r="C1143" s="2" t="s">
        <v>69</v>
      </c>
      <c r="D1143" s="2">
        <v>8.2</v>
      </c>
      <c r="E1143" s="2">
        <v>2017.0</v>
      </c>
      <c r="F1143" s="2" t="s">
        <v>10</v>
      </c>
      <c r="G1143" s="2">
        <v>8570000.0</v>
      </c>
    </row>
    <row r="1144" ht="14.25" customHeight="1">
      <c r="A1144" s="1" t="s">
        <v>1044</v>
      </c>
      <c r="B1144" s="1" t="s">
        <v>8</v>
      </c>
      <c r="C1144" s="2" t="s">
        <v>69</v>
      </c>
      <c r="D1144" s="2">
        <v>8.2</v>
      </c>
      <c r="E1144" s="2">
        <v>2017.0</v>
      </c>
      <c r="F1144" s="2" t="s">
        <v>10</v>
      </c>
      <c r="G1144" s="3">
        <v>1.0E7</v>
      </c>
    </row>
    <row r="1145" ht="14.25" customHeight="1">
      <c r="A1145" s="1" t="s">
        <v>1044</v>
      </c>
      <c r="B1145" s="1" t="s">
        <v>8</v>
      </c>
      <c r="C1145" s="2" t="s">
        <v>69</v>
      </c>
      <c r="D1145" s="2">
        <v>8.2</v>
      </c>
      <c r="E1145" s="2">
        <v>2017.0</v>
      </c>
      <c r="F1145" s="2" t="s">
        <v>10</v>
      </c>
      <c r="G1145" s="3">
        <v>1.3E7</v>
      </c>
    </row>
    <row r="1146" ht="14.25" customHeight="1">
      <c r="A1146" s="1" t="s">
        <v>1044</v>
      </c>
      <c r="B1146" s="1" t="s">
        <v>8</v>
      </c>
      <c r="C1146" s="2" t="s">
        <v>69</v>
      </c>
      <c r="D1146" s="2">
        <v>8.2</v>
      </c>
      <c r="E1146" s="2">
        <v>2017.0</v>
      </c>
      <c r="F1146" s="2" t="s">
        <v>10</v>
      </c>
      <c r="G1146" s="2">
        <v>1.877E7</v>
      </c>
    </row>
    <row r="1147" ht="14.25" customHeight="1">
      <c r="A1147" s="1" t="s">
        <v>1044</v>
      </c>
      <c r="B1147" s="1" t="s">
        <v>8</v>
      </c>
      <c r="C1147" s="2" t="s">
        <v>69</v>
      </c>
      <c r="D1147" s="2">
        <v>8.2</v>
      </c>
      <c r="E1147" s="2">
        <v>2017.0</v>
      </c>
      <c r="F1147" s="2" t="s">
        <v>10</v>
      </c>
      <c r="G1147" s="2">
        <v>2.631E7</v>
      </c>
    </row>
    <row r="1148" ht="14.25" customHeight="1">
      <c r="A1148" s="1" t="s">
        <v>1044</v>
      </c>
      <c r="B1148" s="1" t="s">
        <v>8</v>
      </c>
      <c r="C1148" s="2" t="s">
        <v>69</v>
      </c>
      <c r="D1148" s="2">
        <v>8.2</v>
      </c>
      <c r="E1148" s="2">
        <v>2017.0</v>
      </c>
      <c r="F1148" s="2" t="s">
        <v>10</v>
      </c>
      <c r="G1148" s="2">
        <v>3.347E7</v>
      </c>
    </row>
    <row r="1149" ht="14.25" customHeight="1">
      <c r="A1149" s="1" t="s">
        <v>1044</v>
      </c>
      <c r="B1149" s="1" t="s">
        <v>8</v>
      </c>
      <c r="C1149" s="2" t="s">
        <v>69</v>
      </c>
      <c r="D1149" s="2">
        <v>8.2</v>
      </c>
      <c r="E1149" s="2">
        <v>2017.0</v>
      </c>
      <c r="F1149" s="2" t="s">
        <v>10</v>
      </c>
      <c r="G1149" s="2">
        <v>5.501E7</v>
      </c>
    </row>
    <row r="1150" ht="14.25" customHeight="1">
      <c r="A1150" s="1" t="s">
        <v>1044</v>
      </c>
      <c r="B1150" s="1" t="s">
        <v>8</v>
      </c>
      <c r="C1150" s="2" t="s">
        <v>69</v>
      </c>
      <c r="D1150" s="2">
        <v>8.2</v>
      </c>
      <c r="E1150" s="2">
        <v>2017.0</v>
      </c>
      <c r="F1150" s="2" t="s">
        <v>10</v>
      </c>
      <c r="G1150" s="2">
        <v>1.259E7</v>
      </c>
    </row>
    <row r="1151" ht="14.25" customHeight="1">
      <c r="A1151" s="1" t="s">
        <v>1044</v>
      </c>
      <c r="B1151" s="1" t="s">
        <v>8</v>
      </c>
      <c r="C1151" s="2" t="s">
        <v>69</v>
      </c>
      <c r="D1151" s="2">
        <v>8.2</v>
      </c>
      <c r="E1151" s="2">
        <v>2017.0</v>
      </c>
      <c r="F1151" s="2" t="s">
        <v>10</v>
      </c>
      <c r="G1151" s="2">
        <v>1.4795E8</v>
      </c>
    </row>
    <row r="1152" ht="14.25" customHeight="1">
      <c r="A1152" s="1" t="s">
        <v>1044</v>
      </c>
      <c r="B1152" s="1" t="s">
        <v>8</v>
      </c>
      <c r="C1152" s="2" t="s">
        <v>69</v>
      </c>
      <c r="D1152" s="2">
        <v>8.2</v>
      </c>
      <c r="E1152" s="2">
        <v>2017.0</v>
      </c>
      <c r="F1152" s="2" t="s">
        <v>10</v>
      </c>
      <c r="G1152" s="2">
        <v>1.987E7</v>
      </c>
    </row>
    <row r="1153" ht="14.25" customHeight="1">
      <c r="A1153" s="1" t="s">
        <v>1044</v>
      </c>
      <c r="B1153" s="1" t="s">
        <v>8</v>
      </c>
      <c r="C1153" s="2" t="s">
        <v>69</v>
      </c>
      <c r="D1153" s="2">
        <v>8.2</v>
      </c>
      <c r="E1153" s="2">
        <v>2017.0</v>
      </c>
      <c r="F1153" s="2" t="s">
        <v>10</v>
      </c>
      <c r="G1153" s="2">
        <v>8170000.0</v>
      </c>
    </row>
    <row r="1154" ht="14.25" customHeight="1">
      <c r="A1154" s="1" t="s">
        <v>1044</v>
      </c>
      <c r="B1154" s="1" t="s">
        <v>8</v>
      </c>
      <c r="C1154" s="2" t="s">
        <v>69</v>
      </c>
      <c r="D1154" s="2">
        <v>8.2</v>
      </c>
      <c r="E1154" s="2">
        <v>2017.0</v>
      </c>
      <c r="F1154" s="2" t="s">
        <v>10</v>
      </c>
      <c r="G1154" s="2">
        <v>1.8992E8</v>
      </c>
    </row>
    <row r="1155" ht="14.25" customHeight="1">
      <c r="A1155" s="1" t="s">
        <v>1044</v>
      </c>
      <c r="B1155" s="1" t="s">
        <v>8</v>
      </c>
      <c r="C1155" s="2" t="s">
        <v>69</v>
      </c>
      <c r="D1155" s="2">
        <v>8.2</v>
      </c>
      <c r="E1155" s="2">
        <v>2017.0</v>
      </c>
      <c r="F1155" s="2" t="s">
        <v>10</v>
      </c>
      <c r="G1155" s="2">
        <v>9730000.0</v>
      </c>
    </row>
    <row r="1156" ht="14.25" customHeight="1">
      <c r="A1156" s="1" t="s">
        <v>1044</v>
      </c>
      <c r="B1156" s="1" t="s">
        <v>8</v>
      </c>
      <c r="C1156" s="2" t="s">
        <v>69</v>
      </c>
      <c r="D1156" s="2">
        <v>8.2</v>
      </c>
      <c r="E1156" s="2">
        <v>2017.0</v>
      </c>
      <c r="F1156" s="2" t="s">
        <v>10</v>
      </c>
      <c r="G1156" s="2">
        <v>1.425E7</v>
      </c>
    </row>
    <row r="1157" ht="14.25" customHeight="1">
      <c r="A1157" s="1" t="s">
        <v>1044</v>
      </c>
      <c r="B1157" s="1" t="s">
        <v>8</v>
      </c>
      <c r="C1157" s="2" t="s">
        <v>69</v>
      </c>
      <c r="D1157" s="2">
        <v>8.2</v>
      </c>
      <c r="E1157" s="2">
        <v>2017.0</v>
      </c>
      <c r="F1157" s="2" t="s">
        <v>10</v>
      </c>
      <c r="G1157" s="2">
        <v>9370000.0</v>
      </c>
    </row>
    <row r="1158" ht="14.25" customHeight="1">
      <c r="A1158" s="1" t="s">
        <v>1044</v>
      </c>
      <c r="B1158" s="1" t="s">
        <v>8</v>
      </c>
      <c r="C1158" s="2" t="s">
        <v>69</v>
      </c>
      <c r="D1158" s="2">
        <v>8.2</v>
      </c>
      <c r="E1158" s="2">
        <v>2017.0</v>
      </c>
      <c r="F1158" s="2" t="s">
        <v>10</v>
      </c>
      <c r="G1158" s="2">
        <v>2.183E7</v>
      </c>
    </row>
    <row r="1159" ht="14.25" customHeight="1">
      <c r="A1159" s="1" t="s">
        <v>1044</v>
      </c>
      <c r="B1159" s="1" t="s">
        <v>8</v>
      </c>
      <c r="C1159" s="2" t="s">
        <v>69</v>
      </c>
      <c r="D1159" s="2">
        <v>8.2</v>
      </c>
      <c r="E1159" s="2">
        <v>2017.0</v>
      </c>
      <c r="F1159" s="2" t="s">
        <v>10</v>
      </c>
      <c r="G1159" s="2">
        <v>1.215E7</v>
      </c>
    </row>
    <row r="1160" ht="14.25" customHeight="1">
      <c r="A1160" s="1" t="s">
        <v>1044</v>
      </c>
      <c r="B1160" s="1" t="s">
        <v>8</v>
      </c>
      <c r="C1160" s="2" t="s">
        <v>69</v>
      </c>
      <c r="D1160" s="2">
        <v>8.2</v>
      </c>
      <c r="E1160" s="2">
        <v>2017.0</v>
      </c>
      <c r="F1160" s="2" t="s">
        <v>10</v>
      </c>
      <c r="G1160" s="2">
        <v>8680000.0</v>
      </c>
    </row>
    <row r="1161" ht="14.25" customHeight="1">
      <c r="A1161" s="1" t="s">
        <v>1044</v>
      </c>
      <c r="B1161" s="1" t="s">
        <v>8</v>
      </c>
      <c r="C1161" s="2" t="s">
        <v>69</v>
      </c>
      <c r="D1161" s="2">
        <v>8.2</v>
      </c>
      <c r="E1161" s="2">
        <v>2017.0</v>
      </c>
      <c r="F1161" s="2" t="s">
        <v>10</v>
      </c>
      <c r="G1161" s="2">
        <v>3.991E7</v>
      </c>
    </row>
    <row r="1162" ht="14.25" customHeight="1">
      <c r="A1162" s="1" t="s">
        <v>1044</v>
      </c>
      <c r="B1162" s="1" t="s">
        <v>8</v>
      </c>
      <c r="C1162" s="2" t="s">
        <v>69</v>
      </c>
      <c r="D1162" s="2">
        <v>8.2</v>
      </c>
      <c r="E1162" s="2">
        <v>2017.0</v>
      </c>
      <c r="F1162" s="2" t="s">
        <v>10</v>
      </c>
      <c r="G1162" s="2">
        <v>1.934E7</v>
      </c>
    </row>
    <row r="1163" ht="14.25" customHeight="1">
      <c r="A1163" s="1" t="s">
        <v>1044</v>
      </c>
      <c r="B1163" s="1" t="s">
        <v>8</v>
      </c>
      <c r="C1163" s="2" t="s">
        <v>69</v>
      </c>
      <c r="D1163" s="2">
        <v>8.2</v>
      </c>
      <c r="E1163" s="2">
        <v>2017.0</v>
      </c>
      <c r="F1163" s="2" t="s">
        <v>10</v>
      </c>
      <c r="G1163" s="2">
        <v>1.227E7</v>
      </c>
    </row>
    <row r="1164" ht="14.25" customHeight="1">
      <c r="A1164" s="1" t="s">
        <v>1044</v>
      </c>
      <c r="B1164" s="1" t="s">
        <v>8</v>
      </c>
      <c r="C1164" s="2" t="s">
        <v>69</v>
      </c>
      <c r="D1164" s="2">
        <v>8.2</v>
      </c>
      <c r="E1164" s="2">
        <v>2017.0</v>
      </c>
      <c r="F1164" s="2" t="s">
        <v>10</v>
      </c>
      <c r="G1164" s="2">
        <v>1.194E7</v>
      </c>
    </row>
    <row r="1165" ht="14.25" customHeight="1">
      <c r="A1165" s="1" t="s">
        <v>1044</v>
      </c>
      <c r="B1165" s="1" t="s">
        <v>8</v>
      </c>
      <c r="C1165" s="2" t="s">
        <v>69</v>
      </c>
      <c r="D1165" s="2">
        <v>8.2</v>
      </c>
      <c r="E1165" s="2">
        <v>2017.0</v>
      </c>
      <c r="F1165" s="2" t="s">
        <v>10</v>
      </c>
      <c r="G1165" s="2">
        <v>1.149E7</v>
      </c>
    </row>
    <row r="1166" ht="14.25" customHeight="1">
      <c r="A1166" s="1" t="s">
        <v>1044</v>
      </c>
      <c r="B1166" s="1" t="s">
        <v>8</v>
      </c>
      <c r="C1166" s="2" t="s">
        <v>69</v>
      </c>
      <c r="D1166" s="2">
        <v>8.2</v>
      </c>
      <c r="E1166" s="2">
        <v>2017.0</v>
      </c>
      <c r="F1166" s="2" t="s">
        <v>10</v>
      </c>
      <c r="G1166" s="2">
        <v>1.2317E8</v>
      </c>
    </row>
    <row r="1167" ht="14.25" customHeight="1">
      <c r="A1167" s="1" t="s">
        <v>1044</v>
      </c>
      <c r="B1167" s="1" t="s">
        <v>8</v>
      </c>
      <c r="C1167" s="2" t="s">
        <v>69</v>
      </c>
      <c r="D1167" s="2">
        <v>8.2</v>
      </c>
      <c r="E1167" s="2">
        <v>2017.0</v>
      </c>
      <c r="F1167" s="2" t="s">
        <v>10</v>
      </c>
      <c r="G1167" s="2">
        <v>3.803E7</v>
      </c>
    </row>
    <row r="1168" ht="14.25" customHeight="1">
      <c r="A1168" s="1" t="s">
        <v>1044</v>
      </c>
      <c r="B1168" s="1" t="s">
        <v>8</v>
      </c>
      <c r="C1168" s="2" t="s">
        <v>69</v>
      </c>
      <c r="D1168" s="2">
        <v>8.2</v>
      </c>
      <c r="E1168" s="2">
        <v>2017.0</v>
      </c>
      <c r="F1168" s="2" t="s">
        <v>10</v>
      </c>
      <c r="G1168" s="2">
        <v>1.672E7</v>
      </c>
    </row>
    <row r="1169" ht="14.25" customHeight="1">
      <c r="A1169" s="1" t="s">
        <v>1044</v>
      </c>
      <c r="B1169" s="1" t="s">
        <v>8</v>
      </c>
      <c r="C1169" s="2" t="s">
        <v>69</v>
      </c>
      <c r="D1169" s="2">
        <v>8.2</v>
      </c>
      <c r="E1169" s="2">
        <v>2017.0</v>
      </c>
      <c r="F1169" s="2" t="s">
        <v>10</v>
      </c>
      <c r="G1169" s="2">
        <v>1.441E7</v>
      </c>
    </row>
    <row r="1170" ht="14.25" customHeight="1">
      <c r="A1170" s="1" t="s">
        <v>1044</v>
      </c>
      <c r="B1170" s="1" t="s">
        <v>8</v>
      </c>
      <c r="C1170" s="2" t="s">
        <v>69</v>
      </c>
      <c r="D1170" s="2">
        <v>8.2</v>
      </c>
      <c r="E1170" s="2">
        <v>2017.0</v>
      </c>
      <c r="F1170" s="2" t="s">
        <v>10</v>
      </c>
      <c r="G1170" s="2">
        <v>2.0191E8</v>
      </c>
    </row>
    <row r="1171" ht="14.25" customHeight="1">
      <c r="A1171" s="1" t="s">
        <v>1044</v>
      </c>
      <c r="B1171" s="1" t="s">
        <v>8</v>
      </c>
      <c r="C1171" s="2" t="s">
        <v>69</v>
      </c>
      <c r="D1171" s="2">
        <v>8.2</v>
      </c>
      <c r="E1171" s="2">
        <v>2017.0</v>
      </c>
      <c r="F1171" s="2" t="s">
        <v>10</v>
      </c>
      <c r="G1171" s="2">
        <v>2.271E7</v>
      </c>
    </row>
    <row r="1172" ht="14.25" customHeight="1">
      <c r="A1172" s="1" t="s">
        <v>1044</v>
      </c>
      <c r="B1172" s="1" t="s">
        <v>8</v>
      </c>
      <c r="C1172" s="2" t="s">
        <v>69</v>
      </c>
      <c r="D1172" s="2">
        <v>8.2</v>
      </c>
      <c r="E1172" s="2">
        <v>2017.0</v>
      </c>
      <c r="F1172" s="2" t="s">
        <v>10</v>
      </c>
      <c r="G1172" s="2">
        <v>1.487E7</v>
      </c>
    </row>
    <row r="1173" ht="14.25" customHeight="1">
      <c r="A1173" s="1" t="s">
        <v>1044</v>
      </c>
      <c r="B1173" s="1" t="s">
        <v>8</v>
      </c>
      <c r="C1173" s="2" t="s">
        <v>69</v>
      </c>
      <c r="D1173" s="2">
        <v>8.2</v>
      </c>
      <c r="E1173" s="2">
        <v>2017.0</v>
      </c>
      <c r="F1173" s="2" t="s">
        <v>10</v>
      </c>
      <c r="G1173" s="2">
        <v>7070000.0</v>
      </c>
    </row>
    <row r="1174" ht="14.25" customHeight="1">
      <c r="A1174" s="1" t="s">
        <v>1045</v>
      </c>
      <c r="B1174" s="1" t="s">
        <v>20</v>
      </c>
      <c r="C1174" s="2" t="s">
        <v>1046</v>
      </c>
      <c r="D1174" s="2">
        <v>8.2</v>
      </c>
      <c r="E1174" s="2">
        <v>1982.0</v>
      </c>
      <c r="F1174" s="2" t="s">
        <v>10</v>
      </c>
      <c r="G1174" s="2" t="s">
        <v>10</v>
      </c>
    </row>
    <row r="1175" ht="14.25" customHeight="1">
      <c r="A1175" s="1" t="s">
        <v>1047</v>
      </c>
      <c r="B1175" s="1" t="s">
        <v>20</v>
      </c>
      <c r="C1175" s="2" t="s">
        <v>328</v>
      </c>
      <c r="D1175" s="2">
        <v>8.2</v>
      </c>
      <c r="E1175" s="2">
        <v>2004.0</v>
      </c>
      <c r="F1175" s="2" t="s">
        <v>10</v>
      </c>
      <c r="G1175" s="2" t="s">
        <v>10</v>
      </c>
    </row>
    <row r="1176" ht="14.25" customHeight="1">
      <c r="A1176" s="1" t="s">
        <v>1048</v>
      </c>
      <c r="B1176" s="1" t="s">
        <v>20</v>
      </c>
      <c r="C1176" s="2" t="s">
        <v>249</v>
      </c>
      <c r="D1176" s="2">
        <v>8.2</v>
      </c>
      <c r="E1176" s="2">
        <v>1992.0</v>
      </c>
      <c r="F1176" s="2" t="s">
        <v>10</v>
      </c>
      <c r="G1176" s="2" t="s">
        <v>10</v>
      </c>
    </row>
    <row r="1177" ht="14.25" customHeight="1">
      <c r="A1177" s="1" t="s">
        <v>1049</v>
      </c>
      <c r="B1177" s="1" t="s">
        <v>8</v>
      </c>
      <c r="C1177" s="2" t="s">
        <v>212</v>
      </c>
      <c r="D1177" s="2">
        <v>8.2</v>
      </c>
      <c r="E1177" s="2">
        <v>2021.0</v>
      </c>
      <c r="F1177" s="2" t="s">
        <v>10</v>
      </c>
      <c r="G1177" s="2" t="s">
        <v>10</v>
      </c>
    </row>
    <row r="1178" ht="14.25" customHeight="1">
      <c r="A1178" s="1" t="s">
        <v>1050</v>
      </c>
      <c r="B1178" s="1" t="s">
        <v>20</v>
      </c>
      <c r="C1178" s="2" t="s">
        <v>80</v>
      </c>
      <c r="D1178" s="2">
        <v>8.2</v>
      </c>
      <c r="E1178" s="2">
        <v>2004.0</v>
      </c>
      <c r="F1178" s="2" t="s">
        <v>10</v>
      </c>
      <c r="G1178" s="2" t="s">
        <v>10</v>
      </c>
    </row>
    <row r="1179" ht="14.25" customHeight="1">
      <c r="A1179" s="1" t="s">
        <v>1051</v>
      </c>
      <c r="B1179" s="1" t="s">
        <v>8</v>
      </c>
      <c r="C1179" s="2" t="s">
        <v>187</v>
      </c>
      <c r="D1179" s="2">
        <v>8.2</v>
      </c>
      <c r="E1179" s="2">
        <v>2019.0</v>
      </c>
      <c r="F1179" s="2">
        <v>2020.0</v>
      </c>
      <c r="G1179" s="2">
        <v>1.38E7</v>
      </c>
    </row>
    <row r="1180" ht="14.25" customHeight="1">
      <c r="A1180" s="1" t="s">
        <v>1051</v>
      </c>
      <c r="B1180" s="1" t="s">
        <v>8</v>
      </c>
      <c r="C1180" s="2" t="s">
        <v>187</v>
      </c>
      <c r="D1180" s="2">
        <v>8.2</v>
      </c>
      <c r="E1180" s="2">
        <v>2019.0</v>
      </c>
      <c r="F1180" s="2">
        <v>2020.0</v>
      </c>
      <c r="G1180" s="2">
        <v>2.13E7</v>
      </c>
    </row>
    <row r="1181" ht="14.25" customHeight="1">
      <c r="A1181" s="1" t="s">
        <v>1051</v>
      </c>
      <c r="B1181" s="1" t="s">
        <v>8</v>
      </c>
      <c r="C1181" s="2" t="s">
        <v>187</v>
      </c>
      <c r="D1181" s="2">
        <v>8.2</v>
      </c>
      <c r="E1181" s="2">
        <v>2019.0</v>
      </c>
      <c r="F1181" s="2">
        <v>2020.0</v>
      </c>
      <c r="G1181" s="2">
        <v>3.27E7</v>
      </c>
    </row>
    <row r="1182" ht="14.25" customHeight="1">
      <c r="A1182" s="1" t="s">
        <v>1051</v>
      </c>
      <c r="B1182" s="1" t="s">
        <v>8</v>
      </c>
      <c r="C1182" s="2" t="s">
        <v>187</v>
      </c>
      <c r="D1182" s="2">
        <v>8.2</v>
      </c>
      <c r="E1182" s="2">
        <v>2019.0</v>
      </c>
      <c r="F1182" s="2">
        <v>2020.0</v>
      </c>
      <c r="G1182" s="2">
        <v>5.38E7</v>
      </c>
    </row>
    <row r="1183" ht="14.25" customHeight="1">
      <c r="A1183" s="1" t="s">
        <v>1051</v>
      </c>
      <c r="B1183" s="1" t="s">
        <v>8</v>
      </c>
      <c r="C1183" s="2" t="s">
        <v>187</v>
      </c>
      <c r="D1183" s="2">
        <v>8.2</v>
      </c>
      <c r="E1183" s="2">
        <v>2019.0</v>
      </c>
      <c r="F1183" s="2">
        <v>2020.0</v>
      </c>
      <c r="G1183" s="2">
        <v>1.084E8</v>
      </c>
    </row>
    <row r="1184" ht="14.25" customHeight="1">
      <c r="A1184" s="1" t="s">
        <v>1051</v>
      </c>
      <c r="B1184" s="1" t="s">
        <v>8</v>
      </c>
      <c r="C1184" s="2" t="s">
        <v>187</v>
      </c>
      <c r="D1184" s="2">
        <v>8.2</v>
      </c>
      <c r="E1184" s="2">
        <v>2019.0</v>
      </c>
      <c r="F1184" s="2">
        <v>2020.0</v>
      </c>
      <c r="G1184" s="2">
        <v>1.28E7</v>
      </c>
    </row>
    <row r="1185" ht="14.25" customHeight="1">
      <c r="A1185" s="1" t="s">
        <v>1051</v>
      </c>
      <c r="B1185" s="1" t="s">
        <v>8</v>
      </c>
      <c r="C1185" s="2" t="s">
        <v>187</v>
      </c>
      <c r="D1185" s="2">
        <v>8.2</v>
      </c>
      <c r="E1185" s="2">
        <v>2019.0</v>
      </c>
      <c r="F1185" s="2">
        <v>2020.0</v>
      </c>
      <c r="G1185" s="2">
        <v>9.76E7</v>
      </c>
    </row>
    <row r="1186" ht="14.25" customHeight="1">
      <c r="A1186" s="1" t="s">
        <v>1051</v>
      </c>
      <c r="B1186" s="1" t="s">
        <v>8</v>
      </c>
      <c r="C1186" s="2" t="s">
        <v>187</v>
      </c>
      <c r="D1186" s="2">
        <v>8.2</v>
      </c>
      <c r="E1186" s="2">
        <v>2019.0</v>
      </c>
      <c r="F1186" s="2">
        <v>2020.0</v>
      </c>
      <c r="G1186" s="2">
        <v>1.838E7</v>
      </c>
    </row>
    <row r="1187" ht="14.25" customHeight="1">
      <c r="A1187" s="1" t="s">
        <v>1051</v>
      </c>
      <c r="B1187" s="1" t="s">
        <v>8</v>
      </c>
      <c r="C1187" s="2" t="s">
        <v>187</v>
      </c>
      <c r="D1187" s="2">
        <v>8.2</v>
      </c>
      <c r="E1187" s="2">
        <v>2019.0</v>
      </c>
      <c r="F1187" s="2">
        <v>2020.0</v>
      </c>
      <c r="G1187" s="2">
        <v>2.819E7</v>
      </c>
    </row>
    <row r="1188" ht="14.25" customHeight="1">
      <c r="A1188" s="1" t="s">
        <v>1051</v>
      </c>
      <c r="B1188" s="1" t="s">
        <v>8</v>
      </c>
      <c r="C1188" s="2" t="s">
        <v>187</v>
      </c>
      <c r="D1188" s="2">
        <v>8.2</v>
      </c>
      <c r="E1188" s="2">
        <v>2019.0</v>
      </c>
      <c r="F1188" s="2">
        <v>2020.0</v>
      </c>
      <c r="G1188" s="2">
        <v>4.212E7</v>
      </c>
    </row>
    <row r="1189" ht="14.25" customHeight="1">
      <c r="A1189" s="1" t="s">
        <v>1051</v>
      </c>
      <c r="B1189" s="1" t="s">
        <v>8</v>
      </c>
      <c r="C1189" s="2" t="s">
        <v>187</v>
      </c>
      <c r="D1189" s="2">
        <v>8.2</v>
      </c>
      <c r="E1189" s="2">
        <v>2019.0</v>
      </c>
      <c r="F1189" s="2">
        <v>2020.0</v>
      </c>
      <c r="G1189" s="2">
        <v>1.276E7</v>
      </c>
    </row>
    <row r="1190" ht="14.25" customHeight="1">
      <c r="A1190" s="1" t="s">
        <v>1051</v>
      </c>
      <c r="B1190" s="1" t="s">
        <v>8</v>
      </c>
      <c r="C1190" s="2" t="s">
        <v>187</v>
      </c>
      <c r="D1190" s="2">
        <v>8.2</v>
      </c>
      <c r="E1190" s="2">
        <v>2019.0</v>
      </c>
      <c r="F1190" s="2">
        <v>2020.0</v>
      </c>
      <c r="G1190" s="2">
        <v>7.287E7</v>
      </c>
    </row>
    <row r="1191" ht="14.25" customHeight="1">
      <c r="A1191" s="1" t="s">
        <v>1051</v>
      </c>
      <c r="B1191" s="1" t="s">
        <v>8</v>
      </c>
      <c r="C1191" s="2" t="s">
        <v>187</v>
      </c>
      <c r="D1191" s="2">
        <v>8.2</v>
      </c>
      <c r="E1191" s="2">
        <v>2019.0</v>
      </c>
      <c r="F1191" s="2">
        <v>2020.0</v>
      </c>
      <c r="G1191" s="2">
        <v>1.842E7</v>
      </c>
    </row>
    <row r="1192" ht="14.25" customHeight="1">
      <c r="A1192" s="1" t="s">
        <v>1051</v>
      </c>
      <c r="B1192" s="1" t="s">
        <v>8</v>
      </c>
      <c r="C1192" s="2" t="s">
        <v>187</v>
      </c>
      <c r="D1192" s="2">
        <v>8.2</v>
      </c>
      <c r="E1192" s="2">
        <v>2019.0</v>
      </c>
      <c r="F1192" s="2">
        <v>2020.0</v>
      </c>
      <c r="G1192" s="2">
        <v>1.814E7</v>
      </c>
    </row>
    <row r="1193" ht="14.25" customHeight="1">
      <c r="A1193" s="1" t="s">
        <v>1051</v>
      </c>
      <c r="B1193" s="1" t="s">
        <v>8</v>
      </c>
      <c r="C1193" s="2" t="s">
        <v>187</v>
      </c>
      <c r="D1193" s="2">
        <v>8.2</v>
      </c>
      <c r="E1193" s="2">
        <v>2019.0</v>
      </c>
      <c r="F1193" s="2">
        <v>2020.0</v>
      </c>
      <c r="G1193" s="2">
        <v>1.6042E8</v>
      </c>
    </row>
    <row r="1194" ht="14.25" customHeight="1">
      <c r="A1194" s="1" t="s">
        <v>1051</v>
      </c>
      <c r="B1194" s="1" t="s">
        <v>8</v>
      </c>
      <c r="C1194" s="2" t="s">
        <v>187</v>
      </c>
      <c r="D1194" s="2">
        <v>8.2</v>
      </c>
      <c r="E1194" s="2">
        <v>2019.0</v>
      </c>
      <c r="F1194" s="2">
        <v>2020.0</v>
      </c>
      <c r="G1194" s="2">
        <v>2.738E7</v>
      </c>
    </row>
    <row r="1195" ht="14.25" customHeight="1">
      <c r="A1195" s="1" t="s">
        <v>1051</v>
      </c>
      <c r="B1195" s="1" t="s">
        <v>8</v>
      </c>
      <c r="C1195" s="2" t="s">
        <v>187</v>
      </c>
      <c r="D1195" s="2">
        <v>8.2</v>
      </c>
      <c r="E1195" s="2">
        <v>2019.0</v>
      </c>
      <c r="F1195" s="2">
        <v>2020.0</v>
      </c>
      <c r="G1195" s="2">
        <v>2.203E7</v>
      </c>
    </row>
    <row r="1196" ht="14.25" customHeight="1">
      <c r="A1196" s="1" t="s">
        <v>1051</v>
      </c>
      <c r="B1196" s="1" t="s">
        <v>8</v>
      </c>
      <c r="C1196" s="2" t="s">
        <v>187</v>
      </c>
      <c r="D1196" s="2">
        <v>8.2</v>
      </c>
      <c r="E1196" s="2">
        <v>2019.0</v>
      </c>
      <c r="F1196" s="2">
        <v>2020.0</v>
      </c>
      <c r="G1196" s="2">
        <v>1.2577E8</v>
      </c>
    </row>
    <row r="1197" ht="14.25" customHeight="1">
      <c r="A1197" s="1" t="s">
        <v>1051</v>
      </c>
      <c r="B1197" s="1" t="s">
        <v>8</v>
      </c>
      <c r="C1197" s="2" t="s">
        <v>187</v>
      </c>
      <c r="D1197" s="2">
        <v>8.2</v>
      </c>
      <c r="E1197" s="2">
        <v>2019.0</v>
      </c>
      <c r="F1197" s="2">
        <v>2020.0</v>
      </c>
      <c r="G1197" s="2">
        <v>1.488E7</v>
      </c>
    </row>
    <row r="1198" ht="14.25" customHeight="1">
      <c r="A1198" s="1" t="s">
        <v>1052</v>
      </c>
      <c r="B1198" s="1" t="s">
        <v>20</v>
      </c>
      <c r="C1198" s="2" t="s">
        <v>461</v>
      </c>
      <c r="D1198" s="2">
        <v>8.2</v>
      </c>
      <c r="E1198" s="2">
        <v>1939.0</v>
      </c>
      <c r="F1198" s="2" t="s">
        <v>10</v>
      </c>
      <c r="G1198" s="2" t="s">
        <v>10</v>
      </c>
    </row>
    <row r="1199" ht="14.25" customHeight="1">
      <c r="A1199" s="1" t="s">
        <v>1053</v>
      </c>
      <c r="B1199" s="1" t="s">
        <v>20</v>
      </c>
      <c r="C1199" s="2" t="s">
        <v>1054</v>
      </c>
      <c r="D1199" s="2">
        <v>8.2</v>
      </c>
      <c r="E1199" s="2">
        <v>1959.0</v>
      </c>
      <c r="F1199" s="2" t="s">
        <v>10</v>
      </c>
      <c r="G1199" s="2" t="s">
        <v>10</v>
      </c>
    </row>
    <row r="1200" ht="14.25" customHeight="1">
      <c r="A1200" s="1" t="s">
        <v>1055</v>
      </c>
      <c r="B1200" s="1" t="s">
        <v>20</v>
      </c>
      <c r="C1200" s="2" t="s">
        <v>249</v>
      </c>
      <c r="D1200" s="2">
        <v>8.2</v>
      </c>
      <c r="E1200" s="2">
        <v>1965.0</v>
      </c>
      <c r="F1200" s="2" t="s">
        <v>10</v>
      </c>
      <c r="G1200" s="2" t="s">
        <v>10</v>
      </c>
    </row>
    <row r="1201" ht="14.25" customHeight="1">
      <c r="A1201" s="1" t="s">
        <v>1056</v>
      </c>
      <c r="B1201" s="1" t="s">
        <v>20</v>
      </c>
      <c r="C1201" s="2" t="s">
        <v>169</v>
      </c>
      <c r="D1201" s="2">
        <v>8.2</v>
      </c>
      <c r="E1201" s="2">
        <v>1980.0</v>
      </c>
      <c r="F1201" s="2" t="s">
        <v>10</v>
      </c>
      <c r="G1201" s="2" t="s">
        <v>10</v>
      </c>
    </row>
    <row r="1202" ht="14.25" customHeight="1">
      <c r="A1202" s="1" t="s">
        <v>1057</v>
      </c>
      <c r="B1202" s="1" t="s">
        <v>20</v>
      </c>
      <c r="C1202" s="2" t="s">
        <v>1058</v>
      </c>
      <c r="D1202" s="2">
        <v>8.2</v>
      </c>
      <c r="E1202" s="2">
        <v>1963.0</v>
      </c>
      <c r="F1202" s="2" t="s">
        <v>10</v>
      </c>
      <c r="G1202" s="2" t="s">
        <v>10</v>
      </c>
    </row>
    <row r="1203" ht="14.25" customHeight="1">
      <c r="A1203" s="1" t="s">
        <v>1059</v>
      </c>
      <c r="B1203" s="1" t="s">
        <v>20</v>
      </c>
      <c r="C1203" s="2" t="s">
        <v>1060</v>
      </c>
      <c r="D1203" s="2">
        <v>8.2</v>
      </c>
      <c r="E1203" s="2">
        <v>2009.0</v>
      </c>
      <c r="F1203" s="2" t="s">
        <v>10</v>
      </c>
      <c r="G1203" s="2" t="s">
        <v>10</v>
      </c>
    </row>
    <row r="1204" ht="14.25" customHeight="1">
      <c r="A1204" s="1" t="s">
        <v>1061</v>
      </c>
      <c r="B1204" s="1" t="s">
        <v>8</v>
      </c>
      <c r="C1204" s="2" t="s">
        <v>53</v>
      </c>
      <c r="D1204" s="2">
        <v>8.2</v>
      </c>
      <c r="E1204" s="2">
        <v>2008.0</v>
      </c>
      <c r="F1204" s="2" t="s">
        <v>10</v>
      </c>
      <c r="G1204" s="2" t="s">
        <v>10</v>
      </c>
    </row>
    <row r="1205" ht="14.25" customHeight="1">
      <c r="A1205" s="1" t="s">
        <v>1062</v>
      </c>
      <c r="B1205" s="1" t="s">
        <v>20</v>
      </c>
      <c r="C1205" s="2" t="s">
        <v>222</v>
      </c>
      <c r="D1205" s="2">
        <v>8.2</v>
      </c>
      <c r="E1205" s="2">
        <v>2020.0</v>
      </c>
      <c r="F1205" s="2" t="s">
        <v>10</v>
      </c>
      <c r="G1205" s="2">
        <v>5070000.0</v>
      </c>
    </row>
    <row r="1206" ht="14.25" customHeight="1">
      <c r="A1206" s="1" t="s">
        <v>1063</v>
      </c>
      <c r="B1206" s="1" t="s">
        <v>20</v>
      </c>
      <c r="C1206" s="2" t="s">
        <v>55</v>
      </c>
      <c r="D1206" s="2">
        <v>8.2</v>
      </c>
      <c r="E1206" s="2">
        <v>2019.0</v>
      </c>
      <c r="F1206" s="2">
        <v>2019.0</v>
      </c>
      <c r="G1206" s="2" t="s">
        <v>10</v>
      </c>
    </row>
    <row r="1207" ht="14.25" customHeight="1">
      <c r="A1207" s="1" t="s">
        <v>1064</v>
      </c>
      <c r="B1207" s="1" t="s">
        <v>8</v>
      </c>
      <c r="C1207" s="2" t="s">
        <v>284</v>
      </c>
      <c r="D1207" s="2">
        <v>8.2</v>
      </c>
      <c r="E1207" s="2">
        <v>2016.0</v>
      </c>
      <c r="F1207" s="2">
        <v>2020.0</v>
      </c>
      <c r="G1207" s="2" t="s">
        <v>10</v>
      </c>
    </row>
    <row r="1208" ht="14.25" customHeight="1">
      <c r="A1208" s="1" t="s">
        <v>1065</v>
      </c>
      <c r="B1208" s="1" t="s">
        <v>20</v>
      </c>
      <c r="C1208" s="2" t="s">
        <v>792</v>
      </c>
      <c r="D1208" s="2">
        <v>8.2</v>
      </c>
      <c r="E1208" s="2">
        <v>1954.0</v>
      </c>
      <c r="F1208" s="2" t="s">
        <v>10</v>
      </c>
      <c r="G1208" s="2" t="s">
        <v>10</v>
      </c>
    </row>
    <row r="1209" ht="14.25" customHeight="1">
      <c r="A1209" s="1" t="s">
        <v>1066</v>
      </c>
      <c r="B1209" s="1" t="s">
        <v>20</v>
      </c>
      <c r="C1209" s="2" t="s">
        <v>53</v>
      </c>
      <c r="D1209" s="2">
        <v>8.2</v>
      </c>
      <c r="E1209" s="2">
        <v>1950.0</v>
      </c>
      <c r="F1209" s="2" t="s">
        <v>10</v>
      </c>
      <c r="G1209" s="2" t="s">
        <v>10</v>
      </c>
    </row>
    <row r="1210" ht="14.25" customHeight="1">
      <c r="A1210" s="1" t="s">
        <v>1067</v>
      </c>
      <c r="B1210" s="1" t="s">
        <v>8</v>
      </c>
      <c r="C1210" s="2" t="s">
        <v>231</v>
      </c>
      <c r="D1210" s="2">
        <v>8.2</v>
      </c>
      <c r="E1210" s="2">
        <v>2015.0</v>
      </c>
      <c r="F1210" s="2">
        <v>2018.0</v>
      </c>
      <c r="G1210" s="2" t="s">
        <v>10</v>
      </c>
    </row>
    <row r="1211" ht="14.25" customHeight="1">
      <c r="A1211" s="1" t="s">
        <v>1068</v>
      </c>
      <c r="B1211" s="1" t="s">
        <v>8</v>
      </c>
      <c r="C1211" s="2" t="s">
        <v>63</v>
      </c>
      <c r="D1211" s="2">
        <v>8.2</v>
      </c>
      <c r="E1211" s="2">
        <v>2000.0</v>
      </c>
      <c r="F1211" s="2">
        <v>2006.0</v>
      </c>
      <c r="G1211" s="2" t="s">
        <v>10</v>
      </c>
    </row>
    <row r="1212" ht="14.25" customHeight="1">
      <c r="A1212" s="1" t="s">
        <v>1069</v>
      </c>
      <c r="B1212" s="1" t="s">
        <v>20</v>
      </c>
      <c r="C1212" s="2" t="s">
        <v>69</v>
      </c>
      <c r="D1212" s="2">
        <v>8.2</v>
      </c>
      <c r="E1212" s="2">
        <v>2022.0</v>
      </c>
      <c r="F1212" s="2" t="s">
        <v>10</v>
      </c>
      <c r="G1212" s="2" t="s">
        <v>10</v>
      </c>
    </row>
    <row r="1213" ht="14.25" customHeight="1">
      <c r="A1213" s="1" t="s">
        <v>1070</v>
      </c>
      <c r="B1213" s="1" t="s">
        <v>8</v>
      </c>
      <c r="C1213" s="2" t="s">
        <v>253</v>
      </c>
      <c r="D1213" s="2">
        <v>8.2</v>
      </c>
      <c r="E1213" s="2">
        <v>2007.0</v>
      </c>
      <c r="F1213" s="2" t="s">
        <v>10</v>
      </c>
      <c r="G1213" s="2" t="s">
        <v>10</v>
      </c>
    </row>
    <row r="1214" ht="14.25" customHeight="1">
      <c r="A1214" s="1" t="s">
        <v>1071</v>
      </c>
      <c r="B1214" s="1" t="s">
        <v>8</v>
      </c>
      <c r="C1214" s="2" t="s">
        <v>305</v>
      </c>
      <c r="D1214" s="2">
        <v>8.2</v>
      </c>
      <c r="E1214" s="2">
        <v>2000.0</v>
      </c>
      <c r="F1214" s="2" t="s">
        <v>10</v>
      </c>
      <c r="G1214" s="2" t="s">
        <v>10</v>
      </c>
    </row>
    <row r="1215" ht="14.25" customHeight="1">
      <c r="A1215" s="1" t="s">
        <v>1072</v>
      </c>
      <c r="B1215" s="1" t="s">
        <v>8</v>
      </c>
      <c r="C1215" s="2" t="s">
        <v>530</v>
      </c>
      <c r="D1215" s="2">
        <v>8.2</v>
      </c>
      <c r="E1215" s="2">
        <v>2009.0</v>
      </c>
      <c r="F1215" s="2" t="s">
        <v>10</v>
      </c>
      <c r="G1215" s="2" t="s">
        <v>10</v>
      </c>
    </row>
    <row r="1216" ht="14.25" customHeight="1">
      <c r="A1216" s="1" t="s">
        <v>1073</v>
      </c>
      <c r="B1216" s="1" t="s">
        <v>20</v>
      </c>
      <c r="C1216" s="2" t="s">
        <v>18</v>
      </c>
      <c r="D1216" s="2">
        <v>8.2</v>
      </c>
      <c r="E1216" s="2">
        <v>1950.0</v>
      </c>
      <c r="F1216" s="2" t="s">
        <v>10</v>
      </c>
      <c r="G1216" s="2" t="s">
        <v>10</v>
      </c>
    </row>
    <row r="1217" ht="14.25" customHeight="1">
      <c r="A1217" s="1" t="s">
        <v>1074</v>
      </c>
      <c r="B1217" s="1" t="s">
        <v>20</v>
      </c>
      <c r="C1217" s="2" t="s">
        <v>1037</v>
      </c>
      <c r="D1217" s="2">
        <v>8.2</v>
      </c>
      <c r="E1217" s="2">
        <v>1985.0</v>
      </c>
      <c r="F1217" s="2" t="s">
        <v>10</v>
      </c>
      <c r="G1217" s="2" t="s">
        <v>10</v>
      </c>
    </row>
    <row r="1218" ht="14.25" customHeight="1">
      <c r="A1218" s="1" t="s">
        <v>1075</v>
      </c>
      <c r="B1218" s="1" t="s">
        <v>20</v>
      </c>
      <c r="C1218" s="2" t="s">
        <v>67</v>
      </c>
      <c r="D1218" s="2">
        <v>8.2</v>
      </c>
      <c r="E1218" s="2">
        <v>1921.0</v>
      </c>
      <c r="F1218" s="2" t="s">
        <v>10</v>
      </c>
      <c r="G1218" s="2" t="s">
        <v>10</v>
      </c>
    </row>
    <row r="1219" ht="14.25" customHeight="1">
      <c r="A1219" s="1" t="s">
        <v>1076</v>
      </c>
      <c r="B1219" s="1" t="s">
        <v>8</v>
      </c>
      <c r="C1219" s="2" t="s">
        <v>53</v>
      </c>
      <c r="D1219" s="2">
        <v>8.2</v>
      </c>
      <c r="E1219" s="2">
        <v>2019.0</v>
      </c>
      <c r="F1219" s="2" t="s">
        <v>10</v>
      </c>
      <c r="G1219" s="2" t="s">
        <v>10</v>
      </c>
    </row>
    <row r="1220" ht="14.25" customHeight="1">
      <c r="A1220" s="1" t="s">
        <v>1077</v>
      </c>
      <c r="B1220" s="1" t="s">
        <v>8</v>
      </c>
      <c r="C1220" s="2" t="s">
        <v>18</v>
      </c>
      <c r="D1220" s="2">
        <v>8.2</v>
      </c>
      <c r="E1220" s="2">
        <v>2019.0</v>
      </c>
      <c r="F1220" s="2" t="s">
        <v>10</v>
      </c>
      <c r="G1220" s="2" t="s">
        <v>10</v>
      </c>
    </row>
    <row r="1221" ht="14.25" customHeight="1">
      <c r="A1221" s="1" t="s">
        <v>1078</v>
      </c>
      <c r="B1221" s="1" t="s">
        <v>20</v>
      </c>
      <c r="C1221" s="2" t="s">
        <v>157</v>
      </c>
      <c r="D1221" s="2">
        <v>8.2</v>
      </c>
      <c r="E1221" s="2">
        <v>1948.0</v>
      </c>
      <c r="F1221" s="2" t="s">
        <v>10</v>
      </c>
      <c r="G1221" s="2" t="s">
        <v>10</v>
      </c>
    </row>
    <row r="1222" ht="14.25" customHeight="1">
      <c r="A1222" s="1" t="s">
        <v>1079</v>
      </c>
      <c r="B1222" s="1" t="s">
        <v>20</v>
      </c>
      <c r="C1222" s="2" t="s">
        <v>611</v>
      </c>
      <c r="D1222" s="2">
        <v>8.2</v>
      </c>
      <c r="E1222" s="2">
        <v>1961.0</v>
      </c>
      <c r="F1222" s="2" t="s">
        <v>10</v>
      </c>
      <c r="G1222" s="2" t="s">
        <v>10</v>
      </c>
    </row>
    <row r="1223" ht="14.25" customHeight="1">
      <c r="A1223" s="1" t="s">
        <v>1080</v>
      </c>
      <c r="B1223" s="1" t="s">
        <v>8</v>
      </c>
      <c r="C1223" s="2" t="s">
        <v>92</v>
      </c>
      <c r="D1223" s="2">
        <v>8.2</v>
      </c>
      <c r="E1223" s="2">
        <v>2014.0</v>
      </c>
      <c r="F1223" s="2">
        <v>2016.0</v>
      </c>
      <c r="G1223" s="2" t="s">
        <v>10</v>
      </c>
    </row>
    <row r="1224" ht="14.25" customHeight="1">
      <c r="A1224" s="1" t="s">
        <v>1081</v>
      </c>
      <c r="B1224" s="1" t="s">
        <v>20</v>
      </c>
      <c r="C1224" s="2" t="s">
        <v>339</v>
      </c>
      <c r="D1224" s="2">
        <v>8.2</v>
      </c>
      <c r="E1224" s="2">
        <v>2017.0</v>
      </c>
      <c r="F1224" s="2" t="s">
        <v>10</v>
      </c>
      <c r="G1224" s="2" t="s">
        <v>10</v>
      </c>
    </row>
    <row r="1225" ht="14.25" customHeight="1">
      <c r="A1225" s="1" t="s">
        <v>1082</v>
      </c>
      <c r="B1225" s="1" t="s">
        <v>8</v>
      </c>
      <c r="C1225" s="2" t="s">
        <v>34</v>
      </c>
      <c r="D1225" s="2">
        <v>8.2</v>
      </c>
      <c r="E1225" s="2">
        <v>2014.0</v>
      </c>
      <c r="F1225" s="2" t="s">
        <v>10</v>
      </c>
      <c r="G1225" s="2" t="s">
        <v>10</v>
      </c>
    </row>
    <row r="1226" ht="14.25" customHeight="1">
      <c r="A1226" s="1" t="s">
        <v>1083</v>
      </c>
      <c r="B1226" s="1" t="s">
        <v>8</v>
      </c>
      <c r="C1226" s="2" t="s">
        <v>756</v>
      </c>
      <c r="D1226" s="2">
        <v>8.2</v>
      </c>
      <c r="E1226" s="2">
        <v>1999.0</v>
      </c>
      <c r="F1226" s="2" t="s">
        <v>10</v>
      </c>
      <c r="G1226" s="2" t="s">
        <v>10</v>
      </c>
    </row>
    <row r="1227" ht="14.25" customHeight="1">
      <c r="A1227" s="1" t="s">
        <v>1084</v>
      </c>
      <c r="B1227" s="1" t="s">
        <v>20</v>
      </c>
      <c r="C1227" s="2" t="s">
        <v>1037</v>
      </c>
      <c r="D1227" s="2">
        <v>8.2</v>
      </c>
      <c r="E1227" s="2">
        <v>2016.0</v>
      </c>
      <c r="F1227" s="2" t="s">
        <v>10</v>
      </c>
      <c r="G1227" s="2" t="s">
        <v>10</v>
      </c>
    </row>
    <row r="1228" ht="14.25" customHeight="1">
      <c r="A1228" s="1" t="s">
        <v>1085</v>
      </c>
      <c r="B1228" s="1" t="s">
        <v>8</v>
      </c>
      <c r="C1228" s="2" t="s">
        <v>284</v>
      </c>
      <c r="D1228" s="2">
        <v>8.2</v>
      </c>
      <c r="E1228" s="2">
        <v>2009.0</v>
      </c>
      <c r="F1228" s="2" t="s">
        <v>10</v>
      </c>
      <c r="G1228" s="2" t="s">
        <v>10</v>
      </c>
    </row>
    <row r="1229" ht="14.25" customHeight="1">
      <c r="A1229" s="1" t="s">
        <v>1086</v>
      </c>
      <c r="B1229" s="1" t="s">
        <v>8</v>
      </c>
      <c r="C1229" s="2" t="s">
        <v>63</v>
      </c>
      <c r="D1229" s="2">
        <v>8.2</v>
      </c>
      <c r="E1229" s="2">
        <v>2017.0</v>
      </c>
      <c r="F1229" s="2">
        <v>2021.0</v>
      </c>
      <c r="G1229" s="2">
        <v>1.592E7</v>
      </c>
    </row>
    <row r="1230" ht="14.25" customHeight="1">
      <c r="A1230" s="1" t="s">
        <v>1086</v>
      </c>
      <c r="B1230" s="1" t="s">
        <v>8</v>
      </c>
      <c r="C1230" s="2" t="s">
        <v>63</v>
      </c>
      <c r="D1230" s="2">
        <v>8.2</v>
      </c>
      <c r="E1230" s="2">
        <v>2017.0</v>
      </c>
      <c r="F1230" s="2">
        <v>2021.0</v>
      </c>
      <c r="G1230" s="2">
        <v>2.968E7</v>
      </c>
    </row>
    <row r="1231" ht="14.25" customHeight="1">
      <c r="A1231" s="1" t="s">
        <v>1086</v>
      </c>
      <c r="B1231" s="1" t="s">
        <v>8</v>
      </c>
      <c r="C1231" s="2" t="s">
        <v>63</v>
      </c>
      <c r="D1231" s="2">
        <v>8.2</v>
      </c>
      <c r="E1231" s="2">
        <v>2017.0</v>
      </c>
      <c r="F1231" s="2">
        <v>2021.0</v>
      </c>
      <c r="G1231" s="2">
        <v>2.062E7</v>
      </c>
    </row>
    <row r="1232" ht="14.25" customHeight="1">
      <c r="A1232" s="1" t="s">
        <v>1087</v>
      </c>
      <c r="B1232" s="1" t="s">
        <v>20</v>
      </c>
      <c r="C1232" s="2" t="s">
        <v>134</v>
      </c>
      <c r="D1232" s="2">
        <v>8.2</v>
      </c>
      <c r="E1232" s="2">
        <v>2018.0</v>
      </c>
      <c r="F1232" s="2">
        <v>2018.0</v>
      </c>
      <c r="G1232" s="2" t="s">
        <v>10</v>
      </c>
    </row>
    <row r="1233" ht="14.25" customHeight="1">
      <c r="A1233" s="1" t="s">
        <v>1088</v>
      </c>
      <c r="B1233" s="1" t="s">
        <v>20</v>
      </c>
      <c r="C1233" s="2" t="s">
        <v>217</v>
      </c>
      <c r="D1233" s="2">
        <v>8.2</v>
      </c>
      <c r="E1233" s="2">
        <v>2012.0</v>
      </c>
      <c r="F1233" s="2" t="s">
        <v>10</v>
      </c>
      <c r="G1233" s="2" t="s">
        <v>10</v>
      </c>
    </row>
    <row r="1234" ht="14.25" customHeight="1">
      <c r="A1234" s="1" t="s">
        <v>1089</v>
      </c>
      <c r="B1234" s="1" t="s">
        <v>20</v>
      </c>
      <c r="C1234" s="2" t="s">
        <v>34</v>
      </c>
      <c r="D1234" s="2">
        <v>8.2</v>
      </c>
      <c r="E1234" s="2">
        <v>2022.0</v>
      </c>
      <c r="F1234" s="2" t="s">
        <v>10</v>
      </c>
      <c r="G1234" s="2" t="s">
        <v>10</v>
      </c>
    </row>
    <row r="1235" ht="14.25" customHeight="1">
      <c r="A1235" s="1" t="s">
        <v>1090</v>
      </c>
      <c r="B1235" s="1" t="s">
        <v>20</v>
      </c>
      <c r="C1235" s="2" t="s">
        <v>69</v>
      </c>
      <c r="D1235" s="2">
        <v>8.2</v>
      </c>
      <c r="E1235" s="2">
        <v>2018.0</v>
      </c>
      <c r="F1235" s="2" t="s">
        <v>10</v>
      </c>
      <c r="G1235" s="2" t="s">
        <v>10</v>
      </c>
    </row>
    <row r="1236" ht="14.25" customHeight="1">
      <c r="A1236" s="1" t="s">
        <v>1091</v>
      </c>
      <c r="B1236" s="1" t="s">
        <v>20</v>
      </c>
      <c r="C1236" s="2" t="s">
        <v>1092</v>
      </c>
      <c r="D1236" s="2">
        <v>8.2</v>
      </c>
      <c r="E1236" s="2">
        <v>2004.0</v>
      </c>
      <c r="F1236" s="2">
        <v>2004.0</v>
      </c>
      <c r="G1236" s="2" t="s">
        <v>10</v>
      </c>
    </row>
    <row r="1237" ht="14.25" customHeight="1">
      <c r="A1237" s="1" t="s">
        <v>892</v>
      </c>
      <c r="B1237" s="1" t="s">
        <v>20</v>
      </c>
      <c r="C1237" s="2" t="s">
        <v>53</v>
      </c>
      <c r="D1237" s="2">
        <v>8.2</v>
      </c>
      <c r="E1237" s="2">
        <v>2015.0</v>
      </c>
      <c r="F1237" s="2">
        <v>2015.0</v>
      </c>
      <c r="G1237" s="2" t="s">
        <v>10</v>
      </c>
    </row>
    <row r="1238" ht="14.25" customHeight="1">
      <c r="A1238" s="1" t="s">
        <v>1093</v>
      </c>
      <c r="B1238" s="1" t="s">
        <v>8</v>
      </c>
      <c r="C1238" s="2" t="s">
        <v>32</v>
      </c>
      <c r="D1238" s="2">
        <v>8.2</v>
      </c>
      <c r="E1238" s="2">
        <v>1993.0</v>
      </c>
      <c r="F1238" s="2">
        <v>2003.0</v>
      </c>
      <c r="G1238" s="2" t="s">
        <v>10</v>
      </c>
    </row>
    <row r="1239" ht="14.25" customHeight="1">
      <c r="A1239" s="1" t="s">
        <v>1094</v>
      </c>
      <c r="B1239" s="1" t="s">
        <v>20</v>
      </c>
      <c r="C1239" s="2" t="s">
        <v>1095</v>
      </c>
      <c r="D1239" s="2">
        <v>8.2</v>
      </c>
      <c r="E1239" s="2">
        <v>2024.0</v>
      </c>
      <c r="F1239" s="2" t="s">
        <v>10</v>
      </c>
      <c r="G1239" s="2" t="s">
        <v>10</v>
      </c>
    </row>
    <row r="1240" ht="14.25" customHeight="1">
      <c r="A1240" s="1" t="s">
        <v>1096</v>
      </c>
      <c r="B1240" s="1" t="s">
        <v>8</v>
      </c>
      <c r="C1240" s="2" t="s">
        <v>226</v>
      </c>
      <c r="D1240" s="2">
        <v>8.2</v>
      </c>
      <c r="E1240" s="2">
        <v>2011.0</v>
      </c>
      <c r="F1240" s="2" t="s">
        <v>10</v>
      </c>
      <c r="G1240" s="2" t="s">
        <v>10</v>
      </c>
    </row>
    <row r="1241" ht="14.25" customHeight="1">
      <c r="A1241" s="1" t="s">
        <v>1097</v>
      </c>
      <c r="B1241" s="1" t="s">
        <v>20</v>
      </c>
      <c r="C1241" s="2" t="s">
        <v>114</v>
      </c>
      <c r="D1241" s="2">
        <v>8.2</v>
      </c>
      <c r="E1241" s="2">
        <v>2005.0</v>
      </c>
      <c r="F1241" s="2" t="s">
        <v>10</v>
      </c>
      <c r="G1241" s="2" t="s">
        <v>10</v>
      </c>
    </row>
    <row r="1242" ht="14.25" customHeight="1">
      <c r="A1242" s="1" t="s">
        <v>1098</v>
      </c>
      <c r="B1242" s="1" t="s">
        <v>8</v>
      </c>
      <c r="C1242" s="2" t="s">
        <v>18</v>
      </c>
      <c r="D1242" s="2">
        <v>8.2</v>
      </c>
      <c r="E1242" s="2">
        <v>2007.0</v>
      </c>
      <c r="F1242" s="2">
        <v>2017.0</v>
      </c>
      <c r="G1242" s="2" t="s">
        <v>10</v>
      </c>
    </row>
    <row r="1243" ht="14.25" customHeight="1">
      <c r="A1243" s="1" t="s">
        <v>1099</v>
      </c>
      <c r="B1243" s="1" t="s">
        <v>20</v>
      </c>
      <c r="C1243" s="2" t="s">
        <v>1100</v>
      </c>
      <c r="D1243" s="2">
        <v>8.2</v>
      </c>
      <c r="E1243" s="2">
        <v>2011.0</v>
      </c>
      <c r="F1243" s="2">
        <v>2011.0</v>
      </c>
      <c r="G1243" s="2" t="s">
        <v>10</v>
      </c>
    </row>
    <row r="1244" ht="14.25" customHeight="1">
      <c r="A1244" s="1" t="s">
        <v>1101</v>
      </c>
      <c r="B1244" s="1" t="s">
        <v>8</v>
      </c>
      <c r="C1244" s="2" t="s">
        <v>25</v>
      </c>
      <c r="D1244" s="2">
        <v>8.2</v>
      </c>
      <c r="E1244" s="2">
        <v>2016.0</v>
      </c>
      <c r="F1244" s="2" t="s">
        <v>10</v>
      </c>
      <c r="G1244" s="2" t="s">
        <v>10</v>
      </c>
    </row>
    <row r="1245" ht="14.25" customHeight="1">
      <c r="A1245" s="1" t="s">
        <v>1102</v>
      </c>
      <c r="B1245" s="1" t="s">
        <v>20</v>
      </c>
      <c r="C1245" s="2" t="s">
        <v>1103</v>
      </c>
      <c r="D1245" s="2">
        <v>8.2</v>
      </c>
      <c r="E1245" s="2">
        <v>1997.0</v>
      </c>
      <c r="F1245" s="2" t="s">
        <v>10</v>
      </c>
      <c r="G1245" s="2" t="s">
        <v>10</v>
      </c>
    </row>
    <row r="1246" ht="14.25" customHeight="1">
      <c r="A1246" s="1" t="s">
        <v>1104</v>
      </c>
      <c r="B1246" s="1" t="s">
        <v>8</v>
      </c>
      <c r="C1246" s="2" t="s">
        <v>1105</v>
      </c>
      <c r="D1246" s="2">
        <v>8.2</v>
      </c>
      <c r="E1246" s="2">
        <v>2017.0</v>
      </c>
      <c r="F1246" s="2">
        <v>2017.0</v>
      </c>
      <c r="G1246" s="2" t="s">
        <v>10</v>
      </c>
    </row>
    <row r="1247" ht="14.25" customHeight="1">
      <c r="A1247" s="1" t="s">
        <v>1106</v>
      </c>
      <c r="B1247" s="1" t="s">
        <v>20</v>
      </c>
      <c r="C1247" s="2" t="s">
        <v>497</v>
      </c>
      <c r="D1247" s="2">
        <v>8.2</v>
      </c>
      <c r="E1247" s="2">
        <v>2010.0</v>
      </c>
      <c r="F1247" s="2" t="s">
        <v>10</v>
      </c>
      <c r="G1247" s="2">
        <v>2.124E7</v>
      </c>
    </row>
    <row r="1248" ht="14.25" customHeight="1">
      <c r="A1248" s="1" t="s">
        <v>1107</v>
      </c>
      <c r="B1248" s="1" t="s">
        <v>20</v>
      </c>
      <c r="C1248" s="2" t="s">
        <v>25</v>
      </c>
      <c r="D1248" s="2">
        <v>8.2</v>
      </c>
      <c r="E1248" s="2">
        <v>2020.0</v>
      </c>
      <c r="F1248" s="2" t="s">
        <v>10</v>
      </c>
      <c r="G1248" s="2" t="s">
        <v>10</v>
      </c>
    </row>
    <row r="1249" ht="14.25" customHeight="1">
      <c r="A1249" s="1" t="s">
        <v>1108</v>
      </c>
      <c r="B1249" s="1" t="s">
        <v>8</v>
      </c>
      <c r="C1249" s="2" t="s">
        <v>63</v>
      </c>
      <c r="D1249" s="2">
        <v>8.2</v>
      </c>
      <c r="E1249" s="2">
        <v>2015.0</v>
      </c>
      <c r="F1249" s="2">
        <v>2021.0</v>
      </c>
      <c r="G1249" s="2" t="s">
        <v>10</v>
      </c>
    </row>
    <row r="1250" ht="14.25" customHeight="1">
      <c r="A1250" s="1" t="s">
        <v>1109</v>
      </c>
      <c r="B1250" s="1" t="s">
        <v>8</v>
      </c>
      <c r="C1250" s="2" t="s">
        <v>25</v>
      </c>
      <c r="D1250" s="2">
        <v>8.2</v>
      </c>
      <c r="E1250" s="2">
        <v>2004.0</v>
      </c>
      <c r="F1250" s="2">
        <v>2006.0</v>
      </c>
      <c r="G1250" s="2" t="s">
        <v>10</v>
      </c>
    </row>
    <row r="1251" ht="14.25" customHeight="1">
      <c r="A1251" s="1" t="s">
        <v>1110</v>
      </c>
      <c r="B1251" s="1" t="s">
        <v>20</v>
      </c>
      <c r="C1251" s="2" t="s">
        <v>217</v>
      </c>
      <c r="D1251" s="2">
        <v>8.2</v>
      </c>
      <c r="E1251" s="2">
        <v>2000.0</v>
      </c>
      <c r="F1251" s="2">
        <v>1976.0</v>
      </c>
      <c r="G1251" s="2" t="s">
        <v>10</v>
      </c>
    </row>
    <row r="1252" ht="14.25" customHeight="1">
      <c r="A1252" s="1" t="s">
        <v>1111</v>
      </c>
      <c r="B1252" s="1" t="s">
        <v>20</v>
      </c>
      <c r="C1252" s="2" t="s">
        <v>14</v>
      </c>
      <c r="D1252" s="2">
        <v>8.2</v>
      </c>
      <c r="E1252" s="2">
        <v>2019.0</v>
      </c>
      <c r="F1252" s="2" t="s">
        <v>10</v>
      </c>
      <c r="G1252" s="2" t="s">
        <v>10</v>
      </c>
    </row>
    <row r="1253" ht="14.25" customHeight="1">
      <c r="A1253" s="1" t="s">
        <v>1112</v>
      </c>
      <c r="B1253" s="1" t="s">
        <v>20</v>
      </c>
      <c r="C1253" s="2" t="s">
        <v>132</v>
      </c>
      <c r="D1253" s="2">
        <v>8.2</v>
      </c>
      <c r="E1253" s="2">
        <v>2012.0</v>
      </c>
      <c r="F1253" s="2">
        <v>2012.0</v>
      </c>
      <c r="G1253" s="2" t="s">
        <v>10</v>
      </c>
    </row>
    <row r="1254" ht="14.25" customHeight="1">
      <c r="A1254" s="1" t="s">
        <v>1113</v>
      </c>
      <c r="B1254" s="1" t="s">
        <v>20</v>
      </c>
      <c r="C1254" s="2" t="s">
        <v>910</v>
      </c>
      <c r="D1254" s="2">
        <v>8.2</v>
      </c>
      <c r="E1254" s="2">
        <v>2013.0</v>
      </c>
      <c r="F1254" s="2" t="s">
        <v>10</v>
      </c>
      <c r="G1254" s="2" t="s">
        <v>10</v>
      </c>
    </row>
    <row r="1255" ht="14.25" customHeight="1">
      <c r="A1255" s="1" t="s">
        <v>1114</v>
      </c>
      <c r="B1255" s="1" t="s">
        <v>20</v>
      </c>
      <c r="C1255" s="2" t="s">
        <v>92</v>
      </c>
      <c r="D1255" s="2">
        <v>8.2</v>
      </c>
      <c r="E1255" s="2">
        <v>2018.0</v>
      </c>
      <c r="F1255" s="2" t="s">
        <v>10</v>
      </c>
      <c r="G1255" s="2" t="s">
        <v>10</v>
      </c>
    </row>
    <row r="1256" ht="14.25" customHeight="1">
      <c r="A1256" s="1" t="s">
        <v>1115</v>
      </c>
      <c r="B1256" s="1" t="s">
        <v>8</v>
      </c>
      <c r="C1256" s="2" t="s">
        <v>159</v>
      </c>
      <c r="D1256" s="2">
        <v>8.2</v>
      </c>
      <c r="E1256" s="2">
        <v>2009.0</v>
      </c>
      <c r="F1256" s="2" t="s">
        <v>10</v>
      </c>
      <c r="G1256" s="2" t="s">
        <v>10</v>
      </c>
    </row>
    <row r="1257" ht="14.25" customHeight="1">
      <c r="A1257" s="1" t="s">
        <v>1116</v>
      </c>
      <c r="B1257" s="1" t="s">
        <v>8</v>
      </c>
      <c r="C1257" s="2" t="s">
        <v>325</v>
      </c>
      <c r="D1257" s="2">
        <v>8.2</v>
      </c>
      <c r="E1257" s="2">
        <v>2014.0</v>
      </c>
      <c r="F1257" s="2" t="s">
        <v>10</v>
      </c>
      <c r="G1257" s="2" t="s">
        <v>10</v>
      </c>
    </row>
    <row r="1258" ht="14.25" customHeight="1">
      <c r="A1258" s="1" t="s">
        <v>1117</v>
      </c>
      <c r="B1258" s="1" t="s">
        <v>20</v>
      </c>
      <c r="C1258" s="2" t="s">
        <v>1118</v>
      </c>
      <c r="D1258" s="2">
        <v>8.2</v>
      </c>
      <c r="E1258" s="2">
        <v>1924.0</v>
      </c>
      <c r="F1258" s="2" t="s">
        <v>10</v>
      </c>
      <c r="G1258" s="2" t="s">
        <v>10</v>
      </c>
    </row>
    <row r="1259" ht="14.25" customHeight="1">
      <c r="A1259" s="1" t="s">
        <v>1119</v>
      </c>
      <c r="B1259" s="1" t="s">
        <v>8</v>
      </c>
      <c r="C1259" s="2" t="s">
        <v>32</v>
      </c>
      <c r="D1259" s="2">
        <v>8.2</v>
      </c>
      <c r="E1259" s="2">
        <v>2015.0</v>
      </c>
      <c r="F1259" s="2">
        <v>2021.0</v>
      </c>
      <c r="G1259" s="2">
        <v>1.226E7</v>
      </c>
    </row>
    <row r="1260" ht="14.25" customHeight="1">
      <c r="A1260" s="1" t="s">
        <v>1119</v>
      </c>
      <c r="B1260" s="1" t="s">
        <v>8</v>
      </c>
      <c r="C1260" s="2" t="s">
        <v>32</v>
      </c>
      <c r="D1260" s="2">
        <v>8.2</v>
      </c>
      <c r="E1260" s="2">
        <v>2015.0</v>
      </c>
      <c r="F1260" s="2">
        <v>2021.0</v>
      </c>
      <c r="G1260" s="2">
        <v>2.318E7</v>
      </c>
    </row>
    <row r="1261" ht="14.25" customHeight="1">
      <c r="A1261" s="1" t="s">
        <v>1119</v>
      </c>
      <c r="B1261" s="1" t="s">
        <v>8</v>
      </c>
      <c r="C1261" s="2" t="s">
        <v>32</v>
      </c>
      <c r="D1261" s="2">
        <v>8.2</v>
      </c>
      <c r="E1261" s="2">
        <v>2015.0</v>
      </c>
      <c r="F1261" s="2">
        <v>2021.0</v>
      </c>
      <c r="G1261" s="2">
        <v>1.547E7</v>
      </c>
    </row>
    <row r="1262" ht="14.25" customHeight="1">
      <c r="A1262" s="1" t="s">
        <v>1120</v>
      </c>
      <c r="B1262" s="1" t="s">
        <v>20</v>
      </c>
      <c r="C1262" s="2" t="s">
        <v>18</v>
      </c>
      <c r="D1262" s="2">
        <v>8.2</v>
      </c>
      <c r="E1262" s="2">
        <v>2019.0</v>
      </c>
      <c r="F1262" s="2">
        <v>2019.0</v>
      </c>
      <c r="G1262" s="2" t="s">
        <v>10</v>
      </c>
    </row>
    <row r="1263" ht="14.25" customHeight="1">
      <c r="A1263" s="1" t="s">
        <v>1121</v>
      </c>
      <c r="B1263" s="1" t="s">
        <v>8</v>
      </c>
      <c r="C1263" s="2" t="s">
        <v>9</v>
      </c>
      <c r="D1263" s="2">
        <v>8.2</v>
      </c>
      <c r="E1263" s="2">
        <v>2021.0</v>
      </c>
      <c r="F1263" s="2" t="s">
        <v>10</v>
      </c>
      <c r="G1263" s="2" t="s">
        <v>10</v>
      </c>
    </row>
    <row r="1264" ht="14.25" customHeight="1">
      <c r="A1264" s="1" t="s">
        <v>1122</v>
      </c>
      <c r="B1264" s="1" t="s">
        <v>8</v>
      </c>
      <c r="C1264" s="2" t="s">
        <v>878</v>
      </c>
      <c r="D1264" s="2">
        <v>8.2</v>
      </c>
      <c r="E1264" s="2">
        <v>2009.0</v>
      </c>
      <c r="F1264" s="2" t="s">
        <v>10</v>
      </c>
      <c r="G1264" s="2" t="s">
        <v>10</v>
      </c>
    </row>
    <row r="1265" ht="14.25" customHeight="1">
      <c r="A1265" s="1" t="s">
        <v>1123</v>
      </c>
      <c r="B1265" s="1" t="s">
        <v>20</v>
      </c>
      <c r="C1265" s="2" t="s">
        <v>69</v>
      </c>
      <c r="D1265" s="2">
        <v>8.2</v>
      </c>
      <c r="E1265" s="2">
        <v>2017.0</v>
      </c>
      <c r="F1265" s="2" t="s">
        <v>10</v>
      </c>
      <c r="G1265" s="2" t="s">
        <v>10</v>
      </c>
    </row>
    <row r="1266" ht="14.25" customHeight="1">
      <c r="A1266" s="1" t="s">
        <v>1124</v>
      </c>
      <c r="B1266" s="1" t="s">
        <v>8</v>
      </c>
      <c r="C1266" s="2" t="s">
        <v>25</v>
      </c>
      <c r="D1266" s="2">
        <v>8.2</v>
      </c>
      <c r="E1266" s="2">
        <v>2019.0</v>
      </c>
      <c r="F1266" s="2">
        <v>2019.0</v>
      </c>
      <c r="G1266" s="2" t="s">
        <v>10</v>
      </c>
    </row>
    <row r="1267" ht="14.25" customHeight="1">
      <c r="A1267" s="1" t="s">
        <v>1125</v>
      </c>
      <c r="B1267" s="1" t="s">
        <v>8</v>
      </c>
      <c r="C1267" s="2" t="s">
        <v>25</v>
      </c>
      <c r="D1267" s="2">
        <v>8.2</v>
      </c>
      <c r="E1267" s="2">
        <v>2018.0</v>
      </c>
      <c r="F1267" s="2" t="s">
        <v>10</v>
      </c>
      <c r="G1267" s="2" t="s">
        <v>10</v>
      </c>
    </row>
    <row r="1268" ht="14.25" customHeight="1">
      <c r="A1268" s="1" t="s">
        <v>1126</v>
      </c>
      <c r="B1268" s="1" t="s">
        <v>8</v>
      </c>
      <c r="C1268" s="2" t="s">
        <v>63</v>
      </c>
      <c r="D1268" s="2">
        <v>8.2</v>
      </c>
      <c r="E1268" s="2">
        <v>1985.0</v>
      </c>
      <c r="F1268" s="2" t="s">
        <v>10</v>
      </c>
      <c r="G1268" s="2" t="s">
        <v>10</v>
      </c>
    </row>
    <row r="1269" ht="14.25" customHeight="1">
      <c r="A1269" s="1" t="s">
        <v>1127</v>
      </c>
      <c r="B1269" s="1" t="s">
        <v>8</v>
      </c>
      <c r="C1269" s="2" t="s">
        <v>32</v>
      </c>
      <c r="D1269" s="2">
        <v>8.2</v>
      </c>
      <c r="E1269" s="2">
        <v>2023.0</v>
      </c>
      <c r="F1269" s="2" t="s">
        <v>10</v>
      </c>
      <c r="G1269" s="2" t="s">
        <v>10</v>
      </c>
    </row>
    <row r="1270" ht="14.25" customHeight="1">
      <c r="A1270" s="1" t="s">
        <v>694</v>
      </c>
      <c r="B1270" s="1" t="s">
        <v>20</v>
      </c>
      <c r="C1270" s="2" t="s">
        <v>53</v>
      </c>
      <c r="D1270" s="2">
        <v>8.2</v>
      </c>
      <c r="E1270" s="2">
        <v>2022.0</v>
      </c>
      <c r="F1270" s="2" t="s">
        <v>10</v>
      </c>
      <c r="G1270" s="2" t="s">
        <v>10</v>
      </c>
    </row>
    <row r="1271" ht="14.25" customHeight="1">
      <c r="A1271" s="1" t="s">
        <v>1128</v>
      </c>
      <c r="B1271" s="1" t="s">
        <v>8</v>
      </c>
      <c r="C1271" s="2" t="s">
        <v>63</v>
      </c>
      <c r="D1271" s="2">
        <v>8.2</v>
      </c>
      <c r="E1271" s="2">
        <v>2021.0</v>
      </c>
      <c r="F1271" s="2" t="s">
        <v>10</v>
      </c>
      <c r="G1271" s="2" t="s">
        <v>10</v>
      </c>
    </row>
    <row r="1272" ht="14.25" customHeight="1">
      <c r="A1272" s="1" t="s">
        <v>1129</v>
      </c>
      <c r="B1272" s="1" t="s">
        <v>8</v>
      </c>
      <c r="C1272" s="2" t="s">
        <v>154</v>
      </c>
      <c r="D1272" s="2">
        <v>8.2</v>
      </c>
      <c r="E1272" s="2">
        <v>2021.0</v>
      </c>
      <c r="F1272" s="2">
        <v>2021.0</v>
      </c>
      <c r="G1272" s="2">
        <v>6290000.0</v>
      </c>
    </row>
    <row r="1273" ht="14.25" customHeight="1">
      <c r="A1273" s="1" t="s">
        <v>1129</v>
      </c>
      <c r="B1273" s="1" t="s">
        <v>8</v>
      </c>
      <c r="C1273" s="2" t="s">
        <v>154</v>
      </c>
      <c r="D1273" s="2">
        <v>8.2</v>
      </c>
      <c r="E1273" s="2">
        <v>2021.0</v>
      </c>
      <c r="F1273" s="2">
        <v>2021.0</v>
      </c>
      <c r="G1273" s="2">
        <v>1.886E7</v>
      </c>
    </row>
    <row r="1274" ht="14.25" customHeight="1">
      <c r="A1274" s="1" t="s">
        <v>1129</v>
      </c>
      <c r="B1274" s="1" t="s">
        <v>8</v>
      </c>
      <c r="C1274" s="2" t="s">
        <v>154</v>
      </c>
      <c r="D1274" s="2">
        <v>8.2</v>
      </c>
      <c r="E1274" s="2">
        <v>2021.0</v>
      </c>
      <c r="F1274" s="2">
        <v>2021.0</v>
      </c>
      <c r="G1274" s="2">
        <v>9820000.0</v>
      </c>
    </row>
    <row r="1275" ht="14.25" customHeight="1">
      <c r="A1275" s="1" t="s">
        <v>1130</v>
      </c>
      <c r="B1275" s="1" t="s">
        <v>8</v>
      </c>
      <c r="C1275" s="2" t="s">
        <v>18</v>
      </c>
      <c r="D1275" s="2">
        <v>8.2</v>
      </c>
      <c r="E1275" s="2">
        <v>2023.0</v>
      </c>
      <c r="F1275" s="2" t="s">
        <v>10</v>
      </c>
      <c r="G1275" s="2" t="s">
        <v>10</v>
      </c>
    </row>
    <row r="1276" ht="14.25" customHeight="1">
      <c r="A1276" s="1" t="s">
        <v>1131</v>
      </c>
      <c r="B1276" s="1" t="s">
        <v>8</v>
      </c>
      <c r="C1276" s="2" t="s">
        <v>36</v>
      </c>
      <c r="D1276" s="2">
        <v>8.2</v>
      </c>
      <c r="E1276" s="2">
        <v>2016.0</v>
      </c>
      <c r="F1276" s="2" t="s">
        <v>10</v>
      </c>
      <c r="G1276" s="2" t="s">
        <v>10</v>
      </c>
    </row>
    <row r="1277" ht="14.25" customHeight="1">
      <c r="A1277" s="1" t="s">
        <v>1132</v>
      </c>
      <c r="B1277" s="1" t="s">
        <v>8</v>
      </c>
      <c r="C1277" s="2" t="s">
        <v>63</v>
      </c>
      <c r="D1277" s="2">
        <v>8.2</v>
      </c>
      <c r="E1277" s="2">
        <v>2018.0</v>
      </c>
      <c r="F1277" s="2">
        <v>2021.0</v>
      </c>
      <c r="G1277" s="2" t="s">
        <v>10</v>
      </c>
    </row>
    <row r="1278" ht="14.25" customHeight="1">
      <c r="A1278" s="1" t="s">
        <v>1133</v>
      </c>
      <c r="B1278" s="1" t="s">
        <v>20</v>
      </c>
      <c r="C1278" s="2" t="s">
        <v>80</v>
      </c>
      <c r="D1278" s="2">
        <v>8.2</v>
      </c>
      <c r="E1278" s="2">
        <v>2017.0</v>
      </c>
      <c r="F1278" s="2" t="s">
        <v>10</v>
      </c>
      <c r="G1278" s="2" t="s">
        <v>10</v>
      </c>
    </row>
    <row r="1279" ht="14.25" customHeight="1">
      <c r="A1279" s="1" t="s">
        <v>1134</v>
      </c>
      <c r="B1279" s="1" t="s">
        <v>20</v>
      </c>
      <c r="C1279" s="2" t="s">
        <v>282</v>
      </c>
      <c r="D1279" s="2">
        <v>8.2</v>
      </c>
      <c r="E1279" s="2">
        <v>1982.0</v>
      </c>
      <c r="F1279" s="2" t="s">
        <v>10</v>
      </c>
      <c r="G1279" s="2" t="s">
        <v>10</v>
      </c>
    </row>
    <row r="1280" ht="14.25" customHeight="1">
      <c r="A1280" s="1" t="s">
        <v>1135</v>
      </c>
      <c r="B1280" s="1" t="s">
        <v>20</v>
      </c>
      <c r="C1280" s="2" t="s">
        <v>142</v>
      </c>
      <c r="D1280" s="2">
        <v>8.2</v>
      </c>
      <c r="E1280" s="2">
        <v>2012.0</v>
      </c>
      <c r="F1280" s="2" t="s">
        <v>10</v>
      </c>
      <c r="G1280" s="2" t="s">
        <v>10</v>
      </c>
    </row>
    <row r="1281" ht="14.25" customHeight="1">
      <c r="A1281" s="1" t="s">
        <v>1136</v>
      </c>
      <c r="B1281" s="1" t="s">
        <v>8</v>
      </c>
      <c r="C1281" s="2" t="s">
        <v>25</v>
      </c>
      <c r="D1281" s="2">
        <v>8.2</v>
      </c>
      <c r="E1281" s="2">
        <v>2013.0</v>
      </c>
      <c r="F1281" s="2" t="s">
        <v>10</v>
      </c>
      <c r="G1281" s="2" t="s">
        <v>10</v>
      </c>
    </row>
    <row r="1282" ht="14.25" customHeight="1">
      <c r="A1282" s="1" t="s">
        <v>1137</v>
      </c>
      <c r="B1282" s="1" t="s">
        <v>8</v>
      </c>
      <c r="C1282" s="2" t="s">
        <v>32</v>
      </c>
      <c r="D1282" s="2">
        <v>8.2</v>
      </c>
      <c r="E1282" s="2">
        <v>2021.0</v>
      </c>
      <c r="F1282" s="2" t="s">
        <v>10</v>
      </c>
      <c r="G1282" s="2" t="s">
        <v>10</v>
      </c>
    </row>
    <row r="1283" ht="14.25" customHeight="1">
      <c r="A1283" s="1" t="s">
        <v>1138</v>
      </c>
      <c r="B1283" s="1" t="s">
        <v>20</v>
      </c>
      <c r="C1283" s="2" t="s">
        <v>18</v>
      </c>
      <c r="D1283" s="2">
        <v>8.2</v>
      </c>
      <c r="E1283" s="2">
        <v>1955.0</v>
      </c>
      <c r="F1283" s="2" t="s">
        <v>10</v>
      </c>
      <c r="G1283" s="2" t="s">
        <v>10</v>
      </c>
    </row>
    <row r="1284" ht="14.25" customHeight="1">
      <c r="A1284" s="1" t="s">
        <v>1139</v>
      </c>
      <c r="B1284" s="1" t="s">
        <v>20</v>
      </c>
      <c r="C1284" s="2" t="s">
        <v>49</v>
      </c>
      <c r="D1284" s="2">
        <v>8.2</v>
      </c>
      <c r="E1284" s="2">
        <v>2018.0</v>
      </c>
      <c r="F1284" s="2" t="s">
        <v>10</v>
      </c>
      <c r="G1284" s="2" t="s">
        <v>10</v>
      </c>
    </row>
    <row r="1285" ht="14.25" customHeight="1">
      <c r="A1285" s="1" t="s">
        <v>1140</v>
      </c>
      <c r="B1285" s="1" t="s">
        <v>8</v>
      </c>
      <c r="C1285" s="2" t="s">
        <v>25</v>
      </c>
      <c r="D1285" s="2">
        <v>8.2</v>
      </c>
      <c r="E1285" s="2">
        <v>2017.0</v>
      </c>
      <c r="F1285" s="2" t="s">
        <v>10</v>
      </c>
      <c r="G1285" s="2" t="s">
        <v>10</v>
      </c>
    </row>
    <row r="1286" ht="14.25" customHeight="1">
      <c r="A1286" s="1" t="s">
        <v>1141</v>
      </c>
      <c r="B1286" s="1" t="s">
        <v>20</v>
      </c>
      <c r="C1286" s="2" t="s">
        <v>1142</v>
      </c>
      <c r="D1286" s="2">
        <v>8.2</v>
      </c>
      <c r="E1286" s="2">
        <v>2012.0</v>
      </c>
      <c r="F1286" s="2">
        <v>2010.0</v>
      </c>
      <c r="G1286" s="2" t="s">
        <v>10</v>
      </c>
    </row>
    <row r="1287" ht="14.25" customHeight="1">
      <c r="A1287" s="1" t="s">
        <v>1143</v>
      </c>
      <c r="B1287" s="1" t="s">
        <v>20</v>
      </c>
      <c r="C1287" s="2" t="s">
        <v>1144</v>
      </c>
      <c r="D1287" s="2">
        <v>8.2</v>
      </c>
      <c r="E1287" s="2">
        <v>2016.0</v>
      </c>
      <c r="F1287" s="2">
        <v>2016.0</v>
      </c>
      <c r="G1287" s="2" t="s">
        <v>10</v>
      </c>
    </row>
    <row r="1288" ht="14.25" customHeight="1">
      <c r="A1288" s="1" t="s">
        <v>1145</v>
      </c>
      <c r="B1288" s="1" t="s">
        <v>8</v>
      </c>
      <c r="C1288" s="2" t="s">
        <v>63</v>
      </c>
      <c r="D1288" s="2">
        <v>8.2</v>
      </c>
      <c r="E1288" s="2">
        <v>2009.0</v>
      </c>
      <c r="F1288" s="2" t="s">
        <v>10</v>
      </c>
      <c r="G1288" s="2" t="s">
        <v>10</v>
      </c>
    </row>
    <row r="1289" ht="14.25" customHeight="1">
      <c r="A1289" s="1" t="s">
        <v>1146</v>
      </c>
      <c r="B1289" s="1" t="s">
        <v>8</v>
      </c>
      <c r="C1289" s="2" t="s">
        <v>34</v>
      </c>
      <c r="D1289" s="2">
        <v>8.2</v>
      </c>
      <c r="E1289" s="2">
        <v>1989.0</v>
      </c>
      <c r="F1289" s="2" t="s">
        <v>10</v>
      </c>
      <c r="G1289" s="2" t="s">
        <v>10</v>
      </c>
    </row>
    <row r="1290" ht="14.25" customHeight="1">
      <c r="A1290" s="1" t="s">
        <v>1147</v>
      </c>
      <c r="B1290" s="1" t="s">
        <v>20</v>
      </c>
      <c r="C1290" s="2" t="s">
        <v>825</v>
      </c>
      <c r="D1290" s="2">
        <v>8.2</v>
      </c>
      <c r="E1290" s="2">
        <v>1975.0</v>
      </c>
      <c r="F1290" s="2" t="s">
        <v>10</v>
      </c>
      <c r="G1290" s="2" t="s">
        <v>10</v>
      </c>
    </row>
    <row r="1291" ht="14.25" customHeight="1">
      <c r="A1291" s="1" t="s">
        <v>1148</v>
      </c>
      <c r="B1291" s="1" t="s">
        <v>8</v>
      </c>
      <c r="C1291" s="2" t="s">
        <v>80</v>
      </c>
      <c r="D1291" s="2">
        <v>8.2</v>
      </c>
      <c r="E1291" s="2">
        <v>2016.0</v>
      </c>
      <c r="F1291" s="2" t="s">
        <v>10</v>
      </c>
      <c r="G1291" s="2" t="s">
        <v>10</v>
      </c>
    </row>
    <row r="1292" ht="14.25" customHeight="1">
      <c r="A1292" s="1" t="s">
        <v>1149</v>
      </c>
      <c r="B1292" s="1" t="s">
        <v>8</v>
      </c>
      <c r="C1292" s="2" t="s">
        <v>53</v>
      </c>
      <c r="D1292" s="2">
        <v>8.2</v>
      </c>
      <c r="E1292" s="2">
        <v>2014.0</v>
      </c>
      <c r="F1292" s="2" t="s">
        <v>10</v>
      </c>
      <c r="G1292" s="2" t="s">
        <v>10</v>
      </c>
    </row>
    <row r="1293" ht="14.25" customHeight="1">
      <c r="A1293" s="1" t="s">
        <v>1150</v>
      </c>
      <c r="B1293" s="1" t="s">
        <v>8</v>
      </c>
      <c r="C1293" s="2" t="s">
        <v>69</v>
      </c>
      <c r="D1293" s="2">
        <v>8.2</v>
      </c>
      <c r="E1293" s="2">
        <v>2024.0</v>
      </c>
      <c r="F1293" s="2" t="s">
        <v>10</v>
      </c>
      <c r="G1293" s="2" t="s">
        <v>10</v>
      </c>
    </row>
    <row r="1294" ht="14.25" customHeight="1">
      <c r="A1294" s="1" t="s">
        <v>1151</v>
      </c>
      <c r="B1294" s="1" t="s">
        <v>20</v>
      </c>
      <c r="C1294" s="2" t="s">
        <v>1152</v>
      </c>
      <c r="D1294" s="2">
        <v>8.2</v>
      </c>
      <c r="E1294" s="2">
        <v>2016.0</v>
      </c>
      <c r="F1294" s="2" t="s">
        <v>10</v>
      </c>
      <c r="G1294" s="2" t="s">
        <v>10</v>
      </c>
    </row>
    <row r="1295" ht="14.25" customHeight="1">
      <c r="A1295" s="1" t="s">
        <v>1153</v>
      </c>
      <c r="B1295" s="1" t="s">
        <v>20</v>
      </c>
      <c r="C1295" s="2" t="s">
        <v>18</v>
      </c>
      <c r="D1295" s="2">
        <v>8.2</v>
      </c>
      <c r="E1295" s="2">
        <v>1952.0</v>
      </c>
      <c r="F1295" s="2" t="s">
        <v>10</v>
      </c>
      <c r="G1295" s="2" t="s">
        <v>10</v>
      </c>
    </row>
    <row r="1296" ht="14.25" customHeight="1">
      <c r="A1296" s="1" t="s">
        <v>1154</v>
      </c>
      <c r="B1296" s="1" t="s">
        <v>8</v>
      </c>
      <c r="C1296" s="2" t="s">
        <v>36</v>
      </c>
      <c r="D1296" s="2">
        <v>8.2</v>
      </c>
      <c r="E1296" s="2">
        <v>2021.0</v>
      </c>
      <c r="F1296" s="2" t="s">
        <v>10</v>
      </c>
      <c r="G1296" s="2" t="s">
        <v>10</v>
      </c>
    </row>
    <row r="1297" ht="14.25" customHeight="1">
      <c r="A1297" s="1" t="s">
        <v>1155</v>
      </c>
      <c r="B1297" s="1" t="s">
        <v>20</v>
      </c>
      <c r="C1297" s="2" t="s">
        <v>339</v>
      </c>
      <c r="D1297" s="2">
        <v>8.2</v>
      </c>
      <c r="E1297" s="2">
        <v>2018.0</v>
      </c>
      <c r="F1297" s="2" t="s">
        <v>10</v>
      </c>
      <c r="G1297" s="2" t="s">
        <v>10</v>
      </c>
    </row>
    <row r="1298" ht="14.25" customHeight="1">
      <c r="A1298" s="1" t="s">
        <v>1156</v>
      </c>
      <c r="B1298" s="1" t="s">
        <v>8</v>
      </c>
      <c r="C1298" s="2" t="s">
        <v>275</v>
      </c>
      <c r="D1298" s="2">
        <v>8.2</v>
      </c>
      <c r="E1298" s="2">
        <v>2006.0</v>
      </c>
      <c r="F1298" s="2" t="s">
        <v>10</v>
      </c>
      <c r="G1298" s="2" t="s">
        <v>10</v>
      </c>
    </row>
    <row r="1299" ht="14.25" customHeight="1">
      <c r="A1299" s="1" t="s">
        <v>1157</v>
      </c>
      <c r="B1299" s="1" t="s">
        <v>8</v>
      </c>
      <c r="C1299" s="2" t="s">
        <v>391</v>
      </c>
      <c r="D1299" s="2">
        <v>8.2</v>
      </c>
      <c r="E1299" s="2">
        <v>2009.0</v>
      </c>
      <c r="F1299" s="2" t="s">
        <v>10</v>
      </c>
      <c r="G1299" s="2" t="s">
        <v>10</v>
      </c>
    </row>
    <row r="1300" ht="14.25" customHeight="1">
      <c r="A1300" s="1" t="s">
        <v>1158</v>
      </c>
      <c r="B1300" s="1" t="s">
        <v>20</v>
      </c>
      <c r="C1300" s="2" t="s">
        <v>863</v>
      </c>
      <c r="D1300" s="2">
        <v>8.2</v>
      </c>
      <c r="E1300" s="2">
        <v>1956.0</v>
      </c>
      <c r="F1300" s="2" t="s">
        <v>10</v>
      </c>
      <c r="G1300" s="2" t="s">
        <v>10</v>
      </c>
    </row>
    <row r="1301" ht="14.25" customHeight="1">
      <c r="A1301" s="1" t="s">
        <v>1159</v>
      </c>
      <c r="B1301" s="1" t="s">
        <v>8</v>
      </c>
      <c r="C1301" s="2" t="s">
        <v>55</v>
      </c>
      <c r="D1301" s="2">
        <v>8.2</v>
      </c>
      <c r="E1301" s="2">
        <v>2020.0</v>
      </c>
      <c r="F1301" s="2">
        <v>2020.0</v>
      </c>
      <c r="G1301" s="2" t="s">
        <v>10</v>
      </c>
    </row>
    <row r="1302" ht="14.25" customHeight="1">
      <c r="A1302" s="1" t="s">
        <v>1160</v>
      </c>
      <c r="B1302" s="1" t="s">
        <v>8</v>
      </c>
      <c r="C1302" s="2" t="s">
        <v>179</v>
      </c>
      <c r="D1302" s="2">
        <v>8.2</v>
      </c>
      <c r="E1302" s="2">
        <v>2020.0</v>
      </c>
      <c r="F1302" s="2" t="s">
        <v>10</v>
      </c>
      <c r="G1302" s="2" t="s">
        <v>10</v>
      </c>
    </row>
    <row r="1303" ht="14.25" customHeight="1">
      <c r="A1303" s="1" t="s">
        <v>1161</v>
      </c>
      <c r="B1303" s="1" t="s">
        <v>20</v>
      </c>
      <c r="C1303" s="2" t="s">
        <v>151</v>
      </c>
      <c r="D1303" s="2">
        <v>8.2</v>
      </c>
      <c r="E1303" s="2">
        <v>2021.0</v>
      </c>
      <c r="F1303" s="2" t="s">
        <v>10</v>
      </c>
      <c r="G1303" s="2" t="s">
        <v>10</v>
      </c>
    </row>
    <row r="1304" ht="14.25" customHeight="1">
      <c r="A1304" s="1" t="s">
        <v>1162</v>
      </c>
      <c r="B1304" s="1" t="s">
        <v>8</v>
      </c>
      <c r="C1304" s="2" t="s">
        <v>32</v>
      </c>
      <c r="D1304" s="2">
        <v>8.2</v>
      </c>
      <c r="E1304" s="2">
        <v>2016.0</v>
      </c>
      <c r="F1304" s="2">
        <v>2021.0</v>
      </c>
      <c r="G1304" s="2" t="s">
        <v>10</v>
      </c>
    </row>
    <row r="1305" ht="14.25" customHeight="1">
      <c r="A1305" s="1" t="s">
        <v>1163</v>
      </c>
      <c r="B1305" s="1" t="s">
        <v>20</v>
      </c>
      <c r="C1305" s="2" t="s">
        <v>530</v>
      </c>
      <c r="D1305" s="2">
        <v>8.2</v>
      </c>
      <c r="E1305" s="2">
        <v>2006.0</v>
      </c>
      <c r="F1305" s="2" t="s">
        <v>10</v>
      </c>
      <c r="G1305" s="2" t="s">
        <v>10</v>
      </c>
    </row>
    <row r="1306" ht="14.25" customHeight="1">
      <c r="A1306" s="1" t="s">
        <v>1164</v>
      </c>
      <c r="B1306" s="1" t="s">
        <v>8</v>
      </c>
      <c r="C1306" s="2" t="s">
        <v>760</v>
      </c>
      <c r="D1306" s="2">
        <v>8.2</v>
      </c>
      <c r="E1306" s="2">
        <v>2010.0</v>
      </c>
      <c r="F1306" s="2" t="s">
        <v>10</v>
      </c>
      <c r="G1306" s="2" t="s">
        <v>10</v>
      </c>
    </row>
    <row r="1307" ht="14.25" customHeight="1">
      <c r="A1307" s="1" t="s">
        <v>1165</v>
      </c>
      <c r="B1307" s="1" t="s">
        <v>8</v>
      </c>
      <c r="C1307" s="2" t="s">
        <v>25</v>
      </c>
      <c r="D1307" s="2">
        <v>8.2</v>
      </c>
      <c r="E1307" s="2">
        <v>1998.0</v>
      </c>
      <c r="F1307" s="2" t="s">
        <v>10</v>
      </c>
      <c r="G1307" s="2" t="s">
        <v>10</v>
      </c>
    </row>
    <row r="1308" ht="14.25" customHeight="1">
      <c r="A1308" s="1" t="s">
        <v>1166</v>
      </c>
      <c r="B1308" s="1" t="s">
        <v>8</v>
      </c>
      <c r="C1308" s="2" t="s">
        <v>597</v>
      </c>
      <c r="D1308" s="2">
        <v>8.2</v>
      </c>
      <c r="E1308" s="2">
        <v>2019.0</v>
      </c>
      <c r="F1308" s="2" t="s">
        <v>10</v>
      </c>
      <c r="G1308" s="2" t="s">
        <v>10</v>
      </c>
    </row>
    <row r="1309" ht="14.25" customHeight="1">
      <c r="A1309" s="1" t="s">
        <v>1167</v>
      </c>
      <c r="B1309" s="1" t="s">
        <v>8</v>
      </c>
      <c r="C1309" s="2" t="s">
        <v>32</v>
      </c>
      <c r="D1309" s="2">
        <v>8.2</v>
      </c>
      <c r="E1309" s="2">
        <v>2015.0</v>
      </c>
      <c r="F1309" s="2" t="s">
        <v>10</v>
      </c>
      <c r="G1309" s="2" t="s">
        <v>10</v>
      </c>
    </row>
    <row r="1310" ht="14.25" customHeight="1">
      <c r="A1310" s="1" t="s">
        <v>1168</v>
      </c>
      <c r="B1310" s="1" t="s">
        <v>20</v>
      </c>
      <c r="C1310" s="2" t="s">
        <v>40</v>
      </c>
      <c r="D1310" s="2">
        <v>8.2</v>
      </c>
      <c r="E1310" s="2">
        <v>1990.0</v>
      </c>
      <c r="F1310" s="2" t="s">
        <v>10</v>
      </c>
      <c r="G1310" s="2" t="s">
        <v>10</v>
      </c>
    </row>
    <row r="1311" ht="14.25" customHeight="1">
      <c r="A1311" s="1" t="s">
        <v>1169</v>
      </c>
      <c r="B1311" s="1" t="s">
        <v>8</v>
      </c>
      <c r="C1311" s="2" t="s">
        <v>1170</v>
      </c>
      <c r="D1311" s="2">
        <v>8.2</v>
      </c>
      <c r="E1311" s="2">
        <v>2016.0</v>
      </c>
      <c r="F1311" s="2">
        <v>2017.0</v>
      </c>
      <c r="G1311" s="2" t="s">
        <v>10</v>
      </c>
    </row>
    <row r="1312" ht="14.25" customHeight="1">
      <c r="A1312" s="1" t="s">
        <v>1171</v>
      </c>
      <c r="B1312" s="1" t="s">
        <v>8</v>
      </c>
      <c r="C1312" s="2" t="s">
        <v>253</v>
      </c>
      <c r="D1312" s="2">
        <v>8.2</v>
      </c>
      <c r="E1312" s="2">
        <v>2016.0</v>
      </c>
      <c r="F1312" s="2" t="s">
        <v>10</v>
      </c>
      <c r="G1312" s="2" t="s">
        <v>10</v>
      </c>
    </row>
    <row r="1313" ht="14.25" customHeight="1">
      <c r="A1313" s="1" t="s">
        <v>1172</v>
      </c>
      <c r="B1313" s="1" t="s">
        <v>20</v>
      </c>
      <c r="C1313" s="2" t="s">
        <v>1058</v>
      </c>
      <c r="D1313" s="2">
        <v>8.2</v>
      </c>
      <c r="E1313" s="2">
        <v>2024.0</v>
      </c>
      <c r="F1313" s="2" t="s">
        <v>10</v>
      </c>
      <c r="G1313" s="2" t="s">
        <v>10</v>
      </c>
    </row>
    <row r="1314" ht="14.25" customHeight="1">
      <c r="A1314" s="1" t="s">
        <v>1173</v>
      </c>
      <c r="B1314" s="1" t="s">
        <v>8</v>
      </c>
      <c r="C1314" s="2" t="s">
        <v>53</v>
      </c>
      <c r="D1314" s="2">
        <v>8.2</v>
      </c>
      <c r="E1314" s="2">
        <v>2004.0</v>
      </c>
      <c r="F1314" s="2" t="s">
        <v>10</v>
      </c>
      <c r="G1314" s="2">
        <v>6450000.0</v>
      </c>
    </row>
    <row r="1315" ht="14.25" customHeight="1">
      <c r="A1315" s="1" t="s">
        <v>1173</v>
      </c>
      <c r="B1315" s="1" t="s">
        <v>8</v>
      </c>
      <c r="C1315" s="2" t="s">
        <v>53</v>
      </c>
      <c r="D1315" s="2">
        <v>8.2</v>
      </c>
      <c r="E1315" s="2">
        <v>2004.0</v>
      </c>
      <c r="F1315" s="2" t="s">
        <v>10</v>
      </c>
      <c r="G1315" s="2">
        <v>9400000.0</v>
      </c>
    </row>
    <row r="1316" ht="14.25" customHeight="1">
      <c r="A1316" s="1" t="s">
        <v>1173</v>
      </c>
      <c r="B1316" s="1" t="s">
        <v>8</v>
      </c>
      <c r="C1316" s="2" t="s">
        <v>53</v>
      </c>
      <c r="D1316" s="2">
        <v>8.2</v>
      </c>
      <c r="E1316" s="2">
        <v>2004.0</v>
      </c>
      <c r="F1316" s="2" t="s">
        <v>10</v>
      </c>
      <c r="G1316" s="2">
        <v>1.464E7</v>
      </c>
    </row>
    <row r="1317" ht="14.25" customHeight="1">
      <c r="A1317" s="1" t="s">
        <v>1173</v>
      </c>
      <c r="B1317" s="1" t="s">
        <v>8</v>
      </c>
      <c r="C1317" s="2" t="s">
        <v>53</v>
      </c>
      <c r="D1317" s="2">
        <v>8.2</v>
      </c>
      <c r="E1317" s="2">
        <v>2004.0</v>
      </c>
      <c r="F1317" s="2" t="s">
        <v>10</v>
      </c>
      <c r="G1317" s="2">
        <v>2.605E7</v>
      </c>
    </row>
    <row r="1318" ht="14.25" customHeight="1">
      <c r="A1318" s="1" t="s">
        <v>1173</v>
      </c>
      <c r="B1318" s="1" t="s">
        <v>8</v>
      </c>
      <c r="C1318" s="2" t="s">
        <v>53</v>
      </c>
      <c r="D1318" s="2">
        <v>8.2</v>
      </c>
      <c r="E1318" s="2">
        <v>2004.0</v>
      </c>
      <c r="F1318" s="2" t="s">
        <v>10</v>
      </c>
      <c r="G1318" s="2">
        <v>5.719E7</v>
      </c>
    </row>
    <row r="1319" ht="14.25" customHeight="1">
      <c r="A1319" s="1" t="s">
        <v>1173</v>
      </c>
      <c r="B1319" s="1" t="s">
        <v>8</v>
      </c>
      <c r="C1319" s="2" t="s">
        <v>53</v>
      </c>
      <c r="D1319" s="2">
        <v>8.2</v>
      </c>
      <c r="E1319" s="2">
        <v>2004.0</v>
      </c>
      <c r="F1319" s="2" t="s">
        <v>10</v>
      </c>
      <c r="G1319" s="2">
        <v>8.458E7</v>
      </c>
    </row>
    <row r="1320" ht="14.25" customHeight="1">
      <c r="A1320" s="1" t="s">
        <v>1174</v>
      </c>
      <c r="B1320" s="1" t="s">
        <v>8</v>
      </c>
      <c r="C1320" s="2" t="s">
        <v>187</v>
      </c>
      <c r="D1320" s="2">
        <v>8.2</v>
      </c>
      <c r="E1320" s="2">
        <v>2007.0</v>
      </c>
      <c r="F1320" s="2" t="s">
        <v>10</v>
      </c>
      <c r="G1320" s="2" t="s">
        <v>10</v>
      </c>
    </row>
    <row r="1321" ht="14.25" customHeight="1">
      <c r="A1321" s="1" t="s">
        <v>1175</v>
      </c>
      <c r="B1321" s="1" t="s">
        <v>8</v>
      </c>
      <c r="C1321" s="2" t="s">
        <v>32</v>
      </c>
      <c r="D1321" s="2">
        <v>8.2</v>
      </c>
      <c r="E1321" s="2">
        <v>2011.0</v>
      </c>
      <c r="F1321" s="2" t="s">
        <v>10</v>
      </c>
      <c r="G1321" s="2" t="s">
        <v>10</v>
      </c>
    </row>
    <row r="1322" ht="14.25" customHeight="1">
      <c r="A1322" s="1" t="s">
        <v>1176</v>
      </c>
      <c r="B1322" s="1" t="s">
        <v>8</v>
      </c>
      <c r="C1322" s="2" t="s">
        <v>9</v>
      </c>
      <c r="D1322" s="2">
        <v>8.2</v>
      </c>
      <c r="E1322" s="2">
        <v>2020.0</v>
      </c>
      <c r="F1322" s="2">
        <v>2020.0</v>
      </c>
      <c r="G1322" s="2" t="s">
        <v>10</v>
      </c>
    </row>
    <row r="1323" ht="14.25" customHeight="1">
      <c r="A1323" s="1" t="s">
        <v>1177</v>
      </c>
      <c r="B1323" s="1" t="s">
        <v>8</v>
      </c>
      <c r="C1323" s="2" t="s">
        <v>25</v>
      </c>
      <c r="D1323" s="2">
        <v>8.2</v>
      </c>
      <c r="E1323" s="2">
        <v>2019.0</v>
      </c>
      <c r="F1323" s="2" t="s">
        <v>10</v>
      </c>
      <c r="G1323" s="2" t="s">
        <v>10</v>
      </c>
    </row>
    <row r="1324" ht="14.25" customHeight="1">
      <c r="A1324" s="1" t="s">
        <v>1178</v>
      </c>
      <c r="B1324" s="1" t="s">
        <v>20</v>
      </c>
      <c r="C1324" s="2" t="s">
        <v>1179</v>
      </c>
      <c r="D1324" s="2">
        <v>8.2</v>
      </c>
      <c r="E1324" s="2">
        <v>1960.0</v>
      </c>
      <c r="F1324" s="2" t="s">
        <v>10</v>
      </c>
      <c r="G1324" s="2" t="s">
        <v>10</v>
      </c>
    </row>
    <row r="1325" ht="14.25" customHeight="1">
      <c r="A1325" s="1" t="s">
        <v>1180</v>
      </c>
      <c r="B1325" s="1" t="s">
        <v>20</v>
      </c>
      <c r="C1325" s="2" t="s">
        <v>36</v>
      </c>
      <c r="D1325" s="2">
        <v>8.2</v>
      </c>
      <c r="E1325" s="2">
        <v>1950.0</v>
      </c>
      <c r="F1325" s="2" t="s">
        <v>10</v>
      </c>
      <c r="G1325" s="2" t="s">
        <v>10</v>
      </c>
    </row>
    <row r="1326" ht="14.25" customHeight="1">
      <c r="A1326" s="1" t="s">
        <v>1181</v>
      </c>
      <c r="B1326" s="1" t="s">
        <v>8</v>
      </c>
      <c r="C1326" s="2" t="s">
        <v>187</v>
      </c>
      <c r="D1326" s="2">
        <v>8.2</v>
      </c>
      <c r="E1326" s="2">
        <v>2014.0</v>
      </c>
      <c r="F1326" s="2" t="s">
        <v>10</v>
      </c>
      <c r="G1326" s="2" t="s">
        <v>10</v>
      </c>
    </row>
    <row r="1327" ht="14.25" customHeight="1">
      <c r="A1327" s="1" t="s">
        <v>1182</v>
      </c>
      <c r="B1327" s="1" t="s">
        <v>8</v>
      </c>
      <c r="C1327" s="2" t="s">
        <v>9</v>
      </c>
      <c r="D1327" s="2">
        <v>8.2</v>
      </c>
      <c r="E1327" s="2">
        <v>2018.0</v>
      </c>
      <c r="F1327" s="2" t="s">
        <v>10</v>
      </c>
      <c r="G1327" s="2" t="s">
        <v>10</v>
      </c>
    </row>
    <row r="1328" ht="14.25" customHeight="1">
      <c r="A1328" s="1" t="s">
        <v>1183</v>
      </c>
      <c r="B1328" s="1" t="s">
        <v>8</v>
      </c>
      <c r="C1328" s="2" t="s">
        <v>32</v>
      </c>
      <c r="D1328" s="2">
        <v>8.2</v>
      </c>
      <c r="E1328" s="2">
        <v>1992.0</v>
      </c>
      <c r="F1328" s="2" t="s">
        <v>10</v>
      </c>
      <c r="G1328" s="2" t="s">
        <v>10</v>
      </c>
    </row>
    <row r="1329" ht="14.25" customHeight="1">
      <c r="A1329" s="1" t="s">
        <v>1184</v>
      </c>
      <c r="B1329" s="1" t="s">
        <v>8</v>
      </c>
      <c r="C1329" s="2" t="s">
        <v>53</v>
      </c>
      <c r="D1329" s="2">
        <v>8.2</v>
      </c>
      <c r="E1329" s="2">
        <v>2011.0</v>
      </c>
      <c r="F1329" s="2" t="s">
        <v>10</v>
      </c>
      <c r="G1329" s="2" t="s">
        <v>10</v>
      </c>
    </row>
    <row r="1330" ht="14.25" customHeight="1">
      <c r="A1330" s="1" t="s">
        <v>1185</v>
      </c>
      <c r="B1330" s="1" t="s">
        <v>8</v>
      </c>
      <c r="C1330" s="2" t="s">
        <v>154</v>
      </c>
      <c r="D1330" s="2">
        <v>8.2</v>
      </c>
      <c r="E1330" s="2">
        <v>2020.0</v>
      </c>
      <c r="F1330" s="2">
        <v>2020.0</v>
      </c>
      <c r="G1330" s="2" t="s">
        <v>10</v>
      </c>
    </row>
    <row r="1331" ht="14.25" customHeight="1">
      <c r="A1331" s="1" t="s">
        <v>1186</v>
      </c>
      <c r="B1331" s="1" t="s">
        <v>8</v>
      </c>
      <c r="C1331" s="2" t="s">
        <v>1187</v>
      </c>
      <c r="D1331" s="2">
        <v>8.2</v>
      </c>
      <c r="E1331" s="2">
        <v>2000.0</v>
      </c>
      <c r="F1331" s="2" t="s">
        <v>10</v>
      </c>
      <c r="G1331" s="2" t="s">
        <v>10</v>
      </c>
    </row>
    <row r="1332" ht="14.25" customHeight="1">
      <c r="A1332" s="1" t="s">
        <v>1188</v>
      </c>
      <c r="B1332" s="1" t="s">
        <v>8</v>
      </c>
      <c r="C1332" s="2" t="s">
        <v>284</v>
      </c>
      <c r="D1332" s="2">
        <v>8.2</v>
      </c>
      <c r="E1332" s="2">
        <v>1994.0</v>
      </c>
      <c r="F1332" s="2">
        <v>2021.0</v>
      </c>
      <c r="G1332" s="2" t="s">
        <v>10</v>
      </c>
    </row>
    <row r="1333" ht="14.25" customHeight="1">
      <c r="A1333" s="1" t="s">
        <v>1189</v>
      </c>
      <c r="B1333" s="1" t="s">
        <v>8</v>
      </c>
      <c r="C1333" s="2" t="s">
        <v>134</v>
      </c>
      <c r="D1333" s="2">
        <v>8.2</v>
      </c>
      <c r="E1333" s="2">
        <v>2021.0</v>
      </c>
      <c r="F1333" s="2" t="s">
        <v>10</v>
      </c>
      <c r="G1333" s="2" t="s">
        <v>10</v>
      </c>
    </row>
    <row r="1334" ht="14.25" customHeight="1">
      <c r="A1334" s="1" t="s">
        <v>1190</v>
      </c>
      <c r="B1334" s="1" t="s">
        <v>8</v>
      </c>
      <c r="C1334" s="2" t="s">
        <v>80</v>
      </c>
      <c r="D1334" s="2">
        <v>8.2</v>
      </c>
      <c r="E1334" s="2">
        <v>2017.0</v>
      </c>
      <c r="F1334" s="2">
        <v>2018.0</v>
      </c>
      <c r="G1334" s="2" t="s">
        <v>10</v>
      </c>
    </row>
    <row r="1335" ht="14.25" customHeight="1">
      <c r="A1335" s="1" t="s">
        <v>1191</v>
      </c>
      <c r="B1335" s="1" t="s">
        <v>8</v>
      </c>
      <c r="C1335" s="2" t="s">
        <v>792</v>
      </c>
      <c r="D1335" s="2">
        <v>8.2</v>
      </c>
      <c r="E1335" s="2">
        <v>2018.0</v>
      </c>
      <c r="F1335" s="2" t="s">
        <v>10</v>
      </c>
      <c r="G1335" s="2" t="s">
        <v>10</v>
      </c>
    </row>
    <row r="1336" ht="14.25" customHeight="1">
      <c r="A1336" s="1" t="s">
        <v>1192</v>
      </c>
      <c r="B1336" s="1" t="s">
        <v>20</v>
      </c>
      <c r="C1336" s="2" t="s">
        <v>63</v>
      </c>
      <c r="D1336" s="2">
        <v>8.2</v>
      </c>
      <c r="E1336" s="2">
        <v>1949.0</v>
      </c>
      <c r="F1336" s="2" t="s">
        <v>10</v>
      </c>
      <c r="G1336" s="2" t="s">
        <v>10</v>
      </c>
    </row>
    <row r="1337" ht="14.25" customHeight="1">
      <c r="A1337" s="1" t="s">
        <v>1193</v>
      </c>
      <c r="B1337" s="1" t="s">
        <v>8</v>
      </c>
      <c r="C1337" s="2" t="s">
        <v>530</v>
      </c>
      <c r="D1337" s="2">
        <v>8.2</v>
      </c>
      <c r="E1337" s="2">
        <v>2017.0</v>
      </c>
      <c r="F1337" s="2">
        <v>2017.0</v>
      </c>
      <c r="G1337" s="2" t="s">
        <v>10</v>
      </c>
    </row>
    <row r="1338" ht="14.25" customHeight="1">
      <c r="A1338" s="1" t="s">
        <v>1194</v>
      </c>
      <c r="B1338" s="1" t="s">
        <v>8</v>
      </c>
      <c r="C1338" s="2" t="s">
        <v>55</v>
      </c>
      <c r="D1338" s="2">
        <v>8.2</v>
      </c>
      <c r="E1338" s="2">
        <v>2010.0</v>
      </c>
      <c r="F1338" s="2">
        <v>2012.0</v>
      </c>
      <c r="G1338" s="2" t="s">
        <v>10</v>
      </c>
    </row>
    <row r="1339" ht="14.25" customHeight="1">
      <c r="A1339" s="1" t="s">
        <v>1195</v>
      </c>
      <c r="B1339" s="1" t="s">
        <v>8</v>
      </c>
      <c r="C1339" s="2" t="s">
        <v>760</v>
      </c>
      <c r="D1339" s="2">
        <v>8.2</v>
      </c>
      <c r="E1339" s="2">
        <v>1993.0</v>
      </c>
      <c r="F1339" s="2" t="s">
        <v>10</v>
      </c>
      <c r="G1339" s="2" t="s">
        <v>10</v>
      </c>
    </row>
    <row r="1340" ht="14.25" customHeight="1">
      <c r="A1340" s="1" t="s">
        <v>1196</v>
      </c>
      <c r="B1340" s="1" t="s">
        <v>20</v>
      </c>
      <c r="C1340" s="2" t="s">
        <v>446</v>
      </c>
      <c r="D1340" s="2">
        <v>8.2</v>
      </c>
      <c r="E1340" s="2">
        <v>1973.0</v>
      </c>
      <c r="F1340" s="2" t="s">
        <v>10</v>
      </c>
      <c r="G1340" s="2" t="s">
        <v>10</v>
      </c>
    </row>
    <row r="1341" ht="14.25" customHeight="1">
      <c r="A1341" s="1" t="s">
        <v>1197</v>
      </c>
      <c r="B1341" s="1" t="s">
        <v>8</v>
      </c>
      <c r="C1341" s="2" t="s">
        <v>895</v>
      </c>
      <c r="D1341" s="2">
        <v>8.2</v>
      </c>
      <c r="E1341" s="2">
        <v>2015.0</v>
      </c>
      <c r="F1341" s="2" t="s">
        <v>10</v>
      </c>
      <c r="G1341" s="2" t="s">
        <v>10</v>
      </c>
    </row>
    <row r="1342" ht="14.25" customHeight="1">
      <c r="A1342" s="1" t="s">
        <v>1198</v>
      </c>
      <c r="B1342" s="1" t="s">
        <v>20</v>
      </c>
      <c r="C1342" s="2" t="s">
        <v>785</v>
      </c>
      <c r="D1342" s="2">
        <v>8.2</v>
      </c>
      <c r="E1342" s="2">
        <v>2023.0</v>
      </c>
      <c r="F1342" s="2" t="s">
        <v>10</v>
      </c>
      <c r="G1342" s="2" t="s">
        <v>10</v>
      </c>
    </row>
    <row r="1343" ht="14.25" customHeight="1">
      <c r="A1343" s="1" t="s">
        <v>1199</v>
      </c>
      <c r="B1343" s="1" t="s">
        <v>20</v>
      </c>
      <c r="C1343" s="2" t="s">
        <v>12</v>
      </c>
      <c r="D1343" s="2">
        <v>8.2</v>
      </c>
      <c r="E1343" s="2">
        <v>1990.0</v>
      </c>
      <c r="F1343" s="2">
        <v>1990.0</v>
      </c>
      <c r="G1343" s="2" t="s">
        <v>10</v>
      </c>
    </row>
    <row r="1344" ht="14.25" customHeight="1">
      <c r="A1344" s="1" t="s">
        <v>1200</v>
      </c>
      <c r="B1344" s="1" t="s">
        <v>20</v>
      </c>
      <c r="C1344" s="2" t="s">
        <v>497</v>
      </c>
      <c r="D1344" s="2">
        <v>8.2</v>
      </c>
      <c r="E1344" s="2">
        <v>1996.0</v>
      </c>
      <c r="F1344" s="2" t="s">
        <v>10</v>
      </c>
      <c r="G1344" s="2" t="s">
        <v>10</v>
      </c>
    </row>
    <row r="1345" ht="14.25" customHeight="1">
      <c r="A1345" s="1" t="s">
        <v>1201</v>
      </c>
      <c r="B1345" s="1" t="s">
        <v>20</v>
      </c>
      <c r="C1345" s="2" t="s">
        <v>530</v>
      </c>
      <c r="D1345" s="2">
        <v>8.2</v>
      </c>
      <c r="E1345" s="2">
        <v>2019.0</v>
      </c>
      <c r="F1345" s="2">
        <v>2019.0</v>
      </c>
      <c r="G1345" s="2" t="s">
        <v>10</v>
      </c>
    </row>
    <row r="1346" ht="14.25" customHeight="1">
      <c r="A1346" s="1" t="s">
        <v>1202</v>
      </c>
      <c r="B1346" s="1" t="s">
        <v>8</v>
      </c>
      <c r="C1346" s="2" t="s">
        <v>53</v>
      </c>
      <c r="D1346" s="2">
        <v>8.2</v>
      </c>
      <c r="E1346" s="2">
        <v>2008.0</v>
      </c>
      <c r="F1346" s="2" t="s">
        <v>10</v>
      </c>
      <c r="G1346" s="2" t="s">
        <v>10</v>
      </c>
    </row>
    <row r="1347" ht="14.25" customHeight="1">
      <c r="A1347" s="1" t="s">
        <v>1203</v>
      </c>
      <c r="B1347" s="1" t="s">
        <v>8</v>
      </c>
      <c r="C1347" s="2" t="s">
        <v>356</v>
      </c>
      <c r="D1347" s="2">
        <v>8.2</v>
      </c>
      <c r="E1347" s="2">
        <v>2012.0</v>
      </c>
      <c r="F1347" s="2" t="s">
        <v>10</v>
      </c>
      <c r="G1347" s="2" t="s">
        <v>10</v>
      </c>
    </row>
    <row r="1348" ht="14.25" customHeight="1">
      <c r="A1348" s="1" t="s">
        <v>1204</v>
      </c>
      <c r="B1348" s="1" t="s">
        <v>20</v>
      </c>
      <c r="C1348" s="2" t="s">
        <v>18</v>
      </c>
      <c r="D1348" s="2">
        <v>8.2</v>
      </c>
      <c r="E1348" s="2">
        <v>2016.0</v>
      </c>
      <c r="F1348" s="2" t="s">
        <v>10</v>
      </c>
      <c r="G1348" s="2" t="s">
        <v>10</v>
      </c>
    </row>
    <row r="1349" ht="14.25" customHeight="1">
      <c r="A1349" s="1" t="s">
        <v>1205</v>
      </c>
      <c r="B1349" s="1" t="s">
        <v>20</v>
      </c>
      <c r="C1349" s="2" t="s">
        <v>169</v>
      </c>
      <c r="D1349" s="2">
        <v>8.2</v>
      </c>
      <c r="E1349" s="2">
        <v>2012.0</v>
      </c>
      <c r="F1349" s="2" t="s">
        <v>10</v>
      </c>
      <c r="G1349" s="2" t="s">
        <v>10</v>
      </c>
    </row>
    <row r="1350" ht="14.25" customHeight="1">
      <c r="A1350" s="1" t="s">
        <v>1206</v>
      </c>
      <c r="B1350" s="1" t="s">
        <v>20</v>
      </c>
      <c r="C1350" s="2" t="s">
        <v>239</v>
      </c>
      <c r="D1350" s="2">
        <v>8.2</v>
      </c>
      <c r="E1350" s="2">
        <v>2004.0</v>
      </c>
      <c r="F1350" s="2" t="s">
        <v>10</v>
      </c>
      <c r="G1350" s="2" t="s">
        <v>10</v>
      </c>
    </row>
    <row r="1351" ht="14.25" customHeight="1">
      <c r="A1351" s="1" t="s">
        <v>1207</v>
      </c>
      <c r="B1351" s="1" t="s">
        <v>20</v>
      </c>
      <c r="C1351" s="2" t="s">
        <v>18</v>
      </c>
      <c r="D1351" s="2">
        <v>8.2</v>
      </c>
      <c r="E1351" s="2">
        <v>1955.0</v>
      </c>
      <c r="F1351" s="2" t="s">
        <v>10</v>
      </c>
      <c r="G1351" s="2" t="s">
        <v>10</v>
      </c>
    </row>
    <row r="1352" ht="14.25" customHeight="1">
      <c r="A1352" s="1" t="s">
        <v>1208</v>
      </c>
      <c r="B1352" s="1" t="s">
        <v>20</v>
      </c>
      <c r="C1352" s="2" t="s">
        <v>80</v>
      </c>
      <c r="D1352" s="2">
        <v>8.2</v>
      </c>
      <c r="E1352" s="2">
        <v>1980.0</v>
      </c>
      <c r="F1352" s="2" t="s">
        <v>10</v>
      </c>
      <c r="G1352" s="2" t="s">
        <v>10</v>
      </c>
    </row>
    <row r="1353" ht="14.25" customHeight="1">
      <c r="A1353" s="1" t="s">
        <v>1209</v>
      </c>
      <c r="B1353" s="1" t="s">
        <v>20</v>
      </c>
      <c r="C1353" s="2" t="s">
        <v>452</v>
      </c>
      <c r="D1353" s="2">
        <v>8.2</v>
      </c>
      <c r="E1353" s="2">
        <v>1957.0</v>
      </c>
      <c r="F1353" s="2" t="s">
        <v>10</v>
      </c>
      <c r="G1353" s="2" t="s">
        <v>10</v>
      </c>
    </row>
    <row r="1354" ht="14.25" customHeight="1">
      <c r="A1354" s="1" t="s">
        <v>1210</v>
      </c>
      <c r="B1354" s="1" t="s">
        <v>8</v>
      </c>
      <c r="C1354" s="2" t="s">
        <v>756</v>
      </c>
      <c r="D1354" s="2">
        <v>8.2</v>
      </c>
      <c r="E1354" s="2">
        <v>2007.0</v>
      </c>
      <c r="F1354" s="2">
        <v>2016.0</v>
      </c>
      <c r="G1354" s="2" t="s">
        <v>10</v>
      </c>
    </row>
    <row r="1355" ht="14.25" customHeight="1">
      <c r="A1355" s="1" t="s">
        <v>1211</v>
      </c>
      <c r="B1355" s="1" t="s">
        <v>8</v>
      </c>
      <c r="C1355" s="2" t="s">
        <v>32</v>
      </c>
      <c r="D1355" s="2">
        <v>8.2</v>
      </c>
      <c r="E1355" s="2">
        <v>2009.0</v>
      </c>
      <c r="F1355" s="2" t="s">
        <v>10</v>
      </c>
      <c r="G1355" s="2" t="s">
        <v>10</v>
      </c>
    </row>
    <row r="1356" ht="14.25" customHeight="1">
      <c r="A1356" s="1" t="s">
        <v>1212</v>
      </c>
      <c r="B1356" s="1" t="s">
        <v>20</v>
      </c>
      <c r="C1356" s="2" t="s">
        <v>291</v>
      </c>
      <c r="D1356" s="2">
        <v>8.2</v>
      </c>
      <c r="E1356" s="2">
        <v>2017.0</v>
      </c>
      <c r="F1356" s="2" t="s">
        <v>10</v>
      </c>
      <c r="G1356" s="2" t="s">
        <v>10</v>
      </c>
    </row>
    <row r="1357" ht="14.25" customHeight="1">
      <c r="A1357" s="1" t="s">
        <v>1213</v>
      </c>
      <c r="B1357" s="1" t="s">
        <v>20</v>
      </c>
      <c r="C1357" s="2" t="s">
        <v>53</v>
      </c>
      <c r="D1357" s="2">
        <v>8.2</v>
      </c>
      <c r="E1357" s="2">
        <v>2016.0</v>
      </c>
      <c r="F1357" s="2" t="s">
        <v>10</v>
      </c>
      <c r="G1357" s="2" t="s">
        <v>10</v>
      </c>
    </row>
    <row r="1358" ht="14.25" customHeight="1">
      <c r="A1358" s="1" t="s">
        <v>1214</v>
      </c>
      <c r="B1358" s="1" t="s">
        <v>8</v>
      </c>
      <c r="C1358" s="2" t="s">
        <v>284</v>
      </c>
      <c r="D1358" s="2">
        <v>8.2</v>
      </c>
      <c r="E1358" s="2">
        <v>2013.0</v>
      </c>
      <c r="F1358" s="2" t="s">
        <v>10</v>
      </c>
      <c r="G1358" s="2" t="s">
        <v>10</v>
      </c>
    </row>
    <row r="1359" ht="14.25" customHeight="1">
      <c r="A1359" s="1" t="s">
        <v>1215</v>
      </c>
      <c r="B1359" s="1" t="s">
        <v>20</v>
      </c>
      <c r="C1359" s="2" t="s">
        <v>63</v>
      </c>
      <c r="D1359" s="2">
        <v>8.2</v>
      </c>
      <c r="E1359" s="2">
        <v>2012.0</v>
      </c>
      <c r="F1359" s="2" t="s">
        <v>10</v>
      </c>
      <c r="G1359" s="2" t="s">
        <v>10</v>
      </c>
    </row>
    <row r="1360" ht="14.25" customHeight="1">
      <c r="A1360" s="1" t="s">
        <v>1216</v>
      </c>
      <c r="B1360" s="1" t="s">
        <v>8</v>
      </c>
      <c r="C1360" s="2" t="s">
        <v>34</v>
      </c>
      <c r="D1360" s="2">
        <v>8.2</v>
      </c>
      <c r="E1360" s="2">
        <v>2004.0</v>
      </c>
      <c r="F1360" s="2" t="s">
        <v>10</v>
      </c>
      <c r="G1360" s="2" t="s">
        <v>10</v>
      </c>
    </row>
    <row r="1361" ht="14.25" customHeight="1">
      <c r="A1361" s="1" t="s">
        <v>1217</v>
      </c>
      <c r="B1361" s="1" t="s">
        <v>8</v>
      </c>
      <c r="C1361" s="2" t="s">
        <v>32</v>
      </c>
      <c r="D1361" s="2">
        <v>8.2</v>
      </c>
      <c r="E1361" s="2">
        <v>1982.0</v>
      </c>
      <c r="F1361" s="2" t="s">
        <v>10</v>
      </c>
      <c r="G1361" s="2" t="s">
        <v>10</v>
      </c>
    </row>
    <row r="1362" ht="14.25" customHeight="1">
      <c r="A1362" s="1" t="s">
        <v>1218</v>
      </c>
      <c r="B1362" s="1" t="s">
        <v>8</v>
      </c>
      <c r="C1362" s="2" t="s">
        <v>92</v>
      </c>
      <c r="D1362" s="2">
        <v>8.2</v>
      </c>
      <c r="E1362" s="2">
        <v>1990.0</v>
      </c>
      <c r="F1362" s="2" t="s">
        <v>10</v>
      </c>
      <c r="G1362" s="2" t="s">
        <v>10</v>
      </c>
    </row>
    <row r="1363" ht="14.25" customHeight="1">
      <c r="A1363" s="1" t="s">
        <v>1219</v>
      </c>
      <c r="B1363" s="1" t="s">
        <v>20</v>
      </c>
      <c r="C1363" s="2" t="s">
        <v>18</v>
      </c>
      <c r="D1363" s="2">
        <v>8.2</v>
      </c>
      <c r="E1363" s="2">
        <v>1956.0</v>
      </c>
      <c r="F1363" s="2" t="s">
        <v>10</v>
      </c>
      <c r="G1363" s="2" t="s">
        <v>10</v>
      </c>
    </row>
    <row r="1364" ht="14.25" customHeight="1">
      <c r="A1364" s="1" t="s">
        <v>1220</v>
      </c>
      <c r="B1364" s="1" t="s">
        <v>8</v>
      </c>
      <c r="C1364" s="2" t="s">
        <v>80</v>
      </c>
      <c r="D1364" s="2">
        <v>8.2</v>
      </c>
      <c r="E1364" s="2">
        <v>2019.0</v>
      </c>
      <c r="F1364" s="2" t="s">
        <v>10</v>
      </c>
      <c r="G1364" s="2" t="s">
        <v>10</v>
      </c>
    </row>
    <row r="1365" ht="14.25" customHeight="1">
      <c r="A1365" s="1" t="s">
        <v>1221</v>
      </c>
      <c r="B1365" s="1" t="s">
        <v>8</v>
      </c>
      <c r="C1365" s="2" t="s">
        <v>53</v>
      </c>
      <c r="D1365" s="2">
        <v>8.2</v>
      </c>
      <c r="E1365" s="2">
        <v>2006.0</v>
      </c>
      <c r="F1365" s="2" t="s">
        <v>10</v>
      </c>
      <c r="G1365" s="2" t="s">
        <v>10</v>
      </c>
    </row>
    <row r="1366" ht="14.25" customHeight="1">
      <c r="A1366" s="1" t="s">
        <v>1222</v>
      </c>
      <c r="B1366" s="1" t="s">
        <v>8</v>
      </c>
      <c r="C1366" s="2" t="s">
        <v>187</v>
      </c>
      <c r="D1366" s="2">
        <v>8.2</v>
      </c>
      <c r="E1366" s="2">
        <v>2024.0</v>
      </c>
      <c r="F1366" s="2" t="s">
        <v>10</v>
      </c>
      <c r="G1366" s="2" t="s">
        <v>10</v>
      </c>
    </row>
    <row r="1367" ht="14.25" customHeight="1">
      <c r="A1367" s="1" t="s">
        <v>1223</v>
      </c>
      <c r="B1367" s="1" t="s">
        <v>20</v>
      </c>
      <c r="C1367" s="2" t="s">
        <v>69</v>
      </c>
      <c r="D1367" s="2">
        <v>8.2</v>
      </c>
      <c r="E1367" s="2">
        <v>2005.0</v>
      </c>
      <c r="F1367" s="2" t="s">
        <v>10</v>
      </c>
      <c r="G1367" s="2" t="s">
        <v>10</v>
      </c>
    </row>
    <row r="1368" ht="14.25" customHeight="1">
      <c r="A1368" s="1" t="s">
        <v>1224</v>
      </c>
      <c r="B1368" s="1" t="s">
        <v>8</v>
      </c>
      <c r="C1368" s="2" t="s">
        <v>25</v>
      </c>
      <c r="D1368" s="2">
        <v>8.2</v>
      </c>
      <c r="E1368" s="2">
        <v>2011.0</v>
      </c>
      <c r="F1368" s="2">
        <v>2012.0</v>
      </c>
      <c r="G1368" s="2" t="s">
        <v>10</v>
      </c>
    </row>
    <row r="1369" ht="14.25" customHeight="1">
      <c r="A1369" s="1" t="s">
        <v>1225</v>
      </c>
      <c r="B1369" s="1" t="s">
        <v>8</v>
      </c>
      <c r="C1369" s="2" t="s">
        <v>163</v>
      </c>
      <c r="D1369" s="2">
        <v>8.2</v>
      </c>
      <c r="E1369" s="2">
        <v>2007.0</v>
      </c>
      <c r="F1369" s="2">
        <v>2008.0</v>
      </c>
      <c r="G1369" s="2" t="s">
        <v>10</v>
      </c>
    </row>
    <row r="1370" ht="14.25" customHeight="1">
      <c r="A1370" s="1" t="s">
        <v>1226</v>
      </c>
      <c r="B1370" s="1" t="s">
        <v>8</v>
      </c>
      <c r="C1370" s="2" t="s">
        <v>742</v>
      </c>
      <c r="D1370" s="2">
        <v>8.2</v>
      </c>
      <c r="E1370" s="2">
        <v>2016.0</v>
      </c>
      <c r="F1370" s="2" t="s">
        <v>10</v>
      </c>
      <c r="G1370" s="2" t="s">
        <v>10</v>
      </c>
    </row>
    <row r="1371" ht="14.25" customHeight="1">
      <c r="A1371" s="1" t="s">
        <v>1227</v>
      </c>
      <c r="B1371" s="1" t="s">
        <v>8</v>
      </c>
      <c r="C1371" s="2" t="s">
        <v>53</v>
      </c>
      <c r="D1371" s="2">
        <v>8.2</v>
      </c>
      <c r="E1371" s="2">
        <v>1987.0</v>
      </c>
      <c r="F1371" s="2" t="s">
        <v>10</v>
      </c>
      <c r="G1371" s="2" t="s">
        <v>10</v>
      </c>
    </row>
    <row r="1372" ht="14.25" customHeight="1">
      <c r="A1372" s="1" t="s">
        <v>1228</v>
      </c>
      <c r="B1372" s="1" t="s">
        <v>20</v>
      </c>
      <c r="C1372" s="2" t="s">
        <v>844</v>
      </c>
      <c r="D1372" s="2">
        <v>8.2</v>
      </c>
      <c r="E1372" s="2">
        <v>1932.0</v>
      </c>
      <c r="F1372" s="2" t="s">
        <v>10</v>
      </c>
      <c r="G1372" s="2" t="s">
        <v>10</v>
      </c>
    </row>
    <row r="1373" ht="14.25" customHeight="1">
      <c r="A1373" s="1" t="s">
        <v>1229</v>
      </c>
      <c r="B1373" s="1" t="s">
        <v>20</v>
      </c>
      <c r="C1373" s="2" t="s">
        <v>1230</v>
      </c>
      <c r="D1373" s="2">
        <v>8.2</v>
      </c>
      <c r="E1373" s="2">
        <v>2008.0</v>
      </c>
      <c r="F1373" s="2" t="s">
        <v>10</v>
      </c>
      <c r="G1373" s="2" t="s">
        <v>10</v>
      </c>
    </row>
    <row r="1374" ht="14.25" customHeight="1">
      <c r="A1374" s="1" t="s">
        <v>1231</v>
      </c>
      <c r="B1374" s="1" t="s">
        <v>8</v>
      </c>
      <c r="C1374" s="2" t="s">
        <v>154</v>
      </c>
      <c r="D1374" s="2">
        <v>8.2</v>
      </c>
      <c r="E1374" s="2">
        <v>2019.0</v>
      </c>
      <c r="F1374" s="2" t="s">
        <v>10</v>
      </c>
      <c r="G1374" s="2" t="s">
        <v>10</v>
      </c>
    </row>
    <row r="1375" ht="14.25" customHeight="1">
      <c r="A1375" s="1" t="s">
        <v>1232</v>
      </c>
      <c r="B1375" s="1" t="s">
        <v>8</v>
      </c>
      <c r="C1375" s="2" t="s">
        <v>9</v>
      </c>
      <c r="D1375" s="2">
        <v>8.2</v>
      </c>
      <c r="E1375" s="2">
        <v>2019.0</v>
      </c>
      <c r="F1375" s="2" t="s">
        <v>10</v>
      </c>
      <c r="G1375" s="2" t="s">
        <v>10</v>
      </c>
    </row>
    <row r="1376" ht="14.25" customHeight="1">
      <c r="A1376" s="1" t="s">
        <v>1233</v>
      </c>
      <c r="B1376" s="1" t="s">
        <v>20</v>
      </c>
      <c r="C1376" s="2" t="s">
        <v>80</v>
      </c>
      <c r="D1376" s="2">
        <v>8.2</v>
      </c>
      <c r="E1376" s="2">
        <v>2019.0</v>
      </c>
      <c r="F1376" s="2" t="s">
        <v>10</v>
      </c>
      <c r="G1376" s="2" t="s">
        <v>10</v>
      </c>
    </row>
    <row r="1377" ht="14.25" customHeight="1">
      <c r="A1377" s="1" t="s">
        <v>1234</v>
      </c>
      <c r="B1377" s="1" t="s">
        <v>8</v>
      </c>
      <c r="C1377" s="2" t="s">
        <v>845</v>
      </c>
      <c r="D1377" s="2">
        <v>8.2</v>
      </c>
      <c r="E1377" s="2">
        <v>1965.0</v>
      </c>
      <c r="F1377" s="2">
        <v>2008.0</v>
      </c>
      <c r="G1377" s="2" t="s">
        <v>10</v>
      </c>
    </row>
    <row r="1378" ht="14.25" customHeight="1">
      <c r="A1378" s="1" t="s">
        <v>1235</v>
      </c>
      <c r="B1378" s="1" t="s">
        <v>20</v>
      </c>
      <c r="C1378" s="2" t="s">
        <v>530</v>
      </c>
      <c r="D1378" s="2">
        <v>8.2</v>
      </c>
      <c r="E1378" s="2">
        <v>2014.0</v>
      </c>
      <c r="F1378" s="2" t="s">
        <v>10</v>
      </c>
      <c r="G1378" s="2" t="s">
        <v>10</v>
      </c>
    </row>
    <row r="1379" ht="14.25" customHeight="1">
      <c r="A1379" s="1" t="s">
        <v>1236</v>
      </c>
      <c r="B1379" s="1" t="s">
        <v>8</v>
      </c>
      <c r="C1379" s="2" t="s">
        <v>154</v>
      </c>
      <c r="D1379" s="2">
        <v>8.2</v>
      </c>
      <c r="E1379" s="2">
        <v>2023.0</v>
      </c>
      <c r="F1379" s="2" t="s">
        <v>10</v>
      </c>
      <c r="G1379" s="2" t="s">
        <v>10</v>
      </c>
    </row>
    <row r="1380" ht="14.25" customHeight="1">
      <c r="A1380" s="1" t="s">
        <v>1237</v>
      </c>
      <c r="B1380" s="1" t="s">
        <v>8</v>
      </c>
      <c r="C1380" s="2" t="s">
        <v>305</v>
      </c>
      <c r="D1380" s="2">
        <v>8.2</v>
      </c>
      <c r="E1380" s="2">
        <v>2008.0</v>
      </c>
      <c r="F1380" s="2" t="s">
        <v>10</v>
      </c>
      <c r="G1380" s="2" t="s">
        <v>10</v>
      </c>
    </row>
    <row r="1381" ht="14.25" customHeight="1">
      <c r="A1381" s="1" t="s">
        <v>1238</v>
      </c>
      <c r="B1381" s="1" t="s">
        <v>20</v>
      </c>
      <c r="C1381" s="2" t="s">
        <v>192</v>
      </c>
      <c r="D1381" s="2">
        <v>8.2</v>
      </c>
      <c r="E1381" s="2">
        <v>1991.0</v>
      </c>
      <c r="F1381" s="2" t="s">
        <v>10</v>
      </c>
      <c r="G1381" s="2" t="s">
        <v>10</v>
      </c>
    </row>
    <row r="1382" ht="14.25" customHeight="1">
      <c r="A1382" s="1" t="s">
        <v>1239</v>
      </c>
      <c r="B1382" s="1" t="s">
        <v>20</v>
      </c>
      <c r="C1382" s="2" t="s">
        <v>1240</v>
      </c>
      <c r="D1382" s="2">
        <v>8.2</v>
      </c>
      <c r="E1382" s="2">
        <v>2018.0</v>
      </c>
      <c r="F1382" s="2" t="s">
        <v>10</v>
      </c>
      <c r="G1382" s="2" t="s">
        <v>10</v>
      </c>
    </row>
    <row r="1383" ht="14.25" customHeight="1">
      <c r="A1383" s="1" t="s">
        <v>1241</v>
      </c>
      <c r="B1383" s="1" t="s">
        <v>8</v>
      </c>
      <c r="C1383" s="2" t="s">
        <v>179</v>
      </c>
      <c r="D1383" s="2">
        <v>8.2</v>
      </c>
      <c r="E1383" s="2">
        <v>1990.0</v>
      </c>
      <c r="F1383" s="2" t="s">
        <v>10</v>
      </c>
      <c r="G1383" s="2" t="s">
        <v>10</v>
      </c>
    </row>
    <row r="1384" ht="14.25" customHeight="1">
      <c r="A1384" s="1" t="s">
        <v>1242</v>
      </c>
      <c r="B1384" s="1" t="s">
        <v>20</v>
      </c>
      <c r="C1384" s="2" t="s">
        <v>63</v>
      </c>
      <c r="D1384" s="2">
        <v>8.2</v>
      </c>
      <c r="E1384" s="2">
        <v>1962.0</v>
      </c>
      <c r="F1384" s="2" t="s">
        <v>10</v>
      </c>
      <c r="G1384" s="2" t="s">
        <v>10</v>
      </c>
    </row>
    <row r="1385" ht="14.25" customHeight="1">
      <c r="A1385" s="1" t="s">
        <v>1243</v>
      </c>
      <c r="B1385" s="1" t="s">
        <v>20</v>
      </c>
      <c r="C1385" s="2" t="s">
        <v>18</v>
      </c>
      <c r="D1385" s="2">
        <v>8.2</v>
      </c>
      <c r="E1385" s="2">
        <v>1994.0</v>
      </c>
      <c r="F1385" s="2" t="s">
        <v>10</v>
      </c>
      <c r="G1385" s="2" t="s">
        <v>10</v>
      </c>
    </row>
    <row r="1386" ht="14.25" customHeight="1">
      <c r="A1386" s="1" t="s">
        <v>1244</v>
      </c>
      <c r="B1386" s="1" t="s">
        <v>8</v>
      </c>
      <c r="C1386" s="2" t="s">
        <v>25</v>
      </c>
      <c r="D1386" s="2">
        <v>8.2</v>
      </c>
      <c r="E1386" s="2">
        <v>2007.0</v>
      </c>
      <c r="F1386" s="2" t="s">
        <v>10</v>
      </c>
      <c r="G1386" s="2" t="s">
        <v>10</v>
      </c>
    </row>
    <row r="1387" ht="14.25" customHeight="1">
      <c r="A1387" s="1" t="s">
        <v>1245</v>
      </c>
      <c r="B1387" s="1" t="s">
        <v>8</v>
      </c>
      <c r="C1387" s="2" t="s">
        <v>1246</v>
      </c>
      <c r="D1387" s="2">
        <v>8.2</v>
      </c>
      <c r="E1387" s="2">
        <v>2012.0</v>
      </c>
      <c r="F1387" s="2">
        <v>2015.0</v>
      </c>
      <c r="G1387" s="2" t="s">
        <v>10</v>
      </c>
    </row>
    <row r="1388" ht="14.25" customHeight="1">
      <c r="A1388" s="1" t="s">
        <v>1247</v>
      </c>
      <c r="B1388" s="1" t="s">
        <v>8</v>
      </c>
      <c r="C1388" s="2" t="s">
        <v>559</v>
      </c>
      <c r="D1388" s="2">
        <v>8.2</v>
      </c>
      <c r="E1388" s="2">
        <v>2006.0</v>
      </c>
      <c r="F1388" s="2">
        <v>2006.0</v>
      </c>
      <c r="G1388" s="2" t="s">
        <v>10</v>
      </c>
    </row>
    <row r="1389" ht="14.25" customHeight="1">
      <c r="A1389" s="1" t="s">
        <v>1248</v>
      </c>
      <c r="B1389" s="1" t="s">
        <v>8</v>
      </c>
      <c r="C1389" s="2" t="s">
        <v>25</v>
      </c>
      <c r="D1389" s="2">
        <v>8.2</v>
      </c>
      <c r="E1389" s="2">
        <v>2011.0</v>
      </c>
      <c r="F1389" s="2">
        <v>2011.0</v>
      </c>
      <c r="G1389" s="2" t="s">
        <v>10</v>
      </c>
    </row>
    <row r="1390" ht="14.25" customHeight="1">
      <c r="A1390" s="1" t="s">
        <v>1249</v>
      </c>
      <c r="B1390" s="1" t="s">
        <v>8</v>
      </c>
      <c r="C1390" s="2" t="s">
        <v>130</v>
      </c>
      <c r="D1390" s="2">
        <v>8.2</v>
      </c>
      <c r="E1390" s="2">
        <v>2003.0</v>
      </c>
      <c r="F1390" s="2" t="s">
        <v>10</v>
      </c>
      <c r="G1390" s="2" t="s">
        <v>10</v>
      </c>
    </row>
    <row r="1391" ht="14.25" customHeight="1">
      <c r="A1391" s="1" t="s">
        <v>1250</v>
      </c>
      <c r="B1391" s="1" t="s">
        <v>20</v>
      </c>
      <c r="C1391" s="2" t="s">
        <v>461</v>
      </c>
      <c r="D1391" s="2">
        <v>8.2</v>
      </c>
      <c r="E1391" s="2">
        <v>1959.0</v>
      </c>
      <c r="F1391" s="2" t="s">
        <v>10</v>
      </c>
      <c r="G1391" s="2" t="s">
        <v>10</v>
      </c>
    </row>
    <row r="1392" ht="14.25" customHeight="1">
      <c r="A1392" s="1" t="s">
        <v>1251</v>
      </c>
      <c r="B1392" s="1" t="s">
        <v>8</v>
      </c>
      <c r="C1392" s="2" t="s">
        <v>53</v>
      </c>
      <c r="D1392" s="2">
        <v>8.2</v>
      </c>
      <c r="E1392" s="2">
        <v>1974.0</v>
      </c>
      <c r="F1392" s="2" t="s">
        <v>10</v>
      </c>
      <c r="G1392" s="2" t="s">
        <v>10</v>
      </c>
    </row>
    <row r="1393" ht="14.25" customHeight="1">
      <c r="A1393" s="1" t="s">
        <v>1252</v>
      </c>
      <c r="B1393" s="1" t="s">
        <v>8</v>
      </c>
      <c r="C1393" s="2" t="s">
        <v>154</v>
      </c>
      <c r="D1393" s="2">
        <v>8.2</v>
      </c>
      <c r="E1393" s="2">
        <v>2021.0</v>
      </c>
      <c r="F1393" s="2" t="s">
        <v>10</v>
      </c>
      <c r="G1393" s="2">
        <v>1.191E7</v>
      </c>
    </row>
    <row r="1394" ht="14.25" customHeight="1">
      <c r="A1394" s="1" t="s">
        <v>1252</v>
      </c>
      <c r="B1394" s="1" t="s">
        <v>8</v>
      </c>
      <c r="C1394" s="2" t="s">
        <v>154</v>
      </c>
      <c r="D1394" s="2">
        <v>8.2</v>
      </c>
      <c r="E1394" s="2">
        <v>2021.0</v>
      </c>
      <c r="F1394" s="2" t="s">
        <v>10</v>
      </c>
      <c r="G1394" s="2">
        <v>1.603E7</v>
      </c>
    </row>
    <row r="1395" ht="14.25" customHeight="1">
      <c r="A1395" s="1" t="s">
        <v>1252</v>
      </c>
      <c r="B1395" s="1" t="s">
        <v>8</v>
      </c>
      <c r="C1395" s="2" t="s">
        <v>154</v>
      </c>
      <c r="D1395" s="2">
        <v>8.2</v>
      </c>
      <c r="E1395" s="2">
        <v>2021.0</v>
      </c>
      <c r="F1395" s="2" t="s">
        <v>10</v>
      </c>
      <c r="G1395" s="2">
        <v>2.273E7</v>
      </c>
    </row>
    <row r="1396" ht="14.25" customHeight="1">
      <c r="A1396" s="1" t="s">
        <v>1252</v>
      </c>
      <c r="B1396" s="1" t="s">
        <v>8</v>
      </c>
      <c r="C1396" s="2" t="s">
        <v>154</v>
      </c>
      <c r="D1396" s="2">
        <v>8.2</v>
      </c>
      <c r="E1396" s="2">
        <v>2021.0</v>
      </c>
      <c r="F1396" s="2" t="s">
        <v>10</v>
      </c>
      <c r="G1396" s="2">
        <v>1.974E7</v>
      </c>
    </row>
    <row r="1397" ht="14.25" customHeight="1">
      <c r="A1397" s="1" t="s">
        <v>1252</v>
      </c>
      <c r="B1397" s="1" t="s">
        <v>8</v>
      </c>
      <c r="C1397" s="2" t="s">
        <v>154</v>
      </c>
      <c r="D1397" s="2">
        <v>8.2</v>
      </c>
      <c r="E1397" s="2">
        <v>2021.0</v>
      </c>
      <c r="F1397" s="2" t="s">
        <v>10</v>
      </c>
      <c r="G1397" s="2">
        <v>1.871E7</v>
      </c>
    </row>
    <row r="1398" ht="14.25" customHeight="1">
      <c r="A1398" s="1" t="s">
        <v>1252</v>
      </c>
      <c r="B1398" s="1" t="s">
        <v>8</v>
      </c>
      <c r="C1398" s="2" t="s">
        <v>154</v>
      </c>
      <c r="D1398" s="2">
        <v>8.2</v>
      </c>
      <c r="E1398" s="2">
        <v>2021.0</v>
      </c>
      <c r="F1398" s="2" t="s">
        <v>10</v>
      </c>
      <c r="G1398" s="2">
        <v>1.595E7</v>
      </c>
    </row>
    <row r="1399" ht="14.25" customHeight="1">
      <c r="A1399" s="1" t="s">
        <v>1252</v>
      </c>
      <c r="B1399" s="1" t="s">
        <v>8</v>
      </c>
      <c r="C1399" s="2" t="s">
        <v>154</v>
      </c>
      <c r="D1399" s="2">
        <v>8.2</v>
      </c>
      <c r="E1399" s="2">
        <v>2021.0</v>
      </c>
      <c r="F1399" s="2" t="s">
        <v>10</v>
      </c>
      <c r="G1399" s="2">
        <v>1.384E7</v>
      </c>
    </row>
    <row r="1400" ht="14.25" customHeight="1">
      <c r="A1400" s="1" t="s">
        <v>1252</v>
      </c>
      <c r="B1400" s="1" t="s">
        <v>8</v>
      </c>
      <c r="C1400" s="2" t="s">
        <v>154</v>
      </c>
      <c r="D1400" s="2">
        <v>8.2</v>
      </c>
      <c r="E1400" s="2">
        <v>2021.0</v>
      </c>
      <c r="F1400" s="2" t="s">
        <v>10</v>
      </c>
      <c r="G1400" s="2">
        <v>9980000.0</v>
      </c>
    </row>
    <row r="1401" ht="14.25" customHeight="1">
      <c r="A1401" s="1" t="s">
        <v>1253</v>
      </c>
      <c r="B1401" s="1" t="s">
        <v>8</v>
      </c>
      <c r="C1401" s="2" t="s">
        <v>163</v>
      </c>
      <c r="D1401" s="2">
        <v>8.2</v>
      </c>
      <c r="E1401" s="2">
        <v>1999.0</v>
      </c>
      <c r="F1401" s="2" t="s">
        <v>10</v>
      </c>
      <c r="G1401" s="2" t="s">
        <v>10</v>
      </c>
    </row>
    <row r="1402" ht="14.25" customHeight="1">
      <c r="A1402" s="1" t="s">
        <v>1254</v>
      </c>
      <c r="B1402" s="1" t="s">
        <v>20</v>
      </c>
      <c r="C1402" s="2" t="s">
        <v>18</v>
      </c>
      <c r="D1402" s="2">
        <v>8.2</v>
      </c>
      <c r="E1402" s="2">
        <v>1964.0</v>
      </c>
      <c r="F1402" s="2" t="s">
        <v>10</v>
      </c>
      <c r="G1402" s="2" t="s">
        <v>10</v>
      </c>
    </row>
    <row r="1403" ht="14.25" customHeight="1">
      <c r="A1403" s="1" t="s">
        <v>1255</v>
      </c>
      <c r="B1403" s="1" t="s">
        <v>8</v>
      </c>
      <c r="C1403" s="2" t="s">
        <v>32</v>
      </c>
      <c r="D1403" s="2">
        <v>8.2</v>
      </c>
      <c r="E1403" s="2">
        <v>2012.0</v>
      </c>
      <c r="F1403" s="2">
        <v>2015.0</v>
      </c>
      <c r="G1403" s="2" t="s">
        <v>10</v>
      </c>
    </row>
    <row r="1404" ht="14.25" customHeight="1">
      <c r="A1404" s="1" t="s">
        <v>1256</v>
      </c>
      <c r="B1404" s="1" t="s">
        <v>8</v>
      </c>
      <c r="C1404" s="2" t="s">
        <v>53</v>
      </c>
      <c r="D1404" s="2">
        <v>8.2</v>
      </c>
      <c r="E1404" s="2">
        <v>1981.0</v>
      </c>
      <c r="F1404" s="2" t="s">
        <v>10</v>
      </c>
      <c r="G1404" s="2" t="s">
        <v>10</v>
      </c>
    </row>
    <row r="1405" ht="14.25" customHeight="1">
      <c r="A1405" s="1" t="s">
        <v>1257</v>
      </c>
      <c r="B1405" s="1" t="s">
        <v>8</v>
      </c>
      <c r="C1405" s="2" t="s">
        <v>163</v>
      </c>
      <c r="D1405" s="2">
        <v>8.2</v>
      </c>
      <c r="E1405" s="2">
        <v>2016.0</v>
      </c>
      <c r="F1405" s="2" t="s">
        <v>10</v>
      </c>
      <c r="G1405" s="2" t="s">
        <v>10</v>
      </c>
    </row>
    <row r="1406" ht="14.25" customHeight="1">
      <c r="A1406" s="1" t="s">
        <v>1258</v>
      </c>
      <c r="B1406" s="1" t="s">
        <v>8</v>
      </c>
      <c r="C1406" s="2" t="s">
        <v>1060</v>
      </c>
      <c r="D1406" s="2">
        <v>8.2</v>
      </c>
      <c r="E1406" s="2">
        <v>2008.0</v>
      </c>
      <c r="F1406" s="2" t="s">
        <v>10</v>
      </c>
      <c r="G1406" s="2" t="s">
        <v>10</v>
      </c>
    </row>
    <row r="1407" ht="14.25" customHeight="1">
      <c r="A1407" s="1" t="s">
        <v>1259</v>
      </c>
      <c r="B1407" s="1" t="s">
        <v>20</v>
      </c>
      <c r="C1407" s="2" t="s">
        <v>187</v>
      </c>
      <c r="D1407" s="2">
        <v>8.2</v>
      </c>
      <c r="E1407" s="2">
        <v>1977.0</v>
      </c>
      <c r="F1407" s="2" t="s">
        <v>10</v>
      </c>
      <c r="G1407" s="2" t="s">
        <v>10</v>
      </c>
    </row>
    <row r="1408" ht="14.25" customHeight="1">
      <c r="A1408" s="1" t="s">
        <v>1260</v>
      </c>
      <c r="B1408" s="1" t="s">
        <v>20</v>
      </c>
      <c r="C1408" s="2" t="s">
        <v>184</v>
      </c>
      <c r="D1408" s="2">
        <v>8.2</v>
      </c>
      <c r="E1408" s="2">
        <v>1977.0</v>
      </c>
      <c r="F1408" s="2" t="s">
        <v>10</v>
      </c>
      <c r="G1408" s="2" t="s">
        <v>10</v>
      </c>
    </row>
    <row r="1409" ht="14.25" customHeight="1">
      <c r="A1409" s="1" t="s">
        <v>1261</v>
      </c>
      <c r="B1409" s="1" t="s">
        <v>8</v>
      </c>
      <c r="C1409" s="2" t="s">
        <v>47</v>
      </c>
      <c r="D1409" s="2">
        <v>8.2</v>
      </c>
      <c r="E1409" s="2">
        <v>2007.0</v>
      </c>
      <c r="F1409" s="2">
        <v>2013.0</v>
      </c>
      <c r="G1409" s="2" t="s">
        <v>10</v>
      </c>
    </row>
    <row r="1410" ht="14.25" customHeight="1">
      <c r="A1410" s="1" t="s">
        <v>1262</v>
      </c>
      <c r="B1410" s="1" t="s">
        <v>20</v>
      </c>
      <c r="C1410" s="2" t="s">
        <v>18</v>
      </c>
      <c r="D1410" s="2">
        <v>8.2</v>
      </c>
      <c r="E1410" s="2">
        <v>2013.0</v>
      </c>
      <c r="F1410" s="2" t="s">
        <v>10</v>
      </c>
      <c r="G1410" s="2" t="s">
        <v>10</v>
      </c>
    </row>
    <row r="1411" ht="14.25" customHeight="1">
      <c r="A1411" s="1" t="s">
        <v>1263</v>
      </c>
      <c r="B1411" s="1" t="s">
        <v>20</v>
      </c>
      <c r="C1411" s="2" t="s">
        <v>187</v>
      </c>
      <c r="D1411" s="2">
        <v>8.2</v>
      </c>
      <c r="E1411" s="2">
        <v>2006.0</v>
      </c>
      <c r="F1411" s="2" t="s">
        <v>10</v>
      </c>
      <c r="G1411" s="2" t="s">
        <v>10</v>
      </c>
    </row>
    <row r="1412" ht="14.25" customHeight="1">
      <c r="A1412" s="1" t="s">
        <v>1264</v>
      </c>
      <c r="B1412" s="1" t="s">
        <v>8</v>
      </c>
      <c r="C1412" s="2" t="s">
        <v>69</v>
      </c>
      <c r="D1412" s="2">
        <v>8.2</v>
      </c>
      <c r="E1412" s="2">
        <v>2021.0</v>
      </c>
      <c r="F1412" s="2">
        <v>2021.0</v>
      </c>
      <c r="G1412" s="2">
        <v>6100000.0</v>
      </c>
    </row>
    <row r="1413" ht="14.25" customHeight="1">
      <c r="A1413" s="1" t="s">
        <v>1264</v>
      </c>
      <c r="B1413" s="1" t="s">
        <v>8</v>
      </c>
      <c r="C1413" s="2" t="s">
        <v>69</v>
      </c>
      <c r="D1413" s="2">
        <v>8.2</v>
      </c>
      <c r="E1413" s="2">
        <v>2021.0</v>
      </c>
      <c r="F1413" s="2">
        <v>2021.0</v>
      </c>
      <c r="G1413" s="2">
        <v>1.54E7</v>
      </c>
    </row>
    <row r="1414" ht="14.25" customHeight="1">
      <c r="A1414" s="1" t="s">
        <v>1264</v>
      </c>
      <c r="B1414" s="1" t="s">
        <v>8</v>
      </c>
      <c r="C1414" s="2" t="s">
        <v>69</v>
      </c>
      <c r="D1414" s="2">
        <v>8.2</v>
      </c>
      <c r="E1414" s="2">
        <v>2021.0</v>
      </c>
      <c r="F1414" s="2">
        <v>2021.0</v>
      </c>
      <c r="G1414" s="3">
        <v>1.5E7</v>
      </c>
    </row>
    <row r="1415" ht="14.25" customHeight="1">
      <c r="A1415" s="1" t="s">
        <v>1264</v>
      </c>
      <c r="B1415" s="1" t="s">
        <v>8</v>
      </c>
      <c r="C1415" s="2" t="s">
        <v>69</v>
      </c>
      <c r="D1415" s="2">
        <v>8.2</v>
      </c>
      <c r="E1415" s="2">
        <v>2021.0</v>
      </c>
      <c r="F1415" s="2">
        <v>2021.0</v>
      </c>
      <c r="G1415" s="2">
        <v>1.917E7</v>
      </c>
    </row>
    <row r="1416" ht="14.25" customHeight="1">
      <c r="A1416" s="1" t="s">
        <v>1264</v>
      </c>
      <c r="B1416" s="1" t="s">
        <v>8</v>
      </c>
      <c r="C1416" s="2" t="s">
        <v>69</v>
      </c>
      <c r="D1416" s="2">
        <v>8.2</v>
      </c>
      <c r="E1416" s="2">
        <v>2021.0</v>
      </c>
      <c r="F1416" s="2">
        <v>2021.0</v>
      </c>
      <c r="G1416" s="2">
        <v>8430000.0</v>
      </c>
    </row>
    <row r="1417" ht="14.25" customHeight="1">
      <c r="A1417" s="1" t="s">
        <v>1265</v>
      </c>
      <c r="B1417" s="1" t="s">
        <v>20</v>
      </c>
      <c r="C1417" s="2" t="s">
        <v>212</v>
      </c>
      <c r="D1417" s="2">
        <v>8.1</v>
      </c>
      <c r="E1417" s="2">
        <v>2003.0</v>
      </c>
      <c r="F1417" s="2" t="s">
        <v>10</v>
      </c>
      <c r="G1417" s="2" t="s">
        <v>10</v>
      </c>
    </row>
    <row r="1418" ht="14.25" customHeight="1">
      <c r="A1418" s="1" t="s">
        <v>1266</v>
      </c>
      <c r="B1418" s="1" t="s">
        <v>20</v>
      </c>
      <c r="C1418" s="2" t="s">
        <v>1267</v>
      </c>
      <c r="D1418" s="2">
        <v>8.1</v>
      </c>
      <c r="E1418" s="2">
        <v>2005.0</v>
      </c>
      <c r="F1418" s="2">
        <v>2005.0</v>
      </c>
      <c r="G1418" s="2" t="s">
        <v>10</v>
      </c>
    </row>
    <row r="1419" ht="14.25" customHeight="1">
      <c r="A1419" s="1" t="s">
        <v>1268</v>
      </c>
      <c r="B1419" s="1" t="s">
        <v>20</v>
      </c>
      <c r="C1419" s="2" t="s">
        <v>151</v>
      </c>
      <c r="D1419" s="2">
        <v>8.1</v>
      </c>
      <c r="E1419" s="2">
        <v>2015.0</v>
      </c>
      <c r="F1419" s="2" t="s">
        <v>10</v>
      </c>
      <c r="G1419" s="2" t="s">
        <v>10</v>
      </c>
    </row>
    <row r="1420" ht="14.25" customHeight="1">
      <c r="A1420" s="1" t="s">
        <v>1269</v>
      </c>
      <c r="B1420" s="1" t="s">
        <v>20</v>
      </c>
      <c r="C1420" s="2" t="s">
        <v>40</v>
      </c>
      <c r="D1420" s="2">
        <v>8.1</v>
      </c>
      <c r="E1420" s="2">
        <v>2002.0</v>
      </c>
      <c r="F1420" s="2">
        <v>2002.0</v>
      </c>
      <c r="G1420" s="2" t="s">
        <v>10</v>
      </c>
    </row>
    <row r="1421" ht="14.25" customHeight="1">
      <c r="A1421" s="1" t="s">
        <v>1270</v>
      </c>
      <c r="B1421" s="1" t="s">
        <v>8</v>
      </c>
      <c r="C1421" s="2" t="s">
        <v>1271</v>
      </c>
      <c r="D1421" s="2">
        <v>8.1</v>
      </c>
      <c r="E1421" s="2">
        <v>2010.0</v>
      </c>
      <c r="F1421" s="2">
        <v>2019.0</v>
      </c>
      <c r="G1421" s="2">
        <v>1.594E7</v>
      </c>
    </row>
    <row r="1422" ht="14.25" customHeight="1">
      <c r="A1422" s="1" t="s">
        <v>1270</v>
      </c>
      <c r="B1422" s="1" t="s">
        <v>8</v>
      </c>
      <c r="C1422" s="2" t="s">
        <v>1271</v>
      </c>
      <c r="D1422" s="2">
        <v>8.1</v>
      </c>
      <c r="E1422" s="2">
        <v>2010.0</v>
      </c>
      <c r="F1422" s="2">
        <v>2019.0</v>
      </c>
      <c r="G1422" s="2">
        <v>1.18E7</v>
      </c>
    </row>
    <row r="1423" ht="14.25" customHeight="1">
      <c r="A1423" s="1" t="s">
        <v>1270</v>
      </c>
      <c r="B1423" s="1" t="s">
        <v>8</v>
      </c>
      <c r="C1423" s="2" t="s">
        <v>1271</v>
      </c>
      <c r="D1423" s="2">
        <v>8.1</v>
      </c>
      <c r="E1423" s="2">
        <v>2010.0</v>
      </c>
      <c r="F1423" s="2">
        <v>2019.0</v>
      </c>
      <c r="G1423" s="2">
        <v>1.794E7</v>
      </c>
    </row>
    <row r="1424" ht="14.25" customHeight="1">
      <c r="A1424" s="1" t="s">
        <v>1270</v>
      </c>
      <c r="B1424" s="1" t="s">
        <v>8</v>
      </c>
      <c r="C1424" s="2" t="s">
        <v>1271</v>
      </c>
      <c r="D1424" s="2">
        <v>8.1</v>
      </c>
      <c r="E1424" s="2">
        <v>2010.0</v>
      </c>
      <c r="F1424" s="2">
        <v>2019.0</v>
      </c>
      <c r="G1424" s="2">
        <v>1.505E7</v>
      </c>
    </row>
    <row r="1425" ht="14.25" customHeight="1">
      <c r="A1425" s="1" t="s">
        <v>1272</v>
      </c>
      <c r="B1425" s="1" t="s">
        <v>20</v>
      </c>
      <c r="C1425" s="2" t="s">
        <v>468</v>
      </c>
      <c r="D1425" s="2">
        <v>8.1</v>
      </c>
      <c r="E1425" s="2">
        <v>2014.0</v>
      </c>
      <c r="F1425" s="2" t="s">
        <v>10</v>
      </c>
      <c r="G1425" s="2" t="s">
        <v>10</v>
      </c>
    </row>
    <row r="1426" ht="14.25" customHeight="1">
      <c r="A1426" s="1" t="s">
        <v>1273</v>
      </c>
      <c r="B1426" s="1" t="s">
        <v>20</v>
      </c>
      <c r="C1426" s="2" t="s">
        <v>55</v>
      </c>
      <c r="D1426" s="2">
        <v>8.1</v>
      </c>
      <c r="E1426" s="2">
        <v>2001.0</v>
      </c>
      <c r="F1426" s="2" t="s">
        <v>10</v>
      </c>
      <c r="G1426" s="2" t="s">
        <v>10</v>
      </c>
    </row>
    <row r="1427" ht="14.25" customHeight="1">
      <c r="A1427" s="1" t="s">
        <v>1274</v>
      </c>
      <c r="B1427" s="1" t="s">
        <v>20</v>
      </c>
      <c r="C1427" s="2" t="s">
        <v>719</v>
      </c>
      <c r="D1427" s="2">
        <v>8.1</v>
      </c>
      <c r="E1427" s="2">
        <v>2011.0</v>
      </c>
      <c r="F1427" s="2" t="s">
        <v>10</v>
      </c>
      <c r="G1427" s="2" t="s">
        <v>10</v>
      </c>
    </row>
    <row r="1428" ht="14.25" customHeight="1">
      <c r="A1428" s="1" t="s">
        <v>1275</v>
      </c>
      <c r="B1428" s="1" t="s">
        <v>20</v>
      </c>
      <c r="C1428" s="2" t="s">
        <v>151</v>
      </c>
      <c r="D1428" s="2">
        <v>8.1</v>
      </c>
      <c r="E1428" s="2">
        <v>1984.0</v>
      </c>
      <c r="F1428" s="2" t="s">
        <v>10</v>
      </c>
      <c r="G1428" s="2" t="s">
        <v>10</v>
      </c>
    </row>
    <row r="1429" ht="14.25" customHeight="1">
      <c r="A1429" s="1" t="s">
        <v>1276</v>
      </c>
      <c r="B1429" s="1" t="s">
        <v>20</v>
      </c>
      <c r="C1429" s="2" t="s">
        <v>963</v>
      </c>
      <c r="D1429" s="2">
        <v>8.1</v>
      </c>
      <c r="E1429" s="2">
        <v>2014.0</v>
      </c>
      <c r="F1429" s="2" t="s">
        <v>10</v>
      </c>
      <c r="G1429" s="2" t="s">
        <v>10</v>
      </c>
    </row>
    <row r="1430" ht="14.25" customHeight="1">
      <c r="A1430" s="1" t="s">
        <v>1277</v>
      </c>
      <c r="B1430" s="1" t="s">
        <v>8</v>
      </c>
      <c r="C1430" s="2" t="s">
        <v>118</v>
      </c>
      <c r="D1430" s="2">
        <v>8.1</v>
      </c>
      <c r="E1430" s="2">
        <v>2007.0</v>
      </c>
      <c r="F1430" s="2" t="s">
        <v>10</v>
      </c>
      <c r="G1430" s="2" t="s">
        <v>10</v>
      </c>
    </row>
    <row r="1431" ht="14.25" customHeight="1">
      <c r="A1431" s="1" t="s">
        <v>1278</v>
      </c>
      <c r="B1431" s="1" t="s">
        <v>20</v>
      </c>
      <c r="C1431" s="2" t="s">
        <v>527</v>
      </c>
      <c r="D1431" s="2">
        <v>8.1</v>
      </c>
      <c r="E1431" s="2">
        <v>1998.0</v>
      </c>
      <c r="F1431" s="2" t="s">
        <v>10</v>
      </c>
      <c r="G1431" s="2" t="s">
        <v>10</v>
      </c>
    </row>
    <row r="1432" ht="14.25" customHeight="1">
      <c r="A1432" s="1" t="s">
        <v>1279</v>
      </c>
      <c r="B1432" s="1" t="s">
        <v>20</v>
      </c>
      <c r="C1432" s="2" t="s">
        <v>1267</v>
      </c>
      <c r="D1432" s="2">
        <v>8.1</v>
      </c>
      <c r="E1432" s="2">
        <v>2017.0</v>
      </c>
      <c r="F1432" s="2" t="s">
        <v>10</v>
      </c>
      <c r="G1432" s="2" t="s">
        <v>10</v>
      </c>
    </row>
    <row r="1433" ht="14.25" customHeight="1">
      <c r="A1433" s="1" t="s">
        <v>1280</v>
      </c>
      <c r="B1433" s="1" t="s">
        <v>20</v>
      </c>
      <c r="C1433" s="2" t="s">
        <v>55</v>
      </c>
      <c r="D1433" s="2">
        <v>8.1</v>
      </c>
      <c r="E1433" s="2">
        <v>2007.0</v>
      </c>
      <c r="F1433" s="2" t="s">
        <v>10</v>
      </c>
      <c r="G1433" s="2" t="s">
        <v>10</v>
      </c>
    </row>
    <row r="1434" ht="14.25" customHeight="1">
      <c r="A1434" s="1" t="s">
        <v>1281</v>
      </c>
      <c r="B1434" s="1" t="s">
        <v>20</v>
      </c>
      <c r="C1434" s="2" t="s">
        <v>55</v>
      </c>
      <c r="D1434" s="2">
        <v>8.1</v>
      </c>
      <c r="E1434" s="2">
        <v>2015.0</v>
      </c>
      <c r="F1434" s="2" t="s">
        <v>10</v>
      </c>
      <c r="G1434" s="2" t="s">
        <v>10</v>
      </c>
    </row>
    <row r="1435" ht="14.25" customHeight="1">
      <c r="A1435" s="1" t="s">
        <v>1282</v>
      </c>
      <c r="B1435" s="1" t="s">
        <v>20</v>
      </c>
      <c r="C1435" s="2" t="s">
        <v>1267</v>
      </c>
      <c r="D1435" s="2">
        <v>8.1</v>
      </c>
      <c r="E1435" s="2">
        <v>1982.0</v>
      </c>
      <c r="F1435" s="2" t="s">
        <v>10</v>
      </c>
      <c r="G1435" s="2" t="s">
        <v>10</v>
      </c>
    </row>
    <row r="1436" ht="14.25" customHeight="1">
      <c r="A1436" s="1" t="s">
        <v>1283</v>
      </c>
      <c r="B1436" s="1" t="s">
        <v>20</v>
      </c>
      <c r="C1436" s="2" t="s">
        <v>18</v>
      </c>
      <c r="D1436" s="2">
        <v>8.1</v>
      </c>
      <c r="E1436" s="2">
        <v>2008.0</v>
      </c>
      <c r="F1436" s="2">
        <v>2008.0</v>
      </c>
      <c r="G1436" s="2" t="s">
        <v>10</v>
      </c>
    </row>
    <row r="1437" ht="14.25" customHeight="1">
      <c r="A1437" s="1" t="s">
        <v>1284</v>
      </c>
      <c r="B1437" s="1" t="s">
        <v>20</v>
      </c>
      <c r="C1437" s="2" t="s">
        <v>25</v>
      </c>
      <c r="D1437" s="2">
        <v>8.1</v>
      </c>
      <c r="E1437" s="2">
        <v>2010.0</v>
      </c>
      <c r="F1437" s="2" t="s">
        <v>10</v>
      </c>
      <c r="G1437" s="2" t="s">
        <v>10</v>
      </c>
    </row>
    <row r="1438" ht="14.25" customHeight="1">
      <c r="A1438" s="1" t="s">
        <v>1285</v>
      </c>
      <c r="B1438" s="1" t="s">
        <v>20</v>
      </c>
      <c r="C1438" s="2" t="s">
        <v>80</v>
      </c>
      <c r="D1438" s="2">
        <v>8.1</v>
      </c>
      <c r="E1438" s="2">
        <v>2013.0</v>
      </c>
      <c r="F1438" s="2" t="s">
        <v>10</v>
      </c>
      <c r="G1438" s="2" t="s">
        <v>10</v>
      </c>
    </row>
    <row r="1439" ht="14.25" customHeight="1">
      <c r="A1439" s="1" t="s">
        <v>120</v>
      </c>
      <c r="B1439" s="1" t="s">
        <v>20</v>
      </c>
      <c r="C1439" s="2" t="s">
        <v>9</v>
      </c>
      <c r="D1439" s="2">
        <v>8.1</v>
      </c>
      <c r="E1439" s="2">
        <v>1996.0</v>
      </c>
      <c r="F1439" s="2" t="s">
        <v>10</v>
      </c>
      <c r="G1439" s="2" t="s">
        <v>10</v>
      </c>
    </row>
    <row r="1440" ht="14.25" customHeight="1">
      <c r="A1440" s="1" t="s">
        <v>1286</v>
      </c>
      <c r="B1440" s="1" t="s">
        <v>20</v>
      </c>
      <c r="C1440" s="2" t="s">
        <v>18</v>
      </c>
      <c r="D1440" s="2">
        <v>8.1</v>
      </c>
      <c r="E1440" s="2">
        <v>1996.0</v>
      </c>
      <c r="F1440" s="2">
        <v>1996.0</v>
      </c>
      <c r="G1440" s="2" t="s">
        <v>10</v>
      </c>
    </row>
    <row r="1441" ht="14.25" customHeight="1">
      <c r="A1441" s="1" t="s">
        <v>1287</v>
      </c>
      <c r="B1441" s="1" t="s">
        <v>20</v>
      </c>
      <c r="C1441" s="2" t="s">
        <v>262</v>
      </c>
      <c r="D1441" s="2">
        <v>8.1</v>
      </c>
      <c r="E1441" s="2">
        <v>2004.0</v>
      </c>
      <c r="F1441" s="2">
        <v>2004.0</v>
      </c>
      <c r="G1441" s="2" t="s">
        <v>10</v>
      </c>
    </row>
    <row r="1442" ht="14.25" customHeight="1">
      <c r="A1442" s="1" t="s">
        <v>1288</v>
      </c>
      <c r="B1442" s="1" t="s">
        <v>20</v>
      </c>
      <c r="C1442" s="2" t="s">
        <v>1289</v>
      </c>
      <c r="D1442" s="2">
        <v>8.1</v>
      </c>
      <c r="E1442" s="2">
        <v>1975.0</v>
      </c>
      <c r="F1442" s="2">
        <v>1975.0</v>
      </c>
      <c r="G1442" s="2" t="s">
        <v>10</v>
      </c>
    </row>
    <row r="1443" ht="14.25" customHeight="1">
      <c r="A1443" s="1" t="s">
        <v>1290</v>
      </c>
      <c r="B1443" s="1" t="s">
        <v>20</v>
      </c>
      <c r="C1443" s="2" t="s">
        <v>825</v>
      </c>
      <c r="D1443" s="2">
        <v>8.1</v>
      </c>
      <c r="E1443" s="2">
        <v>2007.0</v>
      </c>
      <c r="F1443" s="2">
        <v>2007.0</v>
      </c>
      <c r="G1443" s="2" t="s">
        <v>10</v>
      </c>
    </row>
    <row r="1444" ht="14.25" customHeight="1">
      <c r="A1444" s="1" t="s">
        <v>1291</v>
      </c>
      <c r="B1444" s="1" t="s">
        <v>20</v>
      </c>
      <c r="C1444" s="2" t="s">
        <v>262</v>
      </c>
      <c r="D1444" s="2">
        <v>8.1</v>
      </c>
      <c r="E1444" s="2">
        <v>1976.0</v>
      </c>
      <c r="F1444" s="2">
        <v>1976.0</v>
      </c>
      <c r="G1444" s="2" t="s">
        <v>10</v>
      </c>
    </row>
    <row r="1445" ht="14.25" customHeight="1">
      <c r="A1445" s="1" t="s">
        <v>1292</v>
      </c>
      <c r="B1445" s="1" t="s">
        <v>20</v>
      </c>
      <c r="C1445" s="2" t="s">
        <v>527</v>
      </c>
      <c r="D1445" s="2">
        <v>8.1</v>
      </c>
      <c r="E1445" s="2">
        <v>1998.0</v>
      </c>
      <c r="F1445" s="2">
        <v>1998.0</v>
      </c>
      <c r="G1445" s="2" t="s">
        <v>10</v>
      </c>
    </row>
    <row r="1446" ht="14.25" customHeight="1">
      <c r="A1446" s="1" t="s">
        <v>1293</v>
      </c>
      <c r="B1446" s="1" t="s">
        <v>20</v>
      </c>
      <c r="C1446" s="2" t="s">
        <v>80</v>
      </c>
      <c r="D1446" s="2">
        <v>8.1</v>
      </c>
      <c r="E1446" s="2">
        <v>2016.0</v>
      </c>
      <c r="F1446" s="2" t="s">
        <v>10</v>
      </c>
      <c r="G1446" s="2" t="s">
        <v>10</v>
      </c>
    </row>
    <row r="1447" ht="14.25" customHeight="1">
      <c r="A1447" s="1" t="s">
        <v>1294</v>
      </c>
      <c r="B1447" s="1" t="s">
        <v>20</v>
      </c>
      <c r="C1447" s="2" t="s">
        <v>63</v>
      </c>
      <c r="D1447" s="2">
        <v>8.1</v>
      </c>
      <c r="E1447" s="2">
        <v>1989.0</v>
      </c>
      <c r="F1447" s="2" t="s">
        <v>10</v>
      </c>
      <c r="G1447" s="2" t="s">
        <v>10</v>
      </c>
    </row>
    <row r="1448" ht="14.25" customHeight="1">
      <c r="A1448" s="1" t="s">
        <v>1295</v>
      </c>
      <c r="B1448" s="1" t="s">
        <v>20</v>
      </c>
      <c r="C1448" s="2" t="s">
        <v>530</v>
      </c>
      <c r="D1448" s="2">
        <v>8.1</v>
      </c>
      <c r="E1448" s="2">
        <v>2017.0</v>
      </c>
      <c r="F1448" s="2" t="s">
        <v>10</v>
      </c>
      <c r="G1448" s="2" t="s">
        <v>10</v>
      </c>
    </row>
    <row r="1449" ht="14.25" customHeight="1">
      <c r="A1449" s="1" t="s">
        <v>1296</v>
      </c>
      <c r="B1449" s="1" t="s">
        <v>20</v>
      </c>
      <c r="C1449" s="2" t="s">
        <v>910</v>
      </c>
      <c r="D1449" s="2">
        <v>8.1</v>
      </c>
      <c r="E1449" s="2">
        <v>2013.0</v>
      </c>
      <c r="F1449" s="2">
        <v>2013.0</v>
      </c>
      <c r="G1449" s="2" t="s">
        <v>10</v>
      </c>
    </row>
    <row r="1450" ht="14.25" customHeight="1">
      <c r="A1450" s="1" t="s">
        <v>1297</v>
      </c>
      <c r="B1450" s="1" t="s">
        <v>20</v>
      </c>
      <c r="C1450" s="2" t="s">
        <v>40</v>
      </c>
      <c r="D1450" s="2">
        <v>8.1</v>
      </c>
      <c r="E1450" s="2">
        <v>2015.0</v>
      </c>
      <c r="F1450" s="2">
        <v>2015.0</v>
      </c>
      <c r="G1450" s="2" t="s">
        <v>10</v>
      </c>
    </row>
    <row r="1451" ht="14.25" customHeight="1">
      <c r="A1451" s="1" t="s">
        <v>684</v>
      </c>
      <c r="B1451" s="1" t="s">
        <v>20</v>
      </c>
      <c r="C1451" s="2" t="s">
        <v>546</v>
      </c>
      <c r="D1451" s="2">
        <v>8.1</v>
      </c>
      <c r="E1451" s="2">
        <v>2011.0</v>
      </c>
      <c r="F1451" s="2">
        <v>2018.0</v>
      </c>
      <c r="G1451" s="2" t="s">
        <v>10</v>
      </c>
    </row>
    <row r="1452" ht="14.25" customHeight="1">
      <c r="A1452" s="1" t="s">
        <v>1298</v>
      </c>
      <c r="B1452" s="1" t="s">
        <v>20</v>
      </c>
      <c r="C1452" s="2" t="s">
        <v>833</v>
      </c>
      <c r="D1452" s="2">
        <v>8.1</v>
      </c>
      <c r="E1452" s="2">
        <v>2019.0</v>
      </c>
      <c r="F1452" s="2" t="s">
        <v>10</v>
      </c>
      <c r="G1452" s="2" t="s">
        <v>10</v>
      </c>
    </row>
    <row r="1453" ht="14.25" customHeight="1">
      <c r="A1453" s="1" t="s">
        <v>1299</v>
      </c>
      <c r="B1453" s="1" t="s">
        <v>20</v>
      </c>
      <c r="C1453" s="2" t="s">
        <v>18</v>
      </c>
      <c r="D1453" s="2">
        <v>8.1</v>
      </c>
      <c r="E1453" s="2">
        <v>2011.0</v>
      </c>
      <c r="F1453" s="2">
        <v>2011.0</v>
      </c>
      <c r="G1453" s="2" t="s">
        <v>10</v>
      </c>
    </row>
    <row r="1454" ht="14.25" customHeight="1">
      <c r="A1454" s="1" t="s">
        <v>1300</v>
      </c>
      <c r="B1454" s="1" t="s">
        <v>20</v>
      </c>
      <c r="C1454" s="2" t="s">
        <v>1301</v>
      </c>
      <c r="D1454" s="2">
        <v>8.1</v>
      </c>
      <c r="E1454" s="2">
        <v>1973.0</v>
      </c>
      <c r="F1454" s="2" t="s">
        <v>10</v>
      </c>
      <c r="G1454" s="2" t="s">
        <v>10</v>
      </c>
    </row>
    <row r="1455" ht="14.25" customHeight="1">
      <c r="A1455" s="1" t="s">
        <v>1302</v>
      </c>
      <c r="B1455" s="1" t="s">
        <v>20</v>
      </c>
      <c r="C1455" s="2" t="s">
        <v>299</v>
      </c>
      <c r="D1455" s="2">
        <v>8.1</v>
      </c>
      <c r="E1455" s="2">
        <v>2015.0</v>
      </c>
      <c r="F1455" s="2">
        <v>2015.0</v>
      </c>
      <c r="G1455" s="2" t="s">
        <v>10</v>
      </c>
    </row>
    <row r="1456" ht="14.25" customHeight="1">
      <c r="A1456" s="1" t="s">
        <v>1303</v>
      </c>
      <c r="B1456" s="1" t="s">
        <v>20</v>
      </c>
      <c r="C1456" s="2" t="s">
        <v>60</v>
      </c>
      <c r="D1456" s="2">
        <v>8.1</v>
      </c>
      <c r="E1456" s="2">
        <v>1986.0</v>
      </c>
      <c r="F1456" s="2" t="s">
        <v>10</v>
      </c>
      <c r="G1456" s="2" t="s">
        <v>10</v>
      </c>
    </row>
    <row r="1457" ht="14.25" customHeight="1">
      <c r="A1457" s="1" t="s">
        <v>1304</v>
      </c>
      <c r="B1457" s="1" t="s">
        <v>20</v>
      </c>
      <c r="C1457" s="2" t="s">
        <v>184</v>
      </c>
      <c r="D1457" s="2">
        <v>8.1</v>
      </c>
      <c r="E1457" s="2">
        <v>1986.0</v>
      </c>
      <c r="F1457" s="2">
        <v>1986.0</v>
      </c>
      <c r="G1457" s="2" t="s">
        <v>10</v>
      </c>
    </row>
    <row r="1458" ht="14.25" customHeight="1">
      <c r="A1458" s="1" t="s">
        <v>1305</v>
      </c>
      <c r="B1458" s="1" t="s">
        <v>20</v>
      </c>
      <c r="C1458" s="2" t="s">
        <v>719</v>
      </c>
      <c r="D1458" s="2">
        <v>8.1</v>
      </c>
      <c r="E1458" s="2">
        <v>1939.0</v>
      </c>
      <c r="F1458" s="2" t="s">
        <v>10</v>
      </c>
      <c r="G1458" s="2" t="s">
        <v>10</v>
      </c>
    </row>
    <row r="1459" ht="14.25" customHeight="1">
      <c r="A1459" s="1" t="s">
        <v>1306</v>
      </c>
      <c r="B1459" s="1" t="s">
        <v>20</v>
      </c>
      <c r="C1459" s="2" t="s">
        <v>756</v>
      </c>
      <c r="D1459" s="2">
        <v>8.1</v>
      </c>
      <c r="E1459" s="2">
        <v>1988.0</v>
      </c>
      <c r="F1459" s="2" t="s">
        <v>10</v>
      </c>
      <c r="G1459" s="2" t="s">
        <v>10</v>
      </c>
    </row>
    <row r="1460" ht="14.25" customHeight="1">
      <c r="A1460" s="1" t="s">
        <v>1307</v>
      </c>
      <c r="B1460" s="1" t="s">
        <v>8</v>
      </c>
      <c r="C1460" s="2" t="s">
        <v>1308</v>
      </c>
      <c r="D1460" s="2">
        <v>8.1</v>
      </c>
      <c r="E1460" s="2">
        <v>2022.0</v>
      </c>
      <c r="F1460" s="2" t="s">
        <v>10</v>
      </c>
      <c r="G1460" s="2">
        <v>9500000.0</v>
      </c>
    </row>
    <row r="1461" ht="14.25" customHeight="1">
      <c r="A1461" s="1" t="s">
        <v>1307</v>
      </c>
      <c r="B1461" s="1" t="s">
        <v>8</v>
      </c>
      <c r="C1461" s="2" t="s">
        <v>1308</v>
      </c>
      <c r="D1461" s="2">
        <v>8.1</v>
      </c>
      <c r="E1461" s="2">
        <v>2022.0</v>
      </c>
      <c r="F1461" s="2" t="s">
        <v>10</v>
      </c>
      <c r="G1461" s="2">
        <v>1.089E7</v>
      </c>
    </row>
    <row r="1462" ht="14.25" customHeight="1">
      <c r="A1462" s="1" t="s">
        <v>1307</v>
      </c>
      <c r="B1462" s="1" t="s">
        <v>8</v>
      </c>
      <c r="C1462" s="2" t="s">
        <v>1308</v>
      </c>
      <c r="D1462" s="2">
        <v>8.1</v>
      </c>
      <c r="E1462" s="2">
        <v>2022.0</v>
      </c>
      <c r="F1462" s="2" t="s">
        <v>10</v>
      </c>
      <c r="G1462" s="2">
        <v>1.218E7</v>
      </c>
    </row>
    <row r="1463" ht="14.25" customHeight="1">
      <c r="A1463" s="1" t="s">
        <v>1307</v>
      </c>
      <c r="B1463" s="1" t="s">
        <v>8</v>
      </c>
      <c r="C1463" s="2" t="s">
        <v>1308</v>
      </c>
      <c r="D1463" s="2">
        <v>8.1</v>
      </c>
      <c r="E1463" s="2">
        <v>2022.0</v>
      </c>
      <c r="F1463" s="2" t="s">
        <v>10</v>
      </c>
      <c r="G1463" s="2">
        <v>1.34E7</v>
      </c>
    </row>
    <row r="1464" ht="14.25" customHeight="1">
      <c r="A1464" s="1" t="s">
        <v>1307</v>
      </c>
      <c r="B1464" s="1" t="s">
        <v>8</v>
      </c>
      <c r="C1464" s="2" t="s">
        <v>1308</v>
      </c>
      <c r="D1464" s="2">
        <v>8.1</v>
      </c>
      <c r="E1464" s="2">
        <v>2022.0</v>
      </c>
      <c r="F1464" s="2" t="s">
        <v>10</v>
      </c>
      <c r="G1464" s="2">
        <v>1.499E7</v>
      </c>
    </row>
    <row r="1465" ht="14.25" customHeight="1">
      <c r="A1465" s="1" t="s">
        <v>1307</v>
      </c>
      <c r="B1465" s="1" t="s">
        <v>8</v>
      </c>
      <c r="C1465" s="2" t="s">
        <v>1308</v>
      </c>
      <c r="D1465" s="2">
        <v>8.1</v>
      </c>
      <c r="E1465" s="2">
        <v>2022.0</v>
      </c>
      <c r="F1465" s="2" t="s">
        <v>10</v>
      </c>
      <c r="G1465" s="2">
        <v>1.641E7</v>
      </c>
    </row>
    <row r="1466" ht="14.25" customHeight="1">
      <c r="A1466" s="1" t="s">
        <v>1307</v>
      </c>
      <c r="B1466" s="1" t="s">
        <v>8</v>
      </c>
      <c r="C1466" s="2" t="s">
        <v>1308</v>
      </c>
      <c r="D1466" s="2">
        <v>8.1</v>
      </c>
      <c r="E1466" s="2">
        <v>2022.0</v>
      </c>
      <c r="F1466" s="2" t="s">
        <v>10</v>
      </c>
      <c r="G1466" s="2">
        <v>1.895E7</v>
      </c>
    </row>
    <row r="1467" ht="14.25" customHeight="1">
      <c r="A1467" s="1" t="s">
        <v>1307</v>
      </c>
      <c r="B1467" s="1" t="s">
        <v>8</v>
      </c>
      <c r="C1467" s="2" t="s">
        <v>1308</v>
      </c>
      <c r="D1467" s="2">
        <v>8.1</v>
      </c>
      <c r="E1467" s="2">
        <v>2022.0</v>
      </c>
      <c r="F1467" s="2" t="s">
        <v>10</v>
      </c>
      <c r="G1467" s="2">
        <v>2.024E7</v>
      </c>
    </row>
    <row r="1468" ht="14.25" customHeight="1">
      <c r="A1468" s="1" t="s">
        <v>1307</v>
      </c>
      <c r="B1468" s="1" t="s">
        <v>8</v>
      </c>
      <c r="C1468" s="2" t="s">
        <v>1308</v>
      </c>
      <c r="D1468" s="2">
        <v>8.1</v>
      </c>
      <c r="E1468" s="2">
        <v>2022.0</v>
      </c>
      <c r="F1468" s="2" t="s">
        <v>10</v>
      </c>
      <c r="G1468" s="2">
        <v>2.265E7</v>
      </c>
    </row>
    <row r="1469" ht="14.25" customHeight="1">
      <c r="A1469" s="1" t="s">
        <v>1307</v>
      </c>
      <c r="B1469" s="1" t="s">
        <v>8</v>
      </c>
      <c r="C1469" s="2" t="s">
        <v>1308</v>
      </c>
      <c r="D1469" s="2">
        <v>8.1</v>
      </c>
      <c r="E1469" s="2">
        <v>2022.0</v>
      </c>
      <c r="F1469" s="2" t="s">
        <v>10</v>
      </c>
      <c r="G1469" s="2">
        <v>2.823E7</v>
      </c>
    </row>
    <row r="1470" ht="14.25" customHeight="1">
      <c r="A1470" s="1" t="s">
        <v>1307</v>
      </c>
      <c r="B1470" s="1" t="s">
        <v>8</v>
      </c>
      <c r="C1470" s="2" t="s">
        <v>1308</v>
      </c>
      <c r="D1470" s="2">
        <v>8.1</v>
      </c>
      <c r="E1470" s="2">
        <v>2022.0</v>
      </c>
      <c r="F1470" s="2" t="s">
        <v>10</v>
      </c>
      <c r="G1470" s="2">
        <v>3.586E7</v>
      </c>
    </row>
    <row r="1471" ht="14.25" customHeight="1">
      <c r="A1471" s="1" t="s">
        <v>1307</v>
      </c>
      <c r="B1471" s="1" t="s">
        <v>8</v>
      </c>
      <c r="C1471" s="2" t="s">
        <v>1308</v>
      </c>
      <c r="D1471" s="2">
        <v>8.1</v>
      </c>
      <c r="E1471" s="2">
        <v>2022.0</v>
      </c>
      <c r="F1471" s="2" t="s">
        <v>10</v>
      </c>
      <c r="G1471" s="2">
        <v>4.574E7</v>
      </c>
    </row>
    <row r="1472" ht="14.25" customHeight="1">
      <c r="A1472" s="1" t="s">
        <v>1307</v>
      </c>
      <c r="B1472" s="1" t="s">
        <v>8</v>
      </c>
      <c r="C1472" s="2" t="s">
        <v>1308</v>
      </c>
      <c r="D1472" s="2">
        <v>8.1</v>
      </c>
      <c r="E1472" s="2">
        <v>2022.0</v>
      </c>
      <c r="F1472" s="2" t="s">
        <v>10</v>
      </c>
      <c r="G1472" s="2">
        <v>5.782E7</v>
      </c>
    </row>
    <row r="1473" ht="14.25" customHeight="1">
      <c r="A1473" s="1" t="s">
        <v>1307</v>
      </c>
      <c r="B1473" s="1" t="s">
        <v>8</v>
      </c>
      <c r="C1473" s="2" t="s">
        <v>1308</v>
      </c>
      <c r="D1473" s="2">
        <v>8.1</v>
      </c>
      <c r="E1473" s="2">
        <v>2022.0</v>
      </c>
      <c r="F1473" s="2" t="s">
        <v>10</v>
      </c>
      <c r="G1473" s="2">
        <v>8.134E7</v>
      </c>
    </row>
    <row r="1474" ht="14.25" customHeight="1">
      <c r="A1474" s="1" t="s">
        <v>1307</v>
      </c>
      <c r="B1474" s="1" t="s">
        <v>8</v>
      </c>
      <c r="C1474" s="2" t="s">
        <v>1308</v>
      </c>
      <c r="D1474" s="2">
        <v>8.1</v>
      </c>
      <c r="E1474" s="2">
        <v>2022.0</v>
      </c>
      <c r="F1474" s="2" t="s">
        <v>10</v>
      </c>
      <c r="G1474" s="2">
        <v>1.0396E8</v>
      </c>
    </row>
    <row r="1475" ht="14.25" customHeight="1">
      <c r="A1475" s="1" t="s">
        <v>1307</v>
      </c>
      <c r="B1475" s="1" t="s">
        <v>8</v>
      </c>
      <c r="C1475" s="2" t="s">
        <v>1308</v>
      </c>
      <c r="D1475" s="2">
        <v>8.1</v>
      </c>
      <c r="E1475" s="2">
        <v>2022.0</v>
      </c>
      <c r="F1475" s="2" t="s">
        <v>10</v>
      </c>
      <c r="G1475" s="2">
        <v>1.1854E8</v>
      </c>
    </row>
    <row r="1476" ht="14.25" customHeight="1">
      <c r="A1476" s="1" t="s">
        <v>1307</v>
      </c>
      <c r="B1476" s="1" t="s">
        <v>8</v>
      </c>
      <c r="C1476" s="2" t="s">
        <v>1308</v>
      </c>
      <c r="D1476" s="2">
        <v>8.1</v>
      </c>
      <c r="E1476" s="2">
        <v>2022.0</v>
      </c>
      <c r="F1476" s="2" t="s">
        <v>10</v>
      </c>
      <c r="G1476" s="2">
        <v>1.7396E8</v>
      </c>
    </row>
    <row r="1477" ht="14.25" customHeight="1">
      <c r="A1477" s="1" t="s">
        <v>1307</v>
      </c>
      <c r="B1477" s="1" t="s">
        <v>8</v>
      </c>
      <c r="C1477" s="2" t="s">
        <v>1308</v>
      </c>
      <c r="D1477" s="2">
        <v>8.1</v>
      </c>
      <c r="E1477" s="2">
        <v>2022.0</v>
      </c>
      <c r="F1477" s="2" t="s">
        <v>10</v>
      </c>
      <c r="G1477" s="2">
        <v>2.6967E8</v>
      </c>
    </row>
    <row r="1478" ht="14.25" customHeight="1">
      <c r="A1478" s="1" t="s">
        <v>1307</v>
      </c>
      <c r="B1478" s="1" t="s">
        <v>8</v>
      </c>
      <c r="C1478" s="2" t="s">
        <v>1308</v>
      </c>
      <c r="D1478" s="2">
        <v>8.1</v>
      </c>
      <c r="E1478" s="2">
        <v>2022.0</v>
      </c>
      <c r="F1478" s="2" t="s">
        <v>10</v>
      </c>
      <c r="G1478" s="2">
        <v>4.1129E8</v>
      </c>
    </row>
    <row r="1479" ht="14.25" customHeight="1">
      <c r="A1479" s="1" t="s">
        <v>1307</v>
      </c>
      <c r="B1479" s="1" t="s">
        <v>8</v>
      </c>
      <c r="C1479" s="2" t="s">
        <v>1308</v>
      </c>
      <c r="D1479" s="2">
        <v>8.1</v>
      </c>
      <c r="E1479" s="2">
        <v>2022.0</v>
      </c>
      <c r="F1479" s="2" t="s">
        <v>10</v>
      </c>
      <c r="G1479" s="2">
        <v>3.4123E8</v>
      </c>
    </row>
    <row r="1480" ht="14.25" customHeight="1">
      <c r="A1480" s="1" t="s">
        <v>1309</v>
      </c>
      <c r="B1480" s="1" t="s">
        <v>20</v>
      </c>
      <c r="C1480" s="2" t="s">
        <v>910</v>
      </c>
      <c r="D1480" s="2">
        <v>8.1</v>
      </c>
      <c r="E1480" s="2">
        <v>1980.0</v>
      </c>
      <c r="F1480" s="2">
        <v>1980.0</v>
      </c>
      <c r="G1480" s="2" t="s">
        <v>10</v>
      </c>
    </row>
    <row r="1481" ht="14.25" customHeight="1">
      <c r="A1481" s="1" t="s">
        <v>1310</v>
      </c>
      <c r="B1481" s="1" t="s">
        <v>20</v>
      </c>
      <c r="C1481" s="2" t="s">
        <v>80</v>
      </c>
      <c r="D1481" s="2">
        <v>8.1</v>
      </c>
      <c r="E1481" s="2">
        <v>2004.0</v>
      </c>
      <c r="F1481" s="2" t="s">
        <v>10</v>
      </c>
      <c r="G1481" s="2" t="s">
        <v>10</v>
      </c>
    </row>
    <row r="1482" ht="14.25" customHeight="1">
      <c r="A1482" s="1" t="s">
        <v>1311</v>
      </c>
      <c r="B1482" s="1" t="s">
        <v>8</v>
      </c>
      <c r="C1482" s="2" t="s">
        <v>226</v>
      </c>
      <c r="D1482" s="2">
        <v>8.1</v>
      </c>
      <c r="E1482" s="2">
        <v>1999.0</v>
      </c>
      <c r="F1482" s="2" t="s">
        <v>10</v>
      </c>
      <c r="G1482" s="2" t="s">
        <v>10</v>
      </c>
    </row>
    <row r="1483" ht="14.25" customHeight="1">
      <c r="A1483" s="1" t="s">
        <v>1312</v>
      </c>
      <c r="B1483" s="1" t="s">
        <v>20</v>
      </c>
      <c r="C1483" s="2" t="s">
        <v>184</v>
      </c>
      <c r="D1483" s="2">
        <v>8.1</v>
      </c>
      <c r="E1483" s="2">
        <v>1978.0</v>
      </c>
      <c r="F1483" s="2" t="s">
        <v>10</v>
      </c>
      <c r="G1483" s="2" t="s">
        <v>10</v>
      </c>
    </row>
    <row r="1484" ht="14.25" customHeight="1">
      <c r="A1484" s="1" t="s">
        <v>1313</v>
      </c>
      <c r="B1484" s="1" t="s">
        <v>20</v>
      </c>
      <c r="C1484" s="2" t="s">
        <v>468</v>
      </c>
      <c r="D1484" s="2">
        <v>8.1</v>
      </c>
      <c r="E1484" s="2">
        <v>1974.0</v>
      </c>
      <c r="F1484" s="2" t="s">
        <v>10</v>
      </c>
      <c r="G1484" s="2" t="s">
        <v>10</v>
      </c>
    </row>
    <row r="1485" ht="14.25" customHeight="1">
      <c r="A1485" s="1" t="s">
        <v>1314</v>
      </c>
      <c r="B1485" s="1" t="s">
        <v>20</v>
      </c>
      <c r="C1485" s="2" t="s">
        <v>154</v>
      </c>
      <c r="D1485" s="2">
        <v>8.1</v>
      </c>
      <c r="E1485" s="2">
        <v>1995.0</v>
      </c>
      <c r="F1485" s="2" t="s">
        <v>10</v>
      </c>
      <c r="G1485" s="2" t="s">
        <v>10</v>
      </c>
    </row>
    <row r="1486" ht="14.25" customHeight="1">
      <c r="A1486" s="1" t="s">
        <v>1315</v>
      </c>
      <c r="B1486" s="1" t="s">
        <v>20</v>
      </c>
      <c r="C1486" s="2" t="s">
        <v>1316</v>
      </c>
      <c r="D1486" s="2">
        <v>8.1</v>
      </c>
      <c r="E1486" s="2">
        <v>2009.0</v>
      </c>
      <c r="F1486" s="2">
        <v>2009.0</v>
      </c>
      <c r="G1486" s="2" t="s">
        <v>10</v>
      </c>
    </row>
    <row r="1487" ht="14.25" customHeight="1">
      <c r="A1487" s="1" t="s">
        <v>1317</v>
      </c>
      <c r="B1487" s="1" t="s">
        <v>20</v>
      </c>
      <c r="C1487" s="2" t="s">
        <v>154</v>
      </c>
      <c r="D1487" s="2">
        <v>8.1</v>
      </c>
      <c r="E1487" s="2">
        <v>2004.0</v>
      </c>
      <c r="F1487" s="2" t="s">
        <v>10</v>
      </c>
      <c r="G1487" s="2" t="s">
        <v>10</v>
      </c>
    </row>
    <row r="1488" ht="14.25" customHeight="1">
      <c r="A1488" s="1" t="s">
        <v>1318</v>
      </c>
      <c r="B1488" s="1" t="s">
        <v>20</v>
      </c>
      <c r="C1488" s="2" t="s">
        <v>1316</v>
      </c>
      <c r="D1488" s="2">
        <v>8.1</v>
      </c>
      <c r="E1488" s="2">
        <v>1965.0</v>
      </c>
      <c r="F1488" s="2" t="s">
        <v>10</v>
      </c>
      <c r="G1488" s="2" t="s">
        <v>10</v>
      </c>
    </row>
    <row r="1489" ht="14.25" customHeight="1">
      <c r="A1489" s="1" t="s">
        <v>1319</v>
      </c>
      <c r="B1489" s="1" t="s">
        <v>20</v>
      </c>
      <c r="C1489" s="2" t="s">
        <v>307</v>
      </c>
      <c r="D1489" s="2">
        <v>8.1</v>
      </c>
      <c r="E1489" s="2">
        <v>1959.0</v>
      </c>
      <c r="F1489" s="2" t="s">
        <v>10</v>
      </c>
      <c r="G1489" s="2" t="s">
        <v>10</v>
      </c>
    </row>
    <row r="1490" ht="14.25" customHeight="1">
      <c r="A1490" s="1" t="s">
        <v>1320</v>
      </c>
      <c r="B1490" s="1" t="s">
        <v>20</v>
      </c>
      <c r="C1490" s="2" t="s">
        <v>613</v>
      </c>
      <c r="D1490" s="2">
        <v>8.1</v>
      </c>
      <c r="E1490" s="2">
        <v>1957.0</v>
      </c>
      <c r="F1490" s="2" t="s">
        <v>10</v>
      </c>
      <c r="G1490" s="2" t="s">
        <v>10</v>
      </c>
    </row>
    <row r="1491" ht="14.25" customHeight="1">
      <c r="A1491" s="1" t="s">
        <v>1321</v>
      </c>
      <c r="B1491" s="1" t="s">
        <v>20</v>
      </c>
      <c r="C1491" s="2" t="s">
        <v>25</v>
      </c>
      <c r="D1491" s="2">
        <v>8.1</v>
      </c>
      <c r="E1491" s="2">
        <v>1999.0</v>
      </c>
      <c r="F1491" s="2" t="s">
        <v>10</v>
      </c>
      <c r="G1491" s="2" t="s">
        <v>10</v>
      </c>
    </row>
    <row r="1492" ht="14.25" customHeight="1">
      <c r="A1492" s="1" t="s">
        <v>1322</v>
      </c>
      <c r="B1492" s="1" t="s">
        <v>20</v>
      </c>
      <c r="C1492" s="2" t="s">
        <v>53</v>
      </c>
      <c r="D1492" s="2">
        <v>8.1</v>
      </c>
      <c r="E1492" s="2">
        <v>2003.0</v>
      </c>
      <c r="F1492" s="2" t="s">
        <v>10</v>
      </c>
      <c r="G1492" s="2" t="s">
        <v>10</v>
      </c>
    </row>
    <row r="1493" ht="14.25" customHeight="1">
      <c r="A1493" s="1" t="s">
        <v>1323</v>
      </c>
      <c r="B1493" s="1" t="s">
        <v>8</v>
      </c>
      <c r="C1493" s="2" t="s">
        <v>53</v>
      </c>
      <c r="D1493" s="2">
        <v>8.1</v>
      </c>
      <c r="E1493" s="2">
        <v>2005.0</v>
      </c>
      <c r="F1493" s="2">
        <v>2017.0</v>
      </c>
      <c r="G1493" s="2" t="s">
        <v>10</v>
      </c>
    </row>
    <row r="1494" ht="14.25" customHeight="1">
      <c r="A1494" s="1" t="s">
        <v>1324</v>
      </c>
      <c r="B1494" s="1" t="s">
        <v>20</v>
      </c>
      <c r="C1494" s="2" t="s">
        <v>895</v>
      </c>
      <c r="D1494" s="2">
        <v>8.1</v>
      </c>
      <c r="E1494" s="2">
        <v>2014.0</v>
      </c>
      <c r="F1494" s="2" t="s">
        <v>10</v>
      </c>
      <c r="G1494" s="2" t="s">
        <v>10</v>
      </c>
    </row>
    <row r="1495" ht="14.25" customHeight="1">
      <c r="A1495" s="1" t="s">
        <v>1325</v>
      </c>
      <c r="B1495" s="1" t="s">
        <v>20</v>
      </c>
      <c r="C1495" s="2" t="s">
        <v>1326</v>
      </c>
      <c r="D1495" s="2">
        <v>8.1</v>
      </c>
      <c r="E1495" s="2">
        <v>2014.0</v>
      </c>
      <c r="F1495" s="2">
        <v>2014.0</v>
      </c>
      <c r="G1495" s="2" t="s">
        <v>10</v>
      </c>
    </row>
    <row r="1496" ht="14.25" customHeight="1">
      <c r="A1496" s="1" t="s">
        <v>1327</v>
      </c>
      <c r="B1496" s="1" t="s">
        <v>20</v>
      </c>
      <c r="C1496" s="2" t="s">
        <v>36</v>
      </c>
      <c r="D1496" s="2">
        <v>8.1</v>
      </c>
      <c r="E1496" s="2">
        <v>1995.0</v>
      </c>
      <c r="F1496" s="2" t="s">
        <v>10</v>
      </c>
      <c r="G1496" s="2" t="s">
        <v>10</v>
      </c>
    </row>
    <row r="1497" ht="14.25" customHeight="1">
      <c r="A1497" s="1" t="s">
        <v>1328</v>
      </c>
      <c r="B1497" s="1" t="s">
        <v>20</v>
      </c>
      <c r="C1497" s="2" t="s">
        <v>591</v>
      </c>
      <c r="D1497" s="2">
        <v>8.1</v>
      </c>
      <c r="E1497" s="2">
        <v>1957.0</v>
      </c>
      <c r="F1497" s="2" t="s">
        <v>10</v>
      </c>
      <c r="G1497" s="2" t="s">
        <v>10</v>
      </c>
    </row>
    <row r="1498" ht="14.25" customHeight="1">
      <c r="A1498" s="1" t="s">
        <v>1329</v>
      </c>
      <c r="B1498" s="1" t="s">
        <v>8</v>
      </c>
      <c r="C1498" s="2" t="s">
        <v>187</v>
      </c>
      <c r="D1498" s="2">
        <v>8.1</v>
      </c>
      <c r="E1498" s="2">
        <v>1998.0</v>
      </c>
      <c r="F1498" s="2">
        <v>2005.0</v>
      </c>
      <c r="G1498" s="2" t="s">
        <v>10</v>
      </c>
    </row>
    <row r="1499" ht="14.25" customHeight="1">
      <c r="A1499" s="1" t="s">
        <v>1330</v>
      </c>
      <c r="B1499" s="1" t="s">
        <v>20</v>
      </c>
      <c r="C1499" s="2" t="s">
        <v>40</v>
      </c>
      <c r="D1499" s="2">
        <v>8.1</v>
      </c>
      <c r="E1499" s="2">
        <v>1993.0</v>
      </c>
      <c r="F1499" s="2" t="s">
        <v>10</v>
      </c>
      <c r="G1499" s="2" t="s">
        <v>10</v>
      </c>
    </row>
    <row r="1500" ht="14.25" customHeight="1">
      <c r="A1500" s="1" t="s">
        <v>1331</v>
      </c>
      <c r="B1500" s="1" t="s">
        <v>20</v>
      </c>
      <c r="C1500" s="2" t="s">
        <v>163</v>
      </c>
      <c r="D1500" s="2">
        <v>8.1</v>
      </c>
      <c r="E1500" s="2">
        <v>2009.0</v>
      </c>
      <c r="F1500" s="2" t="s">
        <v>10</v>
      </c>
      <c r="G1500" s="2" t="s">
        <v>10</v>
      </c>
    </row>
    <row r="1501" ht="14.25" customHeight="1">
      <c r="A1501" s="1" t="s">
        <v>1332</v>
      </c>
      <c r="B1501" s="1" t="s">
        <v>20</v>
      </c>
      <c r="C1501" s="2" t="s">
        <v>613</v>
      </c>
      <c r="D1501" s="2">
        <v>8.1</v>
      </c>
      <c r="E1501" s="2">
        <v>1975.0</v>
      </c>
      <c r="F1501" s="2" t="s">
        <v>10</v>
      </c>
      <c r="G1501" s="2" t="s">
        <v>10</v>
      </c>
    </row>
    <row r="1502" ht="14.25" customHeight="1">
      <c r="A1502" s="1" t="s">
        <v>1333</v>
      </c>
      <c r="B1502" s="1" t="s">
        <v>20</v>
      </c>
      <c r="C1502" s="2" t="s">
        <v>1334</v>
      </c>
      <c r="D1502" s="2">
        <v>8.1</v>
      </c>
      <c r="E1502" s="2">
        <v>1949.0</v>
      </c>
      <c r="F1502" s="2" t="s">
        <v>10</v>
      </c>
      <c r="G1502" s="2" t="s">
        <v>10</v>
      </c>
    </row>
    <row r="1503" ht="14.25" customHeight="1">
      <c r="A1503" s="1" t="s">
        <v>1335</v>
      </c>
      <c r="B1503" s="1" t="s">
        <v>20</v>
      </c>
      <c r="C1503" s="2" t="s">
        <v>1336</v>
      </c>
      <c r="D1503" s="2">
        <v>8.1</v>
      </c>
      <c r="E1503" s="2">
        <v>2016.0</v>
      </c>
      <c r="F1503" s="2" t="s">
        <v>10</v>
      </c>
      <c r="G1503" s="2" t="s">
        <v>10</v>
      </c>
    </row>
    <row r="1504" ht="14.25" customHeight="1">
      <c r="A1504" s="1" t="s">
        <v>1337</v>
      </c>
      <c r="B1504" s="1" t="s">
        <v>8</v>
      </c>
      <c r="C1504" s="2" t="s">
        <v>530</v>
      </c>
      <c r="D1504" s="2">
        <v>8.1</v>
      </c>
      <c r="E1504" s="2">
        <v>2009.0</v>
      </c>
      <c r="F1504" s="2" t="s">
        <v>10</v>
      </c>
      <c r="G1504" s="2" t="s">
        <v>10</v>
      </c>
    </row>
    <row r="1505" ht="14.25" customHeight="1">
      <c r="A1505" s="1" t="s">
        <v>1338</v>
      </c>
      <c r="B1505" s="1" t="s">
        <v>8</v>
      </c>
      <c r="C1505" s="2" t="s">
        <v>530</v>
      </c>
      <c r="D1505" s="2">
        <v>8.1</v>
      </c>
      <c r="E1505" s="2">
        <v>2021.0</v>
      </c>
      <c r="F1505" s="2" t="s">
        <v>10</v>
      </c>
      <c r="G1505" s="2" t="s">
        <v>10</v>
      </c>
    </row>
    <row r="1506" ht="14.25" customHeight="1">
      <c r="A1506" s="1" t="s">
        <v>1339</v>
      </c>
      <c r="B1506" s="1" t="s">
        <v>20</v>
      </c>
      <c r="C1506" s="2" t="s">
        <v>18</v>
      </c>
      <c r="D1506" s="2">
        <v>8.1</v>
      </c>
      <c r="E1506" s="2">
        <v>1976.0</v>
      </c>
      <c r="F1506" s="2" t="s">
        <v>10</v>
      </c>
      <c r="G1506" s="2" t="s">
        <v>10</v>
      </c>
    </row>
    <row r="1507" ht="14.25" customHeight="1">
      <c r="A1507" s="1" t="s">
        <v>1340</v>
      </c>
      <c r="B1507" s="1" t="s">
        <v>20</v>
      </c>
      <c r="C1507" s="2" t="s">
        <v>154</v>
      </c>
      <c r="D1507" s="2">
        <v>8.1</v>
      </c>
      <c r="E1507" s="2">
        <v>2000.0</v>
      </c>
      <c r="F1507" s="2" t="s">
        <v>10</v>
      </c>
      <c r="G1507" s="2" t="s">
        <v>10</v>
      </c>
    </row>
    <row r="1508" ht="14.25" customHeight="1">
      <c r="A1508" s="1" t="s">
        <v>1341</v>
      </c>
      <c r="B1508" s="1" t="s">
        <v>8</v>
      </c>
      <c r="C1508" s="2" t="s">
        <v>53</v>
      </c>
      <c r="D1508" s="2">
        <v>8.1</v>
      </c>
      <c r="E1508" s="2">
        <v>2014.0</v>
      </c>
      <c r="F1508" s="2">
        <v>2020.0</v>
      </c>
      <c r="G1508" s="2" t="s">
        <v>10</v>
      </c>
    </row>
    <row r="1509" ht="14.25" customHeight="1">
      <c r="A1509" s="1" t="s">
        <v>1342</v>
      </c>
      <c r="B1509" s="1" t="s">
        <v>20</v>
      </c>
      <c r="C1509" s="2" t="s">
        <v>9</v>
      </c>
      <c r="D1509" s="2">
        <v>8.1</v>
      </c>
      <c r="E1509" s="2">
        <v>1954.0</v>
      </c>
      <c r="F1509" s="2" t="s">
        <v>10</v>
      </c>
      <c r="G1509" s="2" t="s">
        <v>10</v>
      </c>
    </row>
    <row r="1510" ht="14.25" customHeight="1">
      <c r="A1510" s="1" t="s">
        <v>1343</v>
      </c>
      <c r="B1510" s="1" t="s">
        <v>20</v>
      </c>
      <c r="C1510" s="2" t="s">
        <v>1060</v>
      </c>
      <c r="D1510" s="2">
        <v>8.1</v>
      </c>
      <c r="E1510" s="2">
        <v>1940.0</v>
      </c>
      <c r="F1510" s="2">
        <v>2020.0</v>
      </c>
      <c r="G1510" s="2" t="s">
        <v>10</v>
      </c>
    </row>
    <row r="1511" ht="14.25" customHeight="1">
      <c r="A1511" s="1" t="s">
        <v>1344</v>
      </c>
      <c r="B1511" s="1" t="s">
        <v>8</v>
      </c>
      <c r="C1511" s="2" t="s">
        <v>231</v>
      </c>
      <c r="D1511" s="2">
        <v>8.1</v>
      </c>
      <c r="E1511" s="2">
        <v>2023.0</v>
      </c>
      <c r="F1511" s="2" t="s">
        <v>10</v>
      </c>
      <c r="G1511" s="2" t="s">
        <v>10</v>
      </c>
    </row>
    <row r="1512" ht="14.25" customHeight="1">
      <c r="A1512" s="1" t="s">
        <v>1345</v>
      </c>
      <c r="B1512" s="1" t="s">
        <v>8</v>
      </c>
      <c r="C1512" s="2" t="s">
        <v>34</v>
      </c>
      <c r="D1512" s="2">
        <v>8.1</v>
      </c>
      <c r="E1512" s="2">
        <v>2018.0</v>
      </c>
      <c r="F1512" s="2" t="s">
        <v>10</v>
      </c>
      <c r="G1512" s="2" t="s">
        <v>10</v>
      </c>
    </row>
    <row r="1513" ht="14.25" customHeight="1">
      <c r="A1513" s="1" t="s">
        <v>1346</v>
      </c>
      <c r="B1513" s="1" t="s">
        <v>8</v>
      </c>
      <c r="C1513" s="2" t="s">
        <v>53</v>
      </c>
      <c r="D1513" s="2">
        <v>8.1</v>
      </c>
      <c r="E1513" s="2">
        <v>1999.0</v>
      </c>
      <c r="F1513" s="2" t="s">
        <v>10</v>
      </c>
      <c r="G1513" s="2" t="s">
        <v>10</v>
      </c>
    </row>
    <row r="1514" ht="14.25" customHeight="1">
      <c r="A1514" s="1" t="s">
        <v>1347</v>
      </c>
      <c r="B1514" s="1" t="s">
        <v>20</v>
      </c>
      <c r="C1514" s="2" t="s">
        <v>18</v>
      </c>
      <c r="D1514" s="2">
        <v>8.1</v>
      </c>
      <c r="E1514" s="2">
        <v>1984.0</v>
      </c>
      <c r="F1514" s="2" t="s">
        <v>10</v>
      </c>
      <c r="G1514" s="2" t="s">
        <v>10</v>
      </c>
    </row>
    <row r="1515" ht="14.25" customHeight="1">
      <c r="A1515" s="1" t="s">
        <v>1348</v>
      </c>
      <c r="B1515" s="1" t="s">
        <v>20</v>
      </c>
      <c r="C1515" s="2" t="s">
        <v>63</v>
      </c>
      <c r="D1515" s="2">
        <v>8.1</v>
      </c>
      <c r="E1515" s="2">
        <v>1939.0</v>
      </c>
      <c r="F1515" s="2" t="s">
        <v>10</v>
      </c>
      <c r="G1515" s="2" t="s">
        <v>10</v>
      </c>
    </row>
    <row r="1516" ht="14.25" customHeight="1">
      <c r="A1516" s="1" t="s">
        <v>1349</v>
      </c>
      <c r="B1516" s="1" t="s">
        <v>8</v>
      </c>
      <c r="C1516" s="2" t="s">
        <v>9</v>
      </c>
      <c r="D1516" s="2">
        <v>8.1</v>
      </c>
      <c r="E1516" s="2">
        <v>2013.0</v>
      </c>
      <c r="F1516" s="2" t="s">
        <v>10</v>
      </c>
      <c r="G1516" s="2" t="s">
        <v>10</v>
      </c>
    </row>
    <row r="1517" ht="14.25" customHeight="1">
      <c r="A1517" s="1" t="s">
        <v>1350</v>
      </c>
      <c r="B1517" s="1" t="s">
        <v>20</v>
      </c>
      <c r="C1517" s="2" t="s">
        <v>530</v>
      </c>
      <c r="D1517" s="2">
        <v>8.1</v>
      </c>
      <c r="E1517" s="2">
        <v>2006.0</v>
      </c>
      <c r="F1517" s="2">
        <v>2006.0</v>
      </c>
      <c r="G1517" s="2" t="s">
        <v>10</v>
      </c>
    </row>
    <row r="1518" ht="14.25" customHeight="1">
      <c r="A1518" s="1" t="s">
        <v>1351</v>
      </c>
      <c r="B1518" s="1" t="s">
        <v>20</v>
      </c>
      <c r="C1518" s="2" t="s">
        <v>1352</v>
      </c>
      <c r="D1518" s="2">
        <v>8.1</v>
      </c>
      <c r="E1518" s="2">
        <v>2001.0</v>
      </c>
      <c r="F1518" s="2" t="s">
        <v>10</v>
      </c>
      <c r="G1518" s="2" t="s">
        <v>10</v>
      </c>
    </row>
    <row r="1519" ht="14.25" customHeight="1">
      <c r="A1519" s="1" t="s">
        <v>1353</v>
      </c>
      <c r="B1519" s="1" t="s">
        <v>20</v>
      </c>
      <c r="C1519" s="2" t="s">
        <v>60</v>
      </c>
      <c r="D1519" s="2">
        <v>8.1</v>
      </c>
      <c r="E1519" s="2">
        <v>1925.0</v>
      </c>
      <c r="F1519" s="2" t="s">
        <v>10</v>
      </c>
      <c r="G1519" s="2" t="s">
        <v>10</v>
      </c>
    </row>
    <row r="1520" ht="14.25" customHeight="1">
      <c r="A1520" s="1" t="s">
        <v>1354</v>
      </c>
      <c r="B1520" s="1" t="s">
        <v>8</v>
      </c>
      <c r="C1520" s="2" t="s">
        <v>476</v>
      </c>
      <c r="D1520" s="2">
        <v>8.1</v>
      </c>
      <c r="E1520" s="2">
        <v>2013.0</v>
      </c>
      <c r="F1520" s="2">
        <v>2017.0</v>
      </c>
      <c r="G1520" s="2" t="s">
        <v>10</v>
      </c>
    </row>
    <row r="1521" ht="14.25" customHeight="1">
      <c r="A1521" s="1" t="s">
        <v>1355</v>
      </c>
      <c r="B1521" s="1" t="s">
        <v>20</v>
      </c>
      <c r="C1521" s="2" t="s">
        <v>154</v>
      </c>
      <c r="D1521" s="2">
        <v>8.1</v>
      </c>
      <c r="E1521" s="2">
        <v>1957.0</v>
      </c>
      <c r="F1521" s="2" t="s">
        <v>10</v>
      </c>
      <c r="G1521" s="2" t="s">
        <v>10</v>
      </c>
    </row>
    <row r="1522" ht="14.25" customHeight="1">
      <c r="A1522" s="1" t="s">
        <v>1356</v>
      </c>
      <c r="B1522" s="1" t="s">
        <v>8</v>
      </c>
      <c r="C1522" s="2" t="s">
        <v>40</v>
      </c>
      <c r="D1522" s="2">
        <v>8.1</v>
      </c>
      <c r="E1522" s="2">
        <v>2022.0</v>
      </c>
      <c r="F1522" s="2" t="s">
        <v>10</v>
      </c>
      <c r="G1522" s="2" t="s">
        <v>10</v>
      </c>
    </row>
    <row r="1523" ht="14.25" customHeight="1">
      <c r="A1523" s="1" t="s">
        <v>1357</v>
      </c>
      <c r="B1523" s="1" t="s">
        <v>20</v>
      </c>
      <c r="C1523" s="2" t="s">
        <v>154</v>
      </c>
      <c r="D1523" s="2">
        <v>8.1</v>
      </c>
      <c r="E1523" s="2">
        <v>2019.0</v>
      </c>
      <c r="F1523" s="2" t="s">
        <v>10</v>
      </c>
      <c r="G1523" s="2" t="s">
        <v>10</v>
      </c>
    </row>
    <row r="1524" ht="14.25" customHeight="1">
      <c r="A1524" s="1" t="s">
        <v>1358</v>
      </c>
      <c r="B1524" s="1" t="s">
        <v>20</v>
      </c>
      <c r="C1524" s="2" t="s">
        <v>118</v>
      </c>
      <c r="D1524" s="2">
        <v>8.1</v>
      </c>
      <c r="E1524" s="2">
        <v>1934.0</v>
      </c>
      <c r="F1524" s="2" t="s">
        <v>10</v>
      </c>
      <c r="G1524" s="2" t="s">
        <v>10</v>
      </c>
    </row>
    <row r="1525" ht="14.25" customHeight="1">
      <c r="A1525" s="1" t="s">
        <v>1359</v>
      </c>
      <c r="B1525" s="1" t="s">
        <v>8</v>
      </c>
      <c r="C1525" s="2" t="s">
        <v>32</v>
      </c>
      <c r="D1525" s="2">
        <v>8.1</v>
      </c>
      <c r="E1525" s="2">
        <v>1987.0</v>
      </c>
      <c r="F1525" s="2" t="s">
        <v>10</v>
      </c>
      <c r="G1525" s="2" t="s">
        <v>10</v>
      </c>
    </row>
    <row r="1526" ht="14.25" customHeight="1">
      <c r="A1526" s="1" t="s">
        <v>1360</v>
      </c>
      <c r="B1526" s="1" t="s">
        <v>20</v>
      </c>
      <c r="C1526" s="2" t="s">
        <v>1060</v>
      </c>
      <c r="D1526" s="2">
        <v>8.1</v>
      </c>
      <c r="E1526" s="2">
        <v>1994.0</v>
      </c>
      <c r="F1526" s="2" t="s">
        <v>10</v>
      </c>
      <c r="G1526" s="2" t="s">
        <v>10</v>
      </c>
    </row>
    <row r="1527" ht="14.25" customHeight="1">
      <c r="A1527" s="1" t="s">
        <v>1361</v>
      </c>
      <c r="B1527" s="1" t="s">
        <v>20</v>
      </c>
      <c r="C1527" s="2" t="s">
        <v>1362</v>
      </c>
      <c r="D1527" s="2">
        <v>8.1</v>
      </c>
      <c r="E1527" s="2">
        <v>2016.0</v>
      </c>
      <c r="F1527" s="2" t="s">
        <v>10</v>
      </c>
      <c r="G1527" s="2" t="s">
        <v>10</v>
      </c>
    </row>
    <row r="1528" ht="14.25" customHeight="1">
      <c r="A1528" s="1" t="s">
        <v>1363</v>
      </c>
      <c r="B1528" s="1" t="s">
        <v>8</v>
      </c>
      <c r="C1528" s="2" t="s">
        <v>1060</v>
      </c>
      <c r="D1528" s="2">
        <v>8.1</v>
      </c>
      <c r="E1528" s="2">
        <v>2016.0</v>
      </c>
      <c r="F1528" s="2" t="s">
        <v>10</v>
      </c>
      <c r="G1528" s="2" t="s">
        <v>10</v>
      </c>
    </row>
    <row r="1529" ht="14.25" customHeight="1">
      <c r="A1529" s="1" t="s">
        <v>1364</v>
      </c>
      <c r="B1529" s="1" t="s">
        <v>20</v>
      </c>
      <c r="C1529" s="2" t="s">
        <v>18</v>
      </c>
      <c r="D1529" s="2">
        <v>8.1</v>
      </c>
      <c r="E1529" s="2">
        <v>1940.0</v>
      </c>
      <c r="F1529" s="2" t="s">
        <v>10</v>
      </c>
      <c r="G1529" s="2" t="s">
        <v>10</v>
      </c>
    </row>
    <row r="1530" ht="14.25" customHeight="1">
      <c r="A1530" s="1" t="s">
        <v>1365</v>
      </c>
      <c r="B1530" s="1" t="s">
        <v>20</v>
      </c>
      <c r="C1530" s="2" t="s">
        <v>845</v>
      </c>
      <c r="D1530" s="2">
        <v>8.1</v>
      </c>
      <c r="E1530" s="2">
        <v>2015.0</v>
      </c>
      <c r="F1530" s="2" t="s">
        <v>10</v>
      </c>
      <c r="G1530" s="2" t="s">
        <v>10</v>
      </c>
    </row>
    <row r="1531" ht="14.25" customHeight="1">
      <c r="A1531" s="1" t="s">
        <v>1366</v>
      </c>
      <c r="B1531" s="1" t="s">
        <v>20</v>
      </c>
      <c r="C1531" s="2" t="s">
        <v>845</v>
      </c>
      <c r="D1531" s="2">
        <v>8.1</v>
      </c>
      <c r="E1531" s="2">
        <v>1926.0</v>
      </c>
      <c r="F1531" s="2" t="s">
        <v>10</v>
      </c>
      <c r="G1531" s="2" t="s">
        <v>10</v>
      </c>
    </row>
    <row r="1532" ht="14.25" customHeight="1">
      <c r="A1532" s="1" t="s">
        <v>1367</v>
      </c>
      <c r="B1532" s="1" t="s">
        <v>8</v>
      </c>
      <c r="C1532" s="2" t="s">
        <v>1267</v>
      </c>
      <c r="D1532" s="2">
        <v>8.1</v>
      </c>
      <c r="E1532" s="2">
        <v>2017.0</v>
      </c>
      <c r="F1532" s="2">
        <v>2010.0</v>
      </c>
      <c r="G1532" s="2" t="s">
        <v>10</v>
      </c>
    </row>
    <row r="1533" ht="14.25" customHeight="1">
      <c r="A1533" s="1" t="s">
        <v>1368</v>
      </c>
      <c r="B1533" s="1" t="s">
        <v>8</v>
      </c>
      <c r="C1533" s="2" t="s">
        <v>530</v>
      </c>
      <c r="D1533" s="2">
        <v>8.1</v>
      </c>
      <c r="E1533" s="2">
        <v>2002.0</v>
      </c>
      <c r="F1533" s="2" t="s">
        <v>10</v>
      </c>
      <c r="G1533" s="2" t="s">
        <v>10</v>
      </c>
    </row>
    <row r="1534" ht="14.25" customHeight="1">
      <c r="A1534" s="1" t="s">
        <v>1369</v>
      </c>
      <c r="B1534" s="1" t="s">
        <v>20</v>
      </c>
      <c r="C1534" s="2" t="s">
        <v>63</v>
      </c>
      <c r="D1534" s="2">
        <v>8.1</v>
      </c>
      <c r="E1534" s="2">
        <v>2003.0</v>
      </c>
      <c r="F1534" s="2" t="s">
        <v>10</v>
      </c>
      <c r="G1534" s="2" t="s">
        <v>10</v>
      </c>
    </row>
    <row r="1535" ht="14.25" customHeight="1">
      <c r="A1535" s="1" t="s">
        <v>1370</v>
      </c>
      <c r="B1535" s="1" t="s">
        <v>20</v>
      </c>
      <c r="C1535" s="2" t="s">
        <v>187</v>
      </c>
      <c r="D1535" s="2">
        <v>8.1</v>
      </c>
      <c r="E1535" s="2">
        <v>2012.0</v>
      </c>
      <c r="F1535" s="2">
        <v>2012.0</v>
      </c>
      <c r="G1535" s="2" t="s">
        <v>10</v>
      </c>
    </row>
    <row r="1536" ht="14.25" customHeight="1">
      <c r="A1536" s="1" t="s">
        <v>1371</v>
      </c>
      <c r="B1536" s="1" t="s">
        <v>20</v>
      </c>
      <c r="C1536" s="2" t="s">
        <v>1103</v>
      </c>
      <c r="D1536" s="2">
        <v>8.1</v>
      </c>
      <c r="E1536" s="2">
        <v>2007.0</v>
      </c>
      <c r="F1536" s="2" t="s">
        <v>10</v>
      </c>
      <c r="G1536" s="2" t="s">
        <v>10</v>
      </c>
    </row>
    <row r="1537" ht="14.25" customHeight="1">
      <c r="A1537" s="1" t="s">
        <v>1372</v>
      </c>
      <c r="B1537" s="1" t="s">
        <v>20</v>
      </c>
      <c r="C1537" s="2" t="s">
        <v>249</v>
      </c>
      <c r="D1537" s="2">
        <v>8.1</v>
      </c>
      <c r="E1537" s="2">
        <v>1962.0</v>
      </c>
      <c r="F1537" s="2" t="s">
        <v>10</v>
      </c>
      <c r="G1537" s="2" t="s">
        <v>10</v>
      </c>
    </row>
    <row r="1538" ht="14.25" customHeight="1">
      <c r="A1538" s="1" t="s">
        <v>1373</v>
      </c>
      <c r="B1538" s="1" t="s">
        <v>20</v>
      </c>
      <c r="C1538" s="2" t="s">
        <v>69</v>
      </c>
      <c r="D1538" s="2">
        <v>8.1</v>
      </c>
      <c r="E1538" s="2">
        <v>2008.0</v>
      </c>
      <c r="F1538" s="2">
        <v>2008.0</v>
      </c>
      <c r="G1538" s="2" t="s">
        <v>10</v>
      </c>
    </row>
    <row r="1539" ht="14.25" customHeight="1">
      <c r="A1539" s="1" t="s">
        <v>1374</v>
      </c>
      <c r="B1539" s="1" t="s">
        <v>8</v>
      </c>
      <c r="C1539" s="2" t="s">
        <v>1375</v>
      </c>
      <c r="D1539" s="2">
        <v>8.1</v>
      </c>
      <c r="E1539" s="2">
        <v>2007.0</v>
      </c>
      <c r="F1539" s="2">
        <v>2010.0</v>
      </c>
      <c r="G1539" s="2" t="s">
        <v>10</v>
      </c>
    </row>
    <row r="1540" ht="14.25" customHeight="1">
      <c r="A1540" s="1" t="s">
        <v>1376</v>
      </c>
      <c r="B1540" s="1" t="s">
        <v>20</v>
      </c>
      <c r="C1540" s="2" t="s">
        <v>184</v>
      </c>
      <c r="D1540" s="2">
        <v>8.1</v>
      </c>
      <c r="E1540" s="2">
        <v>2020.0</v>
      </c>
      <c r="F1540" s="2" t="s">
        <v>10</v>
      </c>
      <c r="G1540" s="2" t="s">
        <v>10</v>
      </c>
    </row>
    <row r="1541" ht="14.25" customHeight="1">
      <c r="A1541" s="1" t="s">
        <v>1377</v>
      </c>
      <c r="B1541" s="1" t="s">
        <v>20</v>
      </c>
      <c r="C1541" s="2" t="s">
        <v>1378</v>
      </c>
      <c r="D1541" s="2">
        <v>8.1</v>
      </c>
      <c r="E1541" s="2">
        <v>2018.0</v>
      </c>
      <c r="F1541" s="2" t="s">
        <v>10</v>
      </c>
      <c r="G1541" s="2" t="s">
        <v>10</v>
      </c>
    </row>
    <row r="1542" ht="14.25" customHeight="1">
      <c r="A1542" s="1" t="s">
        <v>1379</v>
      </c>
      <c r="B1542" s="1" t="s">
        <v>20</v>
      </c>
      <c r="C1542" s="2" t="s">
        <v>187</v>
      </c>
      <c r="D1542" s="2">
        <v>8.1</v>
      </c>
      <c r="E1542" s="2">
        <v>2001.0</v>
      </c>
      <c r="F1542" s="2">
        <v>2001.0</v>
      </c>
      <c r="G1542" s="2" t="s">
        <v>10</v>
      </c>
    </row>
    <row r="1543" ht="14.25" customHeight="1">
      <c r="A1543" s="1" t="s">
        <v>1380</v>
      </c>
      <c r="B1543" s="1" t="s">
        <v>8</v>
      </c>
      <c r="C1543" s="2" t="s">
        <v>838</v>
      </c>
      <c r="D1543" s="2">
        <v>8.1</v>
      </c>
      <c r="E1543" s="2">
        <v>2019.0</v>
      </c>
      <c r="F1543" s="2" t="s">
        <v>10</v>
      </c>
      <c r="G1543" s="2" t="s">
        <v>10</v>
      </c>
    </row>
    <row r="1544" ht="14.25" customHeight="1">
      <c r="A1544" s="1" t="s">
        <v>1381</v>
      </c>
      <c r="B1544" s="1" t="s">
        <v>20</v>
      </c>
      <c r="C1544" s="2" t="s">
        <v>1382</v>
      </c>
      <c r="D1544" s="2">
        <v>8.1</v>
      </c>
      <c r="E1544" s="2">
        <v>2013.0</v>
      </c>
      <c r="F1544" s="2">
        <v>2013.0</v>
      </c>
      <c r="G1544" s="2" t="s">
        <v>10</v>
      </c>
    </row>
    <row r="1545" ht="14.25" customHeight="1">
      <c r="A1545" s="1" t="s">
        <v>1383</v>
      </c>
      <c r="B1545" s="1" t="s">
        <v>20</v>
      </c>
      <c r="C1545" s="2" t="s">
        <v>36</v>
      </c>
      <c r="D1545" s="2">
        <v>8.1</v>
      </c>
      <c r="E1545" s="2">
        <v>1996.0</v>
      </c>
      <c r="F1545" s="2" t="s">
        <v>10</v>
      </c>
      <c r="G1545" s="2" t="s">
        <v>10</v>
      </c>
    </row>
    <row r="1546" ht="14.25" customHeight="1">
      <c r="A1546" s="1" t="s">
        <v>1384</v>
      </c>
      <c r="B1546" s="1" t="s">
        <v>8</v>
      </c>
      <c r="C1546" s="2" t="s">
        <v>34</v>
      </c>
      <c r="D1546" s="2">
        <v>8.1</v>
      </c>
      <c r="E1546" s="2">
        <v>2004.0</v>
      </c>
      <c r="F1546" s="2" t="s">
        <v>10</v>
      </c>
      <c r="G1546" s="2" t="s">
        <v>10</v>
      </c>
    </row>
    <row r="1547" ht="14.25" customHeight="1">
      <c r="A1547" s="1" t="s">
        <v>1385</v>
      </c>
      <c r="B1547" s="1" t="s">
        <v>8</v>
      </c>
      <c r="C1547" s="2" t="s">
        <v>34</v>
      </c>
      <c r="D1547" s="2">
        <v>8.1</v>
      </c>
      <c r="E1547" s="2">
        <v>1993.0</v>
      </c>
      <c r="F1547" s="2">
        <v>1999.0</v>
      </c>
      <c r="G1547" s="2" t="s">
        <v>10</v>
      </c>
    </row>
    <row r="1548" ht="14.25" customHeight="1">
      <c r="A1548" s="1" t="s">
        <v>1386</v>
      </c>
      <c r="B1548" s="1" t="s">
        <v>20</v>
      </c>
      <c r="C1548" s="2" t="s">
        <v>461</v>
      </c>
      <c r="D1548" s="2">
        <v>8.1</v>
      </c>
      <c r="E1548" s="2">
        <v>1946.0</v>
      </c>
      <c r="F1548" s="2" t="s">
        <v>10</v>
      </c>
      <c r="G1548" s="2" t="s">
        <v>10</v>
      </c>
    </row>
    <row r="1549" ht="14.25" customHeight="1">
      <c r="A1549" s="1" t="s">
        <v>1387</v>
      </c>
      <c r="B1549" s="1" t="s">
        <v>20</v>
      </c>
      <c r="C1549" s="2" t="s">
        <v>18</v>
      </c>
      <c r="D1549" s="2">
        <v>8.1</v>
      </c>
      <c r="E1549" s="2">
        <v>1953.0</v>
      </c>
      <c r="F1549" s="2" t="s">
        <v>10</v>
      </c>
      <c r="G1549" s="2" t="s">
        <v>10</v>
      </c>
    </row>
    <row r="1550" ht="14.25" customHeight="1">
      <c r="A1550" s="1" t="s">
        <v>1388</v>
      </c>
      <c r="B1550" s="1" t="s">
        <v>20</v>
      </c>
      <c r="C1550" s="2" t="s">
        <v>481</v>
      </c>
      <c r="D1550" s="2">
        <v>8.1</v>
      </c>
      <c r="E1550" s="2">
        <v>1955.0</v>
      </c>
      <c r="F1550" s="2" t="s">
        <v>10</v>
      </c>
      <c r="G1550" s="2" t="s">
        <v>10</v>
      </c>
    </row>
    <row r="1551" ht="14.25" customHeight="1">
      <c r="A1551" s="1" t="s">
        <v>1389</v>
      </c>
      <c r="B1551" s="1" t="s">
        <v>20</v>
      </c>
      <c r="C1551" s="2" t="s">
        <v>60</v>
      </c>
      <c r="D1551" s="2">
        <v>8.1</v>
      </c>
      <c r="E1551" s="2">
        <v>2013.0</v>
      </c>
      <c r="F1551" s="2">
        <v>2014.0</v>
      </c>
      <c r="G1551" s="2">
        <v>7400000.0</v>
      </c>
    </row>
    <row r="1552" ht="14.25" customHeight="1">
      <c r="A1552" s="1" t="s">
        <v>1390</v>
      </c>
      <c r="B1552" s="1" t="s">
        <v>20</v>
      </c>
      <c r="C1552" s="2" t="s">
        <v>184</v>
      </c>
      <c r="D1552" s="2">
        <v>8.1</v>
      </c>
      <c r="E1552" s="2">
        <v>1930.0</v>
      </c>
      <c r="F1552" s="2" t="s">
        <v>10</v>
      </c>
      <c r="G1552" s="2">
        <v>1280000.0</v>
      </c>
    </row>
    <row r="1553" ht="14.25" customHeight="1">
      <c r="A1553" s="1" t="s">
        <v>1390</v>
      </c>
      <c r="B1553" s="1" t="s">
        <v>20</v>
      </c>
      <c r="C1553" s="2" t="s">
        <v>184</v>
      </c>
      <c r="D1553" s="2">
        <v>8.1</v>
      </c>
      <c r="E1553" s="2">
        <v>1930.0</v>
      </c>
      <c r="F1553" s="2" t="s">
        <v>10</v>
      </c>
      <c r="G1553" s="2">
        <v>1340000.0</v>
      </c>
    </row>
    <row r="1554" ht="14.25" customHeight="1">
      <c r="A1554" s="1" t="s">
        <v>1390</v>
      </c>
      <c r="B1554" s="1" t="s">
        <v>20</v>
      </c>
      <c r="C1554" s="2" t="s">
        <v>184</v>
      </c>
      <c r="D1554" s="2">
        <v>8.1</v>
      </c>
      <c r="E1554" s="2">
        <v>1930.0</v>
      </c>
      <c r="F1554" s="2" t="s">
        <v>10</v>
      </c>
      <c r="G1554" s="2">
        <v>1660000.0</v>
      </c>
    </row>
    <row r="1555" ht="14.25" customHeight="1">
      <c r="A1555" s="1" t="s">
        <v>1390</v>
      </c>
      <c r="B1555" s="1" t="s">
        <v>20</v>
      </c>
      <c r="C1555" s="2" t="s">
        <v>184</v>
      </c>
      <c r="D1555" s="2">
        <v>8.1</v>
      </c>
      <c r="E1555" s="2">
        <v>1930.0</v>
      </c>
      <c r="F1555" s="2" t="s">
        <v>10</v>
      </c>
      <c r="G1555" s="2">
        <v>2310000.0</v>
      </c>
    </row>
    <row r="1556" ht="14.25" customHeight="1">
      <c r="A1556" s="1" t="s">
        <v>1390</v>
      </c>
      <c r="B1556" s="1" t="s">
        <v>20</v>
      </c>
      <c r="C1556" s="2" t="s">
        <v>184</v>
      </c>
      <c r="D1556" s="2">
        <v>8.1</v>
      </c>
      <c r="E1556" s="2">
        <v>1930.0</v>
      </c>
      <c r="F1556" s="2" t="s">
        <v>10</v>
      </c>
      <c r="G1556" s="2">
        <v>3420000.0</v>
      </c>
    </row>
    <row r="1557" ht="14.25" customHeight="1">
      <c r="A1557" s="1" t="s">
        <v>1390</v>
      </c>
      <c r="B1557" s="1" t="s">
        <v>20</v>
      </c>
      <c r="C1557" s="2" t="s">
        <v>184</v>
      </c>
      <c r="D1557" s="2">
        <v>8.1</v>
      </c>
      <c r="E1557" s="2">
        <v>1930.0</v>
      </c>
      <c r="F1557" s="2" t="s">
        <v>10</v>
      </c>
      <c r="G1557" s="2">
        <v>6850000.0</v>
      </c>
    </row>
    <row r="1558" ht="14.25" customHeight="1">
      <c r="A1558" s="1" t="s">
        <v>1390</v>
      </c>
      <c r="B1558" s="1" t="s">
        <v>20</v>
      </c>
      <c r="C1558" s="2" t="s">
        <v>184</v>
      </c>
      <c r="D1558" s="2">
        <v>8.1</v>
      </c>
      <c r="E1558" s="2">
        <v>1930.0</v>
      </c>
      <c r="F1558" s="2" t="s">
        <v>10</v>
      </c>
      <c r="G1558" s="2">
        <v>9530000.0</v>
      </c>
    </row>
    <row r="1559" ht="14.25" customHeight="1">
      <c r="A1559" s="1" t="s">
        <v>1390</v>
      </c>
      <c r="B1559" s="1" t="s">
        <v>20</v>
      </c>
      <c r="C1559" s="2" t="s">
        <v>184</v>
      </c>
      <c r="D1559" s="2">
        <v>8.1</v>
      </c>
      <c r="E1559" s="2">
        <v>1930.0</v>
      </c>
      <c r="F1559" s="2" t="s">
        <v>10</v>
      </c>
      <c r="G1559" s="2">
        <v>4230000.0</v>
      </c>
    </row>
    <row r="1560" ht="14.25" customHeight="1">
      <c r="A1560" s="1" t="s">
        <v>1390</v>
      </c>
      <c r="B1560" s="1" t="s">
        <v>20</v>
      </c>
      <c r="C1560" s="2" t="s">
        <v>184</v>
      </c>
      <c r="D1560" s="2">
        <v>8.1</v>
      </c>
      <c r="E1560" s="2">
        <v>1930.0</v>
      </c>
      <c r="F1560" s="2" t="s">
        <v>10</v>
      </c>
      <c r="G1560" s="2">
        <v>4200000.0</v>
      </c>
    </row>
    <row r="1561" ht="14.25" customHeight="1">
      <c r="A1561" s="1" t="s">
        <v>1390</v>
      </c>
      <c r="B1561" s="1" t="s">
        <v>20</v>
      </c>
      <c r="C1561" s="2" t="s">
        <v>184</v>
      </c>
      <c r="D1561" s="2">
        <v>8.1</v>
      </c>
      <c r="E1561" s="2">
        <v>1930.0</v>
      </c>
      <c r="F1561" s="2" t="s">
        <v>10</v>
      </c>
      <c r="G1561" s="2">
        <v>5470000.0</v>
      </c>
    </row>
    <row r="1562" ht="14.25" customHeight="1">
      <c r="A1562" s="1" t="s">
        <v>1390</v>
      </c>
      <c r="B1562" s="1" t="s">
        <v>20</v>
      </c>
      <c r="C1562" s="2" t="s">
        <v>184</v>
      </c>
      <c r="D1562" s="2">
        <v>8.1</v>
      </c>
      <c r="E1562" s="2">
        <v>1930.0</v>
      </c>
      <c r="F1562" s="2" t="s">
        <v>10</v>
      </c>
      <c r="G1562" s="2">
        <v>2990000.0</v>
      </c>
    </row>
    <row r="1563" ht="14.25" customHeight="1">
      <c r="A1563" s="1" t="s">
        <v>1390</v>
      </c>
      <c r="B1563" s="1" t="s">
        <v>20</v>
      </c>
      <c r="C1563" s="2" t="s">
        <v>184</v>
      </c>
      <c r="D1563" s="2">
        <v>8.1</v>
      </c>
      <c r="E1563" s="2">
        <v>1930.0</v>
      </c>
      <c r="F1563" s="2" t="s">
        <v>10</v>
      </c>
      <c r="G1563" s="2">
        <v>3660000.0</v>
      </c>
    </row>
    <row r="1564" ht="14.25" customHeight="1">
      <c r="A1564" s="1" t="s">
        <v>1390</v>
      </c>
      <c r="B1564" s="1" t="s">
        <v>20</v>
      </c>
      <c r="C1564" s="2" t="s">
        <v>184</v>
      </c>
      <c r="D1564" s="2">
        <v>8.1</v>
      </c>
      <c r="E1564" s="2">
        <v>1930.0</v>
      </c>
      <c r="F1564" s="2" t="s">
        <v>10</v>
      </c>
      <c r="G1564" s="2">
        <v>7050000.0</v>
      </c>
    </row>
    <row r="1565" ht="14.25" customHeight="1">
      <c r="A1565" s="1" t="s">
        <v>1390</v>
      </c>
      <c r="B1565" s="1" t="s">
        <v>20</v>
      </c>
      <c r="C1565" s="2" t="s">
        <v>184</v>
      </c>
      <c r="D1565" s="2">
        <v>8.1</v>
      </c>
      <c r="E1565" s="2">
        <v>1930.0</v>
      </c>
      <c r="F1565" s="2" t="s">
        <v>10</v>
      </c>
      <c r="G1565" s="2">
        <v>8170000.0</v>
      </c>
    </row>
    <row r="1566" ht="14.25" customHeight="1">
      <c r="A1566" s="1" t="s">
        <v>1390</v>
      </c>
      <c r="B1566" s="1" t="s">
        <v>20</v>
      </c>
      <c r="C1566" s="2" t="s">
        <v>184</v>
      </c>
      <c r="D1566" s="2">
        <v>8.1</v>
      </c>
      <c r="E1566" s="2">
        <v>1930.0</v>
      </c>
      <c r="F1566" s="2" t="s">
        <v>10</v>
      </c>
      <c r="G1566" s="2">
        <v>2800000.0</v>
      </c>
    </row>
    <row r="1567" ht="14.25" customHeight="1">
      <c r="A1567" s="1" t="s">
        <v>1390</v>
      </c>
      <c r="B1567" s="1" t="s">
        <v>20</v>
      </c>
      <c r="C1567" s="2" t="s">
        <v>184</v>
      </c>
      <c r="D1567" s="2">
        <v>8.1</v>
      </c>
      <c r="E1567" s="2">
        <v>1930.0</v>
      </c>
      <c r="F1567" s="2" t="s">
        <v>10</v>
      </c>
      <c r="G1567" s="2">
        <v>2220000.0</v>
      </c>
    </row>
    <row r="1568" ht="14.25" customHeight="1">
      <c r="A1568" s="1" t="s">
        <v>1390</v>
      </c>
      <c r="B1568" s="1" t="s">
        <v>20</v>
      </c>
      <c r="C1568" s="2" t="s">
        <v>184</v>
      </c>
      <c r="D1568" s="2">
        <v>8.1</v>
      </c>
      <c r="E1568" s="2">
        <v>1930.0</v>
      </c>
      <c r="F1568" s="2" t="s">
        <v>10</v>
      </c>
      <c r="G1568" s="2">
        <v>2570000.0</v>
      </c>
    </row>
    <row r="1569" ht="14.25" customHeight="1">
      <c r="A1569" s="1" t="s">
        <v>1390</v>
      </c>
      <c r="B1569" s="1" t="s">
        <v>20</v>
      </c>
      <c r="C1569" s="2" t="s">
        <v>184</v>
      </c>
      <c r="D1569" s="2">
        <v>8.1</v>
      </c>
      <c r="E1569" s="2">
        <v>1930.0</v>
      </c>
      <c r="F1569" s="2" t="s">
        <v>10</v>
      </c>
      <c r="G1569" s="2">
        <v>3320000.0</v>
      </c>
    </row>
    <row r="1570" ht="14.25" customHeight="1">
      <c r="A1570" s="1" t="s">
        <v>1390</v>
      </c>
      <c r="B1570" s="1" t="s">
        <v>20</v>
      </c>
      <c r="C1570" s="2" t="s">
        <v>184</v>
      </c>
      <c r="D1570" s="2">
        <v>8.1</v>
      </c>
      <c r="E1570" s="2">
        <v>1930.0</v>
      </c>
      <c r="F1570" s="2" t="s">
        <v>10</v>
      </c>
      <c r="G1570" s="2">
        <v>4870000.0</v>
      </c>
    </row>
    <row r="1571" ht="14.25" customHeight="1">
      <c r="A1571" s="1" t="s">
        <v>1390</v>
      </c>
      <c r="B1571" s="1" t="s">
        <v>20</v>
      </c>
      <c r="C1571" s="2" t="s">
        <v>184</v>
      </c>
      <c r="D1571" s="2">
        <v>8.1</v>
      </c>
      <c r="E1571" s="2">
        <v>1930.0</v>
      </c>
      <c r="F1571" s="2" t="s">
        <v>10</v>
      </c>
      <c r="G1571" s="2">
        <v>9490000.0</v>
      </c>
    </row>
    <row r="1572" ht="14.25" customHeight="1">
      <c r="A1572" s="1" t="s">
        <v>1390</v>
      </c>
      <c r="B1572" s="1" t="s">
        <v>20</v>
      </c>
      <c r="C1572" s="2" t="s">
        <v>184</v>
      </c>
      <c r="D1572" s="2">
        <v>8.1</v>
      </c>
      <c r="E1572" s="2">
        <v>1930.0</v>
      </c>
      <c r="F1572" s="2" t="s">
        <v>10</v>
      </c>
      <c r="G1572" s="2">
        <v>1.761E7</v>
      </c>
    </row>
    <row r="1573" ht="14.25" customHeight="1">
      <c r="A1573" s="1" t="s">
        <v>1390</v>
      </c>
      <c r="B1573" s="1" t="s">
        <v>20</v>
      </c>
      <c r="C1573" s="2" t="s">
        <v>184</v>
      </c>
      <c r="D1573" s="2">
        <v>8.1</v>
      </c>
      <c r="E1573" s="2">
        <v>1930.0</v>
      </c>
      <c r="F1573" s="2" t="s">
        <v>10</v>
      </c>
      <c r="G1573" s="2">
        <v>3.995E7</v>
      </c>
    </row>
    <row r="1574" ht="14.25" customHeight="1">
      <c r="A1574" s="1" t="s">
        <v>1390</v>
      </c>
      <c r="B1574" s="1" t="s">
        <v>20</v>
      </c>
      <c r="C1574" s="2" t="s">
        <v>184</v>
      </c>
      <c r="D1574" s="2">
        <v>8.1</v>
      </c>
      <c r="E1574" s="2">
        <v>1930.0</v>
      </c>
      <c r="F1574" s="2" t="s">
        <v>10</v>
      </c>
      <c r="G1574" s="2">
        <v>3.15E7</v>
      </c>
    </row>
    <row r="1575" ht="14.25" customHeight="1">
      <c r="A1575" s="1" t="s">
        <v>1391</v>
      </c>
      <c r="B1575" s="1" t="s">
        <v>20</v>
      </c>
      <c r="C1575" s="2" t="s">
        <v>1058</v>
      </c>
      <c r="D1575" s="2">
        <v>8.1</v>
      </c>
      <c r="E1575" s="2">
        <v>1953.0</v>
      </c>
      <c r="F1575" s="2" t="s">
        <v>10</v>
      </c>
      <c r="G1575" s="2" t="s">
        <v>10</v>
      </c>
    </row>
    <row r="1576" ht="14.25" customHeight="1">
      <c r="A1576" s="1" t="s">
        <v>1392</v>
      </c>
      <c r="B1576" s="1" t="s">
        <v>20</v>
      </c>
      <c r="C1576" s="2" t="s">
        <v>18</v>
      </c>
      <c r="D1576" s="2">
        <v>8.1</v>
      </c>
      <c r="E1576" s="2">
        <v>1982.0</v>
      </c>
      <c r="F1576" s="2" t="s">
        <v>10</v>
      </c>
      <c r="G1576" s="2" t="s">
        <v>10</v>
      </c>
    </row>
    <row r="1577" ht="14.25" customHeight="1">
      <c r="A1577" s="1" t="s">
        <v>1393</v>
      </c>
      <c r="B1577" s="1" t="s">
        <v>20</v>
      </c>
      <c r="C1577" s="2" t="s">
        <v>184</v>
      </c>
      <c r="D1577" s="2">
        <v>8.1</v>
      </c>
      <c r="E1577" s="2">
        <v>1966.0</v>
      </c>
      <c r="F1577" s="2" t="s">
        <v>10</v>
      </c>
      <c r="G1577" s="2" t="s">
        <v>10</v>
      </c>
    </row>
    <row r="1578" ht="14.25" customHeight="1">
      <c r="A1578" s="1" t="s">
        <v>1394</v>
      </c>
      <c r="B1578" s="1" t="s">
        <v>8</v>
      </c>
      <c r="C1578" s="2" t="s">
        <v>1395</v>
      </c>
      <c r="D1578" s="2">
        <v>8.1</v>
      </c>
      <c r="E1578" s="2">
        <v>2021.0</v>
      </c>
      <c r="F1578" s="2" t="s">
        <v>10</v>
      </c>
      <c r="G1578" s="2" t="s">
        <v>10</v>
      </c>
    </row>
    <row r="1579" ht="14.25" customHeight="1">
      <c r="A1579" s="1" t="s">
        <v>1396</v>
      </c>
      <c r="B1579" s="1" t="s">
        <v>20</v>
      </c>
      <c r="C1579" s="2" t="s">
        <v>258</v>
      </c>
      <c r="D1579" s="2">
        <v>8.1</v>
      </c>
      <c r="E1579" s="2">
        <v>1997.0</v>
      </c>
      <c r="F1579" s="2" t="s">
        <v>10</v>
      </c>
      <c r="G1579" s="2" t="s">
        <v>10</v>
      </c>
    </row>
    <row r="1580" ht="14.25" customHeight="1">
      <c r="A1580" s="1" t="s">
        <v>1397</v>
      </c>
      <c r="B1580" s="1" t="s">
        <v>20</v>
      </c>
      <c r="C1580" s="2" t="s">
        <v>284</v>
      </c>
      <c r="D1580" s="2">
        <v>8.1</v>
      </c>
      <c r="E1580" s="2">
        <v>2012.0</v>
      </c>
      <c r="F1580" s="2" t="s">
        <v>10</v>
      </c>
      <c r="G1580" s="2" t="s">
        <v>10</v>
      </c>
    </row>
    <row r="1581" ht="14.25" customHeight="1">
      <c r="A1581" s="1" t="s">
        <v>1398</v>
      </c>
      <c r="B1581" s="1" t="s">
        <v>20</v>
      </c>
      <c r="C1581" s="2" t="s">
        <v>616</v>
      </c>
      <c r="D1581" s="2">
        <v>8.1</v>
      </c>
      <c r="E1581" s="2">
        <v>2012.0</v>
      </c>
      <c r="F1581" s="2">
        <v>2012.0</v>
      </c>
      <c r="G1581" s="2" t="s">
        <v>10</v>
      </c>
    </row>
    <row r="1582" ht="14.25" customHeight="1">
      <c r="A1582" s="1" t="s">
        <v>1399</v>
      </c>
      <c r="B1582" s="1" t="s">
        <v>8</v>
      </c>
      <c r="C1582" s="2" t="s">
        <v>9</v>
      </c>
      <c r="D1582" s="2">
        <v>8.1</v>
      </c>
      <c r="E1582" s="2">
        <v>2020.0</v>
      </c>
      <c r="F1582" s="2" t="s">
        <v>10</v>
      </c>
      <c r="G1582" s="2" t="s">
        <v>10</v>
      </c>
    </row>
    <row r="1583" ht="14.25" customHeight="1">
      <c r="A1583" s="1" t="s">
        <v>1400</v>
      </c>
      <c r="B1583" s="1" t="s">
        <v>20</v>
      </c>
      <c r="C1583" s="2" t="s">
        <v>1401</v>
      </c>
      <c r="D1583" s="2">
        <v>8.1</v>
      </c>
      <c r="E1583" s="2">
        <v>2020.0</v>
      </c>
      <c r="F1583" s="2">
        <v>2020.0</v>
      </c>
      <c r="G1583" s="2" t="s">
        <v>10</v>
      </c>
    </row>
    <row r="1584" ht="14.25" customHeight="1">
      <c r="A1584" s="1" t="s">
        <v>1402</v>
      </c>
      <c r="B1584" s="1" t="s">
        <v>8</v>
      </c>
      <c r="C1584" s="2" t="s">
        <v>40</v>
      </c>
      <c r="D1584" s="2">
        <v>8.1</v>
      </c>
      <c r="E1584" s="2">
        <v>2017.0</v>
      </c>
      <c r="F1584" s="2">
        <v>2017.0</v>
      </c>
      <c r="G1584" s="2" t="s">
        <v>10</v>
      </c>
    </row>
    <row r="1585" ht="14.25" customHeight="1">
      <c r="A1585" s="1" t="s">
        <v>1403</v>
      </c>
      <c r="B1585" s="1" t="s">
        <v>20</v>
      </c>
      <c r="C1585" s="2" t="s">
        <v>80</v>
      </c>
      <c r="D1585" s="2">
        <v>8.1</v>
      </c>
      <c r="E1585" s="2">
        <v>1928.0</v>
      </c>
      <c r="F1585" s="2" t="s">
        <v>10</v>
      </c>
      <c r="G1585" s="2" t="s">
        <v>10</v>
      </c>
    </row>
    <row r="1586" ht="14.25" customHeight="1">
      <c r="A1586" s="1" t="s">
        <v>1404</v>
      </c>
      <c r="B1586" s="1" t="s">
        <v>8</v>
      </c>
      <c r="C1586" s="2" t="s">
        <v>25</v>
      </c>
      <c r="D1586" s="2">
        <v>8.1</v>
      </c>
      <c r="E1586" s="2">
        <v>2014.0</v>
      </c>
      <c r="F1586" s="2" t="s">
        <v>10</v>
      </c>
      <c r="G1586" s="2" t="s">
        <v>10</v>
      </c>
    </row>
    <row r="1587" ht="14.25" customHeight="1">
      <c r="A1587" s="1" t="s">
        <v>1405</v>
      </c>
      <c r="B1587" s="1" t="s">
        <v>8</v>
      </c>
      <c r="C1587" s="2" t="s">
        <v>25</v>
      </c>
      <c r="D1587" s="2">
        <v>8.1</v>
      </c>
      <c r="E1587" s="2">
        <v>2007.0</v>
      </c>
      <c r="F1587" s="2" t="s">
        <v>10</v>
      </c>
      <c r="G1587" s="2" t="s">
        <v>10</v>
      </c>
    </row>
    <row r="1588" ht="14.25" customHeight="1">
      <c r="A1588" s="1" t="s">
        <v>1406</v>
      </c>
      <c r="B1588" s="1" t="s">
        <v>20</v>
      </c>
      <c r="C1588" s="2" t="s">
        <v>845</v>
      </c>
      <c r="D1588" s="2">
        <v>8.1</v>
      </c>
      <c r="E1588" s="2">
        <v>1975.0</v>
      </c>
      <c r="F1588" s="2" t="s">
        <v>10</v>
      </c>
      <c r="G1588" s="2" t="s">
        <v>10</v>
      </c>
    </row>
    <row r="1589" ht="14.25" customHeight="1">
      <c r="A1589" s="1" t="s">
        <v>1407</v>
      </c>
      <c r="B1589" s="1" t="s">
        <v>8</v>
      </c>
      <c r="C1589" s="2" t="s">
        <v>845</v>
      </c>
      <c r="D1589" s="2">
        <v>8.1</v>
      </c>
      <c r="E1589" s="2">
        <v>2016.0</v>
      </c>
      <c r="F1589" s="2" t="s">
        <v>10</v>
      </c>
      <c r="G1589" s="2" t="s">
        <v>10</v>
      </c>
    </row>
    <row r="1590" ht="14.25" customHeight="1">
      <c r="A1590" s="1" t="s">
        <v>1408</v>
      </c>
      <c r="B1590" s="1" t="s">
        <v>8</v>
      </c>
      <c r="C1590" s="2" t="s">
        <v>742</v>
      </c>
      <c r="D1590" s="2">
        <v>8.1</v>
      </c>
      <c r="E1590" s="2">
        <v>2020.0</v>
      </c>
      <c r="F1590" s="2" t="s">
        <v>10</v>
      </c>
      <c r="G1590" s="2" t="s">
        <v>10</v>
      </c>
    </row>
    <row r="1591" ht="14.25" customHeight="1">
      <c r="A1591" s="1" t="s">
        <v>1409</v>
      </c>
      <c r="B1591" s="1" t="s">
        <v>8</v>
      </c>
      <c r="C1591" s="2" t="s">
        <v>32</v>
      </c>
      <c r="D1591" s="2">
        <v>8.1</v>
      </c>
      <c r="E1591" s="2">
        <v>2011.0</v>
      </c>
      <c r="F1591" s="2" t="s">
        <v>10</v>
      </c>
      <c r="G1591" s="2" t="s">
        <v>10</v>
      </c>
    </row>
    <row r="1592" ht="14.25" customHeight="1">
      <c r="A1592" s="1" t="s">
        <v>1410</v>
      </c>
      <c r="B1592" s="1" t="s">
        <v>8</v>
      </c>
      <c r="C1592" s="2" t="s">
        <v>18</v>
      </c>
      <c r="D1592" s="2">
        <v>8.1</v>
      </c>
      <c r="E1592" s="2">
        <v>2016.0</v>
      </c>
      <c r="F1592" s="2" t="s">
        <v>10</v>
      </c>
      <c r="G1592" s="2" t="s">
        <v>10</v>
      </c>
    </row>
    <row r="1593" ht="14.25" customHeight="1">
      <c r="A1593" s="1" t="s">
        <v>1411</v>
      </c>
      <c r="B1593" s="1" t="s">
        <v>8</v>
      </c>
      <c r="C1593" s="2" t="s">
        <v>253</v>
      </c>
      <c r="D1593" s="2">
        <v>8.1</v>
      </c>
      <c r="E1593" s="2">
        <v>2023.0</v>
      </c>
      <c r="F1593" s="2" t="s">
        <v>10</v>
      </c>
      <c r="G1593" s="2" t="s">
        <v>10</v>
      </c>
    </row>
    <row r="1594" ht="14.25" customHeight="1">
      <c r="A1594" s="1" t="s">
        <v>1412</v>
      </c>
      <c r="B1594" s="1" t="s">
        <v>20</v>
      </c>
      <c r="C1594" s="2" t="s">
        <v>154</v>
      </c>
      <c r="D1594" s="2">
        <v>8.1</v>
      </c>
      <c r="E1594" s="2">
        <v>1927.0</v>
      </c>
      <c r="F1594" s="2">
        <v>2014.0</v>
      </c>
      <c r="G1594" s="2" t="s">
        <v>10</v>
      </c>
    </row>
    <row r="1595" ht="14.25" customHeight="1">
      <c r="A1595" s="1" t="s">
        <v>1413</v>
      </c>
      <c r="B1595" s="1" t="s">
        <v>8</v>
      </c>
      <c r="C1595" s="2" t="s">
        <v>9</v>
      </c>
      <c r="D1595" s="2">
        <v>8.1</v>
      </c>
      <c r="E1595" s="2">
        <v>2024.0</v>
      </c>
      <c r="F1595" s="2" t="s">
        <v>10</v>
      </c>
      <c r="G1595" s="2" t="s">
        <v>10</v>
      </c>
    </row>
    <row r="1596" ht="14.25" customHeight="1">
      <c r="A1596" s="1" t="s">
        <v>1414</v>
      </c>
      <c r="B1596" s="1" t="s">
        <v>8</v>
      </c>
      <c r="C1596" s="2" t="s">
        <v>36</v>
      </c>
      <c r="D1596" s="2">
        <v>8.1</v>
      </c>
      <c r="E1596" s="2">
        <v>2014.0</v>
      </c>
      <c r="F1596" s="2" t="s">
        <v>10</v>
      </c>
      <c r="G1596" s="2" t="s">
        <v>10</v>
      </c>
    </row>
    <row r="1597" ht="14.25" customHeight="1">
      <c r="A1597" s="1" t="s">
        <v>1415</v>
      </c>
      <c r="B1597" s="1" t="s">
        <v>8</v>
      </c>
      <c r="C1597" s="2" t="s">
        <v>187</v>
      </c>
      <c r="D1597" s="2">
        <v>8.1</v>
      </c>
      <c r="E1597" s="2">
        <v>2024.0</v>
      </c>
      <c r="F1597" s="2">
        <v>2016.0</v>
      </c>
      <c r="G1597" s="2" t="s">
        <v>10</v>
      </c>
    </row>
    <row r="1598" ht="14.25" customHeight="1">
      <c r="A1598" s="1" t="s">
        <v>1416</v>
      </c>
      <c r="B1598" s="1" t="s">
        <v>20</v>
      </c>
      <c r="C1598" s="2" t="s">
        <v>530</v>
      </c>
      <c r="D1598" s="2">
        <v>8.1</v>
      </c>
      <c r="E1598" s="2">
        <v>1973.0</v>
      </c>
      <c r="F1598" s="2" t="s">
        <v>10</v>
      </c>
      <c r="G1598" s="2" t="s">
        <v>10</v>
      </c>
    </row>
    <row r="1599" ht="14.25" customHeight="1">
      <c r="A1599" s="1" t="s">
        <v>1417</v>
      </c>
      <c r="B1599" s="1" t="s">
        <v>20</v>
      </c>
      <c r="C1599" s="2" t="s">
        <v>18</v>
      </c>
      <c r="D1599" s="2">
        <v>8.1</v>
      </c>
      <c r="E1599" s="2">
        <v>1957.0</v>
      </c>
      <c r="F1599" s="2" t="s">
        <v>10</v>
      </c>
      <c r="G1599" s="2" t="s">
        <v>10</v>
      </c>
    </row>
    <row r="1600" ht="14.25" customHeight="1">
      <c r="A1600" s="1" t="s">
        <v>146</v>
      </c>
      <c r="B1600" s="1" t="s">
        <v>20</v>
      </c>
      <c r="C1600" s="2" t="s">
        <v>80</v>
      </c>
      <c r="D1600" s="2">
        <v>8.1</v>
      </c>
      <c r="E1600" s="2">
        <v>1976.0</v>
      </c>
      <c r="F1600" s="2" t="s">
        <v>10</v>
      </c>
      <c r="G1600" s="2" t="s">
        <v>10</v>
      </c>
    </row>
    <row r="1601" ht="14.25" customHeight="1">
      <c r="A1601" s="1" t="s">
        <v>1418</v>
      </c>
      <c r="B1601" s="1" t="s">
        <v>20</v>
      </c>
      <c r="C1601" s="2" t="s">
        <v>710</v>
      </c>
      <c r="D1601" s="2">
        <v>8.1</v>
      </c>
      <c r="E1601" s="2">
        <v>2012.0</v>
      </c>
      <c r="F1601" s="2" t="s">
        <v>10</v>
      </c>
      <c r="G1601" s="2" t="s">
        <v>10</v>
      </c>
    </row>
    <row r="1602" ht="14.25" customHeight="1">
      <c r="A1602" s="1" t="s">
        <v>1419</v>
      </c>
      <c r="B1602" s="1" t="s">
        <v>8</v>
      </c>
      <c r="C1602" s="2" t="s">
        <v>9</v>
      </c>
      <c r="D1602" s="2">
        <v>8.1</v>
      </c>
      <c r="E1602" s="2">
        <v>2022.0</v>
      </c>
      <c r="F1602" s="2" t="s">
        <v>10</v>
      </c>
      <c r="G1602" s="2" t="s">
        <v>10</v>
      </c>
    </row>
    <row r="1603" ht="14.25" customHeight="1">
      <c r="A1603" s="1" t="s">
        <v>1420</v>
      </c>
      <c r="B1603" s="1" t="s">
        <v>20</v>
      </c>
      <c r="C1603" s="2" t="s">
        <v>184</v>
      </c>
      <c r="D1603" s="2">
        <v>8.1</v>
      </c>
      <c r="E1603" s="2">
        <v>2013.0</v>
      </c>
      <c r="F1603" s="2" t="s">
        <v>10</v>
      </c>
      <c r="G1603" s="2" t="s">
        <v>10</v>
      </c>
    </row>
    <row r="1604" ht="14.25" customHeight="1">
      <c r="A1604" s="1" t="s">
        <v>1421</v>
      </c>
      <c r="B1604" s="1" t="s">
        <v>8</v>
      </c>
      <c r="C1604" s="2" t="s">
        <v>63</v>
      </c>
      <c r="D1604" s="2">
        <v>8.1</v>
      </c>
      <c r="E1604" s="2">
        <v>2019.0</v>
      </c>
      <c r="F1604" s="2" t="s">
        <v>10</v>
      </c>
      <c r="G1604" s="2" t="s">
        <v>10</v>
      </c>
    </row>
    <row r="1605" ht="14.25" customHeight="1">
      <c r="A1605" s="1" t="s">
        <v>1422</v>
      </c>
      <c r="B1605" s="1" t="s">
        <v>20</v>
      </c>
      <c r="C1605" s="2" t="s">
        <v>18</v>
      </c>
      <c r="D1605" s="2">
        <v>8.1</v>
      </c>
      <c r="E1605" s="2">
        <v>2010.0</v>
      </c>
      <c r="F1605" s="2">
        <v>2010.0</v>
      </c>
      <c r="G1605" s="2" t="s">
        <v>10</v>
      </c>
    </row>
    <row r="1606" ht="14.25" customHeight="1">
      <c r="A1606" s="1" t="s">
        <v>1423</v>
      </c>
      <c r="B1606" s="1" t="s">
        <v>8</v>
      </c>
      <c r="C1606" s="2" t="s">
        <v>69</v>
      </c>
      <c r="D1606" s="2">
        <v>8.1</v>
      </c>
      <c r="E1606" s="2">
        <v>2014.0</v>
      </c>
      <c r="F1606" s="2" t="s">
        <v>10</v>
      </c>
      <c r="G1606" s="2" t="s">
        <v>10</v>
      </c>
    </row>
    <row r="1607" ht="14.25" customHeight="1">
      <c r="A1607" s="1" t="s">
        <v>1424</v>
      </c>
      <c r="B1607" s="1" t="s">
        <v>8</v>
      </c>
      <c r="C1607" s="2" t="s">
        <v>67</v>
      </c>
      <c r="D1607" s="2">
        <v>8.1</v>
      </c>
      <c r="E1607" s="2">
        <v>1993.0</v>
      </c>
      <c r="F1607" s="2" t="s">
        <v>10</v>
      </c>
      <c r="G1607" s="2" t="s">
        <v>10</v>
      </c>
    </row>
    <row r="1608" ht="14.25" customHeight="1">
      <c r="A1608" s="1" t="s">
        <v>1425</v>
      </c>
      <c r="B1608" s="1" t="s">
        <v>20</v>
      </c>
      <c r="C1608" s="2" t="s">
        <v>12</v>
      </c>
      <c r="D1608" s="2">
        <v>8.1</v>
      </c>
      <c r="E1608" s="2">
        <v>2022.0</v>
      </c>
      <c r="F1608" s="2" t="s">
        <v>10</v>
      </c>
      <c r="G1608" s="2" t="s">
        <v>10</v>
      </c>
    </row>
    <row r="1609" ht="14.25" customHeight="1">
      <c r="A1609" s="1" t="s">
        <v>1426</v>
      </c>
      <c r="B1609" s="1" t="s">
        <v>20</v>
      </c>
      <c r="C1609" s="2" t="s">
        <v>1427</v>
      </c>
      <c r="D1609" s="2">
        <v>8.1</v>
      </c>
      <c r="E1609" s="2">
        <v>1942.0</v>
      </c>
      <c r="F1609" s="2" t="s">
        <v>10</v>
      </c>
      <c r="G1609" s="2" t="s">
        <v>10</v>
      </c>
    </row>
    <row r="1610" ht="14.25" customHeight="1">
      <c r="A1610" s="1" t="s">
        <v>1428</v>
      </c>
      <c r="B1610" s="1" t="s">
        <v>8</v>
      </c>
      <c r="C1610" s="2" t="s">
        <v>284</v>
      </c>
      <c r="D1610" s="2">
        <v>8.1</v>
      </c>
      <c r="E1610" s="2">
        <v>2003.0</v>
      </c>
      <c r="F1610" s="2" t="s">
        <v>10</v>
      </c>
      <c r="G1610" s="2" t="s">
        <v>10</v>
      </c>
    </row>
    <row r="1611" ht="14.25" customHeight="1">
      <c r="A1611" s="1" t="s">
        <v>1429</v>
      </c>
      <c r="B1611" s="1" t="s">
        <v>8</v>
      </c>
      <c r="C1611" s="2" t="s">
        <v>217</v>
      </c>
      <c r="D1611" s="2">
        <v>8.1</v>
      </c>
      <c r="E1611" s="2">
        <v>2017.0</v>
      </c>
      <c r="F1611" s="2">
        <v>2019.0</v>
      </c>
      <c r="G1611" s="2" t="s">
        <v>10</v>
      </c>
    </row>
    <row r="1612" ht="14.25" customHeight="1">
      <c r="A1612" s="1" t="s">
        <v>1430</v>
      </c>
      <c r="B1612" s="1" t="s">
        <v>8</v>
      </c>
      <c r="C1612" s="2" t="s">
        <v>305</v>
      </c>
      <c r="D1612" s="2">
        <v>8.1</v>
      </c>
      <c r="E1612" s="2">
        <v>2010.0</v>
      </c>
      <c r="F1612" s="2" t="s">
        <v>10</v>
      </c>
      <c r="G1612" s="2" t="s">
        <v>10</v>
      </c>
    </row>
    <row r="1613" ht="14.25" customHeight="1">
      <c r="A1613" s="1" t="s">
        <v>1431</v>
      </c>
      <c r="B1613" s="1" t="s">
        <v>20</v>
      </c>
      <c r="C1613" s="2" t="s">
        <v>411</v>
      </c>
      <c r="D1613" s="2">
        <v>8.1</v>
      </c>
      <c r="E1613" s="2">
        <v>1948.0</v>
      </c>
      <c r="F1613" s="2" t="s">
        <v>10</v>
      </c>
      <c r="G1613" s="2" t="s">
        <v>10</v>
      </c>
    </row>
    <row r="1614" ht="14.25" customHeight="1">
      <c r="A1614" s="1" t="s">
        <v>1432</v>
      </c>
      <c r="B1614" s="1" t="s">
        <v>8</v>
      </c>
      <c r="C1614" s="2" t="s">
        <v>411</v>
      </c>
      <c r="D1614" s="2">
        <v>8.1</v>
      </c>
      <c r="E1614" s="2">
        <v>2023.0</v>
      </c>
      <c r="F1614" s="2" t="s">
        <v>10</v>
      </c>
      <c r="G1614" s="2" t="s">
        <v>10</v>
      </c>
    </row>
    <row r="1615" ht="14.25" customHeight="1">
      <c r="A1615" s="1" t="s">
        <v>1433</v>
      </c>
      <c r="B1615" s="1" t="s">
        <v>20</v>
      </c>
      <c r="C1615" s="2" t="s">
        <v>643</v>
      </c>
      <c r="D1615" s="2">
        <v>8.1</v>
      </c>
      <c r="E1615" s="2">
        <v>1951.0</v>
      </c>
      <c r="F1615" s="2" t="s">
        <v>10</v>
      </c>
      <c r="G1615" s="2" t="s">
        <v>10</v>
      </c>
    </row>
    <row r="1616" ht="14.25" customHeight="1">
      <c r="A1616" s="1" t="s">
        <v>1434</v>
      </c>
      <c r="B1616" s="1" t="s">
        <v>20</v>
      </c>
      <c r="C1616" s="2" t="s">
        <v>184</v>
      </c>
      <c r="D1616" s="2">
        <v>8.1</v>
      </c>
      <c r="E1616" s="2">
        <v>1937.0</v>
      </c>
      <c r="F1616" s="2" t="s">
        <v>10</v>
      </c>
      <c r="G1616" s="2" t="s">
        <v>10</v>
      </c>
    </row>
    <row r="1617" ht="14.25" customHeight="1">
      <c r="A1617" s="1" t="s">
        <v>1435</v>
      </c>
      <c r="B1617" s="1" t="s">
        <v>20</v>
      </c>
      <c r="C1617" s="2" t="s">
        <v>1025</v>
      </c>
      <c r="D1617" s="2">
        <v>8.1</v>
      </c>
      <c r="E1617" s="2">
        <v>2012.0</v>
      </c>
      <c r="F1617" s="2" t="s">
        <v>10</v>
      </c>
      <c r="G1617" s="2" t="s">
        <v>10</v>
      </c>
    </row>
    <row r="1618" ht="14.25" customHeight="1">
      <c r="A1618" s="1" t="s">
        <v>1436</v>
      </c>
      <c r="B1618" s="1" t="s">
        <v>20</v>
      </c>
      <c r="C1618" s="2" t="s">
        <v>53</v>
      </c>
      <c r="D1618" s="2">
        <v>8.1</v>
      </c>
      <c r="E1618" s="2">
        <v>2015.0</v>
      </c>
      <c r="F1618" s="2">
        <v>2020.0</v>
      </c>
      <c r="G1618" s="2" t="s">
        <v>10</v>
      </c>
    </row>
    <row r="1619" ht="14.25" customHeight="1">
      <c r="A1619" s="1" t="s">
        <v>1437</v>
      </c>
      <c r="B1619" s="1" t="s">
        <v>20</v>
      </c>
      <c r="C1619" s="2" t="s">
        <v>452</v>
      </c>
      <c r="D1619" s="2">
        <v>8.1</v>
      </c>
      <c r="E1619" s="2">
        <v>1978.0</v>
      </c>
      <c r="F1619" s="2" t="s">
        <v>10</v>
      </c>
      <c r="G1619" s="2" t="s">
        <v>10</v>
      </c>
    </row>
    <row r="1620" ht="14.25" customHeight="1">
      <c r="A1620" s="1" t="s">
        <v>1438</v>
      </c>
      <c r="B1620" s="1" t="s">
        <v>20</v>
      </c>
      <c r="C1620" s="2" t="s">
        <v>75</v>
      </c>
      <c r="D1620" s="2">
        <v>8.1</v>
      </c>
      <c r="E1620" s="2">
        <v>2014.0</v>
      </c>
      <c r="F1620" s="2" t="s">
        <v>10</v>
      </c>
      <c r="G1620" s="2" t="s">
        <v>10</v>
      </c>
    </row>
    <row r="1621" ht="14.25" customHeight="1">
      <c r="A1621" s="1" t="s">
        <v>1439</v>
      </c>
      <c r="B1621" s="1" t="s">
        <v>8</v>
      </c>
      <c r="C1621" s="2" t="s">
        <v>25</v>
      </c>
      <c r="D1621" s="2">
        <v>8.1</v>
      </c>
      <c r="E1621" s="2">
        <v>2022.0</v>
      </c>
      <c r="F1621" s="2" t="s">
        <v>10</v>
      </c>
      <c r="G1621" s="2" t="s">
        <v>10</v>
      </c>
    </row>
    <row r="1622" ht="14.25" customHeight="1">
      <c r="A1622" s="1" t="s">
        <v>1440</v>
      </c>
      <c r="B1622" s="1" t="s">
        <v>8</v>
      </c>
      <c r="C1622" s="2" t="s">
        <v>505</v>
      </c>
      <c r="D1622" s="2">
        <v>8.1</v>
      </c>
      <c r="E1622" s="2">
        <v>2023.0</v>
      </c>
      <c r="F1622" s="2" t="s">
        <v>10</v>
      </c>
      <c r="G1622" s="3">
        <v>8000000.0</v>
      </c>
    </row>
    <row r="1623" ht="14.25" customHeight="1">
      <c r="A1623" s="1" t="s">
        <v>1440</v>
      </c>
      <c r="B1623" s="1" t="s">
        <v>8</v>
      </c>
      <c r="C1623" s="2" t="s">
        <v>505</v>
      </c>
      <c r="D1623" s="2">
        <v>8.1</v>
      </c>
      <c r="E1623" s="2">
        <v>2023.0</v>
      </c>
      <c r="F1623" s="2" t="s">
        <v>10</v>
      </c>
      <c r="G1623" s="2">
        <v>1.26E7</v>
      </c>
    </row>
    <row r="1624" ht="14.25" customHeight="1">
      <c r="A1624" s="1" t="s">
        <v>1440</v>
      </c>
      <c r="B1624" s="1" t="s">
        <v>8</v>
      </c>
      <c r="C1624" s="2" t="s">
        <v>505</v>
      </c>
      <c r="D1624" s="2">
        <v>8.1</v>
      </c>
      <c r="E1624" s="2">
        <v>2023.0</v>
      </c>
      <c r="F1624" s="2" t="s">
        <v>10</v>
      </c>
      <c r="G1624" s="2">
        <v>1.89E7</v>
      </c>
    </row>
    <row r="1625" ht="14.25" customHeight="1">
      <c r="A1625" s="1" t="s">
        <v>1440</v>
      </c>
      <c r="B1625" s="1" t="s">
        <v>8</v>
      </c>
      <c r="C1625" s="2" t="s">
        <v>505</v>
      </c>
      <c r="D1625" s="2">
        <v>8.1</v>
      </c>
      <c r="E1625" s="2">
        <v>2023.0</v>
      </c>
      <c r="F1625" s="2" t="s">
        <v>10</v>
      </c>
      <c r="G1625" s="2">
        <v>3.28E7</v>
      </c>
    </row>
    <row r="1626" ht="14.25" customHeight="1">
      <c r="A1626" s="1" t="s">
        <v>1440</v>
      </c>
      <c r="B1626" s="1" t="s">
        <v>8</v>
      </c>
      <c r="C1626" s="2" t="s">
        <v>505</v>
      </c>
      <c r="D1626" s="2">
        <v>8.1</v>
      </c>
      <c r="E1626" s="2">
        <v>2023.0</v>
      </c>
      <c r="F1626" s="2" t="s">
        <v>10</v>
      </c>
      <c r="G1626" s="2">
        <v>5.49E7</v>
      </c>
    </row>
    <row r="1627" ht="14.25" customHeight="1">
      <c r="A1627" s="1" t="s">
        <v>1440</v>
      </c>
      <c r="B1627" s="1" t="s">
        <v>8</v>
      </c>
      <c r="C1627" s="2" t="s">
        <v>505</v>
      </c>
      <c r="D1627" s="2">
        <v>8.1</v>
      </c>
      <c r="E1627" s="2">
        <v>2023.0</v>
      </c>
      <c r="F1627" s="2" t="s">
        <v>10</v>
      </c>
      <c r="G1627" s="2">
        <v>5.88E7</v>
      </c>
    </row>
    <row r="1628" ht="14.25" customHeight="1">
      <c r="A1628" s="1" t="s">
        <v>1441</v>
      </c>
      <c r="B1628" s="1" t="s">
        <v>20</v>
      </c>
      <c r="C1628" s="2" t="s">
        <v>53</v>
      </c>
      <c r="D1628" s="2">
        <v>8.1</v>
      </c>
      <c r="E1628" s="2">
        <v>2019.0</v>
      </c>
      <c r="F1628" s="2">
        <v>2019.0</v>
      </c>
      <c r="G1628" s="2" t="s">
        <v>10</v>
      </c>
    </row>
    <row r="1629" ht="14.25" customHeight="1">
      <c r="A1629" s="1" t="s">
        <v>1442</v>
      </c>
      <c r="B1629" s="1" t="s">
        <v>20</v>
      </c>
      <c r="C1629" s="2" t="s">
        <v>9</v>
      </c>
      <c r="D1629" s="2">
        <v>8.1</v>
      </c>
      <c r="E1629" s="2">
        <v>1955.0</v>
      </c>
      <c r="F1629" s="2" t="s">
        <v>10</v>
      </c>
      <c r="G1629" s="2" t="s">
        <v>10</v>
      </c>
    </row>
    <row r="1630" ht="14.25" customHeight="1">
      <c r="A1630" s="1" t="s">
        <v>1443</v>
      </c>
      <c r="B1630" s="1" t="s">
        <v>20</v>
      </c>
      <c r="C1630" s="2" t="s">
        <v>1444</v>
      </c>
      <c r="D1630" s="2">
        <v>8.1</v>
      </c>
      <c r="E1630" s="2">
        <v>1928.0</v>
      </c>
      <c r="F1630" s="2" t="s">
        <v>10</v>
      </c>
      <c r="G1630" s="2" t="s">
        <v>10</v>
      </c>
    </row>
    <row r="1631" ht="14.25" customHeight="1">
      <c r="A1631" s="1" t="s">
        <v>1445</v>
      </c>
      <c r="B1631" s="1" t="s">
        <v>20</v>
      </c>
      <c r="C1631" s="2" t="s">
        <v>69</v>
      </c>
      <c r="D1631" s="2">
        <v>8.1</v>
      </c>
      <c r="E1631" s="2">
        <v>1949.0</v>
      </c>
      <c r="F1631" s="2" t="s">
        <v>10</v>
      </c>
      <c r="G1631" s="2" t="s">
        <v>10</v>
      </c>
    </row>
    <row r="1632" ht="14.25" customHeight="1">
      <c r="A1632" s="1" t="s">
        <v>1446</v>
      </c>
      <c r="B1632" s="1" t="s">
        <v>20</v>
      </c>
      <c r="C1632" s="2" t="s">
        <v>18</v>
      </c>
      <c r="D1632" s="2">
        <v>8.1</v>
      </c>
      <c r="E1632" s="2">
        <v>2005.0</v>
      </c>
      <c r="F1632" s="2">
        <v>2015.0</v>
      </c>
      <c r="G1632" s="2" t="s">
        <v>10</v>
      </c>
    </row>
    <row r="1633" ht="14.25" customHeight="1">
      <c r="A1633" s="1" t="s">
        <v>1447</v>
      </c>
      <c r="B1633" s="1" t="s">
        <v>8</v>
      </c>
      <c r="C1633" s="2" t="s">
        <v>497</v>
      </c>
      <c r="D1633" s="2">
        <v>8.1</v>
      </c>
      <c r="E1633" s="2">
        <v>2018.0</v>
      </c>
      <c r="F1633" s="2">
        <v>2018.0</v>
      </c>
      <c r="G1633" s="2" t="s">
        <v>10</v>
      </c>
    </row>
    <row r="1634" ht="14.25" customHeight="1">
      <c r="A1634" s="1" t="s">
        <v>1448</v>
      </c>
      <c r="B1634" s="1" t="s">
        <v>20</v>
      </c>
      <c r="C1634" s="2" t="s">
        <v>468</v>
      </c>
      <c r="D1634" s="2">
        <v>8.1</v>
      </c>
      <c r="E1634" s="2">
        <v>2019.0</v>
      </c>
      <c r="F1634" s="2" t="s">
        <v>10</v>
      </c>
      <c r="G1634" s="2" t="s">
        <v>10</v>
      </c>
    </row>
    <row r="1635" ht="14.25" customHeight="1">
      <c r="A1635" s="1" t="s">
        <v>1449</v>
      </c>
      <c r="B1635" s="1" t="s">
        <v>8</v>
      </c>
      <c r="C1635" s="2" t="s">
        <v>63</v>
      </c>
      <c r="D1635" s="2">
        <v>8.1</v>
      </c>
      <c r="E1635" s="2">
        <v>2012.0</v>
      </c>
      <c r="F1635" s="2">
        <v>2015.0</v>
      </c>
      <c r="G1635" s="2" t="s">
        <v>10</v>
      </c>
    </row>
    <row r="1636" ht="14.25" customHeight="1">
      <c r="A1636" s="1" t="s">
        <v>1450</v>
      </c>
      <c r="B1636" s="1" t="s">
        <v>20</v>
      </c>
      <c r="C1636" s="2" t="s">
        <v>154</v>
      </c>
      <c r="D1636" s="2">
        <v>8.1</v>
      </c>
      <c r="E1636" s="2">
        <v>1991.0</v>
      </c>
      <c r="F1636" s="2" t="s">
        <v>10</v>
      </c>
      <c r="G1636" s="2" t="s">
        <v>10</v>
      </c>
    </row>
    <row r="1637" ht="14.25" customHeight="1">
      <c r="A1637" s="1" t="s">
        <v>1451</v>
      </c>
      <c r="B1637" s="1" t="s">
        <v>20</v>
      </c>
      <c r="C1637" s="2" t="s">
        <v>1092</v>
      </c>
      <c r="D1637" s="2">
        <v>8.1</v>
      </c>
      <c r="E1637" s="2">
        <v>1971.0</v>
      </c>
      <c r="F1637" s="2" t="s">
        <v>10</v>
      </c>
      <c r="G1637" s="2" t="s">
        <v>10</v>
      </c>
    </row>
    <row r="1638" ht="14.25" customHeight="1">
      <c r="A1638" s="1" t="s">
        <v>1452</v>
      </c>
      <c r="B1638" s="1" t="s">
        <v>20</v>
      </c>
      <c r="C1638" s="2" t="s">
        <v>419</v>
      </c>
      <c r="D1638" s="2">
        <v>8.1</v>
      </c>
      <c r="E1638" s="2">
        <v>2021.0</v>
      </c>
      <c r="F1638" s="2">
        <v>2021.0</v>
      </c>
      <c r="G1638" s="2" t="s">
        <v>10</v>
      </c>
    </row>
    <row r="1639" ht="14.25" customHeight="1">
      <c r="A1639" s="1" t="s">
        <v>1453</v>
      </c>
      <c r="B1639" s="1" t="s">
        <v>20</v>
      </c>
      <c r="C1639" s="2" t="s">
        <v>411</v>
      </c>
      <c r="D1639" s="2">
        <v>8.1</v>
      </c>
      <c r="E1639" s="2">
        <v>1993.0</v>
      </c>
      <c r="F1639" s="2" t="s">
        <v>10</v>
      </c>
      <c r="G1639" s="2" t="s">
        <v>10</v>
      </c>
    </row>
    <row r="1640" ht="14.25" customHeight="1">
      <c r="A1640" s="1" t="s">
        <v>1454</v>
      </c>
      <c r="B1640" s="1" t="s">
        <v>8</v>
      </c>
      <c r="C1640" s="2" t="s">
        <v>611</v>
      </c>
      <c r="D1640" s="2">
        <v>8.1</v>
      </c>
      <c r="E1640" s="2">
        <v>2010.0</v>
      </c>
      <c r="F1640" s="2" t="s">
        <v>10</v>
      </c>
      <c r="G1640" s="2" t="s">
        <v>10</v>
      </c>
    </row>
    <row r="1641" ht="14.25" customHeight="1">
      <c r="A1641" s="1" t="s">
        <v>1455</v>
      </c>
      <c r="B1641" s="1" t="s">
        <v>8</v>
      </c>
      <c r="C1641" s="2" t="s">
        <v>530</v>
      </c>
      <c r="D1641" s="2">
        <v>8.1</v>
      </c>
      <c r="E1641" s="2">
        <v>2017.0</v>
      </c>
      <c r="F1641" s="2">
        <v>2018.0</v>
      </c>
      <c r="G1641" s="2" t="s">
        <v>10</v>
      </c>
    </row>
    <row r="1642" ht="14.25" customHeight="1">
      <c r="A1642" s="1" t="s">
        <v>1456</v>
      </c>
      <c r="B1642" s="1" t="s">
        <v>8</v>
      </c>
      <c r="C1642" s="2" t="s">
        <v>1457</v>
      </c>
      <c r="D1642" s="2">
        <v>8.1</v>
      </c>
      <c r="E1642" s="2">
        <v>2006.0</v>
      </c>
      <c r="F1642" s="2" t="s">
        <v>10</v>
      </c>
      <c r="G1642" s="2" t="s">
        <v>10</v>
      </c>
    </row>
    <row r="1643" ht="14.25" customHeight="1">
      <c r="A1643" s="1" t="s">
        <v>1458</v>
      </c>
      <c r="B1643" s="1" t="s">
        <v>20</v>
      </c>
      <c r="C1643" s="2" t="s">
        <v>80</v>
      </c>
      <c r="D1643" s="2">
        <v>8.1</v>
      </c>
      <c r="E1643" s="2">
        <v>1960.0</v>
      </c>
      <c r="F1643" s="2" t="s">
        <v>10</v>
      </c>
      <c r="G1643" s="2" t="s">
        <v>10</v>
      </c>
    </row>
    <row r="1644" ht="14.25" customHeight="1">
      <c r="A1644" s="1" t="s">
        <v>1459</v>
      </c>
      <c r="B1644" s="1" t="s">
        <v>20</v>
      </c>
      <c r="C1644" s="2" t="s">
        <v>530</v>
      </c>
      <c r="D1644" s="2">
        <v>8.1</v>
      </c>
      <c r="E1644" s="2">
        <v>1988.0</v>
      </c>
      <c r="F1644" s="2" t="s">
        <v>10</v>
      </c>
      <c r="G1644" s="2" t="s">
        <v>10</v>
      </c>
    </row>
    <row r="1645" ht="14.25" customHeight="1">
      <c r="A1645" s="1" t="s">
        <v>1460</v>
      </c>
      <c r="B1645" s="1" t="s">
        <v>8</v>
      </c>
      <c r="C1645" s="2" t="s">
        <v>468</v>
      </c>
      <c r="D1645" s="2">
        <v>8.1</v>
      </c>
      <c r="E1645" s="2">
        <v>2022.0</v>
      </c>
      <c r="F1645" s="2" t="s">
        <v>10</v>
      </c>
      <c r="G1645" s="2">
        <v>7680000.0</v>
      </c>
    </row>
    <row r="1646" ht="14.25" customHeight="1">
      <c r="A1646" s="1" t="s">
        <v>1460</v>
      </c>
      <c r="B1646" s="1" t="s">
        <v>8</v>
      </c>
      <c r="C1646" s="2" t="s">
        <v>468</v>
      </c>
      <c r="D1646" s="2">
        <v>8.1</v>
      </c>
      <c r="E1646" s="2">
        <v>2022.0</v>
      </c>
      <c r="F1646" s="2" t="s">
        <v>10</v>
      </c>
      <c r="G1646" s="2">
        <v>9160000.0</v>
      </c>
    </row>
    <row r="1647" ht="14.25" customHeight="1">
      <c r="A1647" s="1" t="s">
        <v>1460</v>
      </c>
      <c r="B1647" s="1" t="s">
        <v>8</v>
      </c>
      <c r="C1647" s="2" t="s">
        <v>468</v>
      </c>
      <c r="D1647" s="2">
        <v>8.1</v>
      </c>
      <c r="E1647" s="2">
        <v>2022.0</v>
      </c>
      <c r="F1647" s="2" t="s">
        <v>10</v>
      </c>
      <c r="G1647" s="2">
        <v>1.29E7</v>
      </c>
    </row>
    <row r="1648" ht="14.25" customHeight="1">
      <c r="A1648" s="1" t="s">
        <v>1460</v>
      </c>
      <c r="B1648" s="1" t="s">
        <v>8</v>
      </c>
      <c r="C1648" s="2" t="s">
        <v>468</v>
      </c>
      <c r="D1648" s="2">
        <v>8.1</v>
      </c>
      <c r="E1648" s="2">
        <v>2022.0</v>
      </c>
      <c r="F1648" s="2" t="s">
        <v>10</v>
      </c>
      <c r="G1648" s="2">
        <v>1.857E7</v>
      </c>
    </row>
    <row r="1649" ht="14.25" customHeight="1">
      <c r="A1649" s="1" t="s">
        <v>1460</v>
      </c>
      <c r="B1649" s="1" t="s">
        <v>8</v>
      </c>
      <c r="C1649" s="2" t="s">
        <v>468</v>
      </c>
      <c r="D1649" s="2">
        <v>8.1</v>
      </c>
      <c r="E1649" s="2">
        <v>2022.0</v>
      </c>
      <c r="F1649" s="2" t="s">
        <v>10</v>
      </c>
      <c r="G1649" s="2">
        <v>2.672E7</v>
      </c>
    </row>
    <row r="1650" ht="14.25" customHeight="1">
      <c r="A1650" s="1" t="s">
        <v>1460</v>
      </c>
      <c r="B1650" s="1" t="s">
        <v>8</v>
      </c>
      <c r="C1650" s="2" t="s">
        <v>468</v>
      </c>
      <c r="D1650" s="2">
        <v>8.1</v>
      </c>
      <c r="E1650" s="2">
        <v>2022.0</v>
      </c>
      <c r="F1650" s="2" t="s">
        <v>10</v>
      </c>
      <c r="G1650" s="2">
        <v>4.835E7</v>
      </c>
    </row>
    <row r="1651" ht="14.25" customHeight="1">
      <c r="A1651" s="1" t="s">
        <v>1460</v>
      </c>
      <c r="B1651" s="1" t="s">
        <v>8</v>
      </c>
      <c r="C1651" s="2" t="s">
        <v>468</v>
      </c>
      <c r="D1651" s="2">
        <v>8.1</v>
      </c>
      <c r="E1651" s="2">
        <v>2022.0</v>
      </c>
      <c r="F1651" s="2" t="s">
        <v>10</v>
      </c>
      <c r="G1651" s="2">
        <v>1.2359E8</v>
      </c>
    </row>
    <row r="1652" ht="14.25" customHeight="1">
      <c r="A1652" s="1" t="s">
        <v>1460</v>
      </c>
      <c r="B1652" s="1" t="s">
        <v>8</v>
      </c>
      <c r="C1652" s="2" t="s">
        <v>468</v>
      </c>
      <c r="D1652" s="2">
        <v>8.1</v>
      </c>
      <c r="E1652" s="2">
        <v>2022.0</v>
      </c>
      <c r="F1652" s="2" t="s">
        <v>10</v>
      </c>
      <c r="G1652" s="2">
        <v>1.2446E8</v>
      </c>
    </row>
    <row r="1653" ht="14.25" customHeight="1">
      <c r="A1653" s="1" t="s">
        <v>1460</v>
      </c>
      <c r="B1653" s="1" t="s">
        <v>8</v>
      </c>
      <c r="C1653" s="2" t="s">
        <v>468</v>
      </c>
      <c r="D1653" s="2">
        <v>8.1</v>
      </c>
      <c r="E1653" s="2">
        <v>2022.0</v>
      </c>
      <c r="F1653" s="2" t="s">
        <v>10</v>
      </c>
      <c r="G1653" s="2">
        <v>1.736E7</v>
      </c>
    </row>
    <row r="1654" ht="14.25" customHeight="1">
      <c r="A1654" s="1" t="s">
        <v>1460</v>
      </c>
      <c r="B1654" s="1" t="s">
        <v>8</v>
      </c>
      <c r="C1654" s="2" t="s">
        <v>468</v>
      </c>
      <c r="D1654" s="2">
        <v>8.1</v>
      </c>
      <c r="E1654" s="2">
        <v>2022.0</v>
      </c>
      <c r="F1654" s="2" t="s">
        <v>10</v>
      </c>
      <c r="G1654" s="2">
        <v>2.42E7</v>
      </c>
    </row>
    <row r="1655" ht="14.25" customHeight="1">
      <c r="A1655" s="1" t="s">
        <v>1460</v>
      </c>
      <c r="B1655" s="1" t="s">
        <v>8</v>
      </c>
      <c r="C1655" s="2" t="s">
        <v>468</v>
      </c>
      <c r="D1655" s="2">
        <v>8.1</v>
      </c>
      <c r="E1655" s="2">
        <v>2022.0</v>
      </c>
      <c r="F1655" s="2" t="s">
        <v>10</v>
      </c>
      <c r="G1655" s="2">
        <v>4.011E7</v>
      </c>
    </row>
    <row r="1656" ht="14.25" customHeight="1">
      <c r="A1656" s="1" t="s">
        <v>1460</v>
      </c>
      <c r="B1656" s="1" t="s">
        <v>8</v>
      </c>
      <c r="C1656" s="2" t="s">
        <v>468</v>
      </c>
      <c r="D1656" s="2">
        <v>8.1</v>
      </c>
      <c r="E1656" s="2">
        <v>2022.0</v>
      </c>
      <c r="F1656" s="2" t="s">
        <v>10</v>
      </c>
      <c r="G1656" s="2">
        <v>8.248E7</v>
      </c>
    </row>
    <row r="1657" ht="14.25" customHeight="1">
      <c r="A1657" s="1" t="s">
        <v>1460</v>
      </c>
      <c r="B1657" s="1" t="s">
        <v>8</v>
      </c>
      <c r="C1657" s="2" t="s">
        <v>468</v>
      </c>
      <c r="D1657" s="2">
        <v>8.1</v>
      </c>
      <c r="E1657" s="2">
        <v>2022.0</v>
      </c>
      <c r="F1657" s="2" t="s">
        <v>10</v>
      </c>
      <c r="G1657" s="2">
        <v>2.541E7</v>
      </c>
    </row>
    <row r="1658" ht="14.25" customHeight="1">
      <c r="A1658" s="1" t="s">
        <v>1461</v>
      </c>
      <c r="B1658" s="1" t="s">
        <v>20</v>
      </c>
      <c r="C1658" s="2" t="s">
        <v>833</v>
      </c>
      <c r="D1658" s="2">
        <v>8.1</v>
      </c>
      <c r="E1658" s="2">
        <v>2022.0</v>
      </c>
      <c r="F1658" s="2" t="s">
        <v>10</v>
      </c>
      <c r="G1658" s="2" t="s">
        <v>10</v>
      </c>
    </row>
    <row r="1659" ht="14.25" customHeight="1">
      <c r="A1659" s="1" t="s">
        <v>1462</v>
      </c>
      <c r="B1659" s="1" t="s">
        <v>8</v>
      </c>
      <c r="C1659" s="2" t="s">
        <v>53</v>
      </c>
      <c r="D1659" s="2">
        <v>8.1</v>
      </c>
      <c r="E1659" s="2">
        <v>2017.0</v>
      </c>
      <c r="F1659" s="2" t="s">
        <v>10</v>
      </c>
      <c r="G1659" s="2" t="s">
        <v>10</v>
      </c>
    </row>
    <row r="1660" ht="14.25" customHeight="1">
      <c r="A1660" s="1" t="s">
        <v>1463</v>
      </c>
      <c r="B1660" s="1" t="s">
        <v>20</v>
      </c>
      <c r="C1660" s="2" t="s">
        <v>18</v>
      </c>
      <c r="D1660" s="2">
        <v>8.1</v>
      </c>
      <c r="E1660" s="2">
        <v>2015.0</v>
      </c>
      <c r="F1660" s="2" t="s">
        <v>10</v>
      </c>
      <c r="G1660" s="2" t="s">
        <v>10</v>
      </c>
    </row>
    <row r="1661" ht="14.25" customHeight="1">
      <c r="A1661" s="1" t="s">
        <v>1464</v>
      </c>
      <c r="B1661" s="1" t="s">
        <v>20</v>
      </c>
      <c r="C1661" s="2" t="s">
        <v>9</v>
      </c>
      <c r="D1661" s="2">
        <v>8.1</v>
      </c>
      <c r="E1661" s="2">
        <v>1969.0</v>
      </c>
      <c r="F1661" s="2" t="s">
        <v>10</v>
      </c>
      <c r="G1661" s="2" t="s">
        <v>10</v>
      </c>
    </row>
    <row r="1662" ht="14.25" customHeight="1">
      <c r="A1662" s="1" t="s">
        <v>1465</v>
      </c>
      <c r="B1662" s="1" t="s">
        <v>8</v>
      </c>
      <c r="C1662" s="2" t="s">
        <v>53</v>
      </c>
      <c r="D1662" s="2">
        <v>8.1</v>
      </c>
      <c r="E1662" s="2">
        <v>2007.0</v>
      </c>
      <c r="F1662" s="2" t="s">
        <v>10</v>
      </c>
      <c r="G1662" s="2" t="s">
        <v>10</v>
      </c>
    </row>
    <row r="1663" ht="14.25" customHeight="1">
      <c r="A1663" s="1" t="s">
        <v>1466</v>
      </c>
      <c r="B1663" s="1" t="s">
        <v>8</v>
      </c>
      <c r="C1663" s="2" t="s">
        <v>25</v>
      </c>
      <c r="D1663" s="2">
        <v>8.1</v>
      </c>
      <c r="E1663" s="2">
        <v>2019.0</v>
      </c>
      <c r="F1663" s="2" t="s">
        <v>10</v>
      </c>
      <c r="G1663" s="2" t="s">
        <v>10</v>
      </c>
    </row>
    <row r="1664" ht="14.25" customHeight="1">
      <c r="A1664" s="1" t="s">
        <v>1467</v>
      </c>
      <c r="B1664" s="1" t="s">
        <v>8</v>
      </c>
      <c r="C1664" s="2" t="s">
        <v>25</v>
      </c>
      <c r="D1664" s="2">
        <v>8.1</v>
      </c>
      <c r="E1664" s="2">
        <v>1999.0</v>
      </c>
      <c r="F1664" s="2" t="s">
        <v>10</v>
      </c>
      <c r="G1664" s="2" t="s">
        <v>10</v>
      </c>
    </row>
    <row r="1665" ht="14.25" customHeight="1">
      <c r="A1665" s="1" t="s">
        <v>1468</v>
      </c>
      <c r="B1665" s="1" t="s">
        <v>20</v>
      </c>
      <c r="C1665" s="2" t="s">
        <v>339</v>
      </c>
      <c r="D1665" s="2">
        <v>8.1</v>
      </c>
      <c r="E1665" s="2">
        <v>2014.0</v>
      </c>
      <c r="F1665" s="2" t="s">
        <v>10</v>
      </c>
      <c r="G1665" s="2" t="s">
        <v>10</v>
      </c>
    </row>
    <row r="1666" ht="14.25" customHeight="1">
      <c r="A1666" s="1" t="s">
        <v>581</v>
      </c>
      <c r="B1666" s="1" t="s">
        <v>8</v>
      </c>
      <c r="C1666" s="2" t="s">
        <v>18</v>
      </c>
      <c r="D1666" s="2">
        <v>8.1</v>
      </c>
      <c r="E1666" s="2">
        <v>2021.0</v>
      </c>
      <c r="F1666" s="2" t="s">
        <v>10</v>
      </c>
      <c r="G1666" s="2" t="s">
        <v>10</v>
      </c>
    </row>
    <row r="1667" ht="14.25" customHeight="1">
      <c r="A1667" s="1" t="s">
        <v>1469</v>
      </c>
      <c r="B1667" s="1" t="s">
        <v>8</v>
      </c>
      <c r="C1667" s="2" t="s">
        <v>1470</v>
      </c>
      <c r="D1667" s="2">
        <v>8.1</v>
      </c>
      <c r="E1667" s="2">
        <v>2021.0</v>
      </c>
      <c r="F1667" s="2" t="s">
        <v>10</v>
      </c>
      <c r="G1667" s="2" t="s">
        <v>10</v>
      </c>
    </row>
    <row r="1668" ht="14.25" customHeight="1">
      <c r="A1668" s="1" t="s">
        <v>1471</v>
      </c>
      <c r="B1668" s="1" t="s">
        <v>8</v>
      </c>
      <c r="C1668" s="2" t="s">
        <v>9</v>
      </c>
      <c r="D1668" s="2">
        <v>8.1</v>
      </c>
      <c r="E1668" s="2">
        <v>2019.0</v>
      </c>
      <c r="F1668" s="2" t="s">
        <v>10</v>
      </c>
      <c r="G1668" s="2" t="s">
        <v>10</v>
      </c>
    </row>
    <row r="1669" ht="14.25" customHeight="1">
      <c r="A1669" s="1" t="s">
        <v>1472</v>
      </c>
      <c r="B1669" s="1" t="s">
        <v>8</v>
      </c>
      <c r="C1669" s="2" t="s">
        <v>53</v>
      </c>
      <c r="D1669" s="2">
        <v>8.1</v>
      </c>
      <c r="E1669" s="2">
        <v>2020.0</v>
      </c>
      <c r="F1669" s="2" t="s">
        <v>10</v>
      </c>
      <c r="G1669" s="2" t="s">
        <v>10</v>
      </c>
    </row>
    <row r="1670" ht="14.25" customHeight="1">
      <c r="A1670" s="1" t="s">
        <v>1473</v>
      </c>
      <c r="B1670" s="1" t="s">
        <v>8</v>
      </c>
      <c r="C1670" s="2" t="s">
        <v>1474</v>
      </c>
      <c r="D1670" s="2">
        <v>8.1</v>
      </c>
      <c r="E1670" s="2">
        <v>2003.0</v>
      </c>
      <c r="F1670" s="2" t="s">
        <v>10</v>
      </c>
      <c r="G1670" s="2" t="s">
        <v>10</v>
      </c>
    </row>
    <row r="1671" ht="14.25" customHeight="1">
      <c r="A1671" s="1" t="s">
        <v>1475</v>
      </c>
      <c r="B1671" s="1" t="s">
        <v>20</v>
      </c>
      <c r="C1671" s="2" t="s">
        <v>154</v>
      </c>
      <c r="D1671" s="2">
        <v>8.1</v>
      </c>
      <c r="E1671" s="2">
        <v>2000.0</v>
      </c>
      <c r="F1671" s="2" t="s">
        <v>10</v>
      </c>
      <c r="G1671" s="2" t="s">
        <v>10</v>
      </c>
    </row>
    <row r="1672" ht="14.25" customHeight="1">
      <c r="A1672" s="1" t="s">
        <v>1476</v>
      </c>
      <c r="B1672" s="1" t="s">
        <v>8</v>
      </c>
      <c r="C1672" s="2" t="s">
        <v>187</v>
      </c>
      <c r="D1672" s="2">
        <v>8.1</v>
      </c>
      <c r="E1672" s="2">
        <v>2014.0</v>
      </c>
      <c r="F1672" s="2" t="s">
        <v>10</v>
      </c>
      <c r="G1672" s="2" t="s">
        <v>10</v>
      </c>
    </row>
    <row r="1673" ht="14.25" customHeight="1">
      <c r="A1673" s="1" t="s">
        <v>1477</v>
      </c>
      <c r="B1673" s="1" t="s">
        <v>8</v>
      </c>
      <c r="C1673" s="2" t="s">
        <v>187</v>
      </c>
      <c r="D1673" s="2">
        <v>8.1</v>
      </c>
      <c r="E1673" s="2">
        <v>2022.0</v>
      </c>
      <c r="F1673" s="2" t="s">
        <v>10</v>
      </c>
      <c r="G1673" s="2">
        <v>8270000.0</v>
      </c>
    </row>
    <row r="1674" ht="14.25" customHeight="1">
      <c r="A1674" s="1" t="s">
        <v>1477</v>
      </c>
      <c r="B1674" s="1" t="s">
        <v>8</v>
      </c>
      <c r="C1674" s="2" t="s">
        <v>187</v>
      </c>
      <c r="D1674" s="2">
        <v>8.1</v>
      </c>
      <c r="E1674" s="2">
        <v>2022.0</v>
      </c>
      <c r="F1674" s="2" t="s">
        <v>10</v>
      </c>
      <c r="G1674" s="2">
        <v>9990000.0</v>
      </c>
    </row>
    <row r="1675" ht="14.25" customHeight="1">
      <c r="A1675" s="1" t="s">
        <v>1477</v>
      </c>
      <c r="B1675" s="1" t="s">
        <v>8</v>
      </c>
      <c r="C1675" s="2" t="s">
        <v>187</v>
      </c>
      <c r="D1675" s="2">
        <v>8.1</v>
      </c>
      <c r="E1675" s="2">
        <v>2022.0</v>
      </c>
      <c r="F1675" s="2" t="s">
        <v>10</v>
      </c>
      <c r="G1675" s="2">
        <v>1.322E7</v>
      </c>
    </row>
    <row r="1676" ht="14.25" customHeight="1">
      <c r="A1676" s="1" t="s">
        <v>1477</v>
      </c>
      <c r="B1676" s="1" t="s">
        <v>8</v>
      </c>
      <c r="C1676" s="2" t="s">
        <v>187</v>
      </c>
      <c r="D1676" s="2">
        <v>8.1</v>
      </c>
      <c r="E1676" s="2">
        <v>2022.0</v>
      </c>
      <c r="F1676" s="2" t="s">
        <v>10</v>
      </c>
      <c r="G1676" s="2">
        <v>2.016E7</v>
      </c>
    </row>
    <row r="1677" ht="14.25" customHeight="1">
      <c r="A1677" s="1" t="s">
        <v>1477</v>
      </c>
      <c r="B1677" s="1" t="s">
        <v>8</v>
      </c>
      <c r="C1677" s="2" t="s">
        <v>187</v>
      </c>
      <c r="D1677" s="2">
        <v>8.1</v>
      </c>
      <c r="E1677" s="2">
        <v>2022.0</v>
      </c>
      <c r="F1677" s="2" t="s">
        <v>10</v>
      </c>
      <c r="G1677" s="2">
        <v>1.91E7</v>
      </c>
    </row>
    <row r="1678" ht="14.25" customHeight="1">
      <c r="A1678" s="1" t="s">
        <v>1477</v>
      </c>
      <c r="B1678" s="1" t="s">
        <v>8</v>
      </c>
      <c r="C1678" s="2" t="s">
        <v>187</v>
      </c>
      <c r="D1678" s="2">
        <v>8.1</v>
      </c>
      <c r="E1678" s="2">
        <v>2022.0</v>
      </c>
      <c r="F1678" s="2" t="s">
        <v>10</v>
      </c>
      <c r="G1678" s="2">
        <v>1.95E7</v>
      </c>
    </row>
    <row r="1679" ht="14.25" customHeight="1">
      <c r="A1679" s="1" t="s">
        <v>1477</v>
      </c>
      <c r="B1679" s="1" t="s">
        <v>8</v>
      </c>
      <c r="C1679" s="2" t="s">
        <v>187</v>
      </c>
      <c r="D1679" s="2">
        <v>8.1</v>
      </c>
      <c r="E1679" s="2">
        <v>2022.0</v>
      </c>
      <c r="F1679" s="2" t="s">
        <v>10</v>
      </c>
      <c r="G1679" s="2">
        <v>2.038E7</v>
      </c>
    </row>
    <row r="1680" ht="14.25" customHeight="1">
      <c r="A1680" s="1" t="s">
        <v>1477</v>
      </c>
      <c r="B1680" s="1" t="s">
        <v>8</v>
      </c>
      <c r="C1680" s="2" t="s">
        <v>187</v>
      </c>
      <c r="D1680" s="2">
        <v>8.1</v>
      </c>
      <c r="E1680" s="2">
        <v>2022.0</v>
      </c>
      <c r="F1680" s="2" t="s">
        <v>10</v>
      </c>
      <c r="G1680" s="2">
        <v>2.419E7</v>
      </c>
    </row>
    <row r="1681" ht="14.25" customHeight="1">
      <c r="A1681" s="1" t="s">
        <v>1477</v>
      </c>
      <c r="B1681" s="1" t="s">
        <v>8</v>
      </c>
      <c r="C1681" s="2" t="s">
        <v>187</v>
      </c>
      <c r="D1681" s="2">
        <v>8.1</v>
      </c>
      <c r="E1681" s="2">
        <v>2022.0</v>
      </c>
      <c r="F1681" s="2" t="s">
        <v>10</v>
      </c>
      <c r="G1681" s="2">
        <v>4.146E7</v>
      </c>
    </row>
    <row r="1682" ht="14.25" customHeight="1">
      <c r="A1682" s="1" t="s">
        <v>1477</v>
      </c>
      <c r="B1682" s="1" t="s">
        <v>8</v>
      </c>
      <c r="C1682" s="2" t="s">
        <v>187</v>
      </c>
      <c r="D1682" s="2">
        <v>8.1</v>
      </c>
      <c r="E1682" s="2">
        <v>2022.0</v>
      </c>
      <c r="F1682" s="2" t="s">
        <v>10</v>
      </c>
      <c r="G1682" s="2">
        <v>3.252E7</v>
      </c>
    </row>
    <row r="1683" ht="14.25" customHeight="1">
      <c r="A1683" s="1" t="s">
        <v>1477</v>
      </c>
      <c r="B1683" s="1" t="s">
        <v>8</v>
      </c>
      <c r="C1683" s="2" t="s">
        <v>187</v>
      </c>
      <c r="D1683" s="2">
        <v>8.1</v>
      </c>
      <c r="E1683" s="2">
        <v>2022.0</v>
      </c>
      <c r="F1683" s="2" t="s">
        <v>10</v>
      </c>
      <c r="G1683" s="2">
        <v>3.094E7</v>
      </c>
    </row>
    <row r="1684" ht="14.25" customHeight="1">
      <c r="A1684" s="1" t="s">
        <v>1477</v>
      </c>
      <c r="B1684" s="1" t="s">
        <v>8</v>
      </c>
      <c r="C1684" s="2" t="s">
        <v>187</v>
      </c>
      <c r="D1684" s="2">
        <v>8.1</v>
      </c>
      <c r="E1684" s="2">
        <v>2022.0</v>
      </c>
      <c r="F1684" s="2" t="s">
        <v>10</v>
      </c>
      <c r="G1684" s="2">
        <v>2.348E7</v>
      </c>
    </row>
    <row r="1685" ht="14.25" customHeight="1">
      <c r="A1685" s="1" t="s">
        <v>1477</v>
      </c>
      <c r="B1685" s="1" t="s">
        <v>8</v>
      </c>
      <c r="C1685" s="2" t="s">
        <v>187</v>
      </c>
      <c r="D1685" s="2">
        <v>8.1</v>
      </c>
      <c r="E1685" s="2">
        <v>2022.0</v>
      </c>
      <c r="F1685" s="2" t="s">
        <v>10</v>
      </c>
      <c r="G1685" s="2">
        <v>1.59E7</v>
      </c>
    </row>
    <row r="1686" ht="14.25" customHeight="1">
      <c r="A1686" s="1" t="s">
        <v>1478</v>
      </c>
      <c r="B1686" s="1" t="s">
        <v>8</v>
      </c>
      <c r="C1686" s="2" t="s">
        <v>395</v>
      </c>
      <c r="D1686" s="2">
        <v>8.1</v>
      </c>
      <c r="E1686" s="2">
        <v>2016.0</v>
      </c>
      <c r="F1686" s="2" t="s">
        <v>10</v>
      </c>
      <c r="G1686" s="2" t="s">
        <v>10</v>
      </c>
    </row>
    <row r="1687" ht="14.25" customHeight="1">
      <c r="A1687" s="1" t="s">
        <v>1479</v>
      </c>
      <c r="B1687" s="1" t="s">
        <v>20</v>
      </c>
      <c r="C1687" s="2" t="s">
        <v>63</v>
      </c>
      <c r="D1687" s="2">
        <v>8.1</v>
      </c>
      <c r="E1687" s="2">
        <v>1998.0</v>
      </c>
      <c r="F1687" s="2" t="s">
        <v>10</v>
      </c>
      <c r="G1687" s="2" t="s">
        <v>10</v>
      </c>
    </row>
    <row r="1688" ht="14.25" customHeight="1">
      <c r="A1688" s="1" t="s">
        <v>1480</v>
      </c>
      <c r="B1688" s="1" t="s">
        <v>20</v>
      </c>
      <c r="C1688" s="2" t="s">
        <v>63</v>
      </c>
      <c r="D1688" s="2">
        <v>8.1</v>
      </c>
      <c r="E1688" s="2">
        <v>1986.0</v>
      </c>
      <c r="F1688" s="2" t="s">
        <v>10</v>
      </c>
      <c r="G1688" s="2" t="s">
        <v>10</v>
      </c>
    </row>
    <row r="1689" ht="14.25" customHeight="1">
      <c r="A1689" s="1" t="s">
        <v>1481</v>
      </c>
      <c r="B1689" s="1" t="s">
        <v>8</v>
      </c>
      <c r="C1689" s="2" t="s">
        <v>163</v>
      </c>
      <c r="D1689" s="2">
        <v>8.1</v>
      </c>
      <c r="E1689" s="2">
        <v>1997.0</v>
      </c>
      <c r="F1689" s="2" t="s">
        <v>10</v>
      </c>
      <c r="G1689" s="2" t="s">
        <v>10</v>
      </c>
    </row>
    <row r="1690" ht="14.25" customHeight="1">
      <c r="A1690" s="1" t="s">
        <v>1482</v>
      </c>
      <c r="B1690" s="1" t="s">
        <v>20</v>
      </c>
      <c r="C1690" s="2" t="s">
        <v>75</v>
      </c>
      <c r="D1690" s="2">
        <v>8.1</v>
      </c>
      <c r="E1690" s="2">
        <v>2019.0</v>
      </c>
      <c r="F1690" s="2" t="s">
        <v>10</v>
      </c>
      <c r="G1690" s="2" t="s">
        <v>10</v>
      </c>
    </row>
    <row r="1691" ht="14.25" customHeight="1">
      <c r="A1691" s="1" t="s">
        <v>1483</v>
      </c>
      <c r="B1691" s="1" t="s">
        <v>20</v>
      </c>
      <c r="C1691" s="2" t="s">
        <v>187</v>
      </c>
      <c r="D1691" s="2">
        <v>8.1</v>
      </c>
      <c r="E1691" s="2">
        <v>2024.0</v>
      </c>
      <c r="F1691" s="2" t="s">
        <v>10</v>
      </c>
      <c r="G1691" s="2" t="s">
        <v>10</v>
      </c>
    </row>
    <row r="1692" ht="14.25" customHeight="1">
      <c r="A1692" s="1" t="s">
        <v>1484</v>
      </c>
      <c r="B1692" s="1" t="s">
        <v>20</v>
      </c>
      <c r="C1692" s="2" t="s">
        <v>69</v>
      </c>
      <c r="D1692" s="2">
        <v>8.1</v>
      </c>
      <c r="E1692" s="2">
        <v>1999.0</v>
      </c>
      <c r="F1692" s="2" t="s">
        <v>10</v>
      </c>
      <c r="G1692" s="2" t="s">
        <v>10</v>
      </c>
    </row>
    <row r="1693" ht="14.25" customHeight="1">
      <c r="A1693" s="1" t="s">
        <v>1485</v>
      </c>
      <c r="B1693" s="1" t="s">
        <v>8</v>
      </c>
      <c r="C1693" s="2" t="s">
        <v>1375</v>
      </c>
      <c r="D1693" s="2">
        <v>8.1</v>
      </c>
      <c r="E1693" s="2">
        <v>2016.0</v>
      </c>
      <c r="F1693" s="2" t="s">
        <v>10</v>
      </c>
      <c r="G1693" s="2" t="s">
        <v>10</v>
      </c>
    </row>
    <row r="1694" ht="14.25" customHeight="1">
      <c r="A1694" s="1" t="s">
        <v>1486</v>
      </c>
      <c r="B1694" s="1" t="s">
        <v>20</v>
      </c>
      <c r="C1694" s="2" t="s">
        <v>710</v>
      </c>
      <c r="D1694" s="2">
        <v>8.1</v>
      </c>
      <c r="E1694" s="2">
        <v>2018.0</v>
      </c>
      <c r="F1694" s="2" t="s">
        <v>10</v>
      </c>
      <c r="G1694" s="2" t="s">
        <v>10</v>
      </c>
    </row>
    <row r="1695" ht="14.25" customHeight="1">
      <c r="A1695" s="1" t="s">
        <v>1487</v>
      </c>
      <c r="B1695" s="1" t="s">
        <v>8</v>
      </c>
      <c r="C1695" s="2" t="s">
        <v>299</v>
      </c>
      <c r="D1695" s="2">
        <v>8.1</v>
      </c>
      <c r="E1695" s="2">
        <v>2015.0</v>
      </c>
      <c r="F1695" s="2" t="s">
        <v>10</v>
      </c>
      <c r="G1695" s="2" t="s">
        <v>10</v>
      </c>
    </row>
    <row r="1696" ht="14.25" customHeight="1">
      <c r="A1696" s="1" t="s">
        <v>1488</v>
      </c>
      <c r="B1696" s="1" t="s">
        <v>20</v>
      </c>
      <c r="C1696" s="2" t="s">
        <v>184</v>
      </c>
      <c r="D1696" s="2">
        <v>8.1</v>
      </c>
      <c r="E1696" s="2">
        <v>1969.0</v>
      </c>
      <c r="F1696" s="2" t="s">
        <v>10</v>
      </c>
      <c r="G1696" s="2" t="s">
        <v>10</v>
      </c>
    </row>
    <row r="1697" ht="14.25" customHeight="1">
      <c r="A1697" s="1" t="s">
        <v>1489</v>
      </c>
      <c r="B1697" s="1" t="s">
        <v>20</v>
      </c>
      <c r="C1697" s="2" t="s">
        <v>12</v>
      </c>
      <c r="D1697" s="2">
        <v>8.1</v>
      </c>
      <c r="E1697" s="2">
        <v>2014.0</v>
      </c>
      <c r="F1697" s="2">
        <v>2014.0</v>
      </c>
      <c r="G1697" s="2" t="s">
        <v>10</v>
      </c>
    </row>
    <row r="1698" ht="14.25" customHeight="1">
      <c r="A1698" s="1" t="s">
        <v>1490</v>
      </c>
      <c r="B1698" s="1" t="s">
        <v>8</v>
      </c>
      <c r="C1698" s="2" t="s">
        <v>18</v>
      </c>
      <c r="D1698" s="2">
        <v>8.1</v>
      </c>
      <c r="E1698" s="2">
        <v>2020.0</v>
      </c>
      <c r="F1698" s="2" t="s">
        <v>10</v>
      </c>
      <c r="G1698" s="2" t="s">
        <v>10</v>
      </c>
    </row>
    <row r="1699" ht="14.25" customHeight="1">
      <c r="A1699" s="1" t="s">
        <v>1491</v>
      </c>
      <c r="B1699" s="1" t="s">
        <v>20</v>
      </c>
      <c r="C1699" s="2" t="s">
        <v>154</v>
      </c>
      <c r="D1699" s="2">
        <v>8.1</v>
      </c>
      <c r="E1699" s="2">
        <v>1988.0</v>
      </c>
      <c r="F1699" s="2" t="s">
        <v>10</v>
      </c>
      <c r="G1699" s="2" t="s">
        <v>10</v>
      </c>
    </row>
    <row r="1700" ht="14.25" customHeight="1">
      <c r="A1700" s="1" t="s">
        <v>1492</v>
      </c>
      <c r="B1700" s="1" t="s">
        <v>20</v>
      </c>
      <c r="C1700" s="2" t="s">
        <v>18</v>
      </c>
      <c r="D1700" s="2">
        <v>8.1</v>
      </c>
      <c r="E1700" s="2">
        <v>1961.0</v>
      </c>
      <c r="F1700" s="2" t="s">
        <v>10</v>
      </c>
      <c r="G1700" s="2" t="s">
        <v>10</v>
      </c>
    </row>
    <row r="1701" ht="14.25" customHeight="1">
      <c r="A1701" s="1" t="s">
        <v>1493</v>
      </c>
      <c r="B1701" s="1" t="s">
        <v>20</v>
      </c>
      <c r="C1701" s="2" t="s">
        <v>1036</v>
      </c>
      <c r="D1701" s="2">
        <v>8.1</v>
      </c>
      <c r="E1701" s="2">
        <v>1953.0</v>
      </c>
      <c r="F1701" s="2" t="s">
        <v>10</v>
      </c>
      <c r="G1701" s="2" t="s">
        <v>10</v>
      </c>
    </row>
    <row r="1702" ht="14.25" customHeight="1">
      <c r="A1702" s="1" t="s">
        <v>1494</v>
      </c>
      <c r="B1702" s="1" t="s">
        <v>20</v>
      </c>
      <c r="C1702" s="2" t="s">
        <v>335</v>
      </c>
      <c r="D1702" s="2">
        <v>8.1</v>
      </c>
      <c r="E1702" s="2">
        <v>1951.0</v>
      </c>
      <c r="F1702" s="2" t="s">
        <v>10</v>
      </c>
      <c r="G1702" s="2" t="s">
        <v>10</v>
      </c>
    </row>
    <row r="1703" ht="14.25" customHeight="1">
      <c r="A1703" s="1" t="s">
        <v>1495</v>
      </c>
      <c r="B1703" s="1" t="s">
        <v>8</v>
      </c>
      <c r="C1703" s="2" t="s">
        <v>361</v>
      </c>
      <c r="D1703" s="2">
        <v>8.1</v>
      </c>
      <c r="E1703" s="2">
        <v>2014.0</v>
      </c>
      <c r="F1703" s="2" t="s">
        <v>10</v>
      </c>
      <c r="G1703" s="2" t="s">
        <v>10</v>
      </c>
    </row>
    <row r="1704" ht="14.25" customHeight="1">
      <c r="A1704" s="1" t="s">
        <v>1496</v>
      </c>
      <c r="B1704" s="1" t="s">
        <v>20</v>
      </c>
      <c r="C1704" s="2" t="s">
        <v>154</v>
      </c>
      <c r="D1704" s="2">
        <v>8.1</v>
      </c>
      <c r="E1704" s="2">
        <v>2004.0</v>
      </c>
      <c r="F1704" s="2" t="s">
        <v>10</v>
      </c>
      <c r="G1704" s="2" t="s">
        <v>10</v>
      </c>
    </row>
    <row r="1705" ht="14.25" customHeight="1">
      <c r="A1705" s="1" t="s">
        <v>1497</v>
      </c>
      <c r="B1705" s="1" t="s">
        <v>20</v>
      </c>
      <c r="C1705" s="2" t="s">
        <v>154</v>
      </c>
      <c r="D1705" s="2">
        <v>8.1</v>
      </c>
      <c r="E1705" s="2">
        <v>2002.0</v>
      </c>
      <c r="F1705" s="2" t="s">
        <v>10</v>
      </c>
      <c r="G1705" s="2" t="s">
        <v>10</v>
      </c>
    </row>
    <row r="1706" ht="14.25" customHeight="1">
      <c r="A1706" s="1" t="s">
        <v>1498</v>
      </c>
      <c r="B1706" s="1" t="s">
        <v>8</v>
      </c>
      <c r="C1706" s="2" t="s">
        <v>32</v>
      </c>
      <c r="D1706" s="2">
        <v>8.1</v>
      </c>
      <c r="E1706" s="2">
        <v>2022.0</v>
      </c>
      <c r="F1706" s="2" t="s">
        <v>10</v>
      </c>
      <c r="G1706" s="2" t="s">
        <v>10</v>
      </c>
    </row>
    <row r="1707" ht="14.25" customHeight="1">
      <c r="A1707" s="1" t="s">
        <v>1499</v>
      </c>
      <c r="B1707" s="1" t="s">
        <v>20</v>
      </c>
      <c r="C1707" s="2" t="s">
        <v>87</v>
      </c>
      <c r="D1707" s="2">
        <v>8.1</v>
      </c>
      <c r="E1707" s="2">
        <v>2003.0</v>
      </c>
      <c r="F1707" s="2" t="s">
        <v>10</v>
      </c>
      <c r="G1707" s="2" t="s">
        <v>10</v>
      </c>
    </row>
    <row r="1708" ht="14.25" customHeight="1">
      <c r="A1708" s="1" t="s">
        <v>1500</v>
      </c>
      <c r="B1708" s="1" t="s">
        <v>8</v>
      </c>
      <c r="C1708" s="2" t="s">
        <v>118</v>
      </c>
      <c r="D1708" s="2">
        <v>8.1</v>
      </c>
      <c r="E1708" s="2">
        <v>2016.0</v>
      </c>
      <c r="F1708" s="2" t="s">
        <v>10</v>
      </c>
      <c r="G1708" s="2" t="s">
        <v>10</v>
      </c>
    </row>
    <row r="1709" ht="14.25" customHeight="1">
      <c r="A1709" s="1" t="s">
        <v>1120</v>
      </c>
      <c r="B1709" s="1" t="s">
        <v>20</v>
      </c>
      <c r="C1709" s="2" t="s">
        <v>63</v>
      </c>
      <c r="D1709" s="2">
        <v>8.1</v>
      </c>
      <c r="E1709" s="2">
        <v>2013.0</v>
      </c>
      <c r="F1709" s="2">
        <v>2019.0</v>
      </c>
      <c r="G1709" s="2" t="s">
        <v>10</v>
      </c>
    </row>
    <row r="1710" ht="14.25" customHeight="1">
      <c r="A1710" s="1" t="s">
        <v>1501</v>
      </c>
      <c r="B1710" s="1" t="s">
        <v>20</v>
      </c>
      <c r="C1710" s="2" t="s">
        <v>187</v>
      </c>
      <c r="D1710" s="2">
        <v>8.1</v>
      </c>
      <c r="E1710" s="2">
        <v>1992.0</v>
      </c>
      <c r="F1710" s="2" t="s">
        <v>10</v>
      </c>
      <c r="G1710" s="2" t="s">
        <v>10</v>
      </c>
    </row>
    <row r="1711" ht="14.25" customHeight="1">
      <c r="A1711" s="1" t="s">
        <v>1502</v>
      </c>
      <c r="B1711" s="1" t="s">
        <v>8</v>
      </c>
      <c r="C1711" s="2" t="s">
        <v>18</v>
      </c>
      <c r="D1711" s="2">
        <v>8.1</v>
      </c>
      <c r="E1711" s="2">
        <v>2020.0</v>
      </c>
      <c r="F1711" s="2" t="s">
        <v>10</v>
      </c>
      <c r="G1711" s="2" t="s">
        <v>10</v>
      </c>
    </row>
    <row r="1712" ht="14.25" customHeight="1">
      <c r="A1712" s="1" t="s">
        <v>1503</v>
      </c>
      <c r="B1712" s="1" t="s">
        <v>20</v>
      </c>
      <c r="C1712" s="2" t="s">
        <v>12</v>
      </c>
      <c r="D1712" s="2">
        <v>8.1</v>
      </c>
      <c r="E1712" s="2">
        <v>1991.0</v>
      </c>
      <c r="F1712" s="2" t="s">
        <v>10</v>
      </c>
      <c r="G1712" s="2" t="s">
        <v>10</v>
      </c>
    </row>
    <row r="1713" ht="14.25" customHeight="1">
      <c r="A1713" s="1" t="s">
        <v>1504</v>
      </c>
      <c r="B1713" s="1" t="s">
        <v>8</v>
      </c>
      <c r="C1713" s="2" t="s">
        <v>112</v>
      </c>
      <c r="D1713" s="2">
        <v>8.1</v>
      </c>
      <c r="E1713" s="2">
        <v>2014.0</v>
      </c>
      <c r="F1713" s="2">
        <v>2017.0</v>
      </c>
      <c r="G1713" s="2" t="s">
        <v>10</v>
      </c>
    </row>
    <row r="1714" ht="14.25" customHeight="1">
      <c r="A1714" s="1" t="s">
        <v>1505</v>
      </c>
      <c r="B1714" s="1" t="s">
        <v>8</v>
      </c>
      <c r="C1714" s="2" t="s">
        <v>611</v>
      </c>
      <c r="D1714" s="2">
        <v>8.1</v>
      </c>
      <c r="E1714" s="2">
        <v>2006.0</v>
      </c>
      <c r="F1714" s="2" t="s">
        <v>10</v>
      </c>
      <c r="G1714" s="2" t="s">
        <v>10</v>
      </c>
    </row>
    <row r="1715" ht="14.25" customHeight="1">
      <c r="A1715" s="1" t="s">
        <v>1506</v>
      </c>
      <c r="B1715" s="1" t="s">
        <v>20</v>
      </c>
      <c r="C1715" s="2" t="s">
        <v>1507</v>
      </c>
      <c r="D1715" s="2">
        <v>8.1</v>
      </c>
      <c r="E1715" s="2">
        <v>1923.0</v>
      </c>
      <c r="F1715" s="2" t="s">
        <v>10</v>
      </c>
      <c r="G1715" s="2" t="s">
        <v>10</v>
      </c>
    </row>
    <row r="1716" ht="14.25" customHeight="1">
      <c r="A1716" s="1" t="s">
        <v>1508</v>
      </c>
      <c r="B1716" s="1" t="s">
        <v>20</v>
      </c>
      <c r="C1716" s="2" t="s">
        <v>63</v>
      </c>
      <c r="D1716" s="2">
        <v>8.1</v>
      </c>
      <c r="E1716" s="2">
        <v>2005.0</v>
      </c>
      <c r="F1716" s="2" t="s">
        <v>10</v>
      </c>
      <c r="G1716" s="2" t="s">
        <v>10</v>
      </c>
    </row>
    <row r="1717" ht="14.25" customHeight="1">
      <c r="A1717" s="1" t="s">
        <v>1509</v>
      </c>
      <c r="B1717" s="1" t="s">
        <v>8</v>
      </c>
      <c r="C1717" s="2" t="s">
        <v>566</v>
      </c>
      <c r="D1717" s="2">
        <v>8.1</v>
      </c>
      <c r="E1717" s="2">
        <v>2012.0</v>
      </c>
      <c r="F1717" s="2" t="s">
        <v>10</v>
      </c>
      <c r="G1717" s="2" t="s">
        <v>10</v>
      </c>
    </row>
    <row r="1718" ht="14.25" customHeight="1">
      <c r="A1718" s="1" t="s">
        <v>1510</v>
      </c>
      <c r="B1718" s="1" t="s">
        <v>8</v>
      </c>
      <c r="C1718" s="2" t="s">
        <v>1511</v>
      </c>
      <c r="D1718" s="2">
        <v>8.1</v>
      </c>
      <c r="E1718" s="2">
        <v>2006.0</v>
      </c>
      <c r="F1718" s="2" t="s">
        <v>10</v>
      </c>
      <c r="G1718" s="2" t="s">
        <v>10</v>
      </c>
    </row>
    <row r="1719" ht="14.25" customHeight="1">
      <c r="A1719" s="1" t="s">
        <v>1512</v>
      </c>
      <c r="B1719" s="1" t="s">
        <v>8</v>
      </c>
      <c r="C1719" s="2" t="s">
        <v>611</v>
      </c>
      <c r="D1719" s="2">
        <v>8.1</v>
      </c>
      <c r="E1719" s="2">
        <v>2022.0</v>
      </c>
      <c r="F1719" s="2" t="s">
        <v>10</v>
      </c>
      <c r="G1719" s="2" t="s">
        <v>10</v>
      </c>
    </row>
    <row r="1720" ht="14.25" customHeight="1">
      <c r="A1720" s="1" t="s">
        <v>1513</v>
      </c>
      <c r="B1720" s="1" t="s">
        <v>8</v>
      </c>
      <c r="C1720" s="2" t="s">
        <v>187</v>
      </c>
      <c r="D1720" s="2">
        <v>8.1</v>
      </c>
      <c r="E1720" s="2">
        <v>2016.0</v>
      </c>
      <c r="F1720" s="2" t="s">
        <v>10</v>
      </c>
      <c r="G1720" s="2" t="s">
        <v>10</v>
      </c>
    </row>
    <row r="1721" ht="14.25" customHeight="1">
      <c r="A1721" s="1" t="s">
        <v>1514</v>
      </c>
      <c r="B1721" s="1" t="s">
        <v>8</v>
      </c>
      <c r="C1721" s="2" t="s">
        <v>53</v>
      </c>
      <c r="D1721" s="2">
        <v>8.1</v>
      </c>
      <c r="E1721" s="2">
        <v>2012.0</v>
      </c>
      <c r="F1721" s="2">
        <v>2017.0</v>
      </c>
      <c r="G1721" s="2" t="s">
        <v>10</v>
      </c>
    </row>
    <row r="1722" ht="14.25" customHeight="1">
      <c r="A1722" s="1" t="s">
        <v>1515</v>
      </c>
      <c r="B1722" s="1" t="s">
        <v>8</v>
      </c>
      <c r="C1722" s="2" t="s">
        <v>69</v>
      </c>
      <c r="D1722" s="2">
        <v>8.1</v>
      </c>
      <c r="E1722" s="2">
        <v>2003.0</v>
      </c>
      <c r="F1722" s="2" t="s">
        <v>10</v>
      </c>
      <c r="G1722" s="2" t="s">
        <v>10</v>
      </c>
    </row>
    <row r="1723" ht="14.25" customHeight="1">
      <c r="A1723" s="1" t="s">
        <v>1516</v>
      </c>
      <c r="B1723" s="1" t="s">
        <v>8</v>
      </c>
      <c r="C1723" s="2" t="s">
        <v>36</v>
      </c>
      <c r="D1723" s="2">
        <v>8.1</v>
      </c>
      <c r="E1723" s="2">
        <v>2019.0</v>
      </c>
      <c r="F1723" s="2" t="s">
        <v>10</v>
      </c>
      <c r="G1723" s="2" t="s">
        <v>10</v>
      </c>
    </row>
    <row r="1724" ht="14.25" customHeight="1">
      <c r="A1724" s="1" t="s">
        <v>1517</v>
      </c>
      <c r="B1724" s="1" t="s">
        <v>8</v>
      </c>
      <c r="C1724" s="2" t="s">
        <v>69</v>
      </c>
      <c r="D1724" s="2">
        <v>8.1</v>
      </c>
      <c r="E1724" s="2">
        <v>2016.0</v>
      </c>
      <c r="F1724" s="2" t="s">
        <v>10</v>
      </c>
      <c r="G1724" s="2" t="s">
        <v>10</v>
      </c>
    </row>
    <row r="1725" ht="14.25" customHeight="1">
      <c r="A1725" s="1" t="s">
        <v>1518</v>
      </c>
      <c r="B1725" s="1" t="s">
        <v>20</v>
      </c>
      <c r="C1725" s="2" t="s">
        <v>505</v>
      </c>
      <c r="D1725" s="2">
        <v>8.1</v>
      </c>
      <c r="E1725" s="2">
        <v>2017.0</v>
      </c>
      <c r="F1725" s="2">
        <v>2017.0</v>
      </c>
      <c r="G1725" s="2" t="s">
        <v>10</v>
      </c>
    </row>
    <row r="1726" ht="14.25" customHeight="1">
      <c r="A1726" s="1" t="s">
        <v>1519</v>
      </c>
      <c r="B1726" s="1" t="s">
        <v>20</v>
      </c>
      <c r="C1726" s="2" t="s">
        <v>169</v>
      </c>
      <c r="D1726" s="2">
        <v>8.1</v>
      </c>
      <c r="E1726" s="2">
        <v>1962.0</v>
      </c>
      <c r="F1726" s="2" t="s">
        <v>10</v>
      </c>
      <c r="G1726" s="2" t="s">
        <v>10</v>
      </c>
    </row>
    <row r="1727" ht="14.25" customHeight="1">
      <c r="A1727" s="1" t="s">
        <v>1520</v>
      </c>
      <c r="B1727" s="1" t="s">
        <v>20</v>
      </c>
      <c r="C1727" s="2" t="s">
        <v>132</v>
      </c>
      <c r="D1727" s="2">
        <v>8.1</v>
      </c>
      <c r="E1727" s="2">
        <v>1978.0</v>
      </c>
      <c r="F1727" s="2" t="s">
        <v>10</v>
      </c>
      <c r="G1727" s="2" t="s">
        <v>10</v>
      </c>
    </row>
    <row r="1728" ht="14.25" customHeight="1">
      <c r="A1728" s="1" t="s">
        <v>1521</v>
      </c>
      <c r="B1728" s="1" t="s">
        <v>20</v>
      </c>
      <c r="C1728" s="2" t="s">
        <v>18</v>
      </c>
      <c r="D1728" s="2">
        <v>8.1</v>
      </c>
      <c r="E1728" s="2">
        <v>1997.0</v>
      </c>
      <c r="F1728" s="2" t="s">
        <v>10</v>
      </c>
      <c r="G1728" s="2" t="s">
        <v>10</v>
      </c>
    </row>
    <row r="1729" ht="14.25" customHeight="1">
      <c r="A1729" s="1" t="s">
        <v>1522</v>
      </c>
      <c r="B1729" s="1" t="s">
        <v>8</v>
      </c>
      <c r="C1729" s="2" t="s">
        <v>203</v>
      </c>
      <c r="D1729" s="2">
        <v>8.1</v>
      </c>
      <c r="E1729" s="2">
        <v>2000.0</v>
      </c>
      <c r="F1729" s="2" t="s">
        <v>10</v>
      </c>
      <c r="G1729" s="2" t="s">
        <v>10</v>
      </c>
    </row>
    <row r="1730" ht="14.25" customHeight="1">
      <c r="A1730" s="1" t="s">
        <v>1523</v>
      </c>
      <c r="B1730" s="1" t="s">
        <v>8</v>
      </c>
      <c r="C1730" s="2" t="s">
        <v>53</v>
      </c>
      <c r="D1730" s="2">
        <v>8.1</v>
      </c>
      <c r="E1730" s="2">
        <v>2019.0</v>
      </c>
      <c r="F1730" s="2" t="s">
        <v>10</v>
      </c>
      <c r="G1730" s="2" t="s">
        <v>10</v>
      </c>
    </row>
    <row r="1731" ht="14.25" customHeight="1">
      <c r="A1731" s="1" t="s">
        <v>1524</v>
      </c>
      <c r="B1731" s="1" t="s">
        <v>8</v>
      </c>
      <c r="C1731" s="2" t="s">
        <v>25</v>
      </c>
      <c r="D1731" s="2">
        <v>8.1</v>
      </c>
      <c r="E1731" s="2">
        <v>2018.0</v>
      </c>
      <c r="F1731" s="2">
        <v>2020.0</v>
      </c>
      <c r="G1731" s="2" t="s">
        <v>10</v>
      </c>
    </row>
    <row r="1732" ht="14.25" customHeight="1">
      <c r="A1732" s="1" t="s">
        <v>1525</v>
      </c>
      <c r="B1732" s="1" t="s">
        <v>20</v>
      </c>
      <c r="C1732" s="2" t="s">
        <v>114</v>
      </c>
      <c r="D1732" s="2">
        <v>8.1</v>
      </c>
      <c r="E1732" s="2">
        <v>1987.0</v>
      </c>
      <c r="F1732" s="2" t="s">
        <v>10</v>
      </c>
      <c r="G1732" s="2" t="s">
        <v>10</v>
      </c>
    </row>
    <row r="1733" ht="14.25" customHeight="1">
      <c r="A1733" s="1" t="s">
        <v>1526</v>
      </c>
      <c r="B1733" s="1" t="s">
        <v>8</v>
      </c>
      <c r="C1733" s="2" t="s">
        <v>18</v>
      </c>
      <c r="D1733" s="2">
        <v>8.1</v>
      </c>
      <c r="E1733" s="2">
        <v>2020.0</v>
      </c>
      <c r="F1733" s="2" t="s">
        <v>10</v>
      </c>
      <c r="G1733" s="2" t="s">
        <v>10</v>
      </c>
    </row>
    <row r="1734" ht="14.25" customHeight="1">
      <c r="A1734" s="1" t="s">
        <v>1527</v>
      </c>
      <c r="B1734" s="1" t="s">
        <v>20</v>
      </c>
      <c r="C1734" s="2" t="s">
        <v>53</v>
      </c>
      <c r="D1734" s="2">
        <v>8.1</v>
      </c>
      <c r="E1734" s="2">
        <v>2019.0</v>
      </c>
      <c r="F1734" s="2" t="s">
        <v>10</v>
      </c>
      <c r="G1734" s="2" t="s">
        <v>10</v>
      </c>
    </row>
    <row r="1735" ht="14.25" customHeight="1">
      <c r="A1735" s="1" t="s">
        <v>1528</v>
      </c>
      <c r="B1735" s="1" t="s">
        <v>8</v>
      </c>
      <c r="C1735" s="2" t="s">
        <v>63</v>
      </c>
      <c r="D1735" s="2">
        <v>8.1</v>
      </c>
      <c r="E1735" s="2">
        <v>2017.0</v>
      </c>
      <c r="F1735" s="2">
        <v>2019.0</v>
      </c>
      <c r="G1735" s="2" t="s">
        <v>10</v>
      </c>
    </row>
    <row r="1736" ht="14.25" customHeight="1">
      <c r="A1736" s="1" t="s">
        <v>1529</v>
      </c>
      <c r="B1736" s="1" t="s">
        <v>20</v>
      </c>
      <c r="C1736" s="2" t="s">
        <v>12</v>
      </c>
      <c r="D1736" s="2">
        <v>8.1</v>
      </c>
      <c r="E1736" s="2">
        <v>2011.0</v>
      </c>
      <c r="F1736" s="2" t="s">
        <v>10</v>
      </c>
      <c r="G1736" s="2" t="s">
        <v>10</v>
      </c>
    </row>
    <row r="1737" ht="14.25" customHeight="1">
      <c r="A1737" s="1" t="s">
        <v>1530</v>
      </c>
      <c r="B1737" s="1" t="s">
        <v>20</v>
      </c>
      <c r="C1737" s="2" t="s">
        <v>1531</v>
      </c>
      <c r="D1737" s="2">
        <v>8.1</v>
      </c>
      <c r="E1737" s="2">
        <v>1970.0</v>
      </c>
      <c r="F1737" s="2">
        <v>2019.0</v>
      </c>
      <c r="G1737" s="2" t="s">
        <v>10</v>
      </c>
    </row>
    <row r="1738" ht="14.25" customHeight="1">
      <c r="A1738" s="1" t="s">
        <v>1532</v>
      </c>
      <c r="B1738" s="1" t="s">
        <v>8</v>
      </c>
      <c r="C1738" s="2" t="s">
        <v>1533</v>
      </c>
      <c r="D1738" s="2">
        <v>8.1</v>
      </c>
      <c r="E1738" s="2">
        <v>1998.0</v>
      </c>
      <c r="F1738" s="2" t="s">
        <v>10</v>
      </c>
      <c r="G1738" s="2" t="s">
        <v>10</v>
      </c>
    </row>
    <row r="1739" ht="14.25" customHeight="1">
      <c r="A1739" s="1" t="s">
        <v>1534</v>
      </c>
      <c r="B1739" s="1" t="s">
        <v>20</v>
      </c>
      <c r="C1739" s="2" t="s">
        <v>114</v>
      </c>
      <c r="D1739" s="2">
        <v>8.1</v>
      </c>
      <c r="E1739" s="2">
        <v>1999.0</v>
      </c>
      <c r="F1739" s="2" t="s">
        <v>10</v>
      </c>
      <c r="G1739" s="2" t="s">
        <v>10</v>
      </c>
    </row>
    <row r="1740" ht="14.25" customHeight="1">
      <c r="A1740" s="1" t="s">
        <v>1535</v>
      </c>
      <c r="B1740" s="1" t="s">
        <v>8</v>
      </c>
      <c r="C1740" s="2" t="s">
        <v>36</v>
      </c>
      <c r="D1740" s="2">
        <v>8.1</v>
      </c>
      <c r="E1740" s="2">
        <v>2011.0</v>
      </c>
      <c r="F1740" s="2">
        <v>2013.0</v>
      </c>
      <c r="G1740" s="2" t="s">
        <v>10</v>
      </c>
    </row>
    <row r="1741" ht="14.25" customHeight="1">
      <c r="A1741" s="1" t="s">
        <v>1536</v>
      </c>
      <c r="B1741" s="1" t="s">
        <v>8</v>
      </c>
      <c r="C1741" s="2" t="s">
        <v>187</v>
      </c>
      <c r="D1741" s="2">
        <v>8.1</v>
      </c>
      <c r="E1741" s="2">
        <v>2009.0</v>
      </c>
      <c r="F1741" s="2" t="s">
        <v>10</v>
      </c>
      <c r="G1741" s="2" t="s">
        <v>10</v>
      </c>
    </row>
    <row r="1742" ht="14.25" customHeight="1">
      <c r="A1742" s="1" t="s">
        <v>1537</v>
      </c>
      <c r="B1742" s="1" t="s">
        <v>8</v>
      </c>
      <c r="C1742" s="2" t="s">
        <v>25</v>
      </c>
      <c r="D1742" s="2">
        <v>8.1</v>
      </c>
      <c r="E1742" s="2">
        <v>1996.0</v>
      </c>
      <c r="F1742" s="2" t="s">
        <v>10</v>
      </c>
      <c r="G1742" s="2" t="s">
        <v>10</v>
      </c>
    </row>
    <row r="1743" ht="14.25" customHeight="1">
      <c r="A1743" s="1" t="s">
        <v>1538</v>
      </c>
      <c r="B1743" s="1" t="s">
        <v>8</v>
      </c>
      <c r="C1743" s="2" t="s">
        <v>1100</v>
      </c>
      <c r="D1743" s="2">
        <v>8.1</v>
      </c>
      <c r="E1743" s="2">
        <v>2020.0</v>
      </c>
      <c r="F1743" s="2" t="s">
        <v>10</v>
      </c>
      <c r="G1743" s="2" t="s">
        <v>10</v>
      </c>
    </row>
    <row r="1744" ht="14.25" customHeight="1">
      <c r="A1744" s="1" t="s">
        <v>1539</v>
      </c>
      <c r="B1744" s="1" t="s">
        <v>20</v>
      </c>
      <c r="C1744" s="2" t="s">
        <v>262</v>
      </c>
      <c r="D1744" s="2">
        <v>8.1</v>
      </c>
      <c r="E1744" s="2">
        <v>2005.0</v>
      </c>
      <c r="F1744" s="2">
        <v>2006.0</v>
      </c>
      <c r="G1744" s="2" t="s">
        <v>10</v>
      </c>
    </row>
    <row r="1745" ht="14.25" customHeight="1">
      <c r="A1745" s="1" t="s">
        <v>1540</v>
      </c>
      <c r="B1745" s="1" t="s">
        <v>20</v>
      </c>
      <c r="C1745" s="2" t="s">
        <v>154</v>
      </c>
      <c r="D1745" s="2">
        <v>8.1</v>
      </c>
      <c r="E1745" s="2">
        <v>1949.0</v>
      </c>
      <c r="F1745" s="2" t="s">
        <v>10</v>
      </c>
      <c r="G1745" s="2" t="s">
        <v>10</v>
      </c>
    </row>
    <row r="1746" ht="14.25" customHeight="1">
      <c r="A1746" s="1" t="s">
        <v>1541</v>
      </c>
      <c r="B1746" s="1" t="s">
        <v>8</v>
      </c>
      <c r="C1746" s="2" t="s">
        <v>25</v>
      </c>
      <c r="D1746" s="2">
        <v>8.1</v>
      </c>
      <c r="E1746" s="2">
        <v>2018.0</v>
      </c>
      <c r="F1746" s="2" t="s">
        <v>10</v>
      </c>
      <c r="G1746" s="2" t="s">
        <v>10</v>
      </c>
    </row>
    <row r="1747" ht="14.25" customHeight="1">
      <c r="A1747" s="1" t="s">
        <v>1542</v>
      </c>
      <c r="B1747" s="1" t="s">
        <v>20</v>
      </c>
      <c r="C1747" s="2" t="s">
        <v>80</v>
      </c>
      <c r="D1747" s="2">
        <v>8.1</v>
      </c>
      <c r="E1747" s="2">
        <v>2002.0</v>
      </c>
      <c r="F1747" s="2">
        <v>2002.0</v>
      </c>
      <c r="G1747" s="2" t="s">
        <v>10</v>
      </c>
    </row>
    <row r="1748" ht="14.25" customHeight="1">
      <c r="A1748" s="1" t="s">
        <v>1543</v>
      </c>
      <c r="B1748" s="1" t="s">
        <v>20</v>
      </c>
      <c r="C1748" s="2" t="s">
        <v>9</v>
      </c>
      <c r="D1748" s="2">
        <v>8.1</v>
      </c>
      <c r="E1748" s="2">
        <v>2024.0</v>
      </c>
      <c r="F1748" s="2" t="s">
        <v>10</v>
      </c>
      <c r="G1748" s="2" t="s">
        <v>10</v>
      </c>
    </row>
    <row r="1749" ht="14.25" customHeight="1">
      <c r="A1749" s="1" t="s">
        <v>1544</v>
      </c>
      <c r="B1749" s="1" t="s">
        <v>8</v>
      </c>
      <c r="C1749" s="2" t="s">
        <v>1545</v>
      </c>
      <c r="D1749" s="2">
        <v>8.1</v>
      </c>
      <c r="E1749" s="2">
        <v>2022.0</v>
      </c>
      <c r="F1749" s="2" t="s">
        <v>10</v>
      </c>
      <c r="G1749" s="2" t="s">
        <v>10</v>
      </c>
    </row>
    <row r="1750" ht="14.25" customHeight="1">
      <c r="A1750" s="1" t="s">
        <v>1546</v>
      </c>
      <c r="B1750" s="1" t="s">
        <v>8</v>
      </c>
      <c r="C1750" s="2" t="s">
        <v>1547</v>
      </c>
      <c r="D1750" s="2">
        <v>8.1</v>
      </c>
      <c r="E1750" s="2">
        <v>2020.0</v>
      </c>
      <c r="F1750" s="2">
        <v>2020.0</v>
      </c>
      <c r="G1750" s="2" t="s">
        <v>10</v>
      </c>
    </row>
    <row r="1751" ht="14.25" customHeight="1">
      <c r="A1751" s="1" t="s">
        <v>1548</v>
      </c>
      <c r="B1751" s="1" t="s">
        <v>20</v>
      </c>
      <c r="C1751" s="2" t="s">
        <v>92</v>
      </c>
      <c r="D1751" s="2">
        <v>8.1</v>
      </c>
      <c r="E1751" s="2">
        <v>1926.0</v>
      </c>
      <c r="F1751" s="2" t="s">
        <v>10</v>
      </c>
      <c r="G1751" s="2" t="s">
        <v>10</v>
      </c>
    </row>
    <row r="1752" ht="14.25" customHeight="1">
      <c r="A1752" s="1" t="s">
        <v>1549</v>
      </c>
      <c r="B1752" s="1" t="s">
        <v>20</v>
      </c>
      <c r="C1752" s="2" t="s">
        <v>207</v>
      </c>
      <c r="D1752" s="2">
        <v>8.1</v>
      </c>
      <c r="E1752" s="2">
        <v>2022.0</v>
      </c>
      <c r="F1752" s="2" t="s">
        <v>10</v>
      </c>
      <c r="G1752" s="2" t="s">
        <v>10</v>
      </c>
    </row>
    <row r="1753" ht="14.25" customHeight="1">
      <c r="A1753" s="1" t="s">
        <v>1550</v>
      </c>
      <c r="B1753" s="1" t="s">
        <v>8</v>
      </c>
      <c r="C1753" s="2" t="s">
        <v>25</v>
      </c>
      <c r="D1753" s="2">
        <v>8.1</v>
      </c>
      <c r="E1753" s="2">
        <v>2023.0</v>
      </c>
      <c r="F1753" s="2" t="s">
        <v>10</v>
      </c>
      <c r="G1753" s="2" t="s">
        <v>10</v>
      </c>
    </row>
    <row r="1754" ht="14.25" customHeight="1">
      <c r="A1754" s="1" t="s">
        <v>1551</v>
      </c>
      <c r="B1754" s="1" t="s">
        <v>8</v>
      </c>
      <c r="C1754" s="2" t="s">
        <v>1042</v>
      </c>
      <c r="D1754" s="2">
        <v>8.1</v>
      </c>
      <c r="E1754" s="2">
        <v>2015.0</v>
      </c>
      <c r="F1754" s="2">
        <v>2016.0</v>
      </c>
      <c r="G1754" s="2" t="s">
        <v>10</v>
      </c>
    </row>
    <row r="1755" ht="14.25" customHeight="1">
      <c r="A1755" s="1" t="s">
        <v>348</v>
      </c>
      <c r="B1755" s="1" t="s">
        <v>8</v>
      </c>
      <c r="C1755" s="2" t="s">
        <v>349</v>
      </c>
      <c r="D1755" s="2">
        <v>8.1</v>
      </c>
      <c r="E1755" s="2">
        <v>1980.0</v>
      </c>
      <c r="F1755" s="2" t="s">
        <v>10</v>
      </c>
      <c r="G1755" s="2" t="s">
        <v>10</v>
      </c>
    </row>
    <row r="1756" ht="14.25" customHeight="1">
      <c r="A1756" s="1" t="s">
        <v>1552</v>
      </c>
      <c r="B1756" s="1" t="s">
        <v>20</v>
      </c>
      <c r="C1756" s="2" t="s">
        <v>18</v>
      </c>
      <c r="D1756" s="2">
        <v>8.1</v>
      </c>
      <c r="E1756" s="2">
        <v>1977.0</v>
      </c>
      <c r="F1756" s="2" t="s">
        <v>10</v>
      </c>
      <c r="G1756" s="2" t="s">
        <v>10</v>
      </c>
    </row>
    <row r="1757" ht="14.25" customHeight="1">
      <c r="A1757" s="1" t="s">
        <v>1553</v>
      </c>
      <c r="B1757" s="1" t="s">
        <v>8</v>
      </c>
      <c r="C1757" s="2" t="s">
        <v>395</v>
      </c>
      <c r="D1757" s="2">
        <v>8.1</v>
      </c>
      <c r="E1757" s="2">
        <v>2011.0</v>
      </c>
      <c r="F1757" s="2">
        <v>2011.0</v>
      </c>
      <c r="G1757" s="2" t="s">
        <v>10</v>
      </c>
    </row>
    <row r="1758" ht="14.25" customHeight="1">
      <c r="A1758" s="1" t="s">
        <v>1554</v>
      </c>
      <c r="B1758" s="1" t="s">
        <v>20</v>
      </c>
      <c r="C1758" s="2" t="s">
        <v>584</v>
      </c>
      <c r="D1758" s="2">
        <v>8.1</v>
      </c>
      <c r="E1758" s="2">
        <v>2023.0</v>
      </c>
      <c r="F1758" s="2" t="s">
        <v>10</v>
      </c>
      <c r="G1758" s="2" t="s">
        <v>10</v>
      </c>
    </row>
    <row r="1759" ht="14.25" customHeight="1">
      <c r="A1759" s="1" t="s">
        <v>1555</v>
      </c>
      <c r="B1759" s="1" t="s">
        <v>8</v>
      </c>
      <c r="C1759" s="2" t="s">
        <v>63</v>
      </c>
      <c r="D1759" s="2">
        <v>8.1</v>
      </c>
      <c r="E1759" s="2">
        <v>2010.0</v>
      </c>
      <c r="F1759" s="2" t="s">
        <v>10</v>
      </c>
      <c r="G1759" s="2" t="s">
        <v>10</v>
      </c>
    </row>
    <row r="1760" ht="14.25" customHeight="1">
      <c r="A1760" s="1" t="s">
        <v>1556</v>
      </c>
      <c r="B1760" s="1" t="s">
        <v>8</v>
      </c>
      <c r="C1760" s="2" t="s">
        <v>55</v>
      </c>
      <c r="D1760" s="2">
        <v>8.1</v>
      </c>
      <c r="E1760" s="2">
        <v>1969.0</v>
      </c>
      <c r="F1760" s="2" t="s">
        <v>10</v>
      </c>
      <c r="G1760" s="2" t="s">
        <v>10</v>
      </c>
    </row>
    <row r="1761" ht="14.25" customHeight="1">
      <c r="A1761" s="1" t="s">
        <v>1557</v>
      </c>
      <c r="B1761" s="1" t="s">
        <v>8</v>
      </c>
      <c r="C1761" s="2" t="s">
        <v>9</v>
      </c>
      <c r="D1761" s="2">
        <v>8.1</v>
      </c>
      <c r="E1761" s="2">
        <v>2023.0</v>
      </c>
      <c r="F1761" s="2" t="s">
        <v>10</v>
      </c>
      <c r="G1761" s="2" t="s">
        <v>10</v>
      </c>
    </row>
    <row r="1762" ht="14.25" customHeight="1">
      <c r="A1762" s="1" t="s">
        <v>1558</v>
      </c>
      <c r="B1762" s="1" t="s">
        <v>8</v>
      </c>
      <c r="C1762" s="2" t="s">
        <v>69</v>
      </c>
      <c r="D1762" s="2">
        <v>8.1</v>
      </c>
      <c r="E1762" s="2">
        <v>2023.0</v>
      </c>
      <c r="F1762" s="2" t="s">
        <v>10</v>
      </c>
      <c r="G1762" s="2">
        <v>1.28E7</v>
      </c>
    </row>
    <row r="1763" ht="14.25" customHeight="1">
      <c r="A1763" s="1" t="s">
        <v>1558</v>
      </c>
      <c r="B1763" s="1" t="s">
        <v>8</v>
      </c>
      <c r="C1763" s="2" t="s">
        <v>69</v>
      </c>
      <c r="D1763" s="2">
        <v>8.1</v>
      </c>
      <c r="E1763" s="2">
        <v>2023.0</v>
      </c>
      <c r="F1763" s="2" t="s">
        <v>10</v>
      </c>
      <c r="G1763" s="2">
        <v>2.09E7</v>
      </c>
    </row>
    <row r="1764" ht="14.25" customHeight="1">
      <c r="A1764" s="1" t="s">
        <v>1558</v>
      </c>
      <c r="B1764" s="1" t="s">
        <v>8</v>
      </c>
      <c r="C1764" s="2" t="s">
        <v>69</v>
      </c>
      <c r="D1764" s="2">
        <v>8.1</v>
      </c>
      <c r="E1764" s="2">
        <v>2023.0</v>
      </c>
      <c r="F1764" s="2" t="s">
        <v>10</v>
      </c>
      <c r="G1764" s="2">
        <v>3.73E7</v>
      </c>
    </row>
    <row r="1765" ht="14.25" customHeight="1">
      <c r="A1765" s="1" t="s">
        <v>1558</v>
      </c>
      <c r="B1765" s="1" t="s">
        <v>8</v>
      </c>
      <c r="C1765" s="2" t="s">
        <v>69</v>
      </c>
      <c r="D1765" s="2">
        <v>8.1</v>
      </c>
      <c r="E1765" s="2">
        <v>2023.0</v>
      </c>
      <c r="F1765" s="2" t="s">
        <v>10</v>
      </c>
      <c r="G1765" s="2">
        <v>6.59E7</v>
      </c>
    </row>
    <row r="1766" ht="14.25" customHeight="1">
      <c r="A1766" s="1" t="s">
        <v>1558</v>
      </c>
      <c r="B1766" s="1" t="s">
        <v>8</v>
      </c>
      <c r="C1766" s="2" t="s">
        <v>69</v>
      </c>
      <c r="D1766" s="2">
        <v>8.1</v>
      </c>
      <c r="E1766" s="2">
        <v>2023.0</v>
      </c>
      <c r="F1766" s="2" t="s">
        <v>10</v>
      </c>
      <c r="G1766" s="2">
        <v>2.797E7</v>
      </c>
    </row>
    <row r="1767" ht="14.25" customHeight="1">
      <c r="A1767" s="1" t="s">
        <v>1559</v>
      </c>
      <c r="B1767" s="1" t="s">
        <v>8</v>
      </c>
      <c r="C1767" s="2" t="s">
        <v>258</v>
      </c>
      <c r="D1767" s="2">
        <v>8.1</v>
      </c>
      <c r="E1767" s="2">
        <v>2023.0</v>
      </c>
      <c r="F1767" s="2" t="s">
        <v>10</v>
      </c>
      <c r="G1767" s="2" t="s">
        <v>10</v>
      </c>
    </row>
    <row r="1768" ht="14.25" customHeight="1">
      <c r="A1768" s="1" t="s">
        <v>1560</v>
      </c>
      <c r="B1768" s="1" t="s">
        <v>20</v>
      </c>
      <c r="C1768" s="2" t="s">
        <v>616</v>
      </c>
      <c r="D1768" s="2">
        <v>8.1</v>
      </c>
      <c r="E1768" s="2">
        <v>2015.0</v>
      </c>
      <c r="F1768" s="2" t="s">
        <v>10</v>
      </c>
      <c r="G1768" s="2" t="s">
        <v>10</v>
      </c>
    </row>
    <row r="1769" ht="14.25" customHeight="1">
      <c r="A1769" s="1" t="s">
        <v>1561</v>
      </c>
      <c r="B1769" s="1" t="s">
        <v>20</v>
      </c>
      <c r="C1769" s="2" t="s">
        <v>611</v>
      </c>
      <c r="D1769" s="2">
        <v>8.1</v>
      </c>
      <c r="E1769" s="2">
        <v>1996.0</v>
      </c>
      <c r="F1769" s="2" t="s">
        <v>10</v>
      </c>
      <c r="G1769" s="2" t="s">
        <v>10</v>
      </c>
    </row>
    <row r="1770" ht="14.25" customHeight="1">
      <c r="A1770" s="1" t="s">
        <v>1562</v>
      </c>
      <c r="B1770" s="1" t="s">
        <v>8</v>
      </c>
      <c r="C1770" s="2" t="s">
        <v>18</v>
      </c>
      <c r="D1770" s="2">
        <v>8.1</v>
      </c>
      <c r="E1770" s="2">
        <v>2022.0</v>
      </c>
      <c r="F1770" s="2" t="s">
        <v>10</v>
      </c>
      <c r="G1770" s="2" t="s">
        <v>10</v>
      </c>
    </row>
    <row r="1771" ht="14.25" customHeight="1">
      <c r="A1771" s="1" t="s">
        <v>1563</v>
      </c>
      <c r="B1771" s="1" t="s">
        <v>8</v>
      </c>
      <c r="C1771" s="2" t="s">
        <v>32</v>
      </c>
      <c r="D1771" s="2">
        <v>8.1</v>
      </c>
      <c r="E1771" s="2">
        <v>2019.0</v>
      </c>
      <c r="F1771" s="2" t="s">
        <v>10</v>
      </c>
      <c r="G1771" s="2" t="s">
        <v>10</v>
      </c>
    </row>
    <row r="1772" ht="14.25" customHeight="1">
      <c r="A1772" s="1" t="s">
        <v>1564</v>
      </c>
      <c r="B1772" s="1" t="s">
        <v>8</v>
      </c>
      <c r="C1772" s="2" t="s">
        <v>253</v>
      </c>
      <c r="D1772" s="2">
        <v>8.1</v>
      </c>
      <c r="E1772" s="2">
        <v>2019.0</v>
      </c>
      <c r="F1772" s="2">
        <v>2019.0</v>
      </c>
      <c r="G1772" s="2">
        <v>9980000.0</v>
      </c>
    </row>
    <row r="1773" ht="14.25" customHeight="1">
      <c r="A1773" s="1" t="s">
        <v>1565</v>
      </c>
      <c r="B1773" s="1" t="s">
        <v>8</v>
      </c>
      <c r="C1773" s="2" t="s">
        <v>80</v>
      </c>
      <c r="D1773" s="2">
        <v>8.1</v>
      </c>
      <c r="E1773" s="2">
        <v>2015.0</v>
      </c>
      <c r="F1773" s="2" t="s">
        <v>10</v>
      </c>
      <c r="G1773" s="2" t="s">
        <v>10</v>
      </c>
    </row>
    <row r="1774" ht="14.25" customHeight="1">
      <c r="A1774" s="1" t="s">
        <v>1566</v>
      </c>
      <c r="B1774" s="1" t="s">
        <v>8</v>
      </c>
      <c r="C1774" s="2" t="s">
        <v>1567</v>
      </c>
      <c r="D1774" s="2">
        <v>8.1</v>
      </c>
      <c r="E1774" s="2">
        <v>2021.0</v>
      </c>
      <c r="F1774" s="2" t="s">
        <v>10</v>
      </c>
      <c r="G1774" s="2" t="s">
        <v>10</v>
      </c>
    </row>
    <row r="1775" ht="14.25" customHeight="1">
      <c r="A1775" s="1" t="s">
        <v>1568</v>
      </c>
      <c r="B1775" s="1" t="s">
        <v>8</v>
      </c>
      <c r="C1775" s="2" t="s">
        <v>36</v>
      </c>
      <c r="D1775" s="2">
        <v>8.1</v>
      </c>
      <c r="E1775" s="2">
        <v>2007.0</v>
      </c>
      <c r="F1775" s="2" t="s">
        <v>10</v>
      </c>
      <c r="G1775" s="2" t="s">
        <v>10</v>
      </c>
    </row>
    <row r="1776" ht="14.25" customHeight="1">
      <c r="A1776" s="1" t="s">
        <v>1569</v>
      </c>
      <c r="B1776" s="1" t="s">
        <v>8</v>
      </c>
      <c r="C1776" s="2" t="s">
        <v>497</v>
      </c>
      <c r="D1776" s="2">
        <v>8.1</v>
      </c>
      <c r="E1776" s="2">
        <v>2020.0</v>
      </c>
      <c r="F1776" s="2">
        <v>2020.0</v>
      </c>
      <c r="G1776" s="2" t="s">
        <v>10</v>
      </c>
    </row>
    <row r="1777" ht="14.25" customHeight="1">
      <c r="A1777" s="1" t="s">
        <v>1570</v>
      </c>
      <c r="B1777" s="1" t="s">
        <v>20</v>
      </c>
      <c r="C1777" s="2" t="s">
        <v>1336</v>
      </c>
      <c r="D1777" s="2">
        <v>8.1</v>
      </c>
      <c r="E1777" s="2">
        <v>1992.0</v>
      </c>
      <c r="F1777" s="2" t="s">
        <v>10</v>
      </c>
      <c r="G1777" s="2" t="s">
        <v>10</v>
      </c>
    </row>
    <row r="1778" ht="14.25" customHeight="1">
      <c r="A1778" s="1" t="s">
        <v>1571</v>
      </c>
      <c r="B1778" s="1" t="s">
        <v>20</v>
      </c>
      <c r="C1778" s="2" t="s">
        <v>154</v>
      </c>
      <c r="D1778" s="2">
        <v>8.1</v>
      </c>
      <c r="E1778" s="2">
        <v>1995.0</v>
      </c>
      <c r="F1778" s="2">
        <v>1995.0</v>
      </c>
      <c r="G1778" s="2" t="s">
        <v>10</v>
      </c>
    </row>
    <row r="1779" ht="14.25" customHeight="1">
      <c r="A1779" s="1" t="s">
        <v>1572</v>
      </c>
      <c r="B1779" s="1" t="s">
        <v>20</v>
      </c>
      <c r="C1779" s="2" t="s">
        <v>497</v>
      </c>
      <c r="D1779" s="2">
        <v>8.1</v>
      </c>
      <c r="E1779" s="2">
        <v>2019.0</v>
      </c>
      <c r="F1779" s="2" t="s">
        <v>10</v>
      </c>
      <c r="G1779" s="2" t="s">
        <v>10</v>
      </c>
    </row>
    <row r="1780" ht="14.25" customHeight="1">
      <c r="A1780" s="1" t="s">
        <v>1573</v>
      </c>
      <c r="B1780" s="1" t="s">
        <v>8</v>
      </c>
      <c r="C1780" s="2" t="s">
        <v>284</v>
      </c>
      <c r="D1780" s="2">
        <v>8.1</v>
      </c>
      <c r="E1780" s="2">
        <v>2016.0</v>
      </c>
      <c r="F1780" s="2" t="s">
        <v>10</v>
      </c>
      <c r="G1780" s="2" t="s">
        <v>10</v>
      </c>
    </row>
    <row r="1781" ht="14.25" customHeight="1">
      <c r="A1781" s="1" t="s">
        <v>1574</v>
      </c>
      <c r="B1781" s="1" t="s">
        <v>8</v>
      </c>
      <c r="C1781" s="2" t="s">
        <v>63</v>
      </c>
      <c r="D1781" s="2">
        <v>8.1</v>
      </c>
      <c r="E1781" s="2">
        <v>2022.0</v>
      </c>
      <c r="F1781" s="2" t="s">
        <v>10</v>
      </c>
      <c r="G1781" s="2" t="s">
        <v>10</v>
      </c>
    </row>
    <row r="1782" ht="14.25" customHeight="1">
      <c r="A1782" s="1" t="s">
        <v>1575</v>
      </c>
      <c r="B1782" s="1" t="s">
        <v>8</v>
      </c>
      <c r="C1782" s="2" t="s">
        <v>192</v>
      </c>
      <c r="D1782" s="2">
        <v>8.1</v>
      </c>
      <c r="E1782" s="2">
        <v>2021.0</v>
      </c>
      <c r="F1782" s="2" t="s">
        <v>10</v>
      </c>
      <c r="G1782" s="2" t="s">
        <v>10</v>
      </c>
    </row>
    <row r="1783" ht="14.25" customHeight="1">
      <c r="A1783" s="1" t="s">
        <v>1576</v>
      </c>
      <c r="B1783" s="1" t="s">
        <v>20</v>
      </c>
      <c r="C1783" s="2" t="s">
        <v>60</v>
      </c>
      <c r="D1783" s="2">
        <v>8.1</v>
      </c>
      <c r="E1783" s="2">
        <v>2010.0</v>
      </c>
      <c r="F1783" s="2" t="s">
        <v>10</v>
      </c>
      <c r="G1783" s="2" t="s">
        <v>10</v>
      </c>
    </row>
    <row r="1784" ht="14.25" customHeight="1">
      <c r="A1784" s="1" t="s">
        <v>1577</v>
      </c>
      <c r="B1784" s="1" t="s">
        <v>8</v>
      </c>
      <c r="C1784" s="2" t="s">
        <v>163</v>
      </c>
      <c r="D1784" s="2">
        <v>8.1</v>
      </c>
      <c r="E1784" s="2">
        <v>2015.0</v>
      </c>
      <c r="F1784" s="2" t="s">
        <v>10</v>
      </c>
      <c r="G1784" s="2" t="s">
        <v>10</v>
      </c>
    </row>
    <row r="1785" ht="14.25" customHeight="1">
      <c r="A1785" s="1" t="s">
        <v>1578</v>
      </c>
      <c r="B1785" s="1" t="s">
        <v>8</v>
      </c>
      <c r="C1785" s="2" t="s">
        <v>9</v>
      </c>
      <c r="D1785" s="2">
        <v>8.1</v>
      </c>
      <c r="E1785" s="2">
        <v>2022.0</v>
      </c>
      <c r="F1785" s="2" t="s">
        <v>10</v>
      </c>
      <c r="G1785" s="2" t="s">
        <v>10</v>
      </c>
    </row>
    <row r="1786" ht="14.25" customHeight="1">
      <c r="A1786" s="1" t="s">
        <v>1579</v>
      </c>
      <c r="B1786" s="1" t="s">
        <v>8</v>
      </c>
      <c r="C1786" s="2" t="s">
        <v>203</v>
      </c>
      <c r="D1786" s="2">
        <v>8.1</v>
      </c>
      <c r="E1786" s="2">
        <v>2019.0</v>
      </c>
      <c r="F1786" s="2" t="s">
        <v>10</v>
      </c>
      <c r="G1786" s="2" t="s">
        <v>10</v>
      </c>
    </row>
    <row r="1787" ht="14.25" customHeight="1">
      <c r="A1787" s="1" t="s">
        <v>1580</v>
      </c>
      <c r="B1787" s="1" t="s">
        <v>20</v>
      </c>
      <c r="C1787" s="2" t="s">
        <v>132</v>
      </c>
      <c r="D1787" s="2">
        <v>8.1</v>
      </c>
      <c r="E1787" s="2">
        <v>2011.0</v>
      </c>
      <c r="F1787" s="2" t="s">
        <v>10</v>
      </c>
      <c r="G1787" s="2" t="s">
        <v>10</v>
      </c>
    </row>
    <row r="1788" ht="14.25" customHeight="1">
      <c r="A1788" s="1" t="s">
        <v>1581</v>
      </c>
      <c r="B1788" s="1" t="s">
        <v>8</v>
      </c>
      <c r="C1788" s="2" t="s">
        <v>63</v>
      </c>
      <c r="D1788" s="2">
        <v>8.1</v>
      </c>
      <c r="E1788" s="2">
        <v>2007.0</v>
      </c>
      <c r="F1788" s="2" t="s">
        <v>10</v>
      </c>
      <c r="G1788" s="2" t="s">
        <v>10</v>
      </c>
    </row>
    <row r="1789" ht="14.25" customHeight="1">
      <c r="A1789" s="1" t="s">
        <v>1582</v>
      </c>
      <c r="B1789" s="1" t="s">
        <v>8</v>
      </c>
      <c r="C1789" s="2" t="s">
        <v>1583</v>
      </c>
      <c r="D1789" s="2">
        <v>8.1</v>
      </c>
      <c r="E1789" s="2">
        <v>2019.0</v>
      </c>
      <c r="F1789" s="2">
        <v>2019.0</v>
      </c>
      <c r="G1789" s="2" t="s">
        <v>10</v>
      </c>
    </row>
    <row r="1790" ht="14.25" customHeight="1">
      <c r="A1790" s="1" t="s">
        <v>1584</v>
      </c>
      <c r="B1790" s="1" t="s">
        <v>8</v>
      </c>
      <c r="C1790" s="2" t="s">
        <v>187</v>
      </c>
      <c r="D1790" s="2">
        <v>8.1</v>
      </c>
      <c r="E1790" s="2">
        <v>2022.0</v>
      </c>
      <c r="F1790" s="2" t="s">
        <v>10</v>
      </c>
      <c r="G1790" s="2" t="s">
        <v>10</v>
      </c>
    </row>
    <row r="1791" ht="14.25" customHeight="1">
      <c r="A1791" s="1" t="s">
        <v>1585</v>
      </c>
      <c r="B1791" s="1" t="s">
        <v>8</v>
      </c>
      <c r="C1791" s="2" t="s">
        <v>203</v>
      </c>
      <c r="D1791" s="2">
        <v>8.1</v>
      </c>
      <c r="E1791" s="2">
        <v>2020.0</v>
      </c>
      <c r="F1791" s="2">
        <v>2020.0</v>
      </c>
      <c r="G1791" s="2" t="s">
        <v>10</v>
      </c>
    </row>
    <row r="1792" ht="14.25" customHeight="1">
      <c r="A1792" s="1" t="s">
        <v>1586</v>
      </c>
      <c r="B1792" s="1" t="s">
        <v>20</v>
      </c>
      <c r="C1792" s="2" t="s">
        <v>552</v>
      </c>
      <c r="D1792" s="2">
        <v>8.1</v>
      </c>
      <c r="E1792" s="2">
        <v>2014.0</v>
      </c>
      <c r="F1792" s="2">
        <v>2014.0</v>
      </c>
      <c r="G1792" s="2" t="s">
        <v>10</v>
      </c>
    </row>
    <row r="1793" ht="14.25" customHeight="1">
      <c r="A1793" s="1" t="s">
        <v>1587</v>
      </c>
      <c r="B1793" s="1" t="s">
        <v>20</v>
      </c>
      <c r="C1793" s="2" t="s">
        <v>187</v>
      </c>
      <c r="D1793" s="2">
        <v>8.1</v>
      </c>
      <c r="E1793" s="2">
        <v>2002.0</v>
      </c>
      <c r="F1793" s="2" t="s">
        <v>10</v>
      </c>
      <c r="G1793" s="2" t="s">
        <v>10</v>
      </c>
    </row>
    <row r="1794" ht="14.25" customHeight="1">
      <c r="A1794" s="1" t="s">
        <v>1588</v>
      </c>
      <c r="B1794" s="1" t="s">
        <v>8</v>
      </c>
      <c r="C1794" s="2" t="s">
        <v>1375</v>
      </c>
      <c r="D1794" s="2">
        <v>8.1</v>
      </c>
      <c r="E1794" s="2">
        <v>1985.0</v>
      </c>
      <c r="F1794" s="2" t="s">
        <v>10</v>
      </c>
      <c r="G1794" s="2" t="s">
        <v>10</v>
      </c>
    </row>
    <row r="1795" ht="14.25" customHeight="1">
      <c r="A1795" s="1" t="s">
        <v>1589</v>
      </c>
      <c r="B1795" s="1" t="s">
        <v>8</v>
      </c>
      <c r="C1795" s="2" t="s">
        <v>36</v>
      </c>
      <c r="D1795" s="2">
        <v>8.1</v>
      </c>
      <c r="E1795" s="2">
        <v>2022.0</v>
      </c>
      <c r="F1795" s="2" t="s">
        <v>10</v>
      </c>
      <c r="G1795" s="2">
        <v>1.127E7</v>
      </c>
    </row>
    <row r="1796" ht="14.25" customHeight="1">
      <c r="A1796" s="1" t="s">
        <v>1589</v>
      </c>
      <c r="B1796" s="1" t="s">
        <v>8</v>
      </c>
      <c r="C1796" s="2" t="s">
        <v>36</v>
      </c>
      <c r="D1796" s="2">
        <v>8.1</v>
      </c>
      <c r="E1796" s="2">
        <v>2022.0</v>
      </c>
      <c r="F1796" s="2" t="s">
        <v>10</v>
      </c>
      <c r="G1796" s="2">
        <v>6330000.0</v>
      </c>
    </row>
    <row r="1797" ht="14.25" customHeight="1">
      <c r="A1797" s="1" t="s">
        <v>1590</v>
      </c>
      <c r="B1797" s="1" t="s">
        <v>8</v>
      </c>
      <c r="C1797" s="2" t="s">
        <v>63</v>
      </c>
      <c r="D1797" s="2">
        <v>8.1</v>
      </c>
      <c r="E1797" s="2">
        <v>2022.0</v>
      </c>
      <c r="F1797" s="2" t="s">
        <v>10</v>
      </c>
      <c r="G1797" s="2" t="s">
        <v>10</v>
      </c>
    </row>
    <row r="1798" ht="14.25" customHeight="1">
      <c r="A1798" s="1" t="s">
        <v>1591</v>
      </c>
      <c r="B1798" s="1" t="s">
        <v>8</v>
      </c>
      <c r="C1798" s="2" t="s">
        <v>325</v>
      </c>
      <c r="D1798" s="2">
        <v>8.1</v>
      </c>
      <c r="E1798" s="2">
        <v>2008.0</v>
      </c>
      <c r="F1798" s="2" t="s">
        <v>10</v>
      </c>
      <c r="G1798" s="2" t="s">
        <v>10</v>
      </c>
    </row>
    <row r="1799" ht="14.25" customHeight="1">
      <c r="A1799" s="1" t="s">
        <v>1592</v>
      </c>
      <c r="B1799" s="1" t="s">
        <v>8</v>
      </c>
      <c r="C1799" s="2" t="s">
        <v>53</v>
      </c>
      <c r="D1799" s="2">
        <v>8.1</v>
      </c>
      <c r="E1799" s="2">
        <v>2022.0</v>
      </c>
      <c r="F1799" s="2" t="s">
        <v>10</v>
      </c>
      <c r="G1799" s="2" t="s">
        <v>10</v>
      </c>
    </row>
    <row r="1800" ht="14.25" customHeight="1">
      <c r="A1800" s="1" t="s">
        <v>1593</v>
      </c>
      <c r="B1800" s="1" t="s">
        <v>20</v>
      </c>
      <c r="C1800" s="2" t="s">
        <v>44</v>
      </c>
      <c r="D1800" s="2">
        <v>8.1</v>
      </c>
      <c r="E1800" s="2">
        <v>1943.0</v>
      </c>
      <c r="F1800" s="2" t="s">
        <v>10</v>
      </c>
      <c r="G1800" s="2" t="s">
        <v>10</v>
      </c>
    </row>
    <row r="1801" ht="14.25" customHeight="1">
      <c r="A1801" s="1" t="s">
        <v>1594</v>
      </c>
      <c r="B1801" s="1" t="s">
        <v>8</v>
      </c>
      <c r="C1801" s="2" t="s">
        <v>63</v>
      </c>
      <c r="D1801" s="2">
        <v>8.1</v>
      </c>
      <c r="E1801" s="2">
        <v>2016.0</v>
      </c>
      <c r="F1801" s="2" t="s">
        <v>10</v>
      </c>
      <c r="G1801" s="2" t="s">
        <v>10</v>
      </c>
    </row>
    <row r="1802" ht="14.25" customHeight="1">
      <c r="A1802" s="1" t="s">
        <v>1595</v>
      </c>
      <c r="B1802" s="1" t="s">
        <v>8</v>
      </c>
      <c r="C1802" s="2" t="s">
        <v>32</v>
      </c>
      <c r="D1802" s="2">
        <v>8.1</v>
      </c>
      <c r="E1802" s="2">
        <v>2019.0</v>
      </c>
      <c r="F1802" s="2" t="s">
        <v>10</v>
      </c>
      <c r="G1802" s="2" t="s">
        <v>10</v>
      </c>
    </row>
    <row r="1803" ht="14.25" customHeight="1">
      <c r="A1803" s="1" t="s">
        <v>1596</v>
      </c>
      <c r="B1803" s="1" t="s">
        <v>8</v>
      </c>
      <c r="C1803" s="2" t="s">
        <v>36</v>
      </c>
      <c r="D1803" s="2">
        <v>8.1</v>
      </c>
      <c r="E1803" s="2">
        <v>2015.0</v>
      </c>
      <c r="F1803" s="2" t="s">
        <v>10</v>
      </c>
      <c r="G1803" s="2" t="s">
        <v>10</v>
      </c>
    </row>
    <row r="1804" ht="14.25" customHeight="1">
      <c r="A1804" s="1" t="s">
        <v>1597</v>
      </c>
      <c r="B1804" s="1" t="s">
        <v>8</v>
      </c>
      <c r="C1804" s="2" t="s">
        <v>497</v>
      </c>
      <c r="D1804" s="2">
        <v>8.1</v>
      </c>
      <c r="E1804" s="2">
        <v>2018.0</v>
      </c>
      <c r="F1804" s="2">
        <v>2020.0</v>
      </c>
      <c r="G1804" s="2" t="s">
        <v>10</v>
      </c>
    </row>
    <row r="1805" ht="14.25" customHeight="1">
      <c r="A1805" s="1" t="s">
        <v>1598</v>
      </c>
      <c r="B1805" s="1" t="s">
        <v>8</v>
      </c>
      <c r="C1805" s="2" t="s">
        <v>36</v>
      </c>
      <c r="D1805" s="2">
        <v>8.1</v>
      </c>
      <c r="E1805" s="2">
        <v>2022.0</v>
      </c>
      <c r="F1805" s="2" t="s">
        <v>10</v>
      </c>
      <c r="G1805" s="2" t="s">
        <v>10</v>
      </c>
    </row>
    <row r="1806" ht="14.25" customHeight="1">
      <c r="A1806" s="1" t="s">
        <v>1599</v>
      </c>
      <c r="B1806" s="1" t="s">
        <v>8</v>
      </c>
      <c r="C1806" s="2" t="s">
        <v>63</v>
      </c>
      <c r="D1806" s="2">
        <v>8.1</v>
      </c>
      <c r="E1806" s="2">
        <v>2012.0</v>
      </c>
      <c r="F1806" s="2">
        <v>2020.0</v>
      </c>
      <c r="G1806" s="2" t="s">
        <v>10</v>
      </c>
    </row>
    <row r="1807" ht="14.25" customHeight="1">
      <c r="A1807" s="1" t="s">
        <v>1600</v>
      </c>
      <c r="B1807" s="1" t="s">
        <v>8</v>
      </c>
      <c r="C1807" s="2" t="s">
        <v>118</v>
      </c>
      <c r="D1807" s="2">
        <v>8.1</v>
      </c>
      <c r="E1807" s="2">
        <v>2017.0</v>
      </c>
      <c r="F1807" s="2" t="s">
        <v>10</v>
      </c>
      <c r="G1807" s="2" t="s">
        <v>10</v>
      </c>
    </row>
    <row r="1808" ht="14.25" customHeight="1">
      <c r="A1808" s="1" t="s">
        <v>1601</v>
      </c>
      <c r="B1808" s="1" t="s">
        <v>20</v>
      </c>
      <c r="C1808" s="2" t="s">
        <v>163</v>
      </c>
      <c r="D1808" s="2">
        <v>8.1</v>
      </c>
      <c r="E1808" s="2">
        <v>2022.0</v>
      </c>
      <c r="F1808" s="2" t="s">
        <v>10</v>
      </c>
      <c r="G1808" s="2" t="s">
        <v>10</v>
      </c>
    </row>
    <row r="1809" ht="14.25" customHeight="1">
      <c r="A1809" s="1" t="s">
        <v>1602</v>
      </c>
      <c r="B1809" s="1" t="s">
        <v>20</v>
      </c>
      <c r="C1809" s="2" t="s">
        <v>63</v>
      </c>
      <c r="D1809" s="2">
        <v>8.1</v>
      </c>
      <c r="E1809" s="2">
        <v>2021.0</v>
      </c>
      <c r="F1809" s="2" t="s">
        <v>10</v>
      </c>
      <c r="G1809" s="2" t="s">
        <v>10</v>
      </c>
    </row>
    <row r="1810" ht="14.25" customHeight="1">
      <c r="A1810" s="1" t="s">
        <v>1603</v>
      </c>
      <c r="B1810" s="1" t="s">
        <v>8</v>
      </c>
      <c r="C1810" s="2" t="s">
        <v>32</v>
      </c>
      <c r="D1810" s="2">
        <v>8.1</v>
      </c>
      <c r="E1810" s="2">
        <v>2013.0</v>
      </c>
      <c r="F1810" s="2" t="s">
        <v>10</v>
      </c>
      <c r="G1810" s="2" t="s">
        <v>10</v>
      </c>
    </row>
    <row r="1811" ht="14.25" customHeight="1">
      <c r="A1811" s="1" t="s">
        <v>1604</v>
      </c>
      <c r="B1811" s="1" t="s">
        <v>8</v>
      </c>
      <c r="C1811" s="2" t="s">
        <v>1605</v>
      </c>
      <c r="D1811" s="2">
        <v>8.1</v>
      </c>
      <c r="E1811" s="2">
        <v>2002.0</v>
      </c>
      <c r="F1811" s="2" t="s">
        <v>10</v>
      </c>
      <c r="G1811" s="2" t="s">
        <v>10</v>
      </c>
    </row>
    <row r="1812" ht="14.25" customHeight="1">
      <c r="A1812" s="1" t="s">
        <v>1606</v>
      </c>
      <c r="B1812" s="1" t="s">
        <v>20</v>
      </c>
      <c r="C1812" s="2" t="s">
        <v>210</v>
      </c>
      <c r="D1812" s="2">
        <v>8.0</v>
      </c>
      <c r="E1812" s="2">
        <v>2012.0</v>
      </c>
      <c r="F1812" s="2" t="s">
        <v>10</v>
      </c>
      <c r="G1812" s="2" t="s">
        <v>10</v>
      </c>
    </row>
    <row r="1813" ht="14.25" customHeight="1">
      <c r="A1813" s="1" t="s">
        <v>1607</v>
      </c>
      <c r="B1813" s="1" t="s">
        <v>20</v>
      </c>
      <c r="C1813" s="2" t="s">
        <v>845</v>
      </c>
      <c r="D1813" s="2">
        <v>8.0</v>
      </c>
      <c r="E1813" s="2">
        <v>2014.0</v>
      </c>
      <c r="F1813" s="2" t="s">
        <v>10</v>
      </c>
      <c r="G1813" s="2" t="s">
        <v>10</v>
      </c>
    </row>
    <row r="1814" ht="14.25" customHeight="1">
      <c r="A1814" s="1" t="s">
        <v>1608</v>
      </c>
      <c r="B1814" s="1" t="s">
        <v>20</v>
      </c>
      <c r="C1814" s="2" t="s">
        <v>945</v>
      </c>
      <c r="D1814" s="2">
        <v>8.0</v>
      </c>
      <c r="E1814" s="2">
        <v>2016.0</v>
      </c>
      <c r="F1814" s="2" t="s">
        <v>10</v>
      </c>
      <c r="G1814" s="2" t="s">
        <v>10</v>
      </c>
    </row>
    <row r="1815" ht="14.25" customHeight="1">
      <c r="A1815" s="1" t="s">
        <v>1609</v>
      </c>
      <c r="B1815" s="1" t="s">
        <v>20</v>
      </c>
      <c r="C1815" s="2" t="s">
        <v>125</v>
      </c>
      <c r="D1815" s="2">
        <v>8.0</v>
      </c>
      <c r="E1815" s="2">
        <v>2015.0</v>
      </c>
      <c r="F1815" s="2" t="s">
        <v>10</v>
      </c>
      <c r="G1815" s="2" t="s">
        <v>10</v>
      </c>
    </row>
    <row r="1816" ht="14.25" customHeight="1">
      <c r="A1816" s="1" t="s">
        <v>1610</v>
      </c>
      <c r="B1816" s="1" t="s">
        <v>20</v>
      </c>
      <c r="C1816" s="2" t="s">
        <v>34</v>
      </c>
      <c r="D1816" s="2">
        <v>8.0</v>
      </c>
      <c r="E1816" s="2">
        <v>2021.0</v>
      </c>
      <c r="F1816" s="2" t="s">
        <v>10</v>
      </c>
      <c r="G1816" s="2" t="s">
        <v>10</v>
      </c>
    </row>
    <row r="1817" ht="14.25" customHeight="1">
      <c r="A1817" s="1" t="s">
        <v>1611</v>
      </c>
      <c r="B1817" s="1" t="s">
        <v>20</v>
      </c>
      <c r="C1817" s="2" t="s">
        <v>34</v>
      </c>
      <c r="D1817" s="2">
        <v>8.0</v>
      </c>
      <c r="E1817" s="2">
        <v>2015.0</v>
      </c>
      <c r="F1817" s="2" t="s">
        <v>10</v>
      </c>
      <c r="G1817" s="2" t="s">
        <v>10</v>
      </c>
    </row>
    <row r="1818" ht="14.25" customHeight="1">
      <c r="A1818" s="1" t="s">
        <v>1612</v>
      </c>
      <c r="B1818" s="1" t="s">
        <v>20</v>
      </c>
      <c r="C1818" s="2" t="s">
        <v>192</v>
      </c>
      <c r="D1818" s="2">
        <v>8.0</v>
      </c>
      <c r="E1818" s="2">
        <v>2008.0</v>
      </c>
      <c r="F1818" s="2" t="s">
        <v>10</v>
      </c>
      <c r="G1818" s="2" t="s">
        <v>10</v>
      </c>
    </row>
    <row r="1819" ht="14.25" customHeight="1">
      <c r="A1819" s="1" t="s">
        <v>1613</v>
      </c>
      <c r="B1819" s="1" t="s">
        <v>20</v>
      </c>
      <c r="C1819" s="2" t="s">
        <v>231</v>
      </c>
      <c r="D1819" s="2">
        <v>8.0</v>
      </c>
      <c r="E1819" s="2">
        <v>2001.0</v>
      </c>
      <c r="F1819" s="2" t="s">
        <v>10</v>
      </c>
      <c r="G1819" s="2" t="s">
        <v>10</v>
      </c>
    </row>
    <row r="1820" ht="14.25" customHeight="1">
      <c r="A1820" s="1" t="s">
        <v>1614</v>
      </c>
      <c r="B1820" s="1" t="s">
        <v>20</v>
      </c>
      <c r="C1820" s="2" t="s">
        <v>299</v>
      </c>
      <c r="D1820" s="2">
        <v>8.0</v>
      </c>
      <c r="E1820" s="2">
        <v>2010.0</v>
      </c>
      <c r="F1820" s="2" t="s">
        <v>10</v>
      </c>
      <c r="G1820" s="2" t="s">
        <v>10</v>
      </c>
    </row>
    <row r="1821" ht="14.25" customHeight="1">
      <c r="A1821" s="1" t="s">
        <v>1615</v>
      </c>
      <c r="B1821" s="1" t="s">
        <v>20</v>
      </c>
      <c r="C1821" s="2" t="s">
        <v>1616</v>
      </c>
      <c r="D1821" s="2">
        <v>8.0</v>
      </c>
      <c r="E1821" s="2">
        <v>2014.0</v>
      </c>
      <c r="F1821" s="2" t="s">
        <v>10</v>
      </c>
      <c r="G1821" s="2" t="s">
        <v>10</v>
      </c>
    </row>
    <row r="1822" ht="14.25" customHeight="1">
      <c r="A1822" s="1" t="s">
        <v>1617</v>
      </c>
      <c r="B1822" s="1" t="s">
        <v>20</v>
      </c>
      <c r="C1822" s="2" t="s">
        <v>25</v>
      </c>
      <c r="D1822" s="2">
        <v>8.0</v>
      </c>
      <c r="E1822" s="2">
        <v>2004.0</v>
      </c>
      <c r="F1822" s="2" t="s">
        <v>10</v>
      </c>
      <c r="G1822" s="2" t="s">
        <v>10</v>
      </c>
    </row>
    <row r="1823" ht="14.25" customHeight="1">
      <c r="A1823" s="1" t="s">
        <v>1618</v>
      </c>
      <c r="B1823" s="1" t="s">
        <v>20</v>
      </c>
      <c r="C1823" s="2" t="s">
        <v>291</v>
      </c>
      <c r="D1823" s="2">
        <v>8.0</v>
      </c>
      <c r="E1823" s="2">
        <v>2004.0</v>
      </c>
      <c r="F1823" s="2">
        <v>2004.0</v>
      </c>
      <c r="G1823" s="2" t="s">
        <v>10</v>
      </c>
    </row>
    <row r="1824" ht="14.25" customHeight="1">
      <c r="A1824" s="1" t="s">
        <v>1619</v>
      </c>
      <c r="B1824" s="1" t="s">
        <v>20</v>
      </c>
      <c r="C1824" s="2" t="s">
        <v>792</v>
      </c>
      <c r="D1824" s="2">
        <v>8.0</v>
      </c>
      <c r="E1824" s="2">
        <v>2005.0</v>
      </c>
      <c r="F1824" s="2">
        <v>2019.0</v>
      </c>
      <c r="G1824" s="2" t="s">
        <v>10</v>
      </c>
    </row>
    <row r="1825" ht="14.25" customHeight="1">
      <c r="A1825" s="1" t="s">
        <v>1620</v>
      </c>
      <c r="B1825" s="1" t="s">
        <v>20</v>
      </c>
      <c r="C1825" s="2" t="s">
        <v>80</v>
      </c>
      <c r="D1825" s="2">
        <v>8.0</v>
      </c>
      <c r="E1825" s="2">
        <v>2010.0</v>
      </c>
      <c r="F1825" s="2">
        <v>2010.0</v>
      </c>
      <c r="G1825" s="2" t="s">
        <v>10</v>
      </c>
    </row>
    <row r="1826" ht="14.25" customHeight="1">
      <c r="A1826" s="1" t="s">
        <v>1621</v>
      </c>
      <c r="B1826" s="1" t="s">
        <v>20</v>
      </c>
      <c r="C1826" s="2" t="s">
        <v>1622</v>
      </c>
      <c r="D1826" s="2">
        <v>8.0</v>
      </c>
      <c r="E1826" s="2">
        <v>2006.0</v>
      </c>
      <c r="F1826" s="2">
        <v>2006.0</v>
      </c>
      <c r="G1826" s="2" t="s">
        <v>10</v>
      </c>
    </row>
    <row r="1827" ht="14.25" customHeight="1">
      <c r="A1827" s="1" t="s">
        <v>1623</v>
      </c>
      <c r="B1827" s="1" t="s">
        <v>20</v>
      </c>
      <c r="C1827" s="2" t="s">
        <v>284</v>
      </c>
      <c r="D1827" s="2">
        <v>8.0</v>
      </c>
      <c r="E1827" s="2">
        <v>1993.0</v>
      </c>
      <c r="F1827" s="2" t="s">
        <v>10</v>
      </c>
      <c r="G1827" s="2" t="s">
        <v>10</v>
      </c>
    </row>
    <row r="1828" ht="14.25" customHeight="1">
      <c r="A1828" s="1" t="s">
        <v>1624</v>
      </c>
      <c r="B1828" s="1" t="s">
        <v>20</v>
      </c>
      <c r="C1828" s="2" t="s">
        <v>361</v>
      </c>
      <c r="D1828" s="2">
        <v>8.0</v>
      </c>
      <c r="E1828" s="2">
        <v>2016.0</v>
      </c>
      <c r="F1828" s="2" t="s">
        <v>10</v>
      </c>
      <c r="G1828" s="2" t="s">
        <v>10</v>
      </c>
    </row>
    <row r="1829" ht="14.25" customHeight="1">
      <c r="A1829" s="1" t="s">
        <v>1625</v>
      </c>
      <c r="B1829" s="1" t="s">
        <v>20</v>
      </c>
      <c r="C1829" s="2" t="s">
        <v>507</v>
      </c>
      <c r="D1829" s="2">
        <v>8.0</v>
      </c>
      <c r="E1829" s="2">
        <v>2017.0</v>
      </c>
      <c r="F1829" s="2" t="s">
        <v>10</v>
      </c>
      <c r="G1829" s="2">
        <v>7850000.0</v>
      </c>
    </row>
    <row r="1830" ht="14.25" customHeight="1">
      <c r="A1830" s="1" t="s">
        <v>1626</v>
      </c>
      <c r="B1830" s="1" t="s">
        <v>20</v>
      </c>
      <c r="C1830" s="2" t="s">
        <v>796</v>
      </c>
      <c r="D1830" s="2">
        <v>8.0</v>
      </c>
      <c r="E1830" s="2">
        <v>2013.0</v>
      </c>
      <c r="F1830" s="2">
        <v>2013.0</v>
      </c>
      <c r="G1830" s="2" t="s">
        <v>10</v>
      </c>
    </row>
    <row r="1831" ht="14.25" customHeight="1">
      <c r="A1831" s="1" t="s">
        <v>1627</v>
      </c>
      <c r="B1831" s="1" t="s">
        <v>20</v>
      </c>
      <c r="C1831" s="2" t="s">
        <v>1583</v>
      </c>
      <c r="D1831" s="2">
        <v>8.0</v>
      </c>
      <c r="E1831" s="2">
        <v>2007.0</v>
      </c>
      <c r="F1831" s="2" t="s">
        <v>10</v>
      </c>
      <c r="G1831" s="2" t="s">
        <v>10</v>
      </c>
    </row>
    <row r="1832" ht="14.25" customHeight="1">
      <c r="A1832" s="1" t="s">
        <v>1628</v>
      </c>
      <c r="B1832" s="1" t="s">
        <v>20</v>
      </c>
      <c r="C1832" s="2" t="s">
        <v>1629</v>
      </c>
      <c r="D1832" s="2">
        <v>8.0</v>
      </c>
      <c r="E1832" s="2">
        <v>1995.0</v>
      </c>
      <c r="F1832" s="2" t="s">
        <v>10</v>
      </c>
      <c r="G1832" s="2" t="s">
        <v>10</v>
      </c>
    </row>
    <row r="1833" ht="14.25" customHeight="1">
      <c r="A1833" s="1" t="s">
        <v>1630</v>
      </c>
      <c r="B1833" s="1" t="s">
        <v>20</v>
      </c>
      <c r="C1833" s="2" t="s">
        <v>1058</v>
      </c>
      <c r="D1833" s="2">
        <v>8.0</v>
      </c>
      <c r="E1833" s="2">
        <v>2006.0</v>
      </c>
      <c r="F1833" s="2" t="s">
        <v>10</v>
      </c>
      <c r="G1833" s="2" t="s">
        <v>10</v>
      </c>
    </row>
    <row r="1834" ht="14.25" customHeight="1">
      <c r="A1834" s="1" t="s">
        <v>1631</v>
      </c>
      <c r="B1834" s="1" t="s">
        <v>8</v>
      </c>
      <c r="C1834" s="2" t="s">
        <v>34</v>
      </c>
      <c r="D1834" s="2">
        <v>8.0</v>
      </c>
      <c r="E1834" s="2">
        <v>2019.0</v>
      </c>
      <c r="F1834" s="2">
        <v>2019.0</v>
      </c>
      <c r="G1834" s="2">
        <v>1.47E7</v>
      </c>
    </row>
    <row r="1835" ht="14.25" customHeight="1">
      <c r="A1835" s="1" t="s">
        <v>1631</v>
      </c>
      <c r="B1835" s="1" t="s">
        <v>8</v>
      </c>
      <c r="C1835" s="2" t="s">
        <v>34</v>
      </c>
      <c r="D1835" s="2">
        <v>8.0</v>
      </c>
      <c r="E1835" s="2">
        <v>2019.0</v>
      </c>
      <c r="F1835" s="2">
        <v>2019.0</v>
      </c>
      <c r="G1835" s="2">
        <v>2.13E7</v>
      </c>
    </row>
    <row r="1836" ht="14.25" customHeight="1">
      <c r="A1836" s="1" t="s">
        <v>1631</v>
      </c>
      <c r="B1836" s="1" t="s">
        <v>8</v>
      </c>
      <c r="C1836" s="2" t="s">
        <v>34</v>
      </c>
      <c r="D1836" s="2">
        <v>8.0</v>
      </c>
      <c r="E1836" s="2">
        <v>2019.0</v>
      </c>
      <c r="F1836" s="2">
        <v>2019.0</v>
      </c>
      <c r="G1836" s="2">
        <v>4.14E7</v>
      </c>
    </row>
    <row r="1837" ht="14.25" customHeight="1">
      <c r="A1837" s="1" t="s">
        <v>1631</v>
      </c>
      <c r="B1837" s="1" t="s">
        <v>8</v>
      </c>
      <c r="C1837" s="2" t="s">
        <v>34</v>
      </c>
      <c r="D1837" s="2">
        <v>8.0</v>
      </c>
      <c r="E1837" s="2">
        <v>2019.0</v>
      </c>
      <c r="F1837" s="2">
        <v>2019.0</v>
      </c>
      <c r="G1837" s="3">
        <v>5.9E7</v>
      </c>
    </row>
    <row r="1838" ht="14.25" customHeight="1">
      <c r="A1838" s="1" t="s">
        <v>1631</v>
      </c>
      <c r="B1838" s="1" t="s">
        <v>8</v>
      </c>
      <c r="C1838" s="2" t="s">
        <v>34</v>
      </c>
      <c r="D1838" s="2">
        <v>8.0</v>
      </c>
      <c r="E1838" s="2">
        <v>2019.0</v>
      </c>
      <c r="F1838" s="2">
        <v>2019.0</v>
      </c>
      <c r="G1838" s="2">
        <v>2.01E7</v>
      </c>
    </row>
    <row r="1839" ht="14.25" customHeight="1">
      <c r="A1839" s="1" t="s">
        <v>1631</v>
      </c>
      <c r="B1839" s="1" t="s">
        <v>8</v>
      </c>
      <c r="C1839" s="2" t="s">
        <v>34</v>
      </c>
      <c r="D1839" s="2">
        <v>8.0</v>
      </c>
      <c r="E1839" s="2">
        <v>2019.0</v>
      </c>
      <c r="F1839" s="2">
        <v>2019.0</v>
      </c>
      <c r="G1839" s="2">
        <v>3.21E7</v>
      </c>
    </row>
    <row r="1840" ht="14.25" customHeight="1">
      <c r="A1840" s="1" t="s">
        <v>1631</v>
      </c>
      <c r="B1840" s="1" t="s">
        <v>8</v>
      </c>
      <c r="C1840" s="2" t="s">
        <v>34</v>
      </c>
      <c r="D1840" s="2">
        <v>8.0</v>
      </c>
      <c r="E1840" s="2">
        <v>2019.0</v>
      </c>
      <c r="F1840" s="2">
        <v>2019.0</v>
      </c>
      <c r="G1840" s="2">
        <v>6.65E7</v>
      </c>
    </row>
    <row r="1841" ht="14.25" customHeight="1">
      <c r="A1841" s="1" t="s">
        <v>1631</v>
      </c>
      <c r="B1841" s="1" t="s">
        <v>8</v>
      </c>
      <c r="C1841" s="2" t="s">
        <v>34</v>
      </c>
      <c r="D1841" s="2">
        <v>8.0</v>
      </c>
      <c r="E1841" s="2">
        <v>2019.0</v>
      </c>
      <c r="F1841" s="2">
        <v>2019.0</v>
      </c>
      <c r="G1841" s="2">
        <v>2.09E7</v>
      </c>
    </row>
    <row r="1842" ht="14.25" customHeight="1">
      <c r="A1842" s="1" t="s">
        <v>1631</v>
      </c>
      <c r="B1842" s="1" t="s">
        <v>8</v>
      </c>
      <c r="C1842" s="2" t="s">
        <v>34</v>
      </c>
      <c r="D1842" s="2">
        <v>8.0</v>
      </c>
      <c r="E1842" s="2">
        <v>2019.0</v>
      </c>
      <c r="F1842" s="2">
        <v>2019.0</v>
      </c>
      <c r="G1842" s="2">
        <v>1.82E7</v>
      </c>
    </row>
    <row r="1843" ht="14.25" customHeight="1">
      <c r="A1843" s="1" t="s">
        <v>1631</v>
      </c>
      <c r="B1843" s="1" t="s">
        <v>8</v>
      </c>
      <c r="C1843" s="2" t="s">
        <v>34</v>
      </c>
      <c r="D1843" s="2">
        <v>8.0</v>
      </c>
      <c r="E1843" s="2">
        <v>2019.0</v>
      </c>
      <c r="F1843" s="2">
        <v>2019.0</v>
      </c>
      <c r="G1843" s="3">
        <v>7.3E7</v>
      </c>
    </row>
    <row r="1844" ht="14.25" customHeight="1">
      <c r="A1844" s="1" t="s">
        <v>1631</v>
      </c>
      <c r="B1844" s="1" t="s">
        <v>8</v>
      </c>
      <c r="C1844" s="2" t="s">
        <v>34</v>
      </c>
      <c r="D1844" s="2">
        <v>8.0</v>
      </c>
      <c r="E1844" s="2">
        <v>2019.0</v>
      </c>
      <c r="F1844" s="2">
        <v>2019.0</v>
      </c>
      <c r="G1844" s="2">
        <v>1.72E7</v>
      </c>
    </row>
    <row r="1845" ht="14.25" customHeight="1">
      <c r="A1845" s="1" t="s">
        <v>1631</v>
      </c>
      <c r="B1845" s="1" t="s">
        <v>8</v>
      </c>
      <c r="C1845" s="2" t="s">
        <v>34</v>
      </c>
      <c r="D1845" s="2">
        <v>8.0</v>
      </c>
      <c r="E1845" s="2">
        <v>2019.0</v>
      </c>
      <c r="F1845" s="2">
        <v>2019.0</v>
      </c>
      <c r="G1845" s="2">
        <v>2.264E7</v>
      </c>
    </row>
    <row r="1846" ht="14.25" customHeight="1">
      <c r="A1846" s="1" t="s">
        <v>1631</v>
      </c>
      <c r="B1846" s="1" t="s">
        <v>8</v>
      </c>
      <c r="C1846" s="2" t="s">
        <v>34</v>
      </c>
      <c r="D1846" s="2">
        <v>8.0</v>
      </c>
      <c r="E1846" s="2">
        <v>2019.0</v>
      </c>
      <c r="F1846" s="2">
        <v>2019.0</v>
      </c>
      <c r="G1846" s="2">
        <v>3.435E7</v>
      </c>
    </row>
    <row r="1847" ht="14.25" customHeight="1">
      <c r="A1847" s="1" t="s">
        <v>1631</v>
      </c>
      <c r="B1847" s="1" t="s">
        <v>8</v>
      </c>
      <c r="C1847" s="2" t="s">
        <v>34</v>
      </c>
      <c r="D1847" s="2">
        <v>8.0</v>
      </c>
      <c r="E1847" s="2">
        <v>2019.0</v>
      </c>
      <c r="F1847" s="2">
        <v>2019.0</v>
      </c>
      <c r="G1847" s="2">
        <v>1.858E7</v>
      </c>
    </row>
    <row r="1848" ht="14.25" customHeight="1">
      <c r="A1848" s="1" t="s">
        <v>1631</v>
      </c>
      <c r="B1848" s="1" t="s">
        <v>8</v>
      </c>
      <c r="C1848" s="2" t="s">
        <v>34</v>
      </c>
      <c r="D1848" s="2">
        <v>8.0</v>
      </c>
      <c r="E1848" s="2">
        <v>2019.0</v>
      </c>
      <c r="F1848" s="2">
        <v>2019.0</v>
      </c>
      <c r="G1848" s="2">
        <v>5.734E7</v>
      </c>
    </row>
    <row r="1849" ht="14.25" customHeight="1">
      <c r="A1849" s="1" t="s">
        <v>1631</v>
      </c>
      <c r="B1849" s="1" t="s">
        <v>8</v>
      </c>
      <c r="C1849" s="2" t="s">
        <v>34</v>
      </c>
      <c r="D1849" s="2">
        <v>8.0</v>
      </c>
      <c r="E1849" s="2">
        <v>2019.0</v>
      </c>
      <c r="F1849" s="2">
        <v>2019.0</v>
      </c>
      <c r="G1849" s="2">
        <v>2.851E7</v>
      </c>
    </row>
    <row r="1850" ht="14.25" customHeight="1">
      <c r="A1850" s="1" t="s">
        <v>1631</v>
      </c>
      <c r="B1850" s="1" t="s">
        <v>8</v>
      </c>
      <c r="C1850" s="2" t="s">
        <v>34</v>
      </c>
      <c r="D1850" s="2">
        <v>8.0</v>
      </c>
      <c r="E1850" s="2">
        <v>2019.0</v>
      </c>
      <c r="F1850" s="2">
        <v>2019.0</v>
      </c>
      <c r="G1850" s="2">
        <v>9.427E7</v>
      </c>
    </row>
    <row r="1851" ht="14.25" customHeight="1">
      <c r="A1851" s="1" t="s">
        <v>1631</v>
      </c>
      <c r="B1851" s="1" t="s">
        <v>8</v>
      </c>
      <c r="C1851" s="2" t="s">
        <v>34</v>
      </c>
      <c r="D1851" s="2">
        <v>8.0</v>
      </c>
      <c r="E1851" s="2">
        <v>2019.0</v>
      </c>
      <c r="F1851" s="2">
        <v>2019.0</v>
      </c>
      <c r="G1851" s="2">
        <v>4.289E7</v>
      </c>
    </row>
    <row r="1852" ht="14.25" customHeight="1">
      <c r="A1852" s="1" t="s">
        <v>1631</v>
      </c>
      <c r="B1852" s="1" t="s">
        <v>8</v>
      </c>
      <c r="C1852" s="2" t="s">
        <v>34</v>
      </c>
      <c r="D1852" s="2">
        <v>8.0</v>
      </c>
      <c r="E1852" s="2">
        <v>2019.0</v>
      </c>
      <c r="F1852" s="2">
        <v>2019.0</v>
      </c>
      <c r="G1852" s="2">
        <v>1.6846E8</v>
      </c>
    </row>
    <row r="1853" ht="14.25" customHeight="1">
      <c r="A1853" s="1" t="s">
        <v>1631</v>
      </c>
      <c r="B1853" s="1" t="s">
        <v>8</v>
      </c>
      <c r="C1853" s="2" t="s">
        <v>34</v>
      </c>
      <c r="D1853" s="2">
        <v>8.0</v>
      </c>
      <c r="E1853" s="2">
        <v>2019.0</v>
      </c>
      <c r="F1853" s="2">
        <v>2019.0</v>
      </c>
      <c r="G1853" s="2">
        <v>6.067E7</v>
      </c>
    </row>
    <row r="1854" ht="14.25" customHeight="1">
      <c r="A1854" s="1" t="s">
        <v>1631</v>
      </c>
      <c r="B1854" s="1" t="s">
        <v>8</v>
      </c>
      <c r="C1854" s="2" t="s">
        <v>34</v>
      </c>
      <c r="D1854" s="2">
        <v>8.0</v>
      </c>
      <c r="E1854" s="2">
        <v>2019.0</v>
      </c>
      <c r="F1854" s="2">
        <v>2019.0</v>
      </c>
      <c r="G1854" s="2">
        <v>1.4243E8</v>
      </c>
    </row>
    <row r="1855" ht="14.25" customHeight="1">
      <c r="A1855" s="1" t="s">
        <v>1631</v>
      </c>
      <c r="B1855" s="1" t="s">
        <v>8</v>
      </c>
      <c r="C1855" s="2" t="s">
        <v>34</v>
      </c>
      <c r="D1855" s="2">
        <v>8.0</v>
      </c>
      <c r="E1855" s="2">
        <v>2019.0</v>
      </c>
      <c r="F1855" s="2">
        <v>2019.0</v>
      </c>
      <c r="G1855" s="2">
        <v>4.918E7</v>
      </c>
    </row>
    <row r="1856" ht="14.25" customHeight="1">
      <c r="A1856" s="1" t="s">
        <v>1631</v>
      </c>
      <c r="B1856" s="1" t="s">
        <v>8</v>
      </c>
      <c r="C1856" s="2" t="s">
        <v>34</v>
      </c>
      <c r="D1856" s="2">
        <v>8.0</v>
      </c>
      <c r="E1856" s="2">
        <v>2019.0</v>
      </c>
      <c r="F1856" s="2">
        <v>2019.0</v>
      </c>
      <c r="G1856" s="2">
        <v>1.418E7</v>
      </c>
    </row>
    <row r="1857" ht="14.25" customHeight="1">
      <c r="A1857" s="1" t="s">
        <v>1632</v>
      </c>
      <c r="B1857" s="1" t="s">
        <v>8</v>
      </c>
      <c r="C1857" s="2" t="s">
        <v>507</v>
      </c>
      <c r="D1857" s="2">
        <v>8.0</v>
      </c>
      <c r="E1857" s="2">
        <v>2021.0</v>
      </c>
      <c r="F1857" s="2">
        <v>2021.0</v>
      </c>
      <c r="G1857" s="2">
        <v>1.27E7</v>
      </c>
    </row>
    <row r="1858" ht="14.25" customHeight="1">
      <c r="A1858" s="1" t="s">
        <v>1632</v>
      </c>
      <c r="B1858" s="1" t="s">
        <v>8</v>
      </c>
      <c r="C1858" s="2" t="s">
        <v>507</v>
      </c>
      <c r="D1858" s="2">
        <v>8.0</v>
      </c>
      <c r="E1858" s="2">
        <v>2021.0</v>
      </c>
      <c r="F1858" s="2">
        <v>2021.0</v>
      </c>
      <c r="G1858" s="2">
        <v>1.33E7</v>
      </c>
    </row>
    <row r="1859" ht="14.25" customHeight="1">
      <c r="A1859" s="1" t="s">
        <v>1632</v>
      </c>
      <c r="B1859" s="1" t="s">
        <v>8</v>
      </c>
      <c r="C1859" s="2" t="s">
        <v>507</v>
      </c>
      <c r="D1859" s="2">
        <v>8.0</v>
      </c>
      <c r="E1859" s="2">
        <v>2021.0</v>
      </c>
      <c r="F1859" s="2">
        <v>2021.0</v>
      </c>
      <c r="G1859" s="2">
        <v>7480000.0</v>
      </c>
    </row>
    <row r="1860" ht="14.25" customHeight="1">
      <c r="A1860" s="1" t="s">
        <v>1632</v>
      </c>
      <c r="B1860" s="1" t="s">
        <v>8</v>
      </c>
      <c r="C1860" s="2" t="s">
        <v>507</v>
      </c>
      <c r="D1860" s="2">
        <v>8.0</v>
      </c>
      <c r="E1860" s="2">
        <v>2021.0</v>
      </c>
      <c r="F1860" s="2">
        <v>2021.0</v>
      </c>
      <c r="G1860" s="2">
        <v>1.02E7</v>
      </c>
    </row>
    <row r="1861" ht="14.25" customHeight="1">
      <c r="A1861" s="1" t="s">
        <v>1632</v>
      </c>
      <c r="B1861" s="1" t="s">
        <v>8</v>
      </c>
      <c r="C1861" s="2" t="s">
        <v>507</v>
      </c>
      <c r="D1861" s="2">
        <v>8.0</v>
      </c>
      <c r="E1861" s="2">
        <v>2021.0</v>
      </c>
      <c r="F1861" s="2">
        <v>2021.0</v>
      </c>
      <c r="G1861" s="2">
        <v>1.178E7</v>
      </c>
    </row>
    <row r="1862" ht="14.25" customHeight="1">
      <c r="A1862" s="1" t="s">
        <v>1632</v>
      </c>
      <c r="B1862" s="1" t="s">
        <v>8</v>
      </c>
      <c r="C1862" s="2" t="s">
        <v>507</v>
      </c>
      <c r="D1862" s="2">
        <v>8.0</v>
      </c>
      <c r="E1862" s="2">
        <v>2021.0</v>
      </c>
      <c r="F1862" s="2">
        <v>2021.0</v>
      </c>
      <c r="G1862" s="2">
        <v>1.498E7</v>
      </c>
    </row>
    <row r="1863" ht="14.25" customHeight="1">
      <c r="A1863" s="1" t="s">
        <v>1632</v>
      </c>
      <c r="B1863" s="1" t="s">
        <v>8</v>
      </c>
      <c r="C1863" s="2" t="s">
        <v>507</v>
      </c>
      <c r="D1863" s="2">
        <v>8.0</v>
      </c>
      <c r="E1863" s="2">
        <v>2021.0</v>
      </c>
      <c r="F1863" s="2">
        <v>2021.0</v>
      </c>
      <c r="G1863" s="2">
        <v>1.811E7</v>
      </c>
    </row>
    <row r="1864" ht="14.25" customHeight="1">
      <c r="A1864" s="1" t="s">
        <v>1632</v>
      </c>
      <c r="B1864" s="1" t="s">
        <v>8</v>
      </c>
      <c r="C1864" s="2" t="s">
        <v>507</v>
      </c>
      <c r="D1864" s="2">
        <v>8.0</v>
      </c>
      <c r="E1864" s="2">
        <v>2021.0</v>
      </c>
      <c r="F1864" s="2">
        <v>2021.0</v>
      </c>
      <c r="G1864" s="2">
        <v>1.51E7</v>
      </c>
    </row>
    <row r="1865" ht="14.25" customHeight="1">
      <c r="A1865" s="1" t="s">
        <v>1632</v>
      </c>
      <c r="B1865" s="1" t="s">
        <v>8</v>
      </c>
      <c r="C1865" s="2" t="s">
        <v>507</v>
      </c>
      <c r="D1865" s="2">
        <v>8.0</v>
      </c>
      <c r="E1865" s="2">
        <v>2021.0</v>
      </c>
      <c r="F1865" s="2">
        <v>2021.0</v>
      </c>
      <c r="G1865" s="2">
        <v>1.543E7</v>
      </c>
    </row>
    <row r="1866" ht="14.25" customHeight="1">
      <c r="A1866" s="1" t="s">
        <v>1632</v>
      </c>
      <c r="B1866" s="1" t="s">
        <v>8</v>
      </c>
      <c r="C1866" s="2" t="s">
        <v>507</v>
      </c>
      <c r="D1866" s="2">
        <v>8.0</v>
      </c>
      <c r="E1866" s="2">
        <v>2021.0</v>
      </c>
      <c r="F1866" s="2">
        <v>2021.0</v>
      </c>
      <c r="G1866" s="2">
        <v>1.817E7</v>
      </c>
    </row>
    <row r="1867" ht="14.25" customHeight="1">
      <c r="A1867" s="1" t="s">
        <v>1632</v>
      </c>
      <c r="B1867" s="1" t="s">
        <v>8</v>
      </c>
      <c r="C1867" s="2" t="s">
        <v>507</v>
      </c>
      <c r="D1867" s="2">
        <v>8.0</v>
      </c>
      <c r="E1867" s="2">
        <v>2021.0</v>
      </c>
      <c r="F1867" s="2">
        <v>2021.0</v>
      </c>
      <c r="G1867" s="2">
        <v>2.12E7</v>
      </c>
    </row>
    <row r="1868" ht="14.25" customHeight="1">
      <c r="A1868" s="1" t="s">
        <v>1632</v>
      </c>
      <c r="B1868" s="1" t="s">
        <v>8</v>
      </c>
      <c r="C1868" s="2" t="s">
        <v>507</v>
      </c>
      <c r="D1868" s="2">
        <v>8.0</v>
      </c>
      <c r="E1868" s="2">
        <v>2021.0</v>
      </c>
      <c r="F1868" s="2">
        <v>2021.0</v>
      </c>
      <c r="G1868" s="2">
        <v>2.573E7</v>
      </c>
    </row>
    <row r="1869" ht="14.25" customHeight="1">
      <c r="A1869" s="1" t="s">
        <v>1632</v>
      </c>
      <c r="B1869" s="1" t="s">
        <v>8</v>
      </c>
      <c r="C1869" s="2" t="s">
        <v>507</v>
      </c>
      <c r="D1869" s="2">
        <v>8.0</v>
      </c>
      <c r="E1869" s="2">
        <v>2021.0</v>
      </c>
      <c r="F1869" s="2">
        <v>2021.0</v>
      </c>
      <c r="G1869" s="2">
        <v>3.041E7</v>
      </c>
    </row>
    <row r="1870" ht="14.25" customHeight="1">
      <c r="A1870" s="1" t="s">
        <v>1632</v>
      </c>
      <c r="B1870" s="1" t="s">
        <v>8</v>
      </c>
      <c r="C1870" s="2" t="s">
        <v>507</v>
      </c>
      <c r="D1870" s="2">
        <v>8.0</v>
      </c>
      <c r="E1870" s="2">
        <v>2021.0</v>
      </c>
      <c r="F1870" s="2">
        <v>2021.0</v>
      </c>
      <c r="G1870" s="2">
        <v>4.279E7</v>
      </c>
    </row>
    <row r="1871" ht="14.25" customHeight="1">
      <c r="A1871" s="1" t="s">
        <v>1632</v>
      </c>
      <c r="B1871" s="1" t="s">
        <v>8</v>
      </c>
      <c r="C1871" s="2" t="s">
        <v>507</v>
      </c>
      <c r="D1871" s="2">
        <v>8.0</v>
      </c>
      <c r="E1871" s="2">
        <v>2021.0</v>
      </c>
      <c r="F1871" s="2">
        <v>2021.0</v>
      </c>
      <c r="G1871" s="3">
        <v>6.5E7</v>
      </c>
    </row>
    <row r="1872" ht="14.25" customHeight="1">
      <c r="A1872" s="1" t="s">
        <v>1632</v>
      </c>
      <c r="B1872" s="1" t="s">
        <v>8</v>
      </c>
      <c r="C1872" s="2" t="s">
        <v>507</v>
      </c>
      <c r="D1872" s="2">
        <v>8.0</v>
      </c>
      <c r="E1872" s="2">
        <v>2021.0</v>
      </c>
      <c r="F1872" s="2">
        <v>2021.0</v>
      </c>
      <c r="G1872" s="2">
        <v>9.01E7</v>
      </c>
    </row>
    <row r="1873" ht="14.25" customHeight="1">
      <c r="A1873" s="1" t="s">
        <v>1632</v>
      </c>
      <c r="B1873" s="1" t="s">
        <v>8</v>
      </c>
      <c r="C1873" s="2" t="s">
        <v>507</v>
      </c>
      <c r="D1873" s="2">
        <v>8.0</v>
      </c>
      <c r="E1873" s="2">
        <v>2021.0</v>
      </c>
      <c r="F1873" s="2">
        <v>2021.0</v>
      </c>
      <c r="G1873" s="2">
        <v>1.4756E8</v>
      </c>
    </row>
    <row r="1874" ht="14.25" customHeight="1">
      <c r="A1874" s="1" t="s">
        <v>1632</v>
      </c>
      <c r="B1874" s="1" t="s">
        <v>8</v>
      </c>
      <c r="C1874" s="2" t="s">
        <v>507</v>
      </c>
      <c r="D1874" s="2">
        <v>8.0</v>
      </c>
      <c r="E1874" s="2">
        <v>2021.0</v>
      </c>
      <c r="F1874" s="2">
        <v>2021.0</v>
      </c>
      <c r="G1874" s="2">
        <v>2.5884E8</v>
      </c>
    </row>
    <row r="1875" ht="14.25" customHeight="1">
      <c r="A1875" s="1" t="s">
        <v>1632</v>
      </c>
      <c r="B1875" s="1" t="s">
        <v>8</v>
      </c>
      <c r="C1875" s="2" t="s">
        <v>507</v>
      </c>
      <c r="D1875" s="2">
        <v>8.0</v>
      </c>
      <c r="E1875" s="2">
        <v>2021.0</v>
      </c>
      <c r="F1875" s="2">
        <v>2021.0</v>
      </c>
      <c r="G1875" s="2">
        <v>4.1294E8</v>
      </c>
    </row>
    <row r="1876" ht="14.25" customHeight="1">
      <c r="A1876" s="1" t="s">
        <v>1632</v>
      </c>
      <c r="B1876" s="1" t="s">
        <v>8</v>
      </c>
      <c r="C1876" s="2" t="s">
        <v>507</v>
      </c>
      <c r="D1876" s="2">
        <v>8.0</v>
      </c>
      <c r="E1876" s="2">
        <v>2021.0</v>
      </c>
      <c r="F1876" s="2">
        <v>2021.0</v>
      </c>
      <c r="G1876" s="2">
        <v>5.7176E8</v>
      </c>
    </row>
    <row r="1877" ht="14.25" customHeight="1">
      <c r="A1877" s="1" t="s">
        <v>1632</v>
      </c>
      <c r="B1877" s="1" t="s">
        <v>8</v>
      </c>
      <c r="C1877" s="2" t="s">
        <v>507</v>
      </c>
      <c r="D1877" s="2">
        <v>8.0</v>
      </c>
      <c r="E1877" s="2">
        <v>2021.0</v>
      </c>
      <c r="F1877" s="2">
        <v>2021.0</v>
      </c>
      <c r="G1877" s="2">
        <v>4.4873E8</v>
      </c>
    </row>
    <row r="1878" ht="14.25" customHeight="1">
      <c r="A1878" s="1" t="s">
        <v>1632</v>
      </c>
      <c r="B1878" s="1" t="s">
        <v>8</v>
      </c>
      <c r="C1878" s="2" t="s">
        <v>507</v>
      </c>
      <c r="D1878" s="2">
        <v>8.0</v>
      </c>
      <c r="E1878" s="2">
        <v>2021.0</v>
      </c>
      <c r="F1878" s="2">
        <v>2021.0</v>
      </c>
      <c r="G1878" s="2">
        <v>6.319E7</v>
      </c>
    </row>
    <row r="1879" ht="14.25" customHeight="1">
      <c r="A1879" s="1" t="s">
        <v>1633</v>
      </c>
      <c r="B1879" s="1" t="s">
        <v>20</v>
      </c>
      <c r="C1879" s="2" t="s">
        <v>169</v>
      </c>
      <c r="D1879" s="2">
        <v>8.0</v>
      </c>
      <c r="E1879" s="2">
        <v>2006.0</v>
      </c>
      <c r="F1879" s="2">
        <v>2006.0</v>
      </c>
      <c r="G1879" s="2" t="s">
        <v>10</v>
      </c>
    </row>
    <row r="1880" ht="14.25" customHeight="1">
      <c r="A1880" s="1" t="s">
        <v>1634</v>
      </c>
      <c r="B1880" s="1" t="s">
        <v>20</v>
      </c>
      <c r="C1880" s="2" t="s">
        <v>25</v>
      </c>
      <c r="D1880" s="2">
        <v>8.0</v>
      </c>
      <c r="E1880" s="2">
        <v>2016.0</v>
      </c>
      <c r="F1880" s="2" t="s">
        <v>10</v>
      </c>
      <c r="G1880" s="2" t="s">
        <v>10</v>
      </c>
    </row>
    <row r="1881" ht="14.25" customHeight="1">
      <c r="A1881" s="1" t="s">
        <v>1635</v>
      </c>
      <c r="B1881" s="1" t="s">
        <v>20</v>
      </c>
      <c r="C1881" s="2" t="s">
        <v>18</v>
      </c>
      <c r="D1881" s="2">
        <v>8.0</v>
      </c>
      <c r="E1881" s="2">
        <v>1988.0</v>
      </c>
      <c r="F1881" s="2">
        <v>1988.0</v>
      </c>
      <c r="G1881" s="2" t="s">
        <v>10</v>
      </c>
    </row>
    <row r="1882" ht="14.25" customHeight="1">
      <c r="A1882" s="1" t="s">
        <v>1636</v>
      </c>
      <c r="B1882" s="1" t="s">
        <v>20</v>
      </c>
      <c r="C1882" s="2" t="s">
        <v>1637</v>
      </c>
      <c r="D1882" s="2">
        <v>8.0</v>
      </c>
      <c r="E1882" s="2">
        <v>1991.0</v>
      </c>
      <c r="F1882" s="2" t="s">
        <v>10</v>
      </c>
      <c r="G1882" s="2">
        <v>1150000.0</v>
      </c>
    </row>
    <row r="1883" ht="14.25" customHeight="1">
      <c r="A1883" s="1" t="s">
        <v>1636</v>
      </c>
      <c r="B1883" s="1" t="s">
        <v>20</v>
      </c>
      <c r="C1883" s="2" t="s">
        <v>1637</v>
      </c>
      <c r="D1883" s="2">
        <v>8.0</v>
      </c>
      <c r="E1883" s="2">
        <v>1991.0</v>
      </c>
      <c r="F1883" s="2" t="s">
        <v>10</v>
      </c>
      <c r="G1883" s="2">
        <v>1800000.0</v>
      </c>
    </row>
    <row r="1884" ht="14.25" customHeight="1">
      <c r="A1884" s="1" t="s">
        <v>1636</v>
      </c>
      <c r="B1884" s="1" t="s">
        <v>20</v>
      </c>
      <c r="C1884" s="2" t="s">
        <v>1637</v>
      </c>
      <c r="D1884" s="2">
        <v>8.0</v>
      </c>
      <c r="E1884" s="2">
        <v>1991.0</v>
      </c>
      <c r="F1884" s="2" t="s">
        <v>10</v>
      </c>
      <c r="G1884" s="2">
        <v>1790000.0</v>
      </c>
    </row>
    <row r="1885" ht="14.25" customHeight="1">
      <c r="A1885" s="1" t="s">
        <v>1636</v>
      </c>
      <c r="B1885" s="1" t="s">
        <v>20</v>
      </c>
      <c r="C1885" s="2" t="s">
        <v>1637</v>
      </c>
      <c r="D1885" s="2">
        <v>8.0</v>
      </c>
      <c r="E1885" s="2">
        <v>1991.0</v>
      </c>
      <c r="F1885" s="2" t="s">
        <v>10</v>
      </c>
      <c r="G1885" s="2">
        <v>2740000.0</v>
      </c>
    </row>
    <row r="1886" ht="14.25" customHeight="1">
      <c r="A1886" s="1" t="s">
        <v>1638</v>
      </c>
      <c r="B1886" s="1" t="s">
        <v>20</v>
      </c>
      <c r="C1886" s="2" t="s">
        <v>55</v>
      </c>
      <c r="D1886" s="2">
        <v>8.0</v>
      </c>
      <c r="E1886" s="2">
        <v>1992.0</v>
      </c>
      <c r="F1886" s="2" t="s">
        <v>10</v>
      </c>
      <c r="G1886" s="2" t="s">
        <v>10</v>
      </c>
    </row>
    <row r="1887" ht="14.25" customHeight="1">
      <c r="A1887" s="1" t="s">
        <v>1639</v>
      </c>
      <c r="B1887" s="1" t="s">
        <v>20</v>
      </c>
      <c r="C1887" s="2" t="s">
        <v>78</v>
      </c>
      <c r="D1887" s="2">
        <v>8.0</v>
      </c>
      <c r="E1887" s="2">
        <v>2003.0</v>
      </c>
      <c r="F1887" s="2" t="s">
        <v>10</v>
      </c>
      <c r="G1887" s="2" t="s">
        <v>10</v>
      </c>
    </row>
    <row r="1888" ht="14.25" customHeight="1">
      <c r="A1888" s="1" t="s">
        <v>1640</v>
      </c>
      <c r="B1888" s="1" t="s">
        <v>20</v>
      </c>
      <c r="C1888" s="2" t="s">
        <v>1187</v>
      </c>
      <c r="D1888" s="2">
        <v>8.0</v>
      </c>
      <c r="E1888" s="2">
        <v>1987.0</v>
      </c>
      <c r="F1888" s="2" t="s">
        <v>10</v>
      </c>
      <c r="G1888" s="2" t="s">
        <v>10</v>
      </c>
    </row>
    <row r="1889" ht="14.25" customHeight="1">
      <c r="A1889" s="1" t="s">
        <v>1641</v>
      </c>
      <c r="B1889" s="1" t="s">
        <v>20</v>
      </c>
      <c r="C1889" s="2" t="s">
        <v>32</v>
      </c>
      <c r="D1889" s="2">
        <v>8.0</v>
      </c>
      <c r="E1889" s="2">
        <v>1979.0</v>
      </c>
      <c r="F1889" s="2">
        <v>1979.0</v>
      </c>
      <c r="G1889" s="2" t="s">
        <v>10</v>
      </c>
    </row>
    <row r="1890" ht="14.25" customHeight="1">
      <c r="A1890" s="1" t="s">
        <v>1642</v>
      </c>
      <c r="B1890" s="1" t="s">
        <v>20</v>
      </c>
      <c r="C1890" s="2" t="s">
        <v>55</v>
      </c>
      <c r="D1890" s="2">
        <v>8.0</v>
      </c>
      <c r="E1890" s="2">
        <v>2020.0</v>
      </c>
      <c r="F1890" s="2" t="s">
        <v>10</v>
      </c>
      <c r="G1890" s="2" t="s">
        <v>10</v>
      </c>
    </row>
    <row r="1891" ht="14.25" customHeight="1">
      <c r="A1891" s="1" t="s">
        <v>1643</v>
      </c>
      <c r="B1891" s="1" t="s">
        <v>8</v>
      </c>
      <c r="C1891" s="2" t="s">
        <v>325</v>
      </c>
      <c r="D1891" s="2">
        <v>8.0</v>
      </c>
      <c r="E1891" s="2">
        <v>2016.0</v>
      </c>
      <c r="F1891" s="2">
        <v>2021.0</v>
      </c>
      <c r="G1891" s="2">
        <v>1.673E7</v>
      </c>
    </row>
    <row r="1892" ht="14.25" customHeight="1">
      <c r="A1892" s="1" t="s">
        <v>1643</v>
      </c>
      <c r="B1892" s="1" t="s">
        <v>8</v>
      </c>
      <c r="C1892" s="2" t="s">
        <v>325</v>
      </c>
      <c r="D1892" s="2">
        <v>8.0</v>
      </c>
      <c r="E1892" s="2">
        <v>2016.0</v>
      </c>
      <c r="F1892" s="2">
        <v>2021.0</v>
      </c>
      <c r="G1892" s="2">
        <v>2.511E7</v>
      </c>
    </row>
    <row r="1893" ht="14.25" customHeight="1">
      <c r="A1893" s="1" t="s">
        <v>1643</v>
      </c>
      <c r="B1893" s="1" t="s">
        <v>8</v>
      </c>
      <c r="C1893" s="2" t="s">
        <v>325</v>
      </c>
      <c r="D1893" s="2">
        <v>8.0</v>
      </c>
      <c r="E1893" s="2">
        <v>2016.0</v>
      </c>
      <c r="F1893" s="2">
        <v>2021.0</v>
      </c>
      <c r="G1893" s="2">
        <v>4.299E7</v>
      </c>
    </row>
    <row r="1894" ht="14.25" customHeight="1">
      <c r="A1894" s="1" t="s">
        <v>1643</v>
      </c>
      <c r="B1894" s="1" t="s">
        <v>8</v>
      </c>
      <c r="C1894" s="2" t="s">
        <v>325</v>
      </c>
      <c r="D1894" s="2">
        <v>8.0</v>
      </c>
      <c r="E1894" s="2">
        <v>2016.0</v>
      </c>
      <c r="F1894" s="2">
        <v>2021.0</v>
      </c>
      <c r="G1894" s="2">
        <v>1.218E7</v>
      </c>
    </row>
    <row r="1895" ht="14.25" customHeight="1">
      <c r="A1895" s="1" t="s">
        <v>1643</v>
      </c>
      <c r="B1895" s="1" t="s">
        <v>8</v>
      </c>
      <c r="C1895" s="2" t="s">
        <v>325</v>
      </c>
      <c r="D1895" s="2">
        <v>8.0</v>
      </c>
      <c r="E1895" s="2">
        <v>2016.0</v>
      </c>
      <c r="F1895" s="2">
        <v>2021.0</v>
      </c>
      <c r="G1895" s="2">
        <v>9.814E7</v>
      </c>
    </row>
    <row r="1896" ht="14.25" customHeight="1">
      <c r="A1896" s="1" t="s">
        <v>1643</v>
      </c>
      <c r="B1896" s="1" t="s">
        <v>8</v>
      </c>
      <c r="C1896" s="2" t="s">
        <v>325</v>
      </c>
      <c r="D1896" s="2">
        <v>8.0</v>
      </c>
      <c r="E1896" s="2">
        <v>2016.0</v>
      </c>
      <c r="F1896" s="2">
        <v>2021.0</v>
      </c>
      <c r="G1896" s="2">
        <v>1.624E7</v>
      </c>
    </row>
    <row r="1897" ht="14.25" customHeight="1">
      <c r="A1897" s="1" t="s">
        <v>1643</v>
      </c>
      <c r="B1897" s="1" t="s">
        <v>8</v>
      </c>
      <c r="C1897" s="2" t="s">
        <v>325</v>
      </c>
      <c r="D1897" s="2">
        <v>8.0</v>
      </c>
      <c r="E1897" s="2">
        <v>2016.0</v>
      </c>
      <c r="F1897" s="2">
        <v>2021.0</v>
      </c>
      <c r="G1897" s="2">
        <v>1.156E7</v>
      </c>
    </row>
    <row r="1898" ht="14.25" customHeight="1">
      <c r="A1898" s="1" t="s">
        <v>1643</v>
      </c>
      <c r="B1898" s="1" t="s">
        <v>8</v>
      </c>
      <c r="C1898" s="2" t="s">
        <v>325</v>
      </c>
      <c r="D1898" s="2">
        <v>8.0</v>
      </c>
      <c r="E1898" s="2">
        <v>2016.0</v>
      </c>
      <c r="F1898" s="2">
        <v>2021.0</v>
      </c>
      <c r="G1898" s="2">
        <v>7.594E7</v>
      </c>
    </row>
    <row r="1899" ht="14.25" customHeight="1">
      <c r="A1899" s="1" t="s">
        <v>1643</v>
      </c>
      <c r="B1899" s="1" t="s">
        <v>8</v>
      </c>
      <c r="C1899" s="2" t="s">
        <v>325</v>
      </c>
      <c r="D1899" s="2">
        <v>8.0</v>
      </c>
      <c r="E1899" s="2">
        <v>2016.0</v>
      </c>
      <c r="F1899" s="2">
        <v>2021.0</v>
      </c>
      <c r="G1899" s="2">
        <v>1.226E7</v>
      </c>
    </row>
    <row r="1900" ht="14.25" customHeight="1">
      <c r="A1900" s="1" t="s">
        <v>1643</v>
      </c>
      <c r="B1900" s="1" t="s">
        <v>8</v>
      </c>
      <c r="C1900" s="2" t="s">
        <v>325</v>
      </c>
      <c r="D1900" s="2">
        <v>8.0</v>
      </c>
      <c r="E1900" s="2">
        <v>2016.0</v>
      </c>
      <c r="F1900" s="2">
        <v>2021.0</v>
      </c>
      <c r="G1900" s="2">
        <v>1.344E7</v>
      </c>
    </row>
    <row r="1901" ht="14.25" customHeight="1">
      <c r="A1901" s="1" t="s">
        <v>1643</v>
      </c>
      <c r="B1901" s="1" t="s">
        <v>8</v>
      </c>
      <c r="C1901" s="2" t="s">
        <v>325</v>
      </c>
      <c r="D1901" s="2">
        <v>8.0</v>
      </c>
      <c r="E1901" s="2">
        <v>2016.0</v>
      </c>
      <c r="F1901" s="2">
        <v>2021.0</v>
      </c>
      <c r="G1901" s="2">
        <v>1.689E7</v>
      </c>
    </row>
    <row r="1902" ht="14.25" customHeight="1">
      <c r="A1902" s="1" t="s">
        <v>1643</v>
      </c>
      <c r="B1902" s="1" t="s">
        <v>8</v>
      </c>
      <c r="C1902" s="2" t="s">
        <v>325</v>
      </c>
      <c r="D1902" s="2">
        <v>8.0</v>
      </c>
      <c r="E1902" s="2">
        <v>2016.0</v>
      </c>
      <c r="F1902" s="2">
        <v>2021.0</v>
      </c>
      <c r="G1902" s="2">
        <v>9550000.0</v>
      </c>
    </row>
    <row r="1903" ht="14.25" customHeight="1">
      <c r="A1903" s="1" t="s">
        <v>1644</v>
      </c>
      <c r="B1903" s="1" t="s">
        <v>20</v>
      </c>
      <c r="C1903" s="2" t="s">
        <v>18</v>
      </c>
      <c r="D1903" s="2">
        <v>8.0</v>
      </c>
      <c r="E1903" s="2">
        <v>1992.0</v>
      </c>
      <c r="F1903" s="2" t="s">
        <v>10</v>
      </c>
      <c r="G1903" s="2" t="s">
        <v>10</v>
      </c>
    </row>
    <row r="1904" ht="14.25" customHeight="1">
      <c r="A1904" s="1" t="s">
        <v>1645</v>
      </c>
      <c r="B1904" s="1" t="s">
        <v>20</v>
      </c>
      <c r="C1904" s="2" t="s">
        <v>18</v>
      </c>
      <c r="D1904" s="2">
        <v>8.0</v>
      </c>
      <c r="E1904" s="2">
        <v>1999.0</v>
      </c>
      <c r="F1904" s="2">
        <v>1999.0</v>
      </c>
      <c r="G1904" s="2" t="s">
        <v>10</v>
      </c>
    </row>
    <row r="1905" ht="14.25" customHeight="1">
      <c r="A1905" s="1" t="s">
        <v>1646</v>
      </c>
      <c r="B1905" s="1" t="s">
        <v>8</v>
      </c>
      <c r="C1905" s="2" t="s">
        <v>530</v>
      </c>
      <c r="D1905" s="2">
        <v>8.0</v>
      </c>
      <c r="E1905" s="2">
        <v>2013.0</v>
      </c>
      <c r="F1905" s="2">
        <v>2019.0</v>
      </c>
      <c r="G1905" s="2" t="s">
        <v>10</v>
      </c>
    </row>
    <row r="1906" ht="14.25" customHeight="1">
      <c r="A1906" s="1" t="s">
        <v>1647</v>
      </c>
      <c r="B1906" s="1" t="s">
        <v>20</v>
      </c>
      <c r="C1906" s="2" t="s">
        <v>157</v>
      </c>
      <c r="D1906" s="2">
        <v>8.0</v>
      </c>
      <c r="E1906" s="2">
        <v>1990.0</v>
      </c>
      <c r="F1906" s="2">
        <v>1990.0</v>
      </c>
      <c r="G1906" s="2" t="s">
        <v>10</v>
      </c>
    </row>
    <row r="1907" ht="14.25" customHeight="1">
      <c r="A1907" s="1" t="s">
        <v>1648</v>
      </c>
      <c r="B1907" s="1" t="s">
        <v>20</v>
      </c>
      <c r="C1907" s="2" t="s">
        <v>187</v>
      </c>
      <c r="D1907" s="2">
        <v>8.0</v>
      </c>
      <c r="E1907" s="2">
        <v>1967.0</v>
      </c>
      <c r="F1907" s="2" t="s">
        <v>10</v>
      </c>
      <c r="G1907" s="2" t="s">
        <v>10</v>
      </c>
    </row>
    <row r="1908" ht="14.25" customHeight="1">
      <c r="A1908" s="1" t="s">
        <v>1649</v>
      </c>
      <c r="B1908" s="1" t="s">
        <v>20</v>
      </c>
      <c r="C1908" s="2" t="s">
        <v>118</v>
      </c>
      <c r="D1908" s="2">
        <v>8.0</v>
      </c>
      <c r="E1908" s="2">
        <v>1977.0</v>
      </c>
      <c r="F1908" s="2" t="s">
        <v>10</v>
      </c>
      <c r="G1908" s="2" t="s">
        <v>10</v>
      </c>
    </row>
    <row r="1909" ht="14.25" customHeight="1">
      <c r="A1909" s="1" t="s">
        <v>1650</v>
      </c>
      <c r="B1909" s="1" t="s">
        <v>20</v>
      </c>
      <c r="C1909" s="2" t="s">
        <v>40</v>
      </c>
      <c r="D1909" s="2">
        <v>8.0</v>
      </c>
      <c r="E1909" s="2">
        <v>1975.0</v>
      </c>
      <c r="F1909" s="2" t="s">
        <v>10</v>
      </c>
      <c r="G1909" s="2" t="s">
        <v>10</v>
      </c>
    </row>
    <row r="1910" ht="14.25" customHeight="1">
      <c r="A1910" s="1" t="s">
        <v>1651</v>
      </c>
      <c r="B1910" s="1" t="s">
        <v>20</v>
      </c>
      <c r="C1910" s="2" t="s">
        <v>299</v>
      </c>
      <c r="D1910" s="2">
        <v>8.0</v>
      </c>
      <c r="E1910" s="2">
        <v>2000.0</v>
      </c>
      <c r="F1910" s="2" t="s">
        <v>10</v>
      </c>
      <c r="G1910" s="2">
        <v>1450000.0</v>
      </c>
    </row>
    <row r="1911" ht="14.25" customHeight="1">
      <c r="A1911" s="1" t="s">
        <v>1652</v>
      </c>
      <c r="B1911" s="1" t="s">
        <v>20</v>
      </c>
      <c r="C1911" s="2" t="s">
        <v>169</v>
      </c>
      <c r="D1911" s="2">
        <v>8.0</v>
      </c>
      <c r="E1911" s="2">
        <v>2016.0</v>
      </c>
      <c r="F1911" s="2" t="s">
        <v>10</v>
      </c>
      <c r="G1911" s="2" t="s">
        <v>10</v>
      </c>
    </row>
    <row r="1912" ht="14.25" customHeight="1">
      <c r="A1912" s="1" t="s">
        <v>1653</v>
      </c>
      <c r="B1912" s="1" t="s">
        <v>20</v>
      </c>
      <c r="C1912" s="2" t="s">
        <v>621</v>
      </c>
      <c r="D1912" s="2">
        <v>8.0</v>
      </c>
      <c r="E1912" s="2">
        <v>1968.0</v>
      </c>
      <c r="F1912" s="2">
        <v>1968.0</v>
      </c>
      <c r="G1912" s="2" t="s">
        <v>10</v>
      </c>
    </row>
    <row r="1913" ht="14.25" customHeight="1">
      <c r="A1913" s="1" t="s">
        <v>1654</v>
      </c>
      <c r="B1913" s="1" t="s">
        <v>20</v>
      </c>
      <c r="C1913" s="2" t="s">
        <v>80</v>
      </c>
      <c r="D1913" s="2">
        <v>8.0</v>
      </c>
      <c r="E1913" s="2">
        <v>1982.0</v>
      </c>
      <c r="F1913" s="2" t="s">
        <v>10</v>
      </c>
      <c r="G1913" s="2" t="s">
        <v>10</v>
      </c>
    </row>
    <row r="1914" ht="14.25" customHeight="1">
      <c r="A1914" s="1" t="s">
        <v>1655</v>
      </c>
      <c r="B1914" s="1" t="s">
        <v>20</v>
      </c>
      <c r="C1914" s="2" t="s">
        <v>833</v>
      </c>
      <c r="D1914" s="2">
        <v>8.0</v>
      </c>
      <c r="E1914" s="2">
        <v>2008.0</v>
      </c>
      <c r="F1914" s="2">
        <v>2008.0</v>
      </c>
      <c r="G1914" s="2" t="s">
        <v>10</v>
      </c>
    </row>
    <row r="1915" ht="14.25" customHeight="1">
      <c r="A1915" s="1" t="s">
        <v>1656</v>
      </c>
      <c r="B1915" s="1" t="s">
        <v>8</v>
      </c>
      <c r="C1915" s="2" t="s">
        <v>69</v>
      </c>
      <c r="D1915" s="2">
        <v>8.0</v>
      </c>
      <c r="E1915" s="2">
        <v>2022.0</v>
      </c>
      <c r="F1915" s="2" t="s">
        <v>10</v>
      </c>
      <c r="G1915" s="2" t="s">
        <v>10</v>
      </c>
    </row>
    <row r="1916" ht="14.25" customHeight="1">
      <c r="A1916" s="1" t="s">
        <v>1657</v>
      </c>
      <c r="B1916" s="1" t="s">
        <v>20</v>
      </c>
      <c r="C1916" s="2" t="s">
        <v>40</v>
      </c>
      <c r="D1916" s="2">
        <v>8.0</v>
      </c>
      <c r="E1916" s="2">
        <v>1969.0</v>
      </c>
      <c r="F1916" s="2" t="s">
        <v>10</v>
      </c>
      <c r="G1916" s="2" t="s">
        <v>10</v>
      </c>
    </row>
    <row r="1917" ht="14.25" customHeight="1">
      <c r="A1917" s="1" t="s">
        <v>1658</v>
      </c>
      <c r="B1917" s="1" t="s">
        <v>8</v>
      </c>
      <c r="C1917" s="2" t="s">
        <v>963</v>
      </c>
      <c r="D1917" s="2">
        <v>8.0</v>
      </c>
      <c r="E1917" s="2">
        <v>2017.0</v>
      </c>
      <c r="F1917" s="2">
        <v>2019.0</v>
      </c>
      <c r="G1917" s="2" t="s">
        <v>10</v>
      </c>
    </row>
    <row r="1918" ht="14.25" customHeight="1">
      <c r="A1918" s="1" t="s">
        <v>1659</v>
      </c>
      <c r="B1918" s="1" t="s">
        <v>8</v>
      </c>
      <c r="C1918" s="2" t="s">
        <v>63</v>
      </c>
      <c r="D1918" s="2">
        <v>8.0</v>
      </c>
      <c r="E1918" s="2">
        <v>2021.0</v>
      </c>
      <c r="F1918" s="2" t="s">
        <v>10</v>
      </c>
      <c r="G1918" s="2" t="s">
        <v>10</v>
      </c>
    </row>
    <row r="1919" ht="14.25" customHeight="1">
      <c r="A1919" s="1" t="s">
        <v>1660</v>
      </c>
      <c r="B1919" s="1" t="s">
        <v>20</v>
      </c>
      <c r="C1919" s="2" t="s">
        <v>597</v>
      </c>
      <c r="D1919" s="2">
        <v>8.0</v>
      </c>
      <c r="E1919" s="2">
        <v>1988.0</v>
      </c>
      <c r="F1919" s="2" t="s">
        <v>10</v>
      </c>
      <c r="G1919" s="2" t="s">
        <v>10</v>
      </c>
    </row>
    <row r="1920" ht="14.25" customHeight="1">
      <c r="A1920" s="1" t="s">
        <v>1661</v>
      </c>
      <c r="B1920" s="1" t="s">
        <v>20</v>
      </c>
      <c r="C1920" s="2" t="s">
        <v>806</v>
      </c>
      <c r="D1920" s="2">
        <v>8.0</v>
      </c>
      <c r="E1920" s="2">
        <v>1968.0</v>
      </c>
      <c r="F1920" s="2" t="s">
        <v>10</v>
      </c>
      <c r="G1920" s="2" t="s">
        <v>10</v>
      </c>
    </row>
    <row r="1921" ht="14.25" customHeight="1">
      <c r="A1921" s="1" t="s">
        <v>1662</v>
      </c>
      <c r="B1921" s="1" t="s">
        <v>20</v>
      </c>
      <c r="C1921" s="2" t="s">
        <v>1240</v>
      </c>
      <c r="D1921" s="2">
        <v>8.0</v>
      </c>
      <c r="E1921" s="2">
        <v>2005.0</v>
      </c>
      <c r="F1921" s="2" t="s">
        <v>10</v>
      </c>
      <c r="G1921" s="2" t="s">
        <v>10</v>
      </c>
    </row>
    <row r="1922" ht="14.25" customHeight="1">
      <c r="A1922" s="1" t="s">
        <v>1663</v>
      </c>
      <c r="B1922" s="1" t="s">
        <v>20</v>
      </c>
      <c r="C1922" s="2" t="s">
        <v>53</v>
      </c>
      <c r="D1922" s="2">
        <v>8.0</v>
      </c>
      <c r="E1922" s="2">
        <v>2016.0</v>
      </c>
      <c r="F1922" s="2">
        <v>2016.0</v>
      </c>
      <c r="G1922" s="2" t="s">
        <v>10</v>
      </c>
    </row>
    <row r="1923" ht="14.25" customHeight="1">
      <c r="A1923" s="1" t="s">
        <v>1664</v>
      </c>
      <c r="B1923" s="1" t="s">
        <v>20</v>
      </c>
      <c r="C1923" s="2" t="s">
        <v>36</v>
      </c>
      <c r="D1923" s="2">
        <v>8.0</v>
      </c>
      <c r="E1923" s="2">
        <v>1967.0</v>
      </c>
      <c r="F1923" s="2">
        <v>1967.0</v>
      </c>
      <c r="G1923" s="2" t="s">
        <v>10</v>
      </c>
    </row>
    <row r="1924" ht="14.25" customHeight="1">
      <c r="A1924" s="1" t="s">
        <v>1665</v>
      </c>
      <c r="B1924" s="1" t="s">
        <v>20</v>
      </c>
      <c r="C1924" s="2" t="s">
        <v>328</v>
      </c>
      <c r="D1924" s="2">
        <v>8.0</v>
      </c>
      <c r="E1924" s="2">
        <v>1986.0</v>
      </c>
      <c r="F1924" s="2" t="s">
        <v>10</v>
      </c>
      <c r="G1924" s="2" t="s">
        <v>10</v>
      </c>
    </row>
    <row r="1925" ht="14.25" customHeight="1">
      <c r="A1925" s="1" t="s">
        <v>1666</v>
      </c>
      <c r="B1925" s="1" t="s">
        <v>20</v>
      </c>
      <c r="C1925" s="2" t="s">
        <v>1667</v>
      </c>
      <c r="D1925" s="2">
        <v>8.0</v>
      </c>
      <c r="E1925" s="2">
        <v>1984.0</v>
      </c>
      <c r="F1925" s="2" t="s">
        <v>10</v>
      </c>
      <c r="G1925" s="2" t="s">
        <v>10</v>
      </c>
    </row>
    <row r="1926" ht="14.25" customHeight="1">
      <c r="A1926" s="1" t="s">
        <v>1668</v>
      </c>
      <c r="B1926" s="1" t="s">
        <v>8</v>
      </c>
      <c r="C1926" s="2" t="s">
        <v>611</v>
      </c>
      <c r="D1926" s="2">
        <v>8.0</v>
      </c>
      <c r="E1926" s="2">
        <v>2018.0</v>
      </c>
      <c r="F1926" s="2" t="s">
        <v>10</v>
      </c>
      <c r="G1926" s="2" t="s">
        <v>10</v>
      </c>
    </row>
    <row r="1927" ht="14.25" customHeight="1">
      <c r="A1927" s="1" t="s">
        <v>1669</v>
      </c>
      <c r="B1927" s="1" t="s">
        <v>20</v>
      </c>
      <c r="C1927" s="2" t="s">
        <v>22</v>
      </c>
      <c r="D1927" s="2">
        <v>8.0</v>
      </c>
      <c r="E1927" s="2">
        <v>1991.0</v>
      </c>
      <c r="F1927" s="2" t="s">
        <v>10</v>
      </c>
      <c r="G1927" s="2" t="s">
        <v>10</v>
      </c>
    </row>
    <row r="1928" ht="14.25" customHeight="1">
      <c r="A1928" s="1" t="s">
        <v>1670</v>
      </c>
      <c r="B1928" s="1" t="s">
        <v>20</v>
      </c>
      <c r="C1928" s="2" t="s">
        <v>32</v>
      </c>
      <c r="D1928" s="2">
        <v>8.0</v>
      </c>
      <c r="E1928" s="2">
        <v>1974.0</v>
      </c>
      <c r="F1928" s="2" t="s">
        <v>10</v>
      </c>
      <c r="G1928" s="2" t="s">
        <v>10</v>
      </c>
    </row>
    <row r="1929" ht="14.25" customHeight="1">
      <c r="A1929" s="1" t="s">
        <v>1671</v>
      </c>
      <c r="B1929" s="1" t="s">
        <v>20</v>
      </c>
      <c r="C1929" s="2" t="s">
        <v>361</v>
      </c>
      <c r="D1929" s="2">
        <v>8.0</v>
      </c>
      <c r="E1929" s="2">
        <v>2021.0</v>
      </c>
      <c r="F1929" s="2" t="s">
        <v>10</v>
      </c>
      <c r="G1929" s="2" t="s">
        <v>10</v>
      </c>
    </row>
    <row r="1930" ht="14.25" customHeight="1">
      <c r="A1930" s="1" t="s">
        <v>1672</v>
      </c>
      <c r="B1930" s="1" t="s">
        <v>20</v>
      </c>
      <c r="C1930" s="2" t="s">
        <v>36</v>
      </c>
      <c r="D1930" s="2">
        <v>8.0</v>
      </c>
      <c r="E1930" s="2">
        <v>2003.0</v>
      </c>
      <c r="F1930" s="2" t="s">
        <v>10</v>
      </c>
      <c r="G1930" s="2" t="s">
        <v>10</v>
      </c>
    </row>
    <row r="1931" ht="14.25" customHeight="1">
      <c r="A1931" s="1" t="s">
        <v>1673</v>
      </c>
      <c r="B1931" s="1" t="s">
        <v>8</v>
      </c>
      <c r="C1931" s="2" t="s">
        <v>9</v>
      </c>
      <c r="D1931" s="2">
        <v>8.0</v>
      </c>
      <c r="E1931" s="2">
        <v>2018.0</v>
      </c>
      <c r="F1931" s="2">
        <v>2011.0</v>
      </c>
      <c r="G1931" s="2" t="s">
        <v>10</v>
      </c>
    </row>
    <row r="1932" ht="14.25" customHeight="1">
      <c r="A1932" s="1" t="s">
        <v>1674</v>
      </c>
      <c r="B1932" s="1" t="s">
        <v>20</v>
      </c>
      <c r="C1932" s="2" t="s">
        <v>187</v>
      </c>
      <c r="D1932" s="2">
        <v>8.0</v>
      </c>
      <c r="E1932" s="2">
        <v>1953.0</v>
      </c>
      <c r="F1932" s="2" t="s">
        <v>10</v>
      </c>
      <c r="G1932" s="2" t="s">
        <v>10</v>
      </c>
    </row>
    <row r="1933" ht="14.25" customHeight="1">
      <c r="A1933" s="1" t="s">
        <v>1675</v>
      </c>
      <c r="B1933" s="1" t="s">
        <v>20</v>
      </c>
      <c r="C1933" s="2" t="s">
        <v>1676</v>
      </c>
      <c r="D1933" s="2">
        <v>8.0</v>
      </c>
      <c r="E1933" s="2">
        <v>2002.0</v>
      </c>
      <c r="F1933" s="2" t="s">
        <v>10</v>
      </c>
      <c r="G1933" s="2" t="s">
        <v>10</v>
      </c>
    </row>
    <row r="1934" ht="14.25" customHeight="1">
      <c r="A1934" s="1" t="s">
        <v>1677</v>
      </c>
      <c r="B1934" s="1" t="s">
        <v>20</v>
      </c>
      <c r="C1934" s="2" t="s">
        <v>838</v>
      </c>
      <c r="D1934" s="2">
        <v>8.0</v>
      </c>
      <c r="E1934" s="2">
        <v>1979.0</v>
      </c>
      <c r="F1934" s="2" t="s">
        <v>10</v>
      </c>
      <c r="G1934" s="2" t="s">
        <v>10</v>
      </c>
    </row>
    <row r="1935" ht="14.25" customHeight="1">
      <c r="A1935" s="1" t="s">
        <v>1678</v>
      </c>
      <c r="B1935" s="1" t="s">
        <v>8</v>
      </c>
      <c r="C1935" s="2" t="s">
        <v>217</v>
      </c>
      <c r="D1935" s="2">
        <v>8.0</v>
      </c>
      <c r="E1935" s="2">
        <v>2024.0</v>
      </c>
      <c r="F1935" s="2" t="s">
        <v>10</v>
      </c>
      <c r="G1935" s="2">
        <v>8610000.0</v>
      </c>
    </row>
    <row r="1936" ht="14.25" customHeight="1">
      <c r="A1936" s="1" t="s">
        <v>1679</v>
      </c>
      <c r="B1936" s="1" t="s">
        <v>8</v>
      </c>
      <c r="C1936" s="2" t="s">
        <v>63</v>
      </c>
      <c r="D1936" s="2">
        <v>8.0</v>
      </c>
      <c r="E1936" s="2">
        <v>2023.0</v>
      </c>
      <c r="F1936" s="2" t="s">
        <v>10</v>
      </c>
      <c r="G1936" s="2">
        <v>1.479E7</v>
      </c>
    </row>
    <row r="1937" ht="14.25" customHeight="1">
      <c r="A1937" s="1" t="s">
        <v>1679</v>
      </c>
      <c r="B1937" s="1" t="s">
        <v>8</v>
      </c>
      <c r="C1937" s="2" t="s">
        <v>63</v>
      </c>
      <c r="D1937" s="2">
        <v>8.0</v>
      </c>
      <c r="E1937" s="2">
        <v>2023.0</v>
      </c>
      <c r="F1937" s="2" t="s">
        <v>10</v>
      </c>
      <c r="G1937" s="2">
        <v>2.448E7</v>
      </c>
    </row>
    <row r="1938" ht="14.25" customHeight="1">
      <c r="A1938" s="1" t="s">
        <v>1679</v>
      </c>
      <c r="B1938" s="1" t="s">
        <v>8</v>
      </c>
      <c r="C1938" s="2" t="s">
        <v>63</v>
      </c>
      <c r="D1938" s="2">
        <v>8.0</v>
      </c>
      <c r="E1938" s="2">
        <v>2023.0</v>
      </c>
      <c r="F1938" s="2" t="s">
        <v>10</v>
      </c>
      <c r="G1938" s="2">
        <v>4.281E7</v>
      </c>
    </row>
    <row r="1939" ht="14.25" customHeight="1">
      <c r="A1939" s="1" t="s">
        <v>1679</v>
      </c>
      <c r="B1939" s="1" t="s">
        <v>8</v>
      </c>
      <c r="C1939" s="2" t="s">
        <v>63</v>
      </c>
      <c r="D1939" s="2">
        <v>8.0</v>
      </c>
      <c r="E1939" s="2">
        <v>2023.0</v>
      </c>
      <c r="F1939" s="2" t="s">
        <v>10</v>
      </c>
      <c r="G1939" s="2">
        <v>7.038E7</v>
      </c>
    </row>
    <row r="1940" ht="14.25" customHeight="1">
      <c r="A1940" s="1" t="s">
        <v>1679</v>
      </c>
      <c r="B1940" s="1" t="s">
        <v>8</v>
      </c>
      <c r="C1940" s="2" t="s">
        <v>63</v>
      </c>
      <c r="D1940" s="2">
        <v>8.0</v>
      </c>
      <c r="E1940" s="2">
        <v>2023.0</v>
      </c>
      <c r="F1940" s="2" t="s">
        <v>10</v>
      </c>
      <c r="G1940" s="2">
        <v>3.408E7</v>
      </c>
    </row>
    <row r="1941" ht="14.25" customHeight="1">
      <c r="A1941" s="1" t="s">
        <v>1680</v>
      </c>
      <c r="B1941" s="1" t="s">
        <v>20</v>
      </c>
      <c r="C1941" s="2" t="s">
        <v>339</v>
      </c>
      <c r="D1941" s="2">
        <v>8.0</v>
      </c>
      <c r="E1941" s="2">
        <v>2015.0</v>
      </c>
      <c r="F1941" s="2" t="s">
        <v>10</v>
      </c>
      <c r="G1941" s="2" t="s">
        <v>10</v>
      </c>
    </row>
    <row r="1942" ht="14.25" customHeight="1">
      <c r="A1942" s="1" t="s">
        <v>1681</v>
      </c>
      <c r="B1942" s="1" t="s">
        <v>20</v>
      </c>
      <c r="C1942" s="2" t="s">
        <v>40</v>
      </c>
      <c r="D1942" s="2">
        <v>8.0</v>
      </c>
      <c r="E1942" s="2">
        <v>1973.0</v>
      </c>
      <c r="F1942" s="2" t="s">
        <v>10</v>
      </c>
      <c r="G1942" s="2" t="s">
        <v>10</v>
      </c>
    </row>
    <row r="1943" ht="14.25" customHeight="1">
      <c r="A1943" s="1" t="s">
        <v>98</v>
      </c>
      <c r="B1943" s="1" t="s">
        <v>20</v>
      </c>
      <c r="C1943" s="2" t="s">
        <v>299</v>
      </c>
      <c r="D1943" s="2">
        <v>8.0</v>
      </c>
      <c r="E1943" s="2">
        <v>1966.0</v>
      </c>
      <c r="F1943" s="2">
        <v>2019.0</v>
      </c>
      <c r="G1943" s="2" t="s">
        <v>10</v>
      </c>
    </row>
    <row r="1944" ht="14.25" customHeight="1">
      <c r="A1944" s="1" t="s">
        <v>1682</v>
      </c>
      <c r="B1944" s="1" t="s">
        <v>20</v>
      </c>
      <c r="C1944" s="2" t="s">
        <v>53</v>
      </c>
      <c r="D1944" s="2">
        <v>8.0</v>
      </c>
      <c r="E1944" s="2">
        <v>2002.0</v>
      </c>
      <c r="F1944" s="2" t="s">
        <v>10</v>
      </c>
      <c r="G1944" s="2" t="s">
        <v>10</v>
      </c>
    </row>
    <row r="1945" ht="14.25" customHeight="1">
      <c r="A1945" s="1" t="s">
        <v>1683</v>
      </c>
      <c r="B1945" s="1" t="s">
        <v>8</v>
      </c>
      <c r="C1945" s="2" t="s">
        <v>53</v>
      </c>
      <c r="D1945" s="2">
        <v>8.0</v>
      </c>
      <c r="E1945" s="2">
        <v>2009.0</v>
      </c>
      <c r="F1945" s="2" t="s">
        <v>10</v>
      </c>
      <c r="G1945" s="2" t="s">
        <v>10</v>
      </c>
    </row>
    <row r="1946" ht="14.25" customHeight="1">
      <c r="A1946" s="1" t="s">
        <v>1684</v>
      </c>
      <c r="B1946" s="1" t="s">
        <v>20</v>
      </c>
      <c r="C1946" s="2" t="s">
        <v>36</v>
      </c>
      <c r="D1946" s="2">
        <v>8.0</v>
      </c>
      <c r="E1946" s="2">
        <v>1959.0</v>
      </c>
      <c r="F1946" s="2" t="s">
        <v>10</v>
      </c>
      <c r="G1946" s="2" t="s">
        <v>10</v>
      </c>
    </row>
    <row r="1947" ht="14.25" customHeight="1">
      <c r="A1947" s="1" t="s">
        <v>1685</v>
      </c>
      <c r="B1947" s="1" t="s">
        <v>20</v>
      </c>
      <c r="C1947" s="2" t="s">
        <v>18</v>
      </c>
      <c r="D1947" s="2">
        <v>8.0</v>
      </c>
      <c r="E1947" s="2">
        <v>1963.0</v>
      </c>
      <c r="F1947" s="2" t="s">
        <v>10</v>
      </c>
      <c r="G1947" s="2" t="s">
        <v>10</v>
      </c>
    </row>
    <row r="1948" ht="14.25" customHeight="1">
      <c r="A1948" s="1" t="s">
        <v>1686</v>
      </c>
      <c r="B1948" s="1" t="s">
        <v>8</v>
      </c>
      <c r="C1948" s="2" t="s">
        <v>53</v>
      </c>
      <c r="D1948" s="2">
        <v>8.0</v>
      </c>
      <c r="E1948" s="2">
        <v>2018.0</v>
      </c>
      <c r="F1948" s="2" t="s">
        <v>10</v>
      </c>
      <c r="G1948" s="2" t="s">
        <v>10</v>
      </c>
    </row>
    <row r="1949" ht="14.25" customHeight="1">
      <c r="A1949" s="1" t="s">
        <v>1687</v>
      </c>
      <c r="B1949" s="1" t="s">
        <v>8</v>
      </c>
      <c r="C1949" s="2" t="s">
        <v>18</v>
      </c>
      <c r="D1949" s="2">
        <v>8.0</v>
      </c>
      <c r="E1949" s="2">
        <v>2017.0</v>
      </c>
      <c r="F1949" s="2" t="s">
        <v>10</v>
      </c>
      <c r="G1949" s="2">
        <v>1.043E7</v>
      </c>
    </row>
    <row r="1950" ht="14.25" customHeight="1">
      <c r="A1950" s="1" t="s">
        <v>1687</v>
      </c>
      <c r="B1950" s="1" t="s">
        <v>8</v>
      </c>
      <c r="C1950" s="2" t="s">
        <v>18</v>
      </c>
      <c r="D1950" s="2">
        <v>8.0</v>
      </c>
      <c r="E1950" s="2">
        <v>2017.0</v>
      </c>
      <c r="F1950" s="2" t="s">
        <v>10</v>
      </c>
      <c r="G1950" s="2">
        <v>1.181E7</v>
      </c>
    </row>
    <row r="1951" ht="14.25" customHeight="1">
      <c r="A1951" s="1" t="s">
        <v>1687</v>
      </c>
      <c r="B1951" s="1" t="s">
        <v>8</v>
      </c>
      <c r="C1951" s="2" t="s">
        <v>18</v>
      </c>
      <c r="D1951" s="2">
        <v>8.0</v>
      </c>
      <c r="E1951" s="2">
        <v>2017.0</v>
      </c>
      <c r="F1951" s="2" t="s">
        <v>10</v>
      </c>
      <c r="G1951" s="2">
        <v>1.409E7</v>
      </c>
    </row>
    <row r="1952" ht="14.25" customHeight="1">
      <c r="A1952" s="1" t="s">
        <v>1687</v>
      </c>
      <c r="B1952" s="1" t="s">
        <v>8</v>
      </c>
      <c r="C1952" s="2" t="s">
        <v>18</v>
      </c>
      <c r="D1952" s="2">
        <v>8.0</v>
      </c>
      <c r="E1952" s="2">
        <v>2017.0</v>
      </c>
      <c r="F1952" s="2" t="s">
        <v>10</v>
      </c>
      <c r="G1952" s="2">
        <v>1.851E7</v>
      </c>
    </row>
    <row r="1953" ht="14.25" customHeight="1">
      <c r="A1953" s="1" t="s">
        <v>1687</v>
      </c>
      <c r="B1953" s="1" t="s">
        <v>8</v>
      </c>
      <c r="C1953" s="2" t="s">
        <v>18</v>
      </c>
      <c r="D1953" s="2">
        <v>8.0</v>
      </c>
      <c r="E1953" s="2">
        <v>2017.0</v>
      </c>
      <c r="F1953" s="2" t="s">
        <v>10</v>
      </c>
      <c r="G1953" s="2">
        <v>1.324E7</v>
      </c>
    </row>
    <row r="1954" ht="14.25" customHeight="1">
      <c r="A1954" s="1" t="s">
        <v>1687</v>
      </c>
      <c r="B1954" s="1" t="s">
        <v>8</v>
      </c>
      <c r="C1954" s="2" t="s">
        <v>18</v>
      </c>
      <c r="D1954" s="2">
        <v>8.0</v>
      </c>
      <c r="E1954" s="2">
        <v>2017.0</v>
      </c>
      <c r="F1954" s="2" t="s">
        <v>10</v>
      </c>
      <c r="G1954" s="2">
        <v>2.552E7</v>
      </c>
    </row>
    <row r="1955" ht="14.25" customHeight="1">
      <c r="A1955" s="1" t="s">
        <v>1687</v>
      </c>
      <c r="B1955" s="1" t="s">
        <v>8</v>
      </c>
      <c r="C1955" s="2" t="s">
        <v>18</v>
      </c>
      <c r="D1955" s="2">
        <v>8.0</v>
      </c>
      <c r="E1955" s="2">
        <v>2017.0</v>
      </c>
      <c r="F1955" s="2" t="s">
        <v>10</v>
      </c>
      <c r="G1955" s="2">
        <v>1.898E7</v>
      </c>
    </row>
    <row r="1956" ht="14.25" customHeight="1">
      <c r="A1956" s="1" t="s">
        <v>1688</v>
      </c>
      <c r="B1956" s="1" t="s">
        <v>8</v>
      </c>
      <c r="C1956" s="2" t="s">
        <v>284</v>
      </c>
      <c r="D1956" s="2">
        <v>8.0</v>
      </c>
      <c r="E1956" s="2">
        <v>2019.0</v>
      </c>
      <c r="F1956" s="2" t="s">
        <v>10</v>
      </c>
      <c r="G1956" s="2" t="s">
        <v>10</v>
      </c>
    </row>
    <row r="1957" ht="14.25" customHeight="1">
      <c r="A1957" s="1" t="s">
        <v>1689</v>
      </c>
      <c r="B1957" s="1" t="s">
        <v>20</v>
      </c>
      <c r="C1957" s="2" t="s">
        <v>69</v>
      </c>
      <c r="D1957" s="2">
        <v>8.0</v>
      </c>
      <c r="E1957" s="2">
        <v>2007.0</v>
      </c>
      <c r="F1957" s="2" t="s">
        <v>10</v>
      </c>
      <c r="G1957" s="2">
        <v>2360000.0</v>
      </c>
    </row>
    <row r="1958" ht="14.25" customHeight="1">
      <c r="A1958" s="1" t="s">
        <v>1690</v>
      </c>
      <c r="B1958" s="1" t="s">
        <v>20</v>
      </c>
      <c r="C1958" s="2" t="s">
        <v>844</v>
      </c>
      <c r="D1958" s="2">
        <v>8.0</v>
      </c>
      <c r="E1958" s="2">
        <v>1958.0</v>
      </c>
      <c r="F1958" s="2" t="s">
        <v>10</v>
      </c>
      <c r="G1958" s="2" t="s">
        <v>10</v>
      </c>
    </row>
    <row r="1959" ht="14.25" customHeight="1">
      <c r="A1959" s="1" t="s">
        <v>1691</v>
      </c>
      <c r="B1959" s="1" t="s">
        <v>20</v>
      </c>
      <c r="C1959" s="2" t="s">
        <v>169</v>
      </c>
      <c r="D1959" s="2">
        <v>8.0</v>
      </c>
      <c r="E1959" s="2">
        <v>2007.0</v>
      </c>
      <c r="F1959" s="2" t="s">
        <v>10</v>
      </c>
      <c r="G1959" s="2" t="s">
        <v>10</v>
      </c>
    </row>
    <row r="1960" ht="14.25" customHeight="1">
      <c r="A1960" s="1" t="s">
        <v>1692</v>
      </c>
      <c r="B1960" s="1" t="s">
        <v>8</v>
      </c>
      <c r="C1960" s="2" t="s">
        <v>53</v>
      </c>
      <c r="D1960" s="2">
        <v>8.0</v>
      </c>
      <c r="E1960" s="2">
        <v>2021.0</v>
      </c>
      <c r="F1960" s="2" t="s">
        <v>10</v>
      </c>
      <c r="G1960" s="2" t="s">
        <v>10</v>
      </c>
    </row>
    <row r="1961" ht="14.25" customHeight="1">
      <c r="A1961" s="1" t="s">
        <v>1693</v>
      </c>
      <c r="B1961" s="1" t="s">
        <v>8</v>
      </c>
      <c r="C1961" s="2" t="s">
        <v>53</v>
      </c>
      <c r="D1961" s="2">
        <v>8.0</v>
      </c>
      <c r="E1961" s="2">
        <v>2016.0</v>
      </c>
      <c r="F1961" s="2" t="s">
        <v>10</v>
      </c>
      <c r="G1961" s="2" t="s">
        <v>10</v>
      </c>
    </row>
    <row r="1962" ht="14.25" customHeight="1">
      <c r="A1962" s="1" t="s">
        <v>1694</v>
      </c>
      <c r="B1962" s="1" t="s">
        <v>8</v>
      </c>
      <c r="C1962" s="2" t="s">
        <v>60</v>
      </c>
      <c r="D1962" s="2">
        <v>8.0</v>
      </c>
      <c r="E1962" s="2">
        <v>2017.0</v>
      </c>
      <c r="F1962" s="2" t="s">
        <v>10</v>
      </c>
      <c r="G1962" s="2" t="s">
        <v>10</v>
      </c>
    </row>
    <row r="1963" ht="14.25" customHeight="1">
      <c r="A1963" s="1" t="s">
        <v>1695</v>
      </c>
      <c r="B1963" s="1" t="s">
        <v>20</v>
      </c>
      <c r="C1963" s="2" t="s">
        <v>122</v>
      </c>
      <c r="D1963" s="2">
        <v>8.0</v>
      </c>
      <c r="E1963" s="2">
        <v>1997.0</v>
      </c>
      <c r="F1963" s="2" t="s">
        <v>10</v>
      </c>
      <c r="G1963" s="2" t="s">
        <v>10</v>
      </c>
    </row>
    <row r="1964" ht="14.25" customHeight="1">
      <c r="A1964" s="1" t="s">
        <v>1696</v>
      </c>
      <c r="B1964" s="1" t="s">
        <v>20</v>
      </c>
      <c r="C1964" s="2" t="s">
        <v>1697</v>
      </c>
      <c r="D1964" s="2">
        <v>8.0</v>
      </c>
      <c r="E1964" s="2">
        <v>2007.0</v>
      </c>
      <c r="F1964" s="2" t="s">
        <v>10</v>
      </c>
      <c r="G1964" s="2" t="s">
        <v>10</v>
      </c>
    </row>
    <row r="1965" ht="14.25" customHeight="1">
      <c r="A1965" s="1" t="s">
        <v>1698</v>
      </c>
      <c r="B1965" s="1" t="s">
        <v>20</v>
      </c>
      <c r="C1965" s="2" t="s">
        <v>844</v>
      </c>
      <c r="D1965" s="2">
        <v>8.0</v>
      </c>
      <c r="E1965" s="2">
        <v>1955.0</v>
      </c>
      <c r="F1965" s="2" t="s">
        <v>10</v>
      </c>
      <c r="G1965" s="2" t="s">
        <v>10</v>
      </c>
    </row>
    <row r="1966" ht="14.25" customHeight="1">
      <c r="A1966" s="1" t="s">
        <v>1699</v>
      </c>
      <c r="B1966" s="1" t="s">
        <v>20</v>
      </c>
      <c r="C1966" s="2" t="s">
        <v>18</v>
      </c>
      <c r="D1966" s="2">
        <v>8.0</v>
      </c>
      <c r="E1966" s="2">
        <v>1996.0</v>
      </c>
      <c r="F1966" s="2">
        <v>1996.0</v>
      </c>
      <c r="G1966" s="2" t="s">
        <v>10</v>
      </c>
    </row>
    <row r="1967" ht="14.25" customHeight="1">
      <c r="A1967" s="1" t="s">
        <v>1700</v>
      </c>
      <c r="B1967" s="1" t="s">
        <v>20</v>
      </c>
      <c r="C1967" s="2" t="s">
        <v>530</v>
      </c>
      <c r="D1967" s="2">
        <v>8.0</v>
      </c>
      <c r="E1967" s="2">
        <v>1994.0</v>
      </c>
      <c r="F1967" s="2" t="s">
        <v>10</v>
      </c>
      <c r="G1967" s="2" t="s">
        <v>10</v>
      </c>
    </row>
    <row r="1968" ht="14.25" customHeight="1">
      <c r="A1968" s="1" t="s">
        <v>1701</v>
      </c>
      <c r="B1968" s="1" t="s">
        <v>20</v>
      </c>
      <c r="C1968" s="2" t="s">
        <v>169</v>
      </c>
      <c r="D1968" s="2">
        <v>8.0</v>
      </c>
      <c r="E1968" s="2">
        <v>1999.0</v>
      </c>
      <c r="F1968" s="2" t="s">
        <v>10</v>
      </c>
      <c r="G1968" s="2" t="s">
        <v>10</v>
      </c>
    </row>
    <row r="1969" ht="14.25" customHeight="1">
      <c r="A1969" s="1" t="s">
        <v>1702</v>
      </c>
      <c r="B1969" s="1" t="s">
        <v>20</v>
      </c>
      <c r="C1969" s="2" t="s">
        <v>18</v>
      </c>
      <c r="D1969" s="2">
        <v>8.0</v>
      </c>
      <c r="E1969" s="2">
        <v>1998.0</v>
      </c>
      <c r="F1969" s="2" t="s">
        <v>10</v>
      </c>
      <c r="G1969" s="2" t="s">
        <v>10</v>
      </c>
    </row>
    <row r="1970" ht="14.25" customHeight="1">
      <c r="A1970" s="1" t="s">
        <v>1703</v>
      </c>
      <c r="B1970" s="1" t="s">
        <v>8</v>
      </c>
      <c r="C1970" s="2" t="s">
        <v>18</v>
      </c>
      <c r="D1970" s="2">
        <v>8.0</v>
      </c>
      <c r="E1970" s="2">
        <v>2020.0</v>
      </c>
      <c r="F1970" s="2">
        <v>2020.0</v>
      </c>
      <c r="G1970" s="2" t="s">
        <v>10</v>
      </c>
    </row>
    <row r="1971" ht="14.25" customHeight="1">
      <c r="A1971" s="1" t="s">
        <v>1704</v>
      </c>
      <c r="B1971" s="1" t="s">
        <v>20</v>
      </c>
      <c r="C1971" s="2" t="s">
        <v>18</v>
      </c>
      <c r="D1971" s="2">
        <v>8.0</v>
      </c>
      <c r="E1971" s="2">
        <v>2021.0</v>
      </c>
      <c r="F1971" s="2" t="s">
        <v>10</v>
      </c>
      <c r="G1971" s="2" t="s">
        <v>10</v>
      </c>
    </row>
    <row r="1972" ht="14.25" customHeight="1">
      <c r="A1972" s="1" t="s">
        <v>1705</v>
      </c>
      <c r="B1972" s="1" t="s">
        <v>8</v>
      </c>
      <c r="C1972" s="2" t="s">
        <v>36</v>
      </c>
      <c r="D1972" s="2">
        <v>8.0</v>
      </c>
      <c r="E1972" s="2">
        <v>2022.0</v>
      </c>
      <c r="F1972" s="2" t="s">
        <v>10</v>
      </c>
      <c r="G1972" s="2" t="s">
        <v>10</v>
      </c>
    </row>
    <row r="1973" ht="14.25" customHeight="1">
      <c r="A1973" s="1" t="s">
        <v>1706</v>
      </c>
      <c r="B1973" s="1" t="s">
        <v>20</v>
      </c>
      <c r="C1973" s="2" t="s">
        <v>9</v>
      </c>
      <c r="D1973" s="2">
        <v>8.0</v>
      </c>
      <c r="E1973" s="2">
        <v>2010.0</v>
      </c>
      <c r="F1973" s="2" t="s">
        <v>10</v>
      </c>
      <c r="G1973" s="2" t="s">
        <v>10</v>
      </c>
    </row>
    <row r="1974" ht="14.25" customHeight="1">
      <c r="A1974" s="1" t="s">
        <v>1707</v>
      </c>
      <c r="B1974" s="1" t="s">
        <v>20</v>
      </c>
      <c r="C1974" s="2" t="s">
        <v>154</v>
      </c>
      <c r="D1974" s="2">
        <v>8.0</v>
      </c>
      <c r="E1974" s="2">
        <v>2003.0</v>
      </c>
      <c r="F1974" s="2" t="s">
        <v>10</v>
      </c>
      <c r="G1974" s="2" t="s">
        <v>10</v>
      </c>
    </row>
    <row r="1975" ht="14.25" customHeight="1">
      <c r="A1975" s="1" t="s">
        <v>1708</v>
      </c>
      <c r="B1975" s="1" t="s">
        <v>20</v>
      </c>
      <c r="C1975" s="2" t="s">
        <v>1709</v>
      </c>
      <c r="D1975" s="2">
        <v>8.0</v>
      </c>
      <c r="E1975" s="2">
        <v>1982.0</v>
      </c>
      <c r="F1975" s="2" t="s">
        <v>10</v>
      </c>
      <c r="G1975" s="2" t="s">
        <v>10</v>
      </c>
    </row>
    <row r="1976" ht="14.25" customHeight="1">
      <c r="A1976" s="1" t="s">
        <v>1710</v>
      </c>
      <c r="B1976" s="1" t="s">
        <v>20</v>
      </c>
      <c r="C1976" s="2" t="s">
        <v>169</v>
      </c>
      <c r="D1976" s="2">
        <v>8.0</v>
      </c>
      <c r="E1976" s="2">
        <v>2004.0</v>
      </c>
      <c r="F1976" s="2" t="s">
        <v>10</v>
      </c>
      <c r="G1976" s="2" t="s">
        <v>10</v>
      </c>
    </row>
    <row r="1977" ht="14.25" customHeight="1">
      <c r="A1977" s="1" t="s">
        <v>1711</v>
      </c>
      <c r="B1977" s="1" t="s">
        <v>8</v>
      </c>
      <c r="C1977" s="2" t="s">
        <v>69</v>
      </c>
      <c r="D1977" s="2">
        <v>8.0</v>
      </c>
      <c r="E1977" s="2">
        <v>2018.0</v>
      </c>
      <c r="F1977" s="2" t="s">
        <v>10</v>
      </c>
      <c r="G1977" s="2" t="s">
        <v>10</v>
      </c>
    </row>
    <row r="1978" ht="14.25" customHeight="1">
      <c r="A1978" s="1" t="s">
        <v>1712</v>
      </c>
      <c r="B1978" s="1" t="s">
        <v>8</v>
      </c>
      <c r="C1978" s="2" t="s">
        <v>63</v>
      </c>
      <c r="D1978" s="2">
        <v>8.0</v>
      </c>
      <c r="E1978" s="2">
        <v>2023.0</v>
      </c>
      <c r="F1978" s="2" t="s">
        <v>10</v>
      </c>
      <c r="G1978" s="2" t="s">
        <v>10</v>
      </c>
    </row>
    <row r="1979" ht="14.25" customHeight="1">
      <c r="A1979" s="1" t="s">
        <v>1713</v>
      </c>
      <c r="B1979" s="1" t="s">
        <v>20</v>
      </c>
      <c r="C1979" s="2" t="s">
        <v>18</v>
      </c>
      <c r="D1979" s="2">
        <v>8.0</v>
      </c>
      <c r="E1979" s="2">
        <v>1966.0</v>
      </c>
      <c r="F1979" s="2" t="s">
        <v>10</v>
      </c>
      <c r="G1979" s="2" t="s">
        <v>10</v>
      </c>
    </row>
    <row r="1980" ht="14.25" customHeight="1">
      <c r="A1980" s="1" t="s">
        <v>1714</v>
      </c>
      <c r="B1980" s="1" t="s">
        <v>8</v>
      </c>
      <c r="C1980" s="2" t="s">
        <v>34</v>
      </c>
      <c r="D1980" s="2">
        <v>8.0</v>
      </c>
      <c r="E1980" s="2">
        <v>2014.0</v>
      </c>
      <c r="F1980" s="2">
        <v>2016.0</v>
      </c>
      <c r="G1980" s="2" t="s">
        <v>10</v>
      </c>
    </row>
    <row r="1981" ht="14.25" customHeight="1">
      <c r="A1981" s="1" t="s">
        <v>1715</v>
      </c>
      <c r="B1981" s="1" t="s">
        <v>20</v>
      </c>
      <c r="C1981" s="2" t="s">
        <v>63</v>
      </c>
      <c r="D1981" s="2">
        <v>8.0</v>
      </c>
      <c r="E1981" s="2">
        <v>1960.0</v>
      </c>
      <c r="F1981" s="2" t="s">
        <v>10</v>
      </c>
      <c r="G1981" s="2" t="s">
        <v>10</v>
      </c>
    </row>
    <row r="1982" ht="14.25" customHeight="1">
      <c r="A1982" s="1" t="s">
        <v>1716</v>
      </c>
      <c r="B1982" s="1" t="s">
        <v>8</v>
      </c>
      <c r="C1982" s="2" t="s">
        <v>69</v>
      </c>
      <c r="D1982" s="2">
        <v>8.0</v>
      </c>
      <c r="E1982" s="2">
        <v>2007.0</v>
      </c>
      <c r="F1982" s="2" t="s">
        <v>10</v>
      </c>
      <c r="G1982" s="2" t="s">
        <v>10</v>
      </c>
    </row>
    <row r="1983" ht="14.25" customHeight="1">
      <c r="A1983" s="1" t="s">
        <v>1717</v>
      </c>
      <c r="B1983" s="1" t="s">
        <v>20</v>
      </c>
      <c r="C1983" s="2" t="s">
        <v>154</v>
      </c>
      <c r="D1983" s="2">
        <v>8.0</v>
      </c>
      <c r="E1983" s="2">
        <v>1995.0</v>
      </c>
      <c r="F1983" s="2" t="s">
        <v>10</v>
      </c>
      <c r="G1983" s="2" t="s">
        <v>10</v>
      </c>
    </row>
    <row r="1984" ht="14.25" customHeight="1">
      <c r="A1984" s="1" t="s">
        <v>1718</v>
      </c>
      <c r="B1984" s="1" t="s">
        <v>20</v>
      </c>
      <c r="C1984" s="2" t="s">
        <v>1401</v>
      </c>
      <c r="D1984" s="2">
        <v>8.0</v>
      </c>
      <c r="E1984" s="2">
        <v>2007.0</v>
      </c>
      <c r="F1984" s="2" t="s">
        <v>10</v>
      </c>
      <c r="G1984" s="2" t="s">
        <v>10</v>
      </c>
    </row>
    <row r="1985" ht="14.25" customHeight="1">
      <c r="A1985" s="1" t="s">
        <v>1719</v>
      </c>
      <c r="B1985" s="1" t="s">
        <v>8</v>
      </c>
      <c r="C1985" s="2" t="s">
        <v>92</v>
      </c>
      <c r="D1985" s="2">
        <v>8.0</v>
      </c>
      <c r="E1985" s="2">
        <v>2020.0</v>
      </c>
      <c r="F1985" s="2">
        <v>2020.0</v>
      </c>
      <c r="G1985" s="2" t="s">
        <v>10</v>
      </c>
    </row>
    <row r="1986" ht="14.25" customHeight="1">
      <c r="A1986" s="1" t="s">
        <v>1720</v>
      </c>
      <c r="B1986" s="1" t="s">
        <v>20</v>
      </c>
      <c r="C1986" s="2" t="s">
        <v>222</v>
      </c>
      <c r="D1986" s="2">
        <v>8.0</v>
      </c>
      <c r="E1986" s="2">
        <v>1959.0</v>
      </c>
      <c r="F1986" s="2" t="s">
        <v>10</v>
      </c>
      <c r="G1986" s="2" t="s">
        <v>10</v>
      </c>
    </row>
    <row r="1987" ht="14.25" customHeight="1">
      <c r="A1987" s="1" t="s">
        <v>1721</v>
      </c>
      <c r="B1987" s="1" t="s">
        <v>8</v>
      </c>
      <c r="C1987" s="2" t="s">
        <v>299</v>
      </c>
      <c r="D1987" s="2">
        <v>8.0</v>
      </c>
      <c r="E1987" s="2">
        <v>2023.0</v>
      </c>
      <c r="F1987" s="2" t="s">
        <v>10</v>
      </c>
      <c r="G1987" s="2">
        <v>1.837E7</v>
      </c>
    </row>
    <row r="1988" ht="14.25" customHeight="1">
      <c r="A1988" s="1" t="s">
        <v>1721</v>
      </c>
      <c r="B1988" s="1" t="s">
        <v>8</v>
      </c>
      <c r="C1988" s="2" t="s">
        <v>299</v>
      </c>
      <c r="D1988" s="2">
        <v>8.0</v>
      </c>
      <c r="E1988" s="2">
        <v>2023.0</v>
      </c>
      <c r="F1988" s="2" t="s">
        <v>10</v>
      </c>
      <c r="G1988" s="2">
        <v>3.115E7</v>
      </c>
    </row>
    <row r="1989" ht="14.25" customHeight="1">
      <c r="A1989" s="1" t="s">
        <v>1721</v>
      </c>
      <c r="B1989" s="1" t="s">
        <v>8</v>
      </c>
      <c r="C1989" s="2" t="s">
        <v>299</v>
      </c>
      <c r="D1989" s="2">
        <v>8.0</v>
      </c>
      <c r="E1989" s="2">
        <v>2023.0</v>
      </c>
      <c r="F1989" s="2" t="s">
        <v>10</v>
      </c>
      <c r="G1989" s="2">
        <v>6.646E7</v>
      </c>
    </row>
    <row r="1990" ht="14.25" customHeight="1">
      <c r="A1990" s="1" t="s">
        <v>1721</v>
      </c>
      <c r="B1990" s="1" t="s">
        <v>8</v>
      </c>
      <c r="C1990" s="2" t="s">
        <v>299</v>
      </c>
      <c r="D1990" s="2">
        <v>8.0</v>
      </c>
      <c r="E1990" s="2">
        <v>2023.0</v>
      </c>
      <c r="F1990" s="2" t="s">
        <v>10</v>
      </c>
      <c r="G1990" s="2">
        <v>5.748E7</v>
      </c>
    </row>
    <row r="1991" ht="14.25" customHeight="1">
      <c r="A1991" s="1" t="s">
        <v>1722</v>
      </c>
      <c r="B1991" s="1" t="s">
        <v>20</v>
      </c>
      <c r="C1991" s="2" t="s">
        <v>459</v>
      </c>
      <c r="D1991" s="2">
        <v>8.0</v>
      </c>
      <c r="E1991" s="2">
        <v>1920.0</v>
      </c>
      <c r="F1991" s="2" t="s">
        <v>10</v>
      </c>
      <c r="G1991" s="2" t="s">
        <v>10</v>
      </c>
    </row>
    <row r="1992" ht="14.25" customHeight="1">
      <c r="A1992" s="1" t="s">
        <v>1723</v>
      </c>
      <c r="B1992" s="1" t="s">
        <v>20</v>
      </c>
      <c r="C1992" s="2" t="s">
        <v>411</v>
      </c>
      <c r="D1992" s="2">
        <v>8.0</v>
      </c>
      <c r="E1992" s="2">
        <v>1998.0</v>
      </c>
      <c r="F1992" s="2" t="s">
        <v>10</v>
      </c>
      <c r="G1992" s="2" t="s">
        <v>10</v>
      </c>
    </row>
    <row r="1993" ht="14.25" customHeight="1">
      <c r="A1993" s="1" t="s">
        <v>1724</v>
      </c>
      <c r="B1993" s="1" t="s">
        <v>20</v>
      </c>
      <c r="C1993" s="2" t="s">
        <v>910</v>
      </c>
      <c r="D1993" s="2">
        <v>8.0</v>
      </c>
      <c r="E1993" s="2">
        <v>2016.0</v>
      </c>
      <c r="F1993" s="2" t="s">
        <v>10</v>
      </c>
      <c r="G1993" s="2" t="s">
        <v>10</v>
      </c>
    </row>
    <row r="1994" ht="14.25" customHeight="1">
      <c r="A1994" s="1" t="s">
        <v>1725</v>
      </c>
      <c r="B1994" s="1" t="s">
        <v>20</v>
      </c>
      <c r="C1994" s="2" t="s">
        <v>1726</v>
      </c>
      <c r="D1994" s="2">
        <v>8.0</v>
      </c>
      <c r="E1994" s="2">
        <v>1959.0</v>
      </c>
      <c r="F1994" s="2" t="s">
        <v>10</v>
      </c>
      <c r="G1994" s="2" t="s">
        <v>10</v>
      </c>
    </row>
    <row r="1995" ht="14.25" customHeight="1">
      <c r="A1995" s="1" t="s">
        <v>1727</v>
      </c>
      <c r="B1995" s="1" t="s">
        <v>20</v>
      </c>
      <c r="C1995" s="2" t="s">
        <v>446</v>
      </c>
      <c r="D1995" s="2">
        <v>8.0</v>
      </c>
      <c r="E1995" s="2">
        <v>2004.0</v>
      </c>
      <c r="F1995" s="2" t="s">
        <v>10</v>
      </c>
      <c r="G1995" s="2" t="s">
        <v>10</v>
      </c>
    </row>
    <row r="1996" ht="14.25" customHeight="1">
      <c r="A1996" s="1" t="s">
        <v>1728</v>
      </c>
      <c r="B1996" s="1" t="s">
        <v>20</v>
      </c>
      <c r="C1996" s="2" t="s">
        <v>18</v>
      </c>
      <c r="D1996" s="2">
        <v>8.0</v>
      </c>
      <c r="E1996" s="2">
        <v>1954.0</v>
      </c>
      <c r="F1996" s="2" t="s">
        <v>10</v>
      </c>
      <c r="G1996" s="2" t="s">
        <v>10</v>
      </c>
    </row>
    <row r="1997" ht="14.25" customHeight="1">
      <c r="A1997" s="1" t="s">
        <v>1729</v>
      </c>
      <c r="B1997" s="1" t="s">
        <v>8</v>
      </c>
      <c r="C1997" s="2" t="s">
        <v>231</v>
      </c>
      <c r="D1997" s="2">
        <v>8.0</v>
      </c>
      <c r="E1997" s="2">
        <v>2016.0</v>
      </c>
      <c r="F1997" s="2">
        <v>2018.0</v>
      </c>
      <c r="G1997" s="2" t="s">
        <v>10</v>
      </c>
    </row>
    <row r="1998" ht="14.25" customHeight="1">
      <c r="A1998" s="1" t="s">
        <v>1730</v>
      </c>
      <c r="B1998" s="1" t="s">
        <v>8</v>
      </c>
      <c r="C1998" s="2" t="s">
        <v>339</v>
      </c>
      <c r="D1998" s="2">
        <v>8.0</v>
      </c>
      <c r="E1998" s="2">
        <v>2012.0</v>
      </c>
      <c r="F1998" s="2" t="s">
        <v>10</v>
      </c>
      <c r="G1998" s="2" t="s">
        <v>10</v>
      </c>
    </row>
    <row r="1999" ht="14.25" customHeight="1">
      <c r="A1999" s="1" t="s">
        <v>1731</v>
      </c>
      <c r="B1999" s="1" t="s">
        <v>20</v>
      </c>
      <c r="C1999" s="2" t="s">
        <v>1732</v>
      </c>
      <c r="D1999" s="2">
        <v>8.0</v>
      </c>
      <c r="E1999" s="2">
        <v>2024.0</v>
      </c>
      <c r="F1999" s="2" t="s">
        <v>10</v>
      </c>
      <c r="G1999" s="2" t="s">
        <v>10</v>
      </c>
    </row>
    <row r="2000" ht="14.25" customHeight="1">
      <c r="A2000" s="1" t="s">
        <v>1733</v>
      </c>
      <c r="B2000" s="1" t="s">
        <v>8</v>
      </c>
      <c r="C2000" s="2" t="s">
        <v>1734</v>
      </c>
      <c r="D2000" s="2">
        <v>8.0</v>
      </c>
      <c r="E2000" s="2">
        <v>2019.0</v>
      </c>
      <c r="F2000" s="2">
        <v>2019.0</v>
      </c>
      <c r="G2000" s="2" t="s">
        <v>10</v>
      </c>
    </row>
    <row r="2001" ht="14.25" customHeight="1">
      <c r="A2001" s="1" t="s">
        <v>1735</v>
      </c>
      <c r="B2001" s="1" t="s">
        <v>20</v>
      </c>
      <c r="C2001" s="2" t="s">
        <v>395</v>
      </c>
      <c r="D2001" s="2">
        <v>8.0</v>
      </c>
      <c r="E2001" s="2">
        <v>2014.0</v>
      </c>
      <c r="F2001" s="2" t="s">
        <v>10</v>
      </c>
      <c r="G2001" s="2" t="s">
        <v>10</v>
      </c>
    </row>
    <row r="2002" ht="14.25" customHeight="1">
      <c r="A2002" s="1" t="s">
        <v>1736</v>
      </c>
      <c r="B2002" s="1" t="s">
        <v>8</v>
      </c>
      <c r="C2002" s="2" t="s">
        <v>63</v>
      </c>
      <c r="D2002" s="2">
        <v>8.0</v>
      </c>
      <c r="E2002" s="2">
        <v>1982.0</v>
      </c>
      <c r="F2002" s="2">
        <v>1992.0</v>
      </c>
      <c r="G2002" s="2" t="s">
        <v>10</v>
      </c>
    </row>
    <row r="2003" ht="14.25" customHeight="1">
      <c r="A2003" s="1" t="s">
        <v>1737</v>
      </c>
      <c r="B2003" s="1" t="s">
        <v>20</v>
      </c>
      <c r="C2003" s="2" t="s">
        <v>1271</v>
      </c>
      <c r="D2003" s="2">
        <v>8.0</v>
      </c>
      <c r="E2003" s="2">
        <v>1962.0</v>
      </c>
      <c r="F2003" s="2" t="s">
        <v>10</v>
      </c>
      <c r="G2003" s="2" t="s">
        <v>10</v>
      </c>
    </row>
    <row r="2004" ht="14.25" customHeight="1">
      <c r="A2004" s="1" t="s">
        <v>1738</v>
      </c>
      <c r="B2004" s="1" t="s">
        <v>20</v>
      </c>
      <c r="C2004" s="2" t="s">
        <v>18</v>
      </c>
      <c r="D2004" s="2">
        <v>8.0</v>
      </c>
      <c r="E2004" s="2">
        <v>2014.0</v>
      </c>
      <c r="F2004" s="2" t="s">
        <v>10</v>
      </c>
      <c r="G2004" s="2" t="s">
        <v>10</v>
      </c>
    </row>
    <row r="2005" ht="14.25" customHeight="1">
      <c r="A2005" s="1" t="s">
        <v>1739</v>
      </c>
      <c r="B2005" s="1" t="s">
        <v>20</v>
      </c>
      <c r="C2005" s="2" t="s">
        <v>284</v>
      </c>
      <c r="D2005" s="2">
        <v>8.0</v>
      </c>
      <c r="E2005" s="2">
        <v>1995.0</v>
      </c>
      <c r="F2005" s="2" t="s">
        <v>10</v>
      </c>
      <c r="G2005" s="2" t="s">
        <v>10</v>
      </c>
    </row>
    <row r="2006" ht="14.25" customHeight="1">
      <c r="A2006" s="1" t="s">
        <v>1740</v>
      </c>
      <c r="B2006" s="1" t="s">
        <v>20</v>
      </c>
      <c r="C2006" s="2" t="s">
        <v>1741</v>
      </c>
      <c r="D2006" s="2">
        <v>8.0</v>
      </c>
      <c r="E2006" s="2">
        <v>2008.0</v>
      </c>
      <c r="F2006" s="2" t="s">
        <v>10</v>
      </c>
      <c r="G2006" s="2" t="s">
        <v>10</v>
      </c>
    </row>
    <row r="2007" ht="14.25" customHeight="1">
      <c r="A2007" s="1" t="s">
        <v>1742</v>
      </c>
      <c r="B2007" s="1" t="s">
        <v>20</v>
      </c>
      <c r="C2007" s="2" t="s">
        <v>9</v>
      </c>
      <c r="D2007" s="2">
        <v>8.0</v>
      </c>
      <c r="E2007" s="2">
        <v>1967.0</v>
      </c>
      <c r="F2007" s="2" t="s">
        <v>10</v>
      </c>
      <c r="G2007" s="2" t="s">
        <v>10</v>
      </c>
    </row>
    <row r="2008" ht="14.25" customHeight="1">
      <c r="A2008" s="1" t="s">
        <v>1743</v>
      </c>
      <c r="B2008" s="1" t="s">
        <v>20</v>
      </c>
      <c r="C2008" s="2" t="s">
        <v>356</v>
      </c>
      <c r="D2008" s="2">
        <v>8.0</v>
      </c>
      <c r="E2008" s="2">
        <v>2013.0</v>
      </c>
      <c r="F2008" s="2">
        <v>2013.0</v>
      </c>
      <c r="G2008" s="2" t="s">
        <v>10</v>
      </c>
    </row>
    <row r="2009" ht="14.25" customHeight="1">
      <c r="A2009" s="1" t="s">
        <v>1744</v>
      </c>
      <c r="B2009" s="1" t="s">
        <v>20</v>
      </c>
      <c r="C2009" s="2" t="s">
        <v>9</v>
      </c>
      <c r="D2009" s="2">
        <v>8.0</v>
      </c>
      <c r="E2009" s="2">
        <v>2014.0</v>
      </c>
      <c r="F2009" s="2">
        <v>2014.0</v>
      </c>
      <c r="G2009" s="2" t="s">
        <v>10</v>
      </c>
    </row>
    <row r="2010" ht="14.25" customHeight="1">
      <c r="A2010" s="1" t="s">
        <v>1745</v>
      </c>
      <c r="B2010" s="1" t="s">
        <v>20</v>
      </c>
      <c r="C2010" s="2" t="s">
        <v>584</v>
      </c>
      <c r="D2010" s="2">
        <v>8.0</v>
      </c>
      <c r="E2010" s="2">
        <v>2014.0</v>
      </c>
      <c r="F2010" s="2" t="s">
        <v>10</v>
      </c>
      <c r="G2010" s="2" t="s">
        <v>10</v>
      </c>
    </row>
    <row r="2011" ht="14.25" customHeight="1">
      <c r="A2011" s="1" t="s">
        <v>1746</v>
      </c>
      <c r="B2011" s="1" t="s">
        <v>20</v>
      </c>
      <c r="C2011" s="2" t="s">
        <v>80</v>
      </c>
      <c r="D2011" s="2">
        <v>8.0</v>
      </c>
      <c r="E2011" s="2">
        <v>1966.0</v>
      </c>
      <c r="F2011" s="2" t="s">
        <v>10</v>
      </c>
      <c r="G2011" s="2" t="s">
        <v>10</v>
      </c>
    </row>
    <row r="2012" ht="14.25" customHeight="1">
      <c r="A2012" s="1" t="s">
        <v>1747</v>
      </c>
      <c r="B2012" s="1" t="s">
        <v>20</v>
      </c>
      <c r="C2012" s="2" t="s">
        <v>18</v>
      </c>
      <c r="D2012" s="2">
        <v>8.0</v>
      </c>
      <c r="E2012" s="2">
        <v>1957.0</v>
      </c>
      <c r="F2012" s="2" t="s">
        <v>10</v>
      </c>
      <c r="G2012" s="2" t="s">
        <v>10</v>
      </c>
    </row>
    <row r="2013" ht="14.25" customHeight="1">
      <c r="A2013" s="1" t="s">
        <v>1748</v>
      </c>
      <c r="B2013" s="1" t="s">
        <v>20</v>
      </c>
      <c r="C2013" s="2" t="s">
        <v>1749</v>
      </c>
      <c r="D2013" s="2">
        <v>8.0</v>
      </c>
      <c r="E2013" s="2">
        <v>1998.0</v>
      </c>
      <c r="F2013" s="2" t="s">
        <v>10</v>
      </c>
      <c r="G2013" s="2" t="s">
        <v>10</v>
      </c>
    </row>
    <row r="2014" ht="14.25" customHeight="1">
      <c r="A2014" s="1" t="s">
        <v>1750</v>
      </c>
      <c r="B2014" s="1" t="s">
        <v>20</v>
      </c>
      <c r="C2014" s="2" t="s">
        <v>18</v>
      </c>
      <c r="D2014" s="2">
        <v>8.0</v>
      </c>
      <c r="E2014" s="2">
        <v>2014.0</v>
      </c>
      <c r="F2014" s="2" t="s">
        <v>10</v>
      </c>
      <c r="G2014" s="2" t="s">
        <v>10</v>
      </c>
    </row>
    <row r="2015" ht="14.25" customHeight="1">
      <c r="A2015" s="1" t="s">
        <v>1751</v>
      </c>
      <c r="B2015" s="1" t="s">
        <v>20</v>
      </c>
      <c r="C2015" s="2" t="s">
        <v>710</v>
      </c>
      <c r="D2015" s="2">
        <v>8.0</v>
      </c>
      <c r="E2015" s="2">
        <v>2013.0</v>
      </c>
      <c r="F2015" s="2" t="s">
        <v>10</v>
      </c>
      <c r="G2015" s="2" t="s">
        <v>10</v>
      </c>
    </row>
    <row r="2016" ht="14.25" customHeight="1">
      <c r="A2016" s="1" t="s">
        <v>1752</v>
      </c>
      <c r="B2016" s="1" t="s">
        <v>20</v>
      </c>
      <c r="C2016" s="2" t="s">
        <v>1118</v>
      </c>
      <c r="D2016" s="2">
        <v>8.0</v>
      </c>
      <c r="E2016" s="2">
        <v>1994.0</v>
      </c>
      <c r="F2016" s="2">
        <v>1994.0</v>
      </c>
      <c r="G2016" s="2" t="s">
        <v>10</v>
      </c>
    </row>
    <row r="2017" ht="14.25" customHeight="1">
      <c r="A2017" s="1" t="s">
        <v>1753</v>
      </c>
      <c r="B2017" s="1" t="s">
        <v>20</v>
      </c>
      <c r="C2017" s="2" t="s">
        <v>18</v>
      </c>
      <c r="D2017" s="2">
        <v>8.0</v>
      </c>
      <c r="E2017" s="2">
        <v>2008.0</v>
      </c>
      <c r="F2017" s="2" t="s">
        <v>10</v>
      </c>
      <c r="G2017" s="2" t="s">
        <v>10</v>
      </c>
    </row>
    <row r="2018" ht="14.25" customHeight="1">
      <c r="A2018" s="1" t="s">
        <v>1754</v>
      </c>
      <c r="B2018" s="1" t="s">
        <v>8</v>
      </c>
      <c r="C2018" s="2" t="s">
        <v>179</v>
      </c>
      <c r="D2018" s="2">
        <v>8.0</v>
      </c>
      <c r="E2018" s="2">
        <v>1975.0</v>
      </c>
      <c r="F2018" s="2" t="s">
        <v>10</v>
      </c>
      <c r="G2018" s="2" t="s">
        <v>10</v>
      </c>
    </row>
    <row r="2019" ht="14.25" customHeight="1">
      <c r="A2019" s="1" t="s">
        <v>1755</v>
      </c>
      <c r="B2019" s="1" t="s">
        <v>20</v>
      </c>
      <c r="C2019" s="2" t="s">
        <v>154</v>
      </c>
      <c r="D2019" s="2">
        <v>8.0</v>
      </c>
      <c r="E2019" s="2">
        <v>1971.0</v>
      </c>
      <c r="F2019" s="2" t="s">
        <v>10</v>
      </c>
      <c r="G2019" s="2" t="s">
        <v>10</v>
      </c>
    </row>
    <row r="2020" ht="14.25" customHeight="1">
      <c r="A2020" s="1" t="s">
        <v>1756</v>
      </c>
      <c r="B2020" s="1" t="s">
        <v>8</v>
      </c>
      <c r="C2020" s="2" t="s">
        <v>18</v>
      </c>
      <c r="D2020" s="2">
        <v>8.0</v>
      </c>
      <c r="E2020" s="2">
        <v>2018.0</v>
      </c>
      <c r="F2020" s="2" t="s">
        <v>10</v>
      </c>
      <c r="G2020" s="2">
        <v>1.541E7</v>
      </c>
    </row>
    <row r="2021" ht="14.25" customHeight="1">
      <c r="A2021" s="1" t="s">
        <v>1756</v>
      </c>
      <c r="B2021" s="1" t="s">
        <v>8</v>
      </c>
      <c r="C2021" s="2" t="s">
        <v>18</v>
      </c>
      <c r="D2021" s="2">
        <v>8.0</v>
      </c>
      <c r="E2021" s="2">
        <v>2018.0</v>
      </c>
      <c r="F2021" s="2" t="s">
        <v>10</v>
      </c>
      <c r="G2021" s="2">
        <v>1.021E7</v>
      </c>
    </row>
    <row r="2022" ht="14.25" customHeight="1">
      <c r="A2022" s="1" t="s">
        <v>1756</v>
      </c>
      <c r="B2022" s="1" t="s">
        <v>8</v>
      </c>
      <c r="C2022" s="2" t="s">
        <v>18</v>
      </c>
      <c r="D2022" s="2">
        <v>8.0</v>
      </c>
      <c r="E2022" s="2">
        <v>2018.0</v>
      </c>
      <c r="F2022" s="2" t="s">
        <v>10</v>
      </c>
      <c r="G2022" s="2">
        <v>1.896E7</v>
      </c>
    </row>
    <row r="2023" ht="14.25" customHeight="1">
      <c r="A2023" s="1" t="s">
        <v>1756</v>
      </c>
      <c r="B2023" s="1" t="s">
        <v>8</v>
      </c>
      <c r="C2023" s="2" t="s">
        <v>18</v>
      </c>
      <c r="D2023" s="2">
        <v>8.0</v>
      </c>
      <c r="E2023" s="2">
        <v>2018.0</v>
      </c>
      <c r="F2023" s="2" t="s">
        <v>10</v>
      </c>
      <c r="G2023" s="2">
        <v>9370000.0</v>
      </c>
    </row>
    <row r="2024" ht="14.25" customHeight="1">
      <c r="A2024" s="1" t="s">
        <v>1756</v>
      </c>
      <c r="B2024" s="1" t="s">
        <v>8</v>
      </c>
      <c r="C2024" s="2" t="s">
        <v>18</v>
      </c>
      <c r="D2024" s="2">
        <v>8.0</v>
      </c>
      <c r="E2024" s="2">
        <v>2018.0</v>
      </c>
      <c r="F2024" s="2" t="s">
        <v>10</v>
      </c>
      <c r="G2024" s="2">
        <v>7910000.0</v>
      </c>
    </row>
    <row r="2025" ht="14.25" customHeight="1">
      <c r="A2025" s="1" t="s">
        <v>1756</v>
      </c>
      <c r="B2025" s="1" t="s">
        <v>8</v>
      </c>
      <c r="C2025" s="2" t="s">
        <v>18</v>
      </c>
      <c r="D2025" s="2">
        <v>8.0</v>
      </c>
      <c r="E2025" s="2">
        <v>2018.0</v>
      </c>
      <c r="F2025" s="2" t="s">
        <v>10</v>
      </c>
      <c r="G2025" s="2">
        <v>1.432E7</v>
      </c>
    </row>
    <row r="2026" ht="14.25" customHeight="1">
      <c r="A2026" s="1" t="s">
        <v>1756</v>
      </c>
      <c r="B2026" s="1" t="s">
        <v>8</v>
      </c>
      <c r="C2026" s="2" t="s">
        <v>18</v>
      </c>
      <c r="D2026" s="2">
        <v>8.0</v>
      </c>
      <c r="E2026" s="2">
        <v>2018.0</v>
      </c>
      <c r="F2026" s="2" t="s">
        <v>10</v>
      </c>
      <c r="G2026" s="2">
        <v>1.464E7</v>
      </c>
    </row>
    <row r="2027" ht="14.25" customHeight="1">
      <c r="A2027" s="1" t="s">
        <v>1756</v>
      </c>
      <c r="B2027" s="1" t="s">
        <v>8</v>
      </c>
      <c r="C2027" s="2" t="s">
        <v>18</v>
      </c>
      <c r="D2027" s="2">
        <v>8.0</v>
      </c>
      <c r="E2027" s="2">
        <v>2018.0</v>
      </c>
      <c r="F2027" s="2" t="s">
        <v>10</v>
      </c>
      <c r="G2027" s="2">
        <v>1.816E7</v>
      </c>
    </row>
    <row r="2028" ht="14.25" customHeight="1">
      <c r="A2028" s="1" t="s">
        <v>1756</v>
      </c>
      <c r="B2028" s="1" t="s">
        <v>8</v>
      </c>
      <c r="C2028" s="2" t="s">
        <v>18</v>
      </c>
      <c r="D2028" s="2">
        <v>8.0</v>
      </c>
      <c r="E2028" s="2">
        <v>2018.0</v>
      </c>
      <c r="F2028" s="2" t="s">
        <v>10</v>
      </c>
      <c r="G2028" s="2">
        <v>1.48E7</v>
      </c>
    </row>
    <row r="2029" ht="14.25" customHeight="1">
      <c r="A2029" s="1" t="s">
        <v>1757</v>
      </c>
      <c r="B2029" s="1" t="s">
        <v>8</v>
      </c>
      <c r="C2029" s="2" t="s">
        <v>159</v>
      </c>
      <c r="D2029" s="2">
        <v>8.0</v>
      </c>
      <c r="E2029" s="2">
        <v>2017.0</v>
      </c>
      <c r="F2029" s="2">
        <v>2019.0</v>
      </c>
      <c r="G2029" s="2" t="s">
        <v>10</v>
      </c>
    </row>
    <row r="2030" ht="14.25" customHeight="1">
      <c r="A2030" s="1" t="s">
        <v>1758</v>
      </c>
      <c r="B2030" s="1" t="s">
        <v>20</v>
      </c>
      <c r="C2030" s="2" t="s">
        <v>187</v>
      </c>
      <c r="D2030" s="2">
        <v>8.0</v>
      </c>
      <c r="E2030" s="2">
        <v>2006.0</v>
      </c>
      <c r="F2030" s="2" t="s">
        <v>10</v>
      </c>
      <c r="G2030" s="2" t="s">
        <v>10</v>
      </c>
    </row>
    <row r="2031" ht="14.25" customHeight="1">
      <c r="A2031" s="1" t="s">
        <v>1759</v>
      </c>
      <c r="B2031" s="1" t="s">
        <v>20</v>
      </c>
      <c r="C2031" s="2" t="s">
        <v>9</v>
      </c>
      <c r="D2031" s="2">
        <v>8.0</v>
      </c>
      <c r="E2031" s="2">
        <v>2016.0</v>
      </c>
      <c r="F2031" s="2">
        <v>2016.0</v>
      </c>
      <c r="G2031" s="2" t="s">
        <v>10</v>
      </c>
    </row>
    <row r="2032" ht="14.25" customHeight="1">
      <c r="A2032" s="1" t="s">
        <v>1760</v>
      </c>
      <c r="B2032" s="1" t="s">
        <v>20</v>
      </c>
      <c r="C2032" s="2" t="s">
        <v>1761</v>
      </c>
      <c r="D2032" s="2">
        <v>8.0</v>
      </c>
      <c r="E2032" s="2">
        <v>1971.0</v>
      </c>
      <c r="F2032" s="2">
        <v>1971.0</v>
      </c>
      <c r="G2032" s="2" t="s">
        <v>10</v>
      </c>
    </row>
    <row r="2033" ht="14.25" customHeight="1">
      <c r="A2033" s="1" t="s">
        <v>1762</v>
      </c>
      <c r="B2033" s="1" t="s">
        <v>20</v>
      </c>
      <c r="C2033" s="2" t="s">
        <v>63</v>
      </c>
      <c r="D2033" s="2">
        <v>8.0</v>
      </c>
      <c r="E2033" s="2">
        <v>1996.0</v>
      </c>
      <c r="F2033" s="2" t="s">
        <v>10</v>
      </c>
      <c r="G2033" s="2" t="s">
        <v>10</v>
      </c>
    </row>
    <row r="2034" ht="14.25" customHeight="1">
      <c r="A2034" s="1" t="s">
        <v>1763</v>
      </c>
      <c r="B2034" s="1" t="s">
        <v>20</v>
      </c>
      <c r="C2034" s="2" t="s">
        <v>1025</v>
      </c>
      <c r="D2034" s="2">
        <v>8.0</v>
      </c>
      <c r="E2034" s="2">
        <v>2014.0</v>
      </c>
      <c r="F2034" s="2" t="s">
        <v>10</v>
      </c>
      <c r="G2034" s="2" t="s">
        <v>10</v>
      </c>
    </row>
    <row r="2035" ht="14.25" customHeight="1">
      <c r="A2035" s="1" t="s">
        <v>1764</v>
      </c>
      <c r="B2035" s="1" t="s">
        <v>20</v>
      </c>
      <c r="C2035" s="2" t="s">
        <v>154</v>
      </c>
      <c r="D2035" s="2">
        <v>8.0</v>
      </c>
      <c r="E2035" s="2">
        <v>1945.0</v>
      </c>
      <c r="F2035" s="2" t="s">
        <v>10</v>
      </c>
      <c r="G2035" s="2" t="s">
        <v>10</v>
      </c>
    </row>
    <row r="2036" ht="14.25" customHeight="1">
      <c r="A2036" s="1" t="s">
        <v>1765</v>
      </c>
      <c r="B2036" s="1" t="s">
        <v>20</v>
      </c>
      <c r="C2036" s="2" t="s">
        <v>18</v>
      </c>
      <c r="D2036" s="2">
        <v>8.0</v>
      </c>
      <c r="E2036" s="2">
        <v>1998.0</v>
      </c>
      <c r="F2036" s="2" t="s">
        <v>10</v>
      </c>
      <c r="G2036" s="2" t="s">
        <v>10</v>
      </c>
    </row>
    <row r="2037" ht="14.25" customHeight="1">
      <c r="A2037" s="1" t="s">
        <v>1766</v>
      </c>
      <c r="B2037" s="1" t="s">
        <v>8</v>
      </c>
      <c r="C2037" s="2" t="s">
        <v>69</v>
      </c>
      <c r="D2037" s="2">
        <v>8.0</v>
      </c>
      <c r="E2037" s="2">
        <v>2020.0</v>
      </c>
      <c r="F2037" s="2" t="s">
        <v>10</v>
      </c>
      <c r="G2037" s="2" t="s">
        <v>10</v>
      </c>
    </row>
    <row r="2038" ht="14.25" customHeight="1">
      <c r="A2038" s="1" t="s">
        <v>1767</v>
      </c>
      <c r="B2038" s="1" t="s">
        <v>20</v>
      </c>
      <c r="C2038" s="2" t="s">
        <v>307</v>
      </c>
      <c r="D2038" s="2">
        <v>8.0</v>
      </c>
      <c r="E2038" s="2">
        <v>1958.0</v>
      </c>
      <c r="F2038" s="2" t="s">
        <v>10</v>
      </c>
      <c r="G2038" s="2" t="s">
        <v>10</v>
      </c>
    </row>
    <row r="2039" ht="14.25" customHeight="1">
      <c r="A2039" s="1" t="s">
        <v>1768</v>
      </c>
      <c r="B2039" s="1" t="s">
        <v>8</v>
      </c>
      <c r="C2039" s="2" t="s">
        <v>163</v>
      </c>
      <c r="D2039" s="2">
        <v>8.0</v>
      </c>
      <c r="E2039" s="2">
        <v>2015.0</v>
      </c>
      <c r="F2039" s="2">
        <v>2020.0</v>
      </c>
      <c r="G2039" s="2" t="s">
        <v>10</v>
      </c>
    </row>
    <row r="2040" ht="14.25" customHeight="1">
      <c r="A2040" s="1" t="s">
        <v>1769</v>
      </c>
      <c r="B2040" s="1" t="s">
        <v>20</v>
      </c>
      <c r="C2040" s="2" t="s">
        <v>611</v>
      </c>
      <c r="D2040" s="2">
        <v>8.0</v>
      </c>
      <c r="E2040" s="2">
        <v>1962.0</v>
      </c>
      <c r="F2040" s="2" t="s">
        <v>10</v>
      </c>
      <c r="G2040" s="2" t="s">
        <v>10</v>
      </c>
    </row>
    <row r="2041" ht="14.25" customHeight="1">
      <c r="A2041" s="1" t="s">
        <v>1770</v>
      </c>
      <c r="B2041" s="1" t="s">
        <v>8</v>
      </c>
      <c r="C2041" s="2" t="s">
        <v>32</v>
      </c>
      <c r="D2041" s="2">
        <v>8.0</v>
      </c>
      <c r="E2041" s="2">
        <v>2013.0</v>
      </c>
      <c r="F2041" s="2" t="s">
        <v>10</v>
      </c>
      <c r="G2041" s="2" t="s">
        <v>10</v>
      </c>
    </row>
    <row r="2042" ht="14.25" customHeight="1">
      <c r="A2042" s="1" t="s">
        <v>1771</v>
      </c>
      <c r="B2042" s="1" t="s">
        <v>20</v>
      </c>
      <c r="C2042" s="2" t="s">
        <v>844</v>
      </c>
      <c r="D2042" s="2">
        <v>8.0</v>
      </c>
      <c r="E2042" s="2">
        <v>1947.0</v>
      </c>
      <c r="F2042" s="2" t="s">
        <v>10</v>
      </c>
      <c r="G2042" s="2" t="s">
        <v>10</v>
      </c>
    </row>
    <row r="2043" ht="14.25" customHeight="1">
      <c r="A2043" s="1" t="s">
        <v>1772</v>
      </c>
      <c r="B2043" s="1" t="s">
        <v>8</v>
      </c>
      <c r="C2043" s="2" t="s">
        <v>32</v>
      </c>
      <c r="D2043" s="2">
        <v>8.0</v>
      </c>
      <c r="E2043" s="2">
        <v>1982.0</v>
      </c>
      <c r="F2043" s="2" t="s">
        <v>10</v>
      </c>
      <c r="G2043" s="2" t="s">
        <v>10</v>
      </c>
    </row>
    <row r="2044" ht="14.25" customHeight="1">
      <c r="A2044" s="1" t="s">
        <v>1773</v>
      </c>
      <c r="B2044" s="1" t="s">
        <v>8</v>
      </c>
      <c r="C2044" s="2" t="s">
        <v>530</v>
      </c>
      <c r="D2044" s="2">
        <v>8.0</v>
      </c>
      <c r="E2044" s="2">
        <v>2015.0</v>
      </c>
      <c r="F2044" s="2" t="s">
        <v>10</v>
      </c>
      <c r="G2044" s="2" t="s">
        <v>10</v>
      </c>
    </row>
    <row r="2045" ht="14.25" customHeight="1">
      <c r="A2045" s="1" t="s">
        <v>1774</v>
      </c>
      <c r="B2045" s="1" t="s">
        <v>20</v>
      </c>
      <c r="C2045" s="2" t="s">
        <v>12</v>
      </c>
      <c r="D2045" s="2">
        <v>8.0</v>
      </c>
      <c r="E2045" s="2">
        <v>2015.0</v>
      </c>
      <c r="F2045" s="2" t="s">
        <v>10</v>
      </c>
      <c r="G2045" s="2" t="s">
        <v>10</v>
      </c>
    </row>
    <row r="2046" ht="14.25" customHeight="1">
      <c r="A2046" s="1" t="s">
        <v>1775</v>
      </c>
      <c r="B2046" s="1" t="s">
        <v>20</v>
      </c>
      <c r="C2046" s="2" t="s">
        <v>1037</v>
      </c>
      <c r="D2046" s="2">
        <v>8.0</v>
      </c>
      <c r="E2046" s="2">
        <v>2004.0</v>
      </c>
      <c r="F2046" s="2" t="s">
        <v>10</v>
      </c>
      <c r="G2046" s="2" t="s">
        <v>10</v>
      </c>
    </row>
    <row r="2047" ht="14.25" customHeight="1">
      <c r="A2047" s="1" t="s">
        <v>1776</v>
      </c>
      <c r="B2047" s="1" t="s">
        <v>20</v>
      </c>
      <c r="C2047" s="2" t="s">
        <v>184</v>
      </c>
      <c r="D2047" s="2">
        <v>8.0</v>
      </c>
      <c r="E2047" s="2">
        <v>1962.0</v>
      </c>
      <c r="F2047" s="2" t="s">
        <v>10</v>
      </c>
      <c r="G2047" s="2" t="s">
        <v>10</v>
      </c>
    </row>
    <row r="2048" ht="14.25" customHeight="1">
      <c r="A2048" s="1" t="s">
        <v>1777</v>
      </c>
      <c r="B2048" s="1" t="s">
        <v>20</v>
      </c>
      <c r="C2048" s="2" t="s">
        <v>25</v>
      </c>
      <c r="D2048" s="2">
        <v>8.0</v>
      </c>
      <c r="E2048" s="2">
        <v>2020.0</v>
      </c>
      <c r="F2048" s="2" t="s">
        <v>10</v>
      </c>
      <c r="G2048" s="2" t="s">
        <v>10</v>
      </c>
    </row>
    <row r="2049" ht="14.25" customHeight="1">
      <c r="A2049" s="1" t="s">
        <v>1778</v>
      </c>
      <c r="B2049" s="1" t="s">
        <v>8</v>
      </c>
      <c r="C2049" s="2" t="s">
        <v>18</v>
      </c>
      <c r="D2049" s="2">
        <v>8.0</v>
      </c>
      <c r="E2049" s="2">
        <v>2022.0</v>
      </c>
      <c r="F2049" s="2" t="s">
        <v>10</v>
      </c>
      <c r="G2049" s="2" t="s">
        <v>10</v>
      </c>
    </row>
    <row r="2050" ht="14.25" customHeight="1">
      <c r="A2050" s="1" t="s">
        <v>1779</v>
      </c>
      <c r="B2050" s="1" t="s">
        <v>20</v>
      </c>
      <c r="C2050" s="2" t="s">
        <v>527</v>
      </c>
      <c r="D2050" s="2">
        <v>8.0</v>
      </c>
      <c r="E2050" s="2">
        <v>1949.0</v>
      </c>
      <c r="F2050" s="2" t="s">
        <v>10</v>
      </c>
      <c r="G2050" s="2" t="s">
        <v>10</v>
      </c>
    </row>
    <row r="2051" ht="14.25" customHeight="1">
      <c r="A2051" s="1" t="s">
        <v>1780</v>
      </c>
      <c r="B2051" s="1" t="s">
        <v>20</v>
      </c>
      <c r="C2051" s="2" t="s">
        <v>187</v>
      </c>
      <c r="D2051" s="2">
        <v>8.0</v>
      </c>
      <c r="E2051" s="2">
        <v>1940.0</v>
      </c>
      <c r="F2051" s="2" t="s">
        <v>10</v>
      </c>
      <c r="G2051" s="2" t="s">
        <v>10</v>
      </c>
    </row>
    <row r="2052" ht="14.25" customHeight="1">
      <c r="A2052" s="1" t="s">
        <v>1781</v>
      </c>
      <c r="B2052" s="1" t="s">
        <v>20</v>
      </c>
      <c r="C2052" s="2" t="s">
        <v>307</v>
      </c>
      <c r="D2052" s="2">
        <v>8.0</v>
      </c>
      <c r="E2052" s="2">
        <v>1982.0</v>
      </c>
      <c r="F2052" s="2" t="s">
        <v>10</v>
      </c>
      <c r="G2052" s="2" t="s">
        <v>10</v>
      </c>
    </row>
    <row r="2053" ht="14.25" customHeight="1">
      <c r="A2053" s="1" t="s">
        <v>1782</v>
      </c>
      <c r="B2053" s="1" t="s">
        <v>20</v>
      </c>
      <c r="C2053" s="2" t="s">
        <v>112</v>
      </c>
      <c r="D2053" s="2">
        <v>8.0</v>
      </c>
      <c r="E2053" s="2">
        <v>2020.0</v>
      </c>
      <c r="F2053" s="2" t="s">
        <v>10</v>
      </c>
      <c r="G2053" s="2" t="s">
        <v>10</v>
      </c>
    </row>
    <row r="2054" ht="14.25" customHeight="1">
      <c r="A2054" s="1" t="s">
        <v>1783</v>
      </c>
      <c r="B2054" s="1" t="s">
        <v>20</v>
      </c>
      <c r="C2054" s="2" t="s">
        <v>1784</v>
      </c>
      <c r="D2054" s="2">
        <v>8.0</v>
      </c>
      <c r="E2054" s="2">
        <v>2001.0</v>
      </c>
      <c r="F2054" s="2">
        <v>2001.0</v>
      </c>
      <c r="G2054" s="2" t="s">
        <v>10</v>
      </c>
    </row>
    <row r="2055" ht="14.25" customHeight="1">
      <c r="A2055" s="1" t="s">
        <v>1785</v>
      </c>
      <c r="B2055" s="1" t="s">
        <v>20</v>
      </c>
      <c r="C2055" s="2" t="s">
        <v>1786</v>
      </c>
      <c r="D2055" s="2">
        <v>8.0</v>
      </c>
      <c r="E2055" s="2">
        <v>2003.0</v>
      </c>
      <c r="F2055" s="2" t="s">
        <v>10</v>
      </c>
      <c r="G2055" s="2" t="s">
        <v>10</v>
      </c>
    </row>
    <row r="2056" ht="14.25" customHeight="1">
      <c r="A2056" s="1" t="s">
        <v>1787</v>
      </c>
      <c r="B2056" s="1" t="s">
        <v>8</v>
      </c>
      <c r="C2056" s="2" t="s">
        <v>1788</v>
      </c>
      <c r="D2056" s="2">
        <v>8.0</v>
      </c>
      <c r="E2056" s="2">
        <v>2020.0</v>
      </c>
      <c r="F2056" s="2">
        <v>2020.0</v>
      </c>
      <c r="G2056" s="2" t="s">
        <v>10</v>
      </c>
    </row>
    <row r="2057" ht="14.25" customHeight="1">
      <c r="A2057" s="1" t="s">
        <v>1789</v>
      </c>
      <c r="B2057" s="1" t="s">
        <v>20</v>
      </c>
      <c r="C2057" s="2" t="s">
        <v>505</v>
      </c>
      <c r="D2057" s="2">
        <v>8.0</v>
      </c>
      <c r="E2057" s="2">
        <v>2007.0</v>
      </c>
      <c r="F2057" s="2" t="s">
        <v>10</v>
      </c>
      <c r="G2057" s="2" t="s">
        <v>10</v>
      </c>
    </row>
    <row r="2058" ht="14.25" customHeight="1">
      <c r="A2058" s="1" t="s">
        <v>1790</v>
      </c>
      <c r="B2058" s="1" t="s">
        <v>20</v>
      </c>
      <c r="C2058" s="2" t="s">
        <v>643</v>
      </c>
      <c r="D2058" s="2">
        <v>8.0</v>
      </c>
      <c r="E2058" s="2">
        <v>1957.0</v>
      </c>
      <c r="F2058" s="2" t="s">
        <v>10</v>
      </c>
      <c r="G2058" s="2" t="s">
        <v>10</v>
      </c>
    </row>
    <row r="2059" ht="14.25" customHeight="1">
      <c r="A2059" s="1" t="s">
        <v>1791</v>
      </c>
      <c r="B2059" s="1" t="s">
        <v>20</v>
      </c>
      <c r="C2059" s="2" t="s">
        <v>184</v>
      </c>
      <c r="D2059" s="2">
        <v>8.0</v>
      </c>
      <c r="E2059" s="2">
        <v>1987.0</v>
      </c>
      <c r="F2059" s="2" t="s">
        <v>10</v>
      </c>
      <c r="G2059" s="2" t="s">
        <v>10</v>
      </c>
    </row>
    <row r="2060" ht="14.25" customHeight="1">
      <c r="A2060" s="1" t="s">
        <v>1792</v>
      </c>
      <c r="B2060" s="1" t="s">
        <v>8</v>
      </c>
      <c r="C2060" s="2" t="s">
        <v>9</v>
      </c>
      <c r="D2060" s="2">
        <v>8.0</v>
      </c>
      <c r="E2060" s="2">
        <v>2018.0</v>
      </c>
      <c r="F2060" s="2">
        <v>2019.0</v>
      </c>
      <c r="G2060" s="2" t="s">
        <v>10</v>
      </c>
    </row>
    <row r="2061" ht="14.25" customHeight="1">
      <c r="A2061" s="1" t="s">
        <v>1793</v>
      </c>
      <c r="B2061" s="1" t="s">
        <v>20</v>
      </c>
      <c r="C2061" s="2" t="s">
        <v>591</v>
      </c>
      <c r="D2061" s="2">
        <v>8.0</v>
      </c>
      <c r="E2061" s="2">
        <v>1962.0</v>
      </c>
      <c r="F2061" s="2" t="s">
        <v>10</v>
      </c>
      <c r="G2061" s="2" t="s">
        <v>10</v>
      </c>
    </row>
    <row r="2062" ht="14.25" customHeight="1">
      <c r="A2062" s="1" t="s">
        <v>1794</v>
      </c>
      <c r="B2062" s="1" t="s">
        <v>20</v>
      </c>
      <c r="C2062" s="2" t="s">
        <v>611</v>
      </c>
      <c r="D2062" s="2">
        <v>8.0</v>
      </c>
      <c r="E2062" s="2">
        <v>2009.0</v>
      </c>
      <c r="F2062" s="2" t="s">
        <v>10</v>
      </c>
      <c r="G2062" s="2" t="s">
        <v>10</v>
      </c>
    </row>
    <row r="2063" ht="14.25" customHeight="1">
      <c r="A2063" s="1" t="s">
        <v>983</v>
      </c>
      <c r="B2063" s="1" t="s">
        <v>8</v>
      </c>
      <c r="C2063" s="2" t="s">
        <v>25</v>
      </c>
      <c r="D2063" s="2">
        <v>8.0</v>
      </c>
      <c r="E2063" s="2">
        <v>1987.0</v>
      </c>
      <c r="F2063" s="2" t="s">
        <v>10</v>
      </c>
      <c r="G2063" s="2" t="s">
        <v>10</v>
      </c>
    </row>
    <row r="2064" ht="14.25" customHeight="1">
      <c r="A2064" s="1" t="s">
        <v>1795</v>
      </c>
      <c r="B2064" s="1" t="s">
        <v>8</v>
      </c>
      <c r="C2064" s="2" t="s">
        <v>69</v>
      </c>
      <c r="D2064" s="2">
        <v>8.0</v>
      </c>
      <c r="E2064" s="2">
        <v>2016.0</v>
      </c>
      <c r="F2064" s="2">
        <v>2018.0</v>
      </c>
      <c r="G2064" s="2">
        <v>1.31E7</v>
      </c>
    </row>
    <row r="2065" ht="14.25" customHeight="1">
      <c r="A2065" s="1" t="s">
        <v>1795</v>
      </c>
      <c r="B2065" s="1" t="s">
        <v>8</v>
      </c>
      <c r="C2065" s="2" t="s">
        <v>69</v>
      </c>
      <c r="D2065" s="2">
        <v>8.0</v>
      </c>
      <c r="E2065" s="2">
        <v>2016.0</v>
      </c>
      <c r="F2065" s="2">
        <v>2018.0</v>
      </c>
      <c r="G2065" s="2">
        <v>1.146E7</v>
      </c>
    </row>
    <row r="2066" ht="14.25" customHeight="1">
      <c r="A2066" s="1" t="s">
        <v>1796</v>
      </c>
      <c r="B2066" s="1" t="s">
        <v>8</v>
      </c>
      <c r="C2066" s="2" t="s">
        <v>1336</v>
      </c>
      <c r="D2066" s="2">
        <v>8.0</v>
      </c>
      <c r="E2066" s="2">
        <v>2010.0</v>
      </c>
      <c r="F2066" s="2" t="s">
        <v>10</v>
      </c>
      <c r="G2066" s="2" t="s">
        <v>10</v>
      </c>
    </row>
    <row r="2067" ht="14.25" customHeight="1">
      <c r="A2067" s="1" t="s">
        <v>1797</v>
      </c>
      <c r="B2067" s="1" t="s">
        <v>8</v>
      </c>
      <c r="C2067" s="2" t="s">
        <v>18</v>
      </c>
      <c r="D2067" s="2">
        <v>8.0</v>
      </c>
      <c r="E2067" s="2">
        <v>2018.0</v>
      </c>
      <c r="F2067" s="2" t="s">
        <v>10</v>
      </c>
      <c r="G2067" s="2" t="s">
        <v>10</v>
      </c>
    </row>
    <row r="2068" ht="14.25" customHeight="1">
      <c r="A2068" s="1" t="s">
        <v>1798</v>
      </c>
      <c r="B2068" s="1" t="s">
        <v>8</v>
      </c>
      <c r="C2068" s="2" t="s">
        <v>32</v>
      </c>
      <c r="D2068" s="2">
        <v>8.0</v>
      </c>
      <c r="E2068" s="2">
        <v>2016.0</v>
      </c>
      <c r="F2068" s="2" t="s">
        <v>10</v>
      </c>
      <c r="G2068" s="2" t="s">
        <v>10</v>
      </c>
    </row>
    <row r="2069" ht="14.25" customHeight="1">
      <c r="A2069" s="1" t="s">
        <v>1799</v>
      </c>
      <c r="B2069" s="1" t="s">
        <v>20</v>
      </c>
      <c r="C2069" s="2" t="s">
        <v>18</v>
      </c>
      <c r="D2069" s="2">
        <v>8.0</v>
      </c>
      <c r="E2069" s="2">
        <v>2004.0</v>
      </c>
      <c r="F2069" s="2" t="s">
        <v>10</v>
      </c>
      <c r="G2069" s="2" t="s">
        <v>10</v>
      </c>
    </row>
    <row r="2070" ht="14.25" customHeight="1">
      <c r="A2070" s="1" t="s">
        <v>1800</v>
      </c>
      <c r="B2070" s="1" t="s">
        <v>20</v>
      </c>
      <c r="C2070" s="2" t="s">
        <v>18</v>
      </c>
      <c r="D2070" s="2">
        <v>8.0</v>
      </c>
      <c r="E2070" s="2">
        <v>1960.0</v>
      </c>
      <c r="F2070" s="2" t="s">
        <v>10</v>
      </c>
      <c r="G2070" s="2" t="s">
        <v>10</v>
      </c>
    </row>
    <row r="2071" ht="14.25" customHeight="1">
      <c r="A2071" s="1" t="s">
        <v>1801</v>
      </c>
      <c r="B2071" s="1" t="s">
        <v>8</v>
      </c>
      <c r="C2071" s="2" t="s">
        <v>639</v>
      </c>
      <c r="D2071" s="2">
        <v>8.0</v>
      </c>
      <c r="E2071" s="2">
        <v>2017.0</v>
      </c>
      <c r="F2071" s="2" t="s">
        <v>10</v>
      </c>
      <c r="G2071" s="2" t="s">
        <v>10</v>
      </c>
    </row>
    <row r="2072" ht="14.25" customHeight="1">
      <c r="A2072" s="1" t="s">
        <v>1802</v>
      </c>
      <c r="B2072" s="1" t="s">
        <v>20</v>
      </c>
      <c r="C2072" s="2" t="s">
        <v>863</v>
      </c>
      <c r="D2072" s="2">
        <v>8.0</v>
      </c>
      <c r="E2072" s="2">
        <v>1945.0</v>
      </c>
      <c r="F2072" s="2" t="s">
        <v>10</v>
      </c>
      <c r="G2072" s="2" t="s">
        <v>10</v>
      </c>
    </row>
    <row r="2073" ht="14.25" customHeight="1">
      <c r="A2073" s="1" t="s">
        <v>1803</v>
      </c>
      <c r="B2073" s="1" t="s">
        <v>20</v>
      </c>
      <c r="C2073" s="2" t="s">
        <v>154</v>
      </c>
      <c r="D2073" s="2">
        <v>8.0</v>
      </c>
      <c r="E2073" s="2">
        <v>1974.0</v>
      </c>
      <c r="F2073" s="2" t="s">
        <v>10</v>
      </c>
      <c r="G2073" s="2" t="s">
        <v>10</v>
      </c>
    </row>
    <row r="2074" ht="14.25" customHeight="1">
      <c r="A2074" s="1" t="s">
        <v>1804</v>
      </c>
      <c r="B2074" s="1" t="s">
        <v>20</v>
      </c>
      <c r="C2074" s="2" t="s">
        <v>481</v>
      </c>
      <c r="D2074" s="2">
        <v>8.0</v>
      </c>
      <c r="E2074" s="2">
        <v>2014.0</v>
      </c>
      <c r="F2074" s="2" t="s">
        <v>10</v>
      </c>
      <c r="G2074" s="2" t="s">
        <v>10</v>
      </c>
    </row>
    <row r="2075" ht="14.25" customHeight="1">
      <c r="A2075" s="1" t="s">
        <v>1805</v>
      </c>
      <c r="B2075" s="1" t="s">
        <v>20</v>
      </c>
      <c r="C2075" s="2" t="s">
        <v>9</v>
      </c>
      <c r="D2075" s="2">
        <v>8.0</v>
      </c>
      <c r="E2075" s="2">
        <v>2023.0</v>
      </c>
      <c r="F2075" s="2" t="s">
        <v>10</v>
      </c>
      <c r="G2075" s="2" t="s">
        <v>10</v>
      </c>
    </row>
    <row r="2076" ht="14.25" customHeight="1">
      <c r="A2076" s="1" t="s">
        <v>1806</v>
      </c>
      <c r="B2076" s="1" t="s">
        <v>20</v>
      </c>
      <c r="C2076" s="2" t="s">
        <v>18</v>
      </c>
      <c r="D2076" s="2">
        <v>8.0</v>
      </c>
      <c r="E2076" s="2">
        <v>2018.0</v>
      </c>
      <c r="F2076" s="2" t="s">
        <v>10</v>
      </c>
      <c r="G2076" s="2" t="s">
        <v>10</v>
      </c>
    </row>
    <row r="2077" ht="14.25" customHeight="1">
      <c r="A2077" s="1" t="s">
        <v>1807</v>
      </c>
      <c r="B2077" s="1" t="s">
        <v>20</v>
      </c>
      <c r="C2077" s="2" t="s">
        <v>12</v>
      </c>
      <c r="D2077" s="2">
        <v>8.0</v>
      </c>
      <c r="E2077" s="2">
        <v>2013.0</v>
      </c>
      <c r="F2077" s="2" t="s">
        <v>10</v>
      </c>
      <c r="G2077" s="2" t="s">
        <v>10</v>
      </c>
    </row>
    <row r="2078" ht="14.25" customHeight="1">
      <c r="A2078" s="1" t="s">
        <v>1808</v>
      </c>
      <c r="B2078" s="1" t="s">
        <v>8</v>
      </c>
      <c r="C2078" s="2" t="s">
        <v>53</v>
      </c>
      <c r="D2078" s="2">
        <v>8.0</v>
      </c>
      <c r="E2078" s="2">
        <v>2015.0</v>
      </c>
      <c r="F2078" s="2" t="s">
        <v>10</v>
      </c>
      <c r="G2078" s="2" t="s">
        <v>10</v>
      </c>
    </row>
    <row r="2079" ht="14.25" customHeight="1">
      <c r="A2079" s="1" t="s">
        <v>1809</v>
      </c>
      <c r="B2079" s="1" t="s">
        <v>8</v>
      </c>
      <c r="C2079" s="2" t="s">
        <v>1308</v>
      </c>
      <c r="D2079" s="2">
        <v>8.0</v>
      </c>
      <c r="E2079" s="2">
        <v>1989.0</v>
      </c>
      <c r="F2079" s="2" t="s">
        <v>10</v>
      </c>
      <c r="G2079" s="2" t="s">
        <v>10</v>
      </c>
    </row>
    <row r="2080" ht="14.25" customHeight="1">
      <c r="A2080" s="1" t="s">
        <v>1810</v>
      </c>
      <c r="B2080" s="1" t="s">
        <v>20</v>
      </c>
      <c r="C2080" s="2" t="s">
        <v>18</v>
      </c>
      <c r="D2080" s="2">
        <v>8.0</v>
      </c>
      <c r="E2080" s="2">
        <v>1963.0</v>
      </c>
      <c r="F2080" s="2" t="s">
        <v>10</v>
      </c>
      <c r="G2080" s="2" t="s">
        <v>10</v>
      </c>
    </row>
    <row r="2081" ht="14.25" customHeight="1">
      <c r="A2081" s="1" t="s">
        <v>1811</v>
      </c>
      <c r="B2081" s="1" t="s">
        <v>20</v>
      </c>
      <c r="C2081" s="2" t="s">
        <v>1474</v>
      </c>
      <c r="D2081" s="2">
        <v>8.0</v>
      </c>
      <c r="E2081" s="2">
        <v>1946.0</v>
      </c>
      <c r="F2081" s="2" t="s">
        <v>10</v>
      </c>
      <c r="G2081" s="2" t="s">
        <v>10</v>
      </c>
    </row>
    <row r="2082" ht="14.25" customHeight="1">
      <c r="A2082" s="1" t="s">
        <v>1812</v>
      </c>
      <c r="B2082" s="1" t="s">
        <v>8</v>
      </c>
      <c r="C2082" s="2" t="s">
        <v>1734</v>
      </c>
      <c r="D2082" s="2">
        <v>8.0</v>
      </c>
      <c r="E2082" s="2">
        <v>2017.0</v>
      </c>
      <c r="F2082" s="2">
        <v>2017.0</v>
      </c>
      <c r="G2082" s="2" t="s">
        <v>10</v>
      </c>
    </row>
    <row r="2083" ht="14.25" customHeight="1">
      <c r="A2083" s="1" t="s">
        <v>1813</v>
      </c>
      <c r="B2083" s="1" t="s">
        <v>8</v>
      </c>
      <c r="C2083" s="2" t="s">
        <v>187</v>
      </c>
      <c r="D2083" s="2">
        <v>8.0</v>
      </c>
      <c r="E2083" s="2">
        <v>2009.0</v>
      </c>
      <c r="F2083" s="2" t="s">
        <v>10</v>
      </c>
      <c r="G2083" s="2" t="s">
        <v>10</v>
      </c>
    </row>
    <row r="2084" ht="14.25" customHeight="1">
      <c r="A2084" s="1" t="s">
        <v>1814</v>
      </c>
      <c r="B2084" s="1" t="s">
        <v>8</v>
      </c>
      <c r="C2084" s="2" t="s">
        <v>53</v>
      </c>
      <c r="D2084" s="2">
        <v>8.0</v>
      </c>
      <c r="E2084" s="2">
        <v>2015.0</v>
      </c>
      <c r="F2084" s="2" t="s">
        <v>10</v>
      </c>
      <c r="G2084" s="2" t="s">
        <v>10</v>
      </c>
    </row>
    <row r="2085" ht="14.25" customHeight="1">
      <c r="A2085" s="1" t="s">
        <v>1815</v>
      </c>
      <c r="B2085" s="1" t="s">
        <v>20</v>
      </c>
      <c r="C2085" s="2" t="s">
        <v>249</v>
      </c>
      <c r="D2085" s="2">
        <v>8.0</v>
      </c>
      <c r="E2085" s="2">
        <v>1942.0</v>
      </c>
      <c r="F2085" s="2" t="s">
        <v>10</v>
      </c>
      <c r="G2085" s="2" t="s">
        <v>10</v>
      </c>
    </row>
    <row r="2086" ht="14.25" customHeight="1">
      <c r="A2086" s="1" t="s">
        <v>1816</v>
      </c>
      <c r="B2086" s="1" t="s">
        <v>20</v>
      </c>
      <c r="C2086" s="2" t="s">
        <v>299</v>
      </c>
      <c r="D2086" s="2">
        <v>8.0</v>
      </c>
      <c r="E2086" s="2">
        <v>1964.0</v>
      </c>
      <c r="F2086" s="2" t="s">
        <v>10</v>
      </c>
      <c r="G2086" s="2" t="s">
        <v>10</v>
      </c>
    </row>
    <row r="2087" ht="14.25" customHeight="1">
      <c r="A2087" s="1" t="s">
        <v>1817</v>
      </c>
      <c r="B2087" s="1" t="s">
        <v>20</v>
      </c>
      <c r="C2087" s="2" t="s">
        <v>187</v>
      </c>
      <c r="D2087" s="2">
        <v>8.0</v>
      </c>
      <c r="E2087" s="2">
        <v>1973.0</v>
      </c>
      <c r="F2087" s="2" t="s">
        <v>10</v>
      </c>
      <c r="G2087" s="2" t="s">
        <v>10</v>
      </c>
    </row>
    <row r="2088" ht="14.25" customHeight="1">
      <c r="A2088" s="1" t="s">
        <v>1818</v>
      </c>
      <c r="B2088" s="1" t="s">
        <v>20</v>
      </c>
      <c r="C2088" s="2" t="s">
        <v>154</v>
      </c>
      <c r="D2088" s="2">
        <v>8.0</v>
      </c>
      <c r="E2088" s="2">
        <v>1974.0</v>
      </c>
      <c r="F2088" s="2" t="s">
        <v>10</v>
      </c>
      <c r="G2088" s="2" t="s">
        <v>10</v>
      </c>
    </row>
    <row r="2089" ht="14.25" customHeight="1">
      <c r="A2089" s="1" t="s">
        <v>1819</v>
      </c>
      <c r="B2089" s="1" t="s">
        <v>20</v>
      </c>
      <c r="C2089" s="2" t="s">
        <v>18</v>
      </c>
      <c r="D2089" s="2">
        <v>8.0</v>
      </c>
      <c r="E2089" s="2">
        <v>1986.0</v>
      </c>
      <c r="F2089" s="2" t="s">
        <v>10</v>
      </c>
      <c r="G2089" s="2" t="s">
        <v>10</v>
      </c>
    </row>
    <row r="2090" ht="14.25" customHeight="1">
      <c r="A2090" s="1" t="s">
        <v>1820</v>
      </c>
      <c r="B2090" s="1" t="s">
        <v>8</v>
      </c>
      <c r="C2090" s="2" t="s">
        <v>134</v>
      </c>
      <c r="D2090" s="2">
        <v>8.0</v>
      </c>
      <c r="E2090" s="2">
        <v>2019.0</v>
      </c>
      <c r="F2090" s="2" t="s">
        <v>10</v>
      </c>
      <c r="G2090" s="2" t="s">
        <v>10</v>
      </c>
    </row>
    <row r="2091" ht="14.25" customHeight="1">
      <c r="A2091" s="1" t="s">
        <v>1821</v>
      </c>
      <c r="B2091" s="1" t="s">
        <v>8</v>
      </c>
      <c r="C2091" s="2" t="s">
        <v>25</v>
      </c>
      <c r="D2091" s="2">
        <v>8.0</v>
      </c>
      <c r="E2091" s="2">
        <v>1984.0</v>
      </c>
      <c r="F2091" s="2" t="s">
        <v>10</v>
      </c>
      <c r="G2091" s="2" t="s">
        <v>10</v>
      </c>
    </row>
    <row r="2092" ht="14.25" customHeight="1">
      <c r="A2092" s="1" t="s">
        <v>1822</v>
      </c>
      <c r="B2092" s="1" t="s">
        <v>20</v>
      </c>
      <c r="C2092" s="2" t="s">
        <v>339</v>
      </c>
      <c r="D2092" s="2">
        <v>8.0</v>
      </c>
      <c r="E2092" s="2">
        <v>2021.0</v>
      </c>
      <c r="F2092" s="2" t="s">
        <v>10</v>
      </c>
      <c r="G2092" s="2" t="s">
        <v>10</v>
      </c>
    </row>
    <row r="2093" ht="14.25" customHeight="1">
      <c r="A2093" s="1" t="s">
        <v>1823</v>
      </c>
      <c r="B2093" s="1" t="s">
        <v>8</v>
      </c>
      <c r="C2093" s="2" t="s">
        <v>527</v>
      </c>
      <c r="D2093" s="2">
        <v>8.0</v>
      </c>
      <c r="E2093" s="2">
        <v>2003.0</v>
      </c>
      <c r="F2093" s="2" t="s">
        <v>10</v>
      </c>
      <c r="G2093" s="2" t="s">
        <v>10</v>
      </c>
    </row>
    <row r="2094" ht="14.25" customHeight="1">
      <c r="A2094" s="1" t="s">
        <v>1824</v>
      </c>
      <c r="B2094" s="1" t="s">
        <v>20</v>
      </c>
      <c r="C2094" s="2" t="s">
        <v>1825</v>
      </c>
      <c r="D2094" s="2">
        <v>8.0</v>
      </c>
      <c r="E2094" s="2">
        <v>2023.0</v>
      </c>
      <c r="F2094" s="2" t="s">
        <v>10</v>
      </c>
      <c r="G2094" s="2" t="s">
        <v>10</v>
      </c>
    </row>
    <row r="2095" ht="14.25" customHeight="1">
      <c r="A2095" s="1" t="s">
        <v>1826</v>
      </c>
      <c r="B2095" s="1" t="s">
        <v>20</v>
      </c>
      <c r="C2095" s="2" t="s">
        <v>9</v>
      </c>
      <c r="D2095" s="2">
        <v>8.0</v>
      </c>
      <c r="E2095" s="2">
        <v>2011.0</v>
      </c>
      <c r="F2095" s="2" t="s">
        <v>10</v>
      </c>
      <c r="G2095" s="2" t="s">
        <v>10</v>
      </c>
    </row>
    <row r="2096" ht="14.25" customHeight="1">
      <c r="A2096" s="1" t="s">
        <v>1827</v>
      </c>
      <c r="B2096" s="1" t="s">
        <v>8</v>
      </c>
      <c r="C2096" s="2" t="s">
        <v>32</v>
      </c>
      <c r="D2096" s="2">
        <v>8.0</v>
      </c>
      <c r="E2096" s="2">
        <v>2014.0</v>
      </c>
      <c r="F2096" s="2">
        <v>2018.0</v>
      </c>
      <c r="G2096" s="2" t="s">
        <v>10</v>
      </c>
    </row>
    <row r="2097" ht="14.25" customHeight="1">
      <c r="A2097" s="1" t="s">
        <v>1828</v>
      </c>
      <c r="B2097" s="1" t="s">
        <v>20</v>
      </c>
      <c r="C2097" s="2" t="s">
        <v>36</v>
      </c>
      <c r="D2097" s="2">
        <v>8.0</v>
      </c>
      <c r="E2097" s="2">
        <v>1988.0</v>
      </c>
      <c r="F2097" s="2" t="s">
        <v>10</v>
      </c>
      <c r="G2097" s="2" t="s">
        <v>10</v>
      </c>
    </row>
    <row r="2098" ht="14.25" customHeight="1">
      <c r="A2098" s="1" t="s">
        <v>1829</v>
      </c>
      <c r="B2098" s="1" t="s">
        <v>8</v>
      </c>
      <c r="C2098" s="2" t="s">
        <v>187</v>
      </c>
      <c r="D2098" s="2">
        <v>8.0</v>
      </c>
      <c r="E2098" s="2">
        <v>2020.0</v>
      </c>
      <c r="F2098" s="2" t="s">
        <v>10</v>
      </c>
      <c r="G2098" s="2" t="s">
        <v>10</v>
      </c>
    </row>
    <row r="2099" ht="14.25" customHeight="1">
      <c r="A2099" s="1" t="s">
        <v>1830</v>
      </c>
      <c r="B2099" s="1" t="s">
        <v>8</v>
      </c>
      <c r="C2099" s="2" t="s">
        <v>584</v>
      </c>
      <c r="D2099" s="2">
        <v>8.0</v>
      </c>
      <c r="E2099" s="2">
        <v>2023.0</v>
      </c>
      <c r="F2099" s="2" t="s">
        <v>10</v>
      </c>
      <c r="G2099" s="2">
        <v>7800000.0</v>
      </c>
    </row>
    <row r="2100" ht="14.25" customHeight="1">
      <c r="A2100" s="1" t="s">
        <v>1830</v>
      </c>
      <c r="B2100" s="1" t="s">
        <v>8</v>
      </c>
      <c r="C2100" s="2" t="s">
        <v>584</v>
      </c>
      <c r="D2100" s="2">
        <v>8.0</v>
      </c>
      <c r="E2100" s="2">
        <v>2023.0</v>
      </c>
      <c r="F2100" s="2" t="s">
        <v>10</v>
      </c>
      <c r="G2100" s="2">
        <v>1.64E7</v>
      </c>
    </row>
    <row r="2101" ht="14.25" customHeight="1">
      <c r="A2101" s="1" t="s">
        <v>1830</v>
      </c>
      <c r="B2101" s="1" t="s">
        <v>8</v>
      </c>
      <c r="C2101" s="2" t="s">
        <v>584</v>
      </c>
      <c r="D2101" s="2">
        <v>8.0</v>
      </c>
      <c r="E2101" s="2">
        <v>2023.0</v>
      </c>
      <c r="F2101" s="2" t="s">
        <v>10</v>
      </c>
      <c r="G2101" s="2">
        <v>2.451E7</v>
      </c>
    </row>
    <row r="2102" ht="14.25" customHeight="1">
      <c r="A2102" s="1" t="s">
        <v>1831</v>
      </c>
      <c r="B2102" s="1" t="s">
        <v>8</v>
      </c>
      <c r="C2102" s="2" t="s">
        <v>203</v>
      </c>
      <c r="D2102" s="2">
        <v>8.0</v>
      </c>
      <c r="E2102" s="2">
        <v>2013.0</v>
      </c>
      <c r="F2102" s="2" t="s">
        <v>10</v>
      </c>
      <c r="G2102" s="2" t="s">
        <v>10</v>
      </c>
    </row>
    <row r="2103" ht="14.25" customHeight="1">
      <c r="A2103" s="1" t="s">
        <v>1832</v>
      </c>
      <c r="B2103" s="1" t="s">
        <v>20</v>
      </c>
      <c r="C2103" s="2" t="s">
        <v>411</v>
      </c>
      <c r="D2103" s="2">
        <v>8.0</v>
      </c>
      <c r="E2103" s="2">
        <v>1952.0</v>
      </c>
      <c r="F2103" s="2" t="s">
        <v>10</v>
      </c>
      <c r="G2103" s="2" t="s">
        <v>10</v>
      </c>
    </row>
    <row r="2104" ht="14.25" customHeight="1">
      <c r="A2104" s="1" t="s">
        <v>1833</v>
      </c>
      <c r="B2104" s="1" t="s">
        <v>8</v>
      </c>
      <c r="C2104" s="2" t="s">
        <v>32</v>
      </c>
      <c r="D2104" s="2">
        <v>8.0</v>
      </c>
      <c r="E2104" s="2">
        <v>2019.0</v>
      </c>
      <c r="F2104" s="2">
        <v>2021.0</v>
      </c>
      <c r="G2104" s="2" t="s">
        <v>10</v>
      </c>
    </row>
    <row r="2105" ht="14.25" customHeight="1">
      <c r="A2105" s="1" t="s">
        <v>1834</v>
      </c>
      <c r="B2105" s="1" t="s">
        <v>20</v>
      </c>
      <c r="C2105" s="2" t="s">
        <v>69</v>
      </c>
      <c r="D2105" s="2">
        <v>8.0</v>
      </c>
      <c r="E2105" s="2">
        <v>2006.0</v>
      </c>
      <c r="F2105" s="2" t="s">
        <v>10</v>
      </c>
      <c r="G2105" s="2" t="s">
        <v>10</v>
      </c>
    </row>
    <row r="2106" ht="14.25" customHeight="1">
      <c r="A2106" s="1" t="s">
        <v>1835</v>
      </c>
      <c r="B2106" s="1" t="s">
        <v>8</v>
      </c>
      <c r="C2106" s="2" t="s">
        <v>1836</v>
      </c>
      <c r="D2106" s="2">
        <v>8.0</v>
      </c>
      <c r="E2106" s="2">
        <v>1964.0</v>
      </c>
      <c r="F2106" s="2" t="s">
        <v>10</v>
      </c>
      <c r="G2106" s="2" t="s">
        <v>10</v>
      </c>
    </row>
    <row r="2107" ht="14.25" customHeight="1">
      <c r="A2107" s="1" t="s">
        <v>1837</v>
      </c>
      <c r="B2107" s="1" t="s">
        <v>20</v>
      </c>
      <c r="C2107" s="2" t="s">
        <v>1838</v>
      </c>
      <c r="D2107" s="2">
        <v>8.0</v>
      </c>
      <c r="E2107" s="2">
        <v>1994.0</v>
      </c>
      <c r="F2107" s="2" t="s">
        <v>10</v>
      </c>
      <c r="G2107" s="2" t="s">
        <v>10</v>
      </c>
    </row>
    <row r="2108" ht="14.25" customHeight="1">
      <c r="A2108" s="1" t="s">
        <v>1839</v>
      </c>
      <c r="B2108" s="1" t="s">
        <v>20</v>
      </c>
      <c r="C2108" s="2" t="s">
        <v>75</v>
      </c>
      <c r="D2108" s="2">
        <v>8.0</v>
      </c>
      <c r="E2108" s="2">
        <v>2003.0</v>
      </c>
      <c r="F2108" s="2" t="s">
        <v>10</v>
      </c>
      <c r="G2108" s="2" t="s">
        <v>10</v>
      </c>
    </row>
    <row r="2109" ht="14.25" customHeight="1">
      <c r="A2109" s="1" t="s">
        <v>1840</v>
      </c>
      <c r="B2109" s="1" t="s">
        <v>20</v>
      </c>
      <c r="C2109" s="2" t="s">
        <v>80</v>
      </c>
      <c r="D2109" s="2">
        <v>8.0</v>
      </c>
      <c r="E2109" s="2">
        <v>2024.0</v>
      </c>
      <c r="F2109" s="2" t="s">
        <v>10</v>
      </c>
      <c r="G2109" s="2" t="s">
        <v>10</v>
      </c>
    </row>
    <row r="2110" ht="14.25" customHeight="1">
      <c r="A2110" s="1" t="s">
        <v>1841</v>
      </c>
      <c r="B2110" s="1" t="s">
        <v>8</v>
      </c>
      <c r="C2110" s="2" t="s">
        <v>92</v>
      </c>
      <c r="D2110" s="2">
        <v>8.0</v>
      </c>
      <c r="E2110" s="2">
        <v>2012.0</v>
      </c>
      <c r="F2110" s="2">
        <v>2015.0</v>
      </c>
      <c r="G2110" s="2" t="s">
        <v>10</v>
      </c>
    </row>
    <row r="2111" ht="14.25" customHeight="1">
      <c r="A2111" s="1" t="s">
        <v>1842</v>
      </c>
      <c r="B2111" s="1" t="s">
        <v>20</v>
      </c>
      <c r="C2111" s="2" t="s">
        <v>184</v>
      </c>
      <c r="D2111" s="2">
        <v>8.0</v>
      </c>
      <c r="E2111" s="2">
        <v>2004.0</v>
      </c>
      <c r="F2111" s="2" t="s">
        <v>10</v>
      </c>
      <c r="G2111" s="2" t="s">
        <v>10</v>
      </c>
    </row>
    <row r="2112" ht="14.25" customHeight="1">
      <c r="A2112" s="1" t="s">
        <v>1843</v>
      </c>
      <c r="B2112" s="1" t="s">
        <v>8</v>
      </c>
      <c r="C2112" s="2" t="s">
        <v>1844</v>
      </c>
      <c r="D2112" s="2">
        <v>8.0</v>
      </c>
      <c r="E2112" s="2">
        <v>2018.0</v>
      </c>
      <c r="F2112" s="2" t="s">
        <v>10</v>
      </c>
      <c r="G2112" s="2" t="s">
        <v>10</v>
      </c>
    </row>
    <row r="2113" ht="14.25" customHeight="1">
      <c r="A2113" s="1" t="s">
        <v>1845</v>
      </c>
      <c r="B2113" s="1" t="s">
        <v>8</v>
      </c>
      <c r="C2113" s="2" t="s">
        <v>63</v>
      </c>
      <c r="D2113" s="2">
        <v>8.0</v>
      </c>
      <c r="E2113" s="2">
        <v>2018.0</v>
      </c>
      <c r="F2113" s="2" t="s">
        <v>10</v>
      </c>
      <c r="G2113" s="2" t="s">
        <v>10</v>
      </c>
    </row>
    <row r="2114" ht="14.25" customHeight="1">
      <c r="A2114" s="1" t="s">
        <v>1846</v>
      </c>
      <c r="B2114" s="1" t="s">
        <v>20</v>
      </c>
      <c r="C2114" s="2" t="s">
        <v>169</v>
      </c>
      <c r="D2114" s="2">
        <v>8.0</v>
      </c>
      <c r="E2114" s="2">
        <v>2015.0</v>
      </c>
      <c r="F2114" s="2" t="s">
        <v>10</v>
      </c>
      <c r="G2114" s="2" t="s">
        <v>10</v>
      </c>
    </row>
    <row r="2115" ht="14.25" customHeight="1">
      <c r="A2115" s="1" t="s">
        <v>1847</v>
      </c>
      <c r="B2115" s="1" t="s">
        <v>20</v>
      </c>
      <c r="C2115" s="2" t="s">
        <v>187</v>
      </c>
      <c r="D2115" s="2">
        <v>8.0</v>
      </c>
      <c r="E2115" s="2">
        <v>2009.0</v>
      </c>
      <c r="F2115" s="2" t="s">
        <v>10</v>
      </c>
      <c r="G2115" s="2" t="s">
        <v>10</v>
      </c>
    </row>
    <row r="2116" ht="14.25" customHeight="1">
      <c r="A2116" s="1" t="s">
        <v>1848</v>
      </c>
      <c r="B2116" s="1" t="s">
        <v>20</v>
      </c>
      <c r="C2116" s="2" t="s">
        <v>1401</v>
      </c>
      <c r="D2116" s="2">
        <v>8.0</v>
      </c>
      <c r="E2116" s="2">
        <v>2019.0</v>
      </c>
      <c r="F2116" s="2" t="s">
        <v>10</v>
      </c>
      <c r="G2116" s="2" t="s">
        <v>10</v>
      </c>
    </row>
    <row r="2117" ht="14.25" customHeight="1">
      <c r="A2117" s="1" t="s">
        <v>477</v>
      </c>
      <c r="B2117" s="1" t="s">
        <v>8</v>
      </c>
      <c r="C2117" s="2" t="s">
        <v>530</v>
      </c>
      <c r="D2117" s="2">
        <v>8.0</v>
      </c>
      <c r="E2117" s="2">
        <v>2004.0</v>
      </c>
      <c r="F2117" s="2" t="s">
        <v>10</v>
      </c>
      <c r="G2117" s="2" t="s">
        <v>10</v>
      </c>
    </row>
    <row r="2118" ht="14.25" customHeight="1">
      <c r="A2118" s="1" t="s">
        <v>1849</v>
      </c>
      <c r="B2118" s="1" t="s">
        <v>8</v>
      </c>
      <c r="C2118" s="2" t="s">
        <v>25</v>
      </c>
      <c r="D2118" s="2">
        <v>8.0</v>
      </c>
      <c r="E2118" s="2">
        <v>1994.0</v>
      </c>
      <c r="F2118" s="2" t="s">
        <v>10</v>
      </c>
      <c r="G2118" s="2" t="s">
        <v>10</v>
      </c>
    </row>
    <row r="2119" ht="14.25" customHeight="1">
      <c r="A2119" s="1" t="s">
        <v>1850</v>
      </c>
      <c r="B2119" s="1" t="s">
        <v>8</v>
      </c>
      <c r="C2119" s="2" t="s">
        <v>32</v>
      </c>
      <c r="D2119" s="2">
        <v>8.0</v>
      </c>
      <c r="E2119" s="2">
        <v>2000.0</v>
      </c>
      <c r="F2119" s="2" t="s">
        <v>10</v>
      </c>
      <c r="G2119" s="2" t="s">
        <v>10</v>
      </c>
    </row>
    <row r="2120" ht="14.25" customHeight="1">
      <c r="A2120" s="1" t="s">
        <v>1851</v>
      </c>
      <c r="B2120" s="1" t="s">
        <v>8</v>
      </c>
      <c r="C2120" s="2" t="s">
        <v>597</v>
      </c>
      <c r="D2120" s="2">
        <v>8.0</v>
      </c>
      <c r="E2120" s="2">
        <v>2018.0</v>
      </c>
      <c r="F2120" s="2">
        <v>2018.0</v>
      </c>
      <c r="G2120" s="2" t="s">
        <v>10</v>
      </c>
    </row>
    <row r="2121" ht="14.25" customHeight="1">
      <c r="A2121" s="1" t="s">
        <v>1852</v>
      </c>
      <c r="B2121" s="1" t="s">
        <v>20</v>
      </c>
      <c r="C2121" s="2" t="s">
        <v>142</v>
      </c>
      <c r="D2121" s="2">
        <v>8.0</v>
      </c>
      <c r="E2121" s="2">
        <v>2014.0</v>
      </c>
      <c r="F2121" s="2" t="s">
        <v>10</v>
      </c>
      <c r="G2121" s="2" t="s">
        <v>10</v>
      </c>
    </row>
    <row r="2122" ht="14.25" customHeight="1">
      <c r="A2122" s="1" t="s">
        <v>1853</v>
      </c>
      <c r="B2122" s="1" t="s">
        <v>8</v>
      </c>
      <c r="C2122" s="2" t="s">
        <v>44</v>
      </c>
      <c r="D2122" s="2">
        <v>8.0</v>
      </c>
      <c r="E2122" s="2">
        <v>2018.0</v>
      </c>
      <c r="F2122" s="2" t="s">
        <v>10</v>
      </c>
      <c r="G2122" s="2" t="s">
        <v>10</v>
      </c>
    </row>
    <row r="2123" ht="14.25" customHeight="1">
      <c r="A2123" s="1" t="s">
        <v>1854</v>
      </c>
      <c r="B2123" s="1" t="s">
        <v>8</v>
      </c>
      <c r="C2123" s="2" t="s">
        <v>118</v>
      </c>
      <c r="D2123" s="2">
        <v>8.0</v>
      </c>
      <c r="E2123" s="2">
        <v>1995.0</v>
      </c>
      <c r="F2123" s="2" t="s">
        <v>10</v>
      </c>
      <c r="G2123" s="2" t="s">
        <v>10</v>
      </c>
    </row>
    <row r="2124" ht="14.25" customHeight="1">
      <c r="A2124" s="1" t="s">
        <v>1855</v>
      </c>
      <c r="B2124" s="1" t="s">
        <v>8</v>
      </c>
      <c r="C2124" s="2" t="s">
        <v>32</v>
      </c>
      <c r="D2124" s="2">
        <v>8.0</v>
      </c>
      <c r="E2124" s="2">
        <v>2015.0</v>
      </c>
      <c r="F2124" s="2" t="s">
        <v>10</v>
      </c>
      <c r="G2124" s="2" t="s">
        <v>10</v>
      </c>
    </row>
    <row r="2125" ht="14.25" customHeight="1">
      <c r="A2125" s="1" t="s">
        <v>1856</v>
      </c>
      <c r="B2125" s="1" t="s">
        <v>8</v>
      </c>
      <c r="C2125" s="2" t="s">
        <v>187</v>
      </c>
      <c r="D2125" s="2">
        <v>8.0</v>
      </c>
      <c r="E2125" s="2">
        <v>2020.0</v>
      </c>
      <c r="F2125" s="2" t="s">
        <v>10</v>
      </c>
      <c r="G2125" s="2">
        <v>6.35E7</v>
      </c>
    </row>
    <row r="2126" ht="14.25" customHeight="1">
      <c r="A2126" s="1" t="s">
        <v>1856</v>
      </c>
      <c r="B2126" s="1" t="s">
        <v>8</v>
      </c>
      <c r="C2126" s="2" t="s">
        <v>187</v>
      </c>
      <c r="D2126" s="2">
        <v>8.0</v>
      </c>
      <c r="E2126" s="2">
        <v>2020.0</v>
      </c>
      <c r="F2126" s="2" t="s">
        <v>10</v>
      </c>
      <c r="G2126" s="2">
        <v>1.494E7</v>
      </c>
    </row>
    <row r="2127" ht="14.25" customHeight="1">
      <c r="A2127" s="1" t="s">
        <v>1856</v>
      </c>
      <c r="B2127" s="1" t="s">
        <v>8</v>
      </c>
      <c r="C2127" s="2" t="s">
        <v>187</v>
      </c>
      <c r="D2127" s="2">
        <v>8.0</v>
      </c>
      <c r="E2127" s="2">
        <v>2020.0</v>
      </c>
      <c r="F2127" s="2" t="s">
        <v>10</v>
      </c>
      <c r="G2127" s="2">
        <v>1.651E7</v>
      </c>
    </row>
    <row r="2128" ht="14.25" customHeight="1">
      <c r="A2128" s="1" t="s">
        <v>1857</v>
      </c>
      <c r="B2128" s="1" t="s">
        <v>8</v>
      </c>
      <c r="C2128" s="2" t="s">
        <v>163</v>
      </c>
      <c r="D2128" s="2">
        <v>8.0</v>
      </c>
      <c r="E2128" s="2">
        <v>2021.0</v>
      </c>
      <c r="F2128" s="2" t="s">
        <v>10</v>
      </c>
      <c r="G2128" s="2" t="s">
        <v>10</v>
      </c>
    </row>
    <row r="2129" ht="14.25" customHeight="1">
      <c r="A2129" s="1" t="s">
        <v>1858</v>
      </c>
      <c r="B2129" s="1" t="s">
        <v>20</v>
      </c>
      <c r="C2129" s="2" t="s">
        <v>461</v>
      </c>
      <c r="D2129" s="2">
        <v>8.0</v>
      </c>
      <c r="E2129" s="2">
        <v>1943.0</v>
      </c>
      <c r="F2129" s="2" t="s">
        <v>10</v>
      </c>
      <c r="G2129" s="2" t="s">
        <v>10</v>
      </c>
    </row>
    <row r="2130" ht="14.25" customHeight="1">
      <c r="A2130" s="1" t="s">
        <v>1859</v>
      </c>
      <c r="B2130" s="1" t="s">
        <v>20</v>
      </c>
      <c r="C2130" s="2" t="s">
        <v>9</v>
      </c>
      <c r="D2130" s="2">
        <v>8.0</v>
      </c>
      <c r="E2130" s="2">
        <v>2014.0</v>
      </c>
      <c r="F2130" s="2" t="s">
        <v>10</v>
      </c>
      <c r="G2130" s="2" t="s">
        <v>10</v>
      </c>
    </row>
    <row r="2131" ht="14.25" customHeight="1">
      <c r="A2131" s="1" t="s">
        <v>1860</v>
      </c>
      <c r="B2131" s="1" t="s">
        <v>8</v>
      </c>
      <c r="C2131" s="2" t="s">
        <v>187</v>
      </c>
      <c r="D2131" s="2">
        <v>8.0</v>
      </c>
      <c r="E2131" s="2">
        <v>2019.0</v>
      </c>
      <c r="F2131" s="2" t="s">
        <v>10</v>
      </c>
      <c r="G2131" s="2" t="s">
        <v>10</v>
      </c>
    </row>
    <row r="2132" ht="14.25" customHeight="1">
      <c r="A2132" s="1" t="s">
        <v>1861</v>
      </c>
      <c r="B2132" s="1" t="s">
        <v>8</v>
      </c>
      <c r="C2132" s="2" t="s">
        <v>559</v>
      </c>
      <c r="D2132" s="2">
        <v>8.0</v>
      </c>
      <c r="E2132" s="2">
        <v>2022.0</v>
      </c>
      <c r="F2132" s="2" t="s">
        <v>10</v>
      </c>
      <c r="G2132" s="2" t="s">
        <v>10</v>
      </c>
    </row>
    <row r="2133" ht="14.25" customHeight="1">
      <c r="A2133" s="1" t="s">
        <v>1862</v>
      </c>
      <c r="B2133" s="1" t="s">
        <v>20</v>
      </c>
      <c r="C2133" s="2" t="s">
        <v>222</v>
      </c>
      <c r="D2133" s="2">
        <v>8.0</v>
      </c>
      <c r="E2133" s="2">
        <v>2000.0</v>
      </c>
      <c r="F2133" s="2" t="s">
        <v>10</v>
      </c>
      <c r="G2133" s="2" t="s">
        <v>10</v>
      </c>
    </row>
    <row r="2134" ht="14.25" customHeight="1">
      <c r="A2134" s="1" t="s">
        <v>1863</v>
      </c>
      <c r="B2134" s="1" t="s">
        <v>20</v>
      </c>
      <c r="C2134" s="2" t="s">
        <v>253</v>
      </c>
      <c r="D2134" s="2">
        <v>8.0</v>
      </c>
      <c r="E2134" s="2">
        <v>2008.0</v>
      </c>
      <c r="F2134" s="2" t="s">
        <v>10</v>
      </c>
      <c r="G2134" s="2" t="s">
        <v>10</v>
      </c>
    </row>
    <row r="2135" ht="14.25" customHeight="1">
      <c r="A2135" s="1" t="s">
        <v>1864</v>
      </c>
      <c r="B2135" s="1" t="s">
        <v>20</v>
      </c>
      <c r="C2135" s="2" t="s">
        <v>69</v>
      </c>
      <c r="D2135" s="2">
        <v>8.0</v>
      </c>
      <c r="E2135" s="2">
        <v>2002.0</v>
      </c>
      <c r="F2135" s="2">
        <v>2002.0</v>
      </c>
      <c r="G2135" s="2" t="s">
        <v>10</v>
      </c>
    </row>
    <row r="2136" ht="14.25" customHeight="1">
      <c r="A2136" s="1" t="s">
        <v>1865</v>
      </c>
      <c r="B2136" s="1" t="s">
        <v>8</v>
      </c>
      <c r="C2136" s="2" t="s">
        <v>36</v>
      </c>
      <c r="D2136" s="2">
        <v>8.0</v>
      </c>
      <c r="E2136" s="2">
        <v>2021.0</v>
      </c>
      <c r="F2136" s="2" t="s">
        <v>10</v>
      </c>
      <c r="G2136" s="2" t="s">
        <v>10</v>
      </c>
    </row>
    <row r="2137" ht="14.25" customHeight="1">
      <c r="A2137" s="1" t="s">
        <v>1866</v>
      </c>
      <c r="B2137" s="1" t="s">
        <v>20</v>
      </c>
      <c r="C2137" s="2" t="s">
        <v>9</v>
      </c>
      <c r="D2137" s="2">
        <v>8.0</v>
      </c>
      <c r="E2137" s="2">
        <v>2009.0</v>
      </c>
      <c r="F2137" s="2" t="s">
        <v>10</v>
      </c>
      <c r="G2137" s="2" t="s">
        <v>10</v>
      </c>
    </row>
    <row r="2138" ht="14.25" customHeight="1">
      <c r="A2138" s="1" t="s">
        <v>1867</v>
      </c>
      <c r="B2138" s="1" t="s">
        <v>8</v>
      </c>
      <c r="C2138" s="2" t="s">
        <v>187</v>
      </c>
      <c r="D2138" s="2">
        <v>8.0</v>
      </c>
      <c r="E2138" s="2">
        <v>2020.0</v>
      </c>
      <c r="F2138" s="2">
        <v>2020.0</v>
      </c>
      <c r="G2138" s="2" t="s">
        <v>10</v>
      </c>
    </row>
    <row r="2139" ht="14.25" customHeight="1">
      <c r="A2139" s="1" t="s">
        <v>1868</v>
      </c>
      <c r="B2139" s="1" t="s">
        <v>20</v>
      </c>
      <c r="C2139" s="2" t="s">
        <v>291</v>
      </c>
      <c r="D2139" s="2">
        <v>8.0</v>
      </c>
      <c r="E2139" s="2">
        <v>2006.0</v>
      </c>
      <c r="F2139" s="2" t="s">
        <v>10</v>
      </c>
      <c r="G2139" s="2" t="s">
        <v>10</v>
      </c>
    </row>
    <row r="2140" ht="14.25" customHeight="1">
      <c r="A2140" s="1" t="s">
        <v>1869</v>
      </c>
      <c r="B2140" s="1" t="s">
        <v>20</v>
      </c>
      <c r="C2140" s="2" t="s">
        <v>187</v>
      </c>
      <c r="D2140" s="2">
        <v>8.0</v>
      </c>
      <c r="E2140" s="2">
        <v>2022.0</v>
      </c>
      <c r="F2140" s="2" t="s">
        <v>10</v>
      </c>
      <c r="G2140" s="2" t="s">
        <v>10</v>
      </c>
    </row>
    <row r="2141" ht="14.25" customHeight="1">
      <c r="A2141" s="1" t="s">
        <v>1870</v>
      </c>
      <c r="B2141" s="1" t="s">
        <v>8</v>
      </c>
      <c r="C2141" s="2" t="s">
        <v>32</v>
      </c>
      <c r="D2141" s="2">
        <v>8.0</v>
      </c>
      <c r="E2141" s="2">
        <v>1994.0</v>
      </c>
      <c r="F2141" s="2" t="s">
        <v>10</v>
      </c>
      <c r="G2141" s="2" t="s">
        <v>10</v>
      </c>
    </row>
    <row r="2142" ht="14.25" customHeight="1">
      <c r="A2142" s="1" t="s">
        <v>1871</v>
      </c>
      <c r="B2142" s="1" t="s">
        <v>8</v>
      </c>
      <c r="C2142" s="2" t="s">
        <v>25</v>
      </c>
      <c r="D2142" s="2">
        <v>8.0</v>
      </c>
      <c r="E2142" s="2">
        <v>2007.0</v>
      </c>
      <c r="F2142" s="2" t="s">
        <v>10</v>
      </c>
      <c r="G2142" s="2" t="s">
        <v>10</v>
      </c>
    </row>
    <row r="2143" ht="14.25" customHeight="1">
      <c r="A2143" s="1" t="s">
        <v>1872</v>
      </c>
      <c r="B2143" s="1" t="s">
        <v>20</v>
      </c>
      <c r="C2143" s="2" t="s">
        <v>621</v>
      </c>
      <c r="D2143" s="2">
        <v>8.0</v>
      </c>
      <c r="E2143" s="2">
        <v>1924.0</v>
      </c>
      <c r="F2143" s="2">
        <v>2019.0</v>
      </c>
      <c r="G2143" s="2" t="s">
        <v>10</v>
      </c>
    </row>
    <row r="2144" ht="14.25" customHeight="1">
      <c r="A2144" s="1" t="s">
        <v>1873</v>
      </c>
      <c r="B2144" s="1" t="s">
        <v>20</v>
      </c>
      <c r="C2144" s="2" t="s">
        <v>18</v>
      </c>
      <c r="D2144" s="2">
        <v>8.0</v>
      </c>
      <c r="E2144" s="2">
        <v>1968.0</v>
      </c>
      <c r="F2144" s="2" t="s">
        <v>10</v>
      </c>
      <c r="G2144" s="2" t="s">
        <v>10</v>
      </c>
    </row>
    <row r="2145" ht="14.25" customHeight="1">
      <c r="A2145" s="1" t="s">
        <v>1874</v>
      </c>
      <c r="B2145" s="1" t="s">
        <v>8</v>
      </c>
      <c r="C2145" s="2" t="s">
        <v>1336</v>
      </c>
      <c r="D2145" s="2">
        <v>8.0</v>
      </c>
      <c r="E2145" s="2">
        <v>2015.0</v>
      </c>
      <c r="F2145" s="2" t="s">
        <v>10</v>
      </c>
      <c r="G2145" s="2" t="s">
        <v>10</v>
      </c>
    </row>
    <row r="2146" ht="14.25" customHeight="1">
      <c r="A2146" s="1" t="s">
        <v>1875</v>
      </c>
      <c r="B2146" s="1" t="s">
        <v>20</v>
      </c>
      <c r="C2146" s="2" t="s">
        <v>258</v>
      </c>
      <c r="D2146" s="2">
        <v>8.0</v>
      </c>
      <c r="E2146" s="2">
        <v>2021.0</v>
      </c>
      <c r="F2146" s="2" t="s">
        <v>10</v>
      </c>
      <c r="G2146" s="2" t="s">
        <v>10</v>
      </c>
    </row>
    <row r="2147" ht="14.25" customHeight="1">
      <c r="A2147" s="1" t="s">
        <v>1876</v>
      </c>
      <c r="B2147" s="1" t="s">
        <v>8</v>
      </c>
      <c r="C2147" s="2" t="s">
        <v>253</v>
      </c>
      <c r="D2147" s="2">
        <v>8.0</v>
      </c>
      <c r="E2147" s="2">
        <v>2016.0</v>
      </c>
      <c r="F2147" s="2" t="s">
        <v>10</v>
      </c>
      <c r="G2147" s="2" t="s">
        <v>10</v>
      </c>
    </row>
    <row r="2148" ht="14.25" customHeight="1">
      <c r="A2148" s="1" t="s">
        <v>1877</v>
      </c>
      <c r="B2148" s="1" t="s">
        <v>20</v>
      </c>
      <c r="C2148" s="2" t="s">
        <v>69</v>
      </c>
      <c r="D2148" s="2">
        <v>8.0</v>
      </c>
      <c r="E2148" s="2">
        <v>1999.0</v>
      </c>
      <c r="F2148" s="2" t="s">
        <v>10</v>
      </c>
      <c r="G2148" s="2" t="s">
        <v>10</v>
      </c>
    </row>
    <row r="2149" ht="14.25" customHeight="1">
      <c r="A2149" s="1" t="s">
        <v>1878</v>
      </c>
      <c r="B2149" s="1" t="s">
        <v>8</v>
      </c>
      <c r="C2149" s="2" t="s">
        <v>154</v>
      </c>
      <c r="D2149" s="2">
        <v>8.0</v>
      </c>
      <c r="E2149" s="2">
        <v>2019.0</v>
      </c>
      <c r="F2149" s="2" t="s">
        <v>10</v>
      </c>
      <c r="G2149" s="2" t="s">
        <v>10</v>
      </c>
    </row>
    <row r="2150" ht="14.25" customHeight="1">
      <c r="A2150" s="1" t="s">
        <v>1879</v>
      </c>
      <c r="B2150" s="1" t="s">
        <v>8</v>
      </c>
      <c r="C2150" s="2" t="s">
        <v>1533</v>
      </c>
      <c r="D2150" s="2">
        <v>8.0</v>
      </c>
      <c r="E2150" s="2">
        <v>2004.0</v>
      </c>
      <c r="F2150" s="2" t="s">
        <v>10</v>
      </c>
      <c r="G2150" s="2" t="s">
        <v>10</v>
      </c>
    </row>
    <row r="2151" ht="14.25" customHeight="1">
      <c r="A2151" s="1" t="s">
        <v>1880</v>
      </c>
      <c r="B2151" s="1" t="s">
        <v>20</v>
      </c>
      <c r="C2151" s="2" t="s">
        <v>18</v>
      </c>
      <c r="D2151" s="2">
        <v>8.0</v>
      </c>
      <c r="E2151" s="2">
        <v>1982.0</v>
      </c>
      <c r="F2151" s="2" t="s">
        <v>10</v>
      </c>
      <c r="G2151" s="2" t="s">
        <v>10</v>
      </c>
    </row>
    <row r="2152" ht="14.25" customHeight="1">
      <c r="A2152" s="1" t="s">
        <v>1881</v>
      </c>
      <c r="B2152" s="1" t="s">
        <v>20</v>
      </c>
      <c r="C2152" s="2" t="s">
        <v>187</v>
      </c>
      <c r="D2152" s="2">
        <v>8.0</v>
      </c>
      <c r="E2152" s="2">
        <v>1980.0</v>
      </c>
      <c r="F2152" s="2" t="s">
        <v>10</v>
      </c>
      <c r="G2152" s="2" t="s">
        <v>10</v>
      </c>
    </row>
    <row r="2153" ht="14.25" customHeight="1">
      <c r="A2153" s="1" t="s">
        <v>1882</v>
      </c>
      <c r="B2153" s="1" t="s">
        <v>8</v>
      </c>
      <c r="C2153" s="2" t="s">
        <v>9</v>
      </c>
      <c r="D2153" s="2">
        <v>8.0</v>
      </c>
      <c r="E2153" s="2">
        <v>2016.0</v>
      </c>
      <c r="F2153" s="2" t="s">
        <v>10</v>
      </c>
      <c r="G2153" s="2" t="s">
        <v>10</v>
      </c>
    </row>
    <row r="2154" ht="14.25" customHeight="1">
      <c r="A2154" s="1" t="s">
        <v>1883</v>
      </c>
      <c r="B2154" s="1" t="s">
        <v>20</v>
      </c>
      <c r="C2154" s="2" t="s">
        <v>92</v>
      </c>
      <c r="D2154" s="2">
        <v>8.0</v>
      </c>
      <c r="E2154" s="2">
        <v>1921.0</v>
      </c>
      <c r="F2154" s="2" t="s">
        <v>10</v>
      </c>
      <c r="G2154" s="2" t="s">
        <v>10</v>
      </c>
    </row>
    <row r="2155" ht="14.25" customHeight="1">
      <c r="A2155" s="1" t="s">
        <v>1884</v>
      </c>
      <c r="B2155" s="1" t="s">
        <v>20</v>
      </c>
      <c r="C2155" s="2" t="s">
        <v>9</v>
      </c>
      <c r="D2155" s="2">
        <v>8.0</v>
      </c>
      <c r="E2155" s="2">
        <v>1960.0</v>
      </c>
      <c r="F2155" s="2" t="s">
        <v>10</v>
      </c>
      <c r="G2155" s="2" t="s">
        <v>10</v>
      </c>
    </row>
    <row r="2156" ht="14.25" customHeight="1">
      <c r="A2156" s="1" t="s">
        <v>1885</v>
      </c>
      <c r="B2156" s="1" t="s">
        <v>20</v>
      </c>
      <c r="C2156" s="2" t="s">
        <v>1142</v>
      </c>
      <c r="D2156" s="2">
        <v>8.0</v>
      </c>
      <c r="E2156" s="2">
        <v>2021.0</v>
      </c>
      <c r="F2156" s="2" t="s">
        <v>10</v>
      </c>
      <c r="G2156" s="2" t="s">
        <v>10</v>
      </c>
    </row>
    <row r="2157" ht="14.25" customHeight="1">
      <c r="A2157" s="1" t="s">
        <v>1886</v>
      </c>
      <c r="B2157" s="1" t="s">
        <v>20</v>
      </c>
      <c r="C2157" s="2" t="s">
        <v>1531</v>
      </c>
      <c r="D2157" s="2">
        <v>8.0</v>
      </c>
      <c r="E2157" s="2">
        <v>2021.0</v>
      </c>
      <c r="F2157" s="2" t="s">
        <v>10</v>
      </c>
      <c r="G2157" s="2" t="s">
        <v>10</v>
      </c>
    </row>
    <row r="2158" ht="14.25" customHeight="1">
      <c r="A2158" s="1" t="s">
        <v>1887</v>
      </c>
      <c r="B2158" s="1" t="s">
        <v>8</v>
      </c>
      <c r="C2158" s="2" t="s">
        <v>1888</v>
      </c>
      <c r="D2158" s="2">
        <v>8.0</v>
      </c>
      <c r="E2158" s="2">
        <v>2015.0</v>
      </c>
      <c r="F2158" s="2">
        <v>2015.0</v>
      </c>
      <c r="G2158" s="2" t="s">
        <v>10</v>
      </c>
    </row>
    <row r="2159" ht="14.25" customHeight="1">
      <c r="A2159" s="1" t="s">
        <v>1889</v>
      </c>
      <c r="B2159" s="1" t="s">
        <v>8</v>
      </c>
      <c r="C2159" s="2" t="s">
        <v>253</v>
      </c>
      <c r="D2159" s="2">
        <v>8.0</v>
      </c>
      <c r="E2159" s="2">
        <v>2022.0</v>
      </c>
      <c r="F2159" s="2" t="s">
        <v>10</v>
      </c>
      <c r="G2159" s="2">
        <v>1.112E7</v>
      </c>
    </row>
    <row r="2160" ht="14.25" customHeight="1">
      <c r="A2160" s="1" t="s">
        <v>1889</v>
      </c>
      <c r="B2160" s="1" t="s">
        <v>8</v>
      </c>
      <c r="C2160" s="2" t="s">
        <v>253</v>
      </c>
      <c r="D2160" s="2">
        <v>8.0</v>
      </c>
      <c r="E2160" s="2">
        <v>2022.0</v>
      </c>
      <c r="F2160" s="2" t="s">
        <v>10</v>
      </c>
      <c r="G2160" s="2">
        <v>1.199E7</v>
      </c>
    </row>
    <row r="2161" ht="14.25" customHeight="1">
      <c r="A2161" s="1" t="s">
        <v>1889</v>
      </c>
      <c r="B2161" s="1" t="s">
        <v>8</v>
      </c>
      <c r="C2161" s="2" t="s">
        <v>253</v>
      </c>
      <c r="D2161" s="2">
        <v>8.0</v>
      </c>
      <c r="E2161" s="2">
        <v>2022.0</v>
      </c>
      <c r="F2161" s="2" t="s">
        <v>10</v>
      </c>
      <c r="G2161" s="2">
        <v>9690000.0</v>
      </c>
    </row>
    <row r="2162" ht="14.25" customHeight="1">
      <c r="A2162" s="1" t="s">
        <v>1890</v>
      </c>
      <c r="B2162" s="1" t="s">
        <v>20</v>
      </c>
      <c r="C2162" s="2" t="s">
        <v>36</v>
      </c>
      <c r="D2162" s="2">
        <v>8.0</v>
      </c>
      <c r="E2162" s="2">
        <v>1970.0</v>
      </c>
      <c r="F2162" s="2" t="s">
        <v>10</v>
      </c>
      <c r="G2162" s="2" t="s">
        <v>10</v>
      </c>
    </row>
    <row r="2163" ht="14.25" customHeight="1">
      <c r="A2163" s="1" t="s">
        <v>1891</v>
      </c>
      <c r="B2163" s="1" t="s">
        <v>8</v>
      </c>
      <c r="C2163" s="2" t="s">
        <v>18</v>
      </c>
      <c r="D2163" s="2">
        <v>8.0</v>
      </c>
      <c r="E2163" s="2">
        <v>2023.0</v>
      </c>
      <c r="F2163" s="2" t="s">
        <v>10</v>
      </c>
      <c r="G2163" s="2" t="s">
        <v>10</v>
      </c>
    </row>
    <row r="2164" ht="14.25" customHeight="1">
      <c r="A2164" s="1" t="s">
        <v>1892</v>
      </c>
      <c r="B2164" s="1" t="s">
        <v>8</v>
      </c>
      <c r="C2164" s="2" t="s">
        <v>1893</v>
      </c>
      <c r="D2164" s="2">
        <v>8.0</v>
      </c>
      <c r="E2164" s="2">
        <v>2012.0</v>
      </c>
      <c r="F2164" s="2">
        <v>2019.0</v>
      </c>
      <c r="G2164" s="2" t="s">
        <v>10</v>
      </c>
    </row>
    <row r="2165" ht="14.25" customHeight="1">
      <c r="A2165" s="1" t="s">
        <v>1894</v>
      </c>
      <c r="B2165" s="1" t="s">
        <v>8</v>
      </c>
      <c r="C2165" s="2" t="s">
        <v>356</v>
      </c>
      <c r="D2165" s="2">
        <v>8.0</v>
      </c>
      <c r="E2165" s="2">
        <v>2023.0</v>
      </c>
      <c r="F2165" s="2" t="s">
        <v>10</v>
      </c>
      <c r="G2165" s="2" t="s">
        <v>10</v>
      </c>
    </row>
    <row r="2166" ht="14.25" customHeight="1">
      <c r="A2166" s="1" t="s">
        <v>1895</v>
      </c>
      <c r="B2166" s="1" t="s">
        <v>8</v>
      </c>
      <c r="C2166" s="2" t="s">
        <v>18</v>
      </c>
      <c r="D2166" s="2">
        <v>8.0</v>
      </c>
      <c r="E2166" s="2">
        <v>2015.0</v>
      </c>
      <c r="F2166" s="2" t="s">
        <v>10</v>
      </c>
      <c r="G2166" s="2" t="s">
        <v>10</v>
      </c>
    </row>
    <row r="2167" ht="14.25" customHeight="1">
      <c r="A2167" s="1" t="s">
        <v>1896</v>
      </c>
      <c r="B2167" s="1" t="s">
        <v>20</v>
      </c>
      <c r="C2167" s="2" t="s">
        <v>1897</v>
      </c>
      <c r="D2167" s="2">
        <v>8.0</v>
      </c>
      <c r="E2167" s="2">
        <v>2015.0</v>
      </c>
      <c r="F2167" s="2" t="s">
        <v>10</v>
      </c>
      <c r="G2167" s="2" t="s">
        <v>10</v>
      </c>
    </row>
    <row r="2168" ht="14.25" customHeight="1">
      <c r="A2168" s="1" t="s">
        <v>1898</v>
      </c>
      <c r="B2168" s="1" t="s">
        <v>8</v>
      </c>
      <c r="C2168" s="2" t="s">
        <v>792</v>
      </c>
      <c r="D2168" s="2">
        <v>8.0</v>
      </c>
      <c r="E2168" s="2">
        <v>2019.0</v>
      </c>
      <c r="F2168" s="2" t="s">
        <v>10</v>
      </c>
      <c r="G2168" s="2" t="s">
        <v>10</v>
      </c>
    </row>
    <row r="2169" ht="14.25" customHeight="1">
      <c r="A2169" s="1" t="s">
        <v>1899</v>
      </c>
      <c r="B2169" s="1" t="s">
        <v>8</v>
      </c>
      <c r="C2169" s="2" t="s">
        <v>187</v>
      </c>
      <c r="D2169" s="2">
        <v>8.0</v>
      </c>
      <c r="E2169" s="2">
        <v>2020.0</v>
      </c>
      <c r="F2169" s="2" t="s">
        <v>10</v>
      </c>
      <c r="G2169" s="2" t="s">
        <v>10</v>
      </c>
    </row>
    <row r="2170" ht="14.25" customHeight="1">
      <c r="A2170" s="1" t="s">
        <v>1900</v>
      </c>
      <c r="B2170" s="1" t="s">
        <v>20</v>
      </c>
      <c r="C2170" s="2" t="s">
        <v>67</v>
      </c>
      <c r="D2170" s="2">
        <v>8.0</v>
      </c>
      <c r="E2170" s="2">
        <v>1928.0</v>
      </c>
      <c r="F2170" s="2" t="s">
        <v>10</v>
      </c>
      <c r="G2170" s="2" t="s">
        <v>10</v>
      </c>
    </row>
    <row r="2171" ht="14.25" customHeight="1">
      <c r="A2171" s="1" t="s">
        <v>1901</v>
      </c>
      <c r="B2171" s="1" t="s">
        <v>20</v>
      </c>
      <c r="C2171" s="2" t="s">
        <v>184</v>
      </c>
      <c r="D2171" s="2">
        <v>8.0</v>
      </c>
      <c r="E2171" s="2">
        <v>1952.0</v>
      </c>
      <c r="F2171" s="2" t="s">
        <v>10</v>
      </c>
      <c r="G2171" s="2" t="s">
        <v>10</v>
      </c>
    </row>
    <row r="2172" ht="14.25" customHeight="1">
      <c r="A2172" s="1" t="s">
        <v>1902</v>
      </c>
      <c r="B2172" s="1" t="s">
        <v>8</v>
      </c>
      <c r="C2172" s="2" t="s">
        <v>154</v>
      </c>
      <c r="D2172" s="2">
        <v>8.0</v>
      </c>
      <c r="E2172" s="2">
        <v>2008.0</v>
      </c>
      <c r="F2172" s="2" t="s">
        <v>10</v>
      </c>
      <c r="G2172" s="2" t="s">
        <v>10</v>
      </c>
    </row>
    <row r="2173" ht="14.25" customHeight="1">
      <c r="A2173" s="1" t="s">
        <v>1006</v>
      </c>
      <c r="B2173" s="1" t="s">
        <v>8</v>
      </c>
      <c r="C2173" s="2" t="s">
        <v>481</v>
      </c>
      <c r="D2173" s="2">
        <v>8.0</v>
      </c>
      <c r="E2173" s="2">
        <v>1996.0</v>
      </c>
      <c r="F2173" s="2" t="s">
        <v>10</v>
      </c>
      <c r="G2173" s="2" t="s">
        <v>10</v>
      </c>
    </row>
    <row r="2174" ht="14.25" customHeight="1">
      <c r="A2174" s="1" t="s">
        <v>1903</v>
      </c>
      <c r="B2174" s="1" t="s">
        <v>20</v>
      </c>
      <c r="C2174" s="2" t="s">
        <v>282</v>
      </c>
      <c r="D2174" s="2">
        <v>8.0</v>
      </c>
      <c r="E2174" s="2">
        <v>2005.0</v>
      </c>
      <c r="F2174" s="2" t="s">
        <v>10</v>
      </c>
      <c r="G2174" s="2" t="s">
        <v>10</v>
      </c>
    </row>
    <row r="2175" ht="14.25" customHeight="1">
      <c r="A2175" s="1" t="s">
        <v>1904</v>
      </c>
      <c r="B2175" s="1" t="s">
        <v>8</v>
      </c>
      <c r="C2175" s="2" t="s">
        <v>1905</v>
      </c>
      <c r="D2175" s="2">
        <v>8.0</v>
      </c>
      <c r="E2175" s="2">
        <v>2020.0</v>
      </c>
      <c r="F2175" s="2">
        <v>2020.0</v>
      </c>
      <c r="G2175" s="2">
        <v>1.52E7</v>
      </c>
    </row>
    <row r="2176" ht="14.25" customHeight="1">
      <c r="A2176" s="1" t="s">
        <v>1904</v>
      </c>
      <c r="B2176" s="1" t="s">
        <v>8</v>
      </c>
      <c r="C2176" s="2" t="s">
        <v>1905</v>
      </c>
      <c r="D2176" s="2">
        <v>8.0</v>
      </c>
      <c r="E2176" s="2">
        <v>2020.0</v>
      </c>
      <c r="F2176" s="2">
        <v>2020.0</v>
      </c>
      <c r="G2176" s="2">
        <v>1.26E7</v>
      </c>
    </row>
    <row r="2177" ht="14.25" customHeight="1">
      <c r="A2177" s="1" t="s">
        <v>1904</v>
      </c>
      <c r="B2177" s="1" t="s">
        <v>8</v>
      </c>
      <c r="C2177" s="2" t="s">
        <v>1905</v>
      </c>
      <c r="D2177" s="2">
        <v>8.0</v>
      </c>
      <c r="E2177" s="2">
        <v>2020.0</v>
      </c>
      <c r="F2177" s="2">
        <v>2020.0</v>
      </c>
      <c r="G2177" s="2">
        <v>1.18E7</v>
      </c>
    </row>
    <row r="2178" ht="14.25" customHeight="1">
      <c r="A2178" s="1" t="s">
        <v>1904</v>
      </c>
      <c r="B2178" s="1" t="s">
        <v>8</v>
      </c>
      <c r="C2178" s="2" t="s">
        <v>1905</v>
      </c>
      <c r="D2178" s="2">
        <v>8.0</v>
      </c>
      <c r="E2178" s="2">
        <v>2020.0</v>
      </c>
      <c r="F2178" s="2">
        <v>2020.0</v>
      </c>
      <c r="G2178" s="2">
        <v>1.04E7</v>
      </c>
    </row>
    <row r="2179" ht="14.25" customHeight="1">
      <c r="A2179" s="1" t="s">
        <v>1906</v>
      </c>
      <c r="B2179" s="1" t="s">
        <v>20</v>
      </c>
      <c r="C2179" s="2" t="s">
        <v>9</v>
      </c>
      <c r="D2179" s="2">
        <v>8.0</v>
      </c>
      <c r="E2179" s="2">
        <v>2003.0</v>
      </c>
      <c r="F2179" s="2" t="s">
        <v>10</v>
      </c>
      <c r="G2179" s="2" t="s">
        <v>10</v>
      </c>
    </row>
    <row r="2180" ht="14.25" customHeight="1">
      <c r="A2180" s="1" t="s">
        <v>1907</v>
      </c>
      <c r="B2180" s="1" t="s">
        <v>8</v>
      </c>
      <c r="C2180" s="2" t="s">
        <v>25</v>
      </c>
      <c r="D2180" s="2">
        <v>8.0</v>
      </c>
      <c r="E2180" s="2">
        <v>2008.0</v>
      </c>
      <c r="F2180" s="2" t="s">
        <v>10</v>
      </c>
      <c r="G2180" s="2" t="s">
        <v>10</v>
      </c>
    </row>
    <row r="2181" ht="14.25" customHeight="1">
      <c r="A2181" s="1" t="s">
        <v>1908</v>
      </c>
      <c r="B2181" s="1" t="s">
        <v>8</v>
      </c>
      <c r="C2181" s="2" t="s">
        <v>935</v>
      </c>
      <c r="D2181" s="2">
        <v>8.0</v>
      </c>
      <c r="E2181" s="2">
        <v>2016.0</v>
      </c>
      <c r="F2181" s="2" t="s">
        <v>10</v>
      </c>
      <c r="G2181" s="2" t="s">
        <v>10</v>
      </c>
    </row>
    <row r="2182" ht="14.25" customHeight="1">
      <c r="A2182" s="1" t="s">
        <v>1909</v>
      </c>
      <c r="B2182" s="1" t="s">
        <v>20</v>
      </c>
      <c r="C2182" s="2" t="s">
        <v>584</v>
      </c>
      <c r="D2182" s="2">
        <v>8.0</v>
      </c>
      <c r="E2182" s="2">
        <v>2001.0</v>
      </c>
      <c r="F2182" s="2" t="s">
        <v>10</v>
      </c>
      <c r="G2182" s="2" t="s">
        <v>10</v>
      </c>
    </row>
    <row r="2183" ht="14.25" customHeight="1">
      <c r="A2183" s="1" t="s">
        <v>1910</v>
      </c>
      <c r="B2183" s="1" t="s">
        <v>8</v>
      </c>
      <c r="C2183" s="2" t="s">
        <v>1911</v>
      </c>
      <c r="D2183" s="2">
        <v>8.0</v>
      </c>
      <c r="E2183" s="2">
        <v>2000.0</v>
      </c>
      <c r="F2183" s="2" t="s">
        <v>10</v>
      </c>
      <c r="G2183" s="2" t="s">
        <v>10</v>
      </c>
    </row>
    <row r="2184" ht="14.25" customHeight="1">
      <c r="A2184" s="1" t="s">
        <v>1912</v>
      </c>
      <c r="B2184" s="1" t="s">
        <v>20</v>
      </c>
      <c r="C2184" s="2" t="s">
        <v>12</v>
      </c>
      <c r="D2184" s="2">
        <v>8.0</v>
      </c>
      <c r="E2184" s="2">
        <v>2016.0</v>
      </c>
      <c r="F2184" s="2" t="s">
        <v>10</v>
      </c>
      <c r="G2184" s="2" t="s">
        <v>10</v>
      </c>
    </row>
    <row r="2185" ht="14.25" customHeight="1">
      <c r="A2185" s="1" t="s">
        <v>1913</v>
      </c>
      <c r="B2185" s="1" t="s">
        <v>8</v>
      </c>
      <c r="C2185" s="2" t="s">
        <v>53</v>
      </c>
      <c r="D2185" s="2">
        <v>8.0</v>
      </c>
      <c r="E2185" s="2">
        <v>2016.0</v>
      </c>
      <c r="F2185" s="2" t="s">
        <v>10</v>
      </c>
      <c r="G2185" s="2" t="s">
        <v>10</v>
      </c>
    </row>
    <row r="2186" ht="14.25" customHeight="1">
      <c r="A2186" s="1" t="s">
        <v>1914</v>
      </c>
      <c r="B2186" s="1" t="s">
        <v>20</v>
      </c>
      <c r="C2186" s="2" t="s">
        <v>69</v>
      </c>
      <c r="D2186" s="2">
        <v>8.0</v>
      </c>
      <c r="E2186" s="2">
        <v>1975.0</v>
      </c>
      <c r="F2186" s="2" t="s">
        <v>10</v>
      </c>
      <c r="G2186" s="2" t="s">
        <v>10</v>
      </c>
    </row>
    <row r="2187" ht="14.25" customHeight="1">
      <c r="A2187" s="1" t="s">
        <v>1915</v>
      </c>
      <c r="B2187" s="1" t="s">
        <v>20</v>
      </c>
      <c r="C2187" s="2" t="s">
        <v>530</v>
      </c>
      <c r="D2187" s="2">
        <v>8.0</v>
      </c>
      <c r="E2187" s="2">
        <v>1998.0</v>
      </c>
      <c r="F2187" s="2" t="s">
        <v>10</v>
      </c>
      <c r="G2187" s="2" t="s">
        <v>10</v>
      </c>
    </row>
    <row r="2188" ht="14.25" customHeight="1">
      <c r="A2188" s="1" t="s">
        <v>1916</v>
      </c>
      <c r="B2188" s="1" t="s">
        <v>8</v>
      </c>
      <c r="C2188" s="2" t="s">
        <v>446</v>
      </c>
      <c r="D2188" s="2">
        <v>8.0</v>
      </c>
      <c r="E2188" s="2">
        <v>1981.0</v>
      </c>
      <c r="F2188" s="2" t="s">
        <v>10</v>
      </c>
      <c r="G2188" s="2" t="s">
        <v>10</v>
      </c>
    </row>
    <row r="2189" ht="14.25" customHeight="1">
      <c r="A2189" s="1" t="s">
        <v>1917</v>
      </c>
      <c r="B2189" s="1" t="s">
        <v>8</v>
      </c>
      <c r="C2189" s="2" t="s">
        <v>1375</v>
      </c>
      <c r="D2189" s="2">
        <v>8.0</v>
      </c>
      <c r="E2189" s="2">
        <v>2015.0</v>
      </c>
      <c r="F2189" s="2" t="s">
        <v>10</v>
      </c>
      <c r="G2189" s="2" t="s">
        <v>10</v>
      </c>
    </row>
    <row r="2190" ht="14.25" customHeight="1">
      <c r="A2190" s="1" t="s">
        <v>1918</v>
      </c>
      <c r="B2190" s="1" t="s">
        <v>8</v>
      </c>
      <c r="C2190" s="2" t="s">
        <v>18</v>
      </c>
      <c r="D2190" s="2">
        <v>8.0</v>
      </c>
      <c r="E2190" s="2">
        <v>2011.0</v>
      </c>
      <c r="F2190" s="2" t="s">
        <v>10</v>
      </c>
      <c r="G2190" s="2" t="s">
        <v>10</v>
      </c>
    </row>
    <row r="2191" ht="14.25" customHeight="1">
      <c r="A2191" s="1" t="s">
        <v>1919</v>
      </c>
      <c r="B2191" s="1" t="s">
        <v>8</v>
      </c>
      <c r="C2191" s="2" t="s">
        <v>40</v>
      </c>
      <c r="D2191" s="2">
        <v>8.0</v>
      </c>
      <c r="E2191" s="2">
        <v>2021.0</v>
      </c>
      <c r="F2191" s="2" t="s">
        <v>10</v>
      </c>
      <c r="G2191" s="2" t="s">
        <v>10</v>
      </c>
    </row>
    <row r="2192" ht="14.25" customHeight="1">
      <c r="A2192" s="1" t="s">
        <v>1920</v>
      </c>
      <c r="B2192" s="1" t="s">
        <v>8</v>
      </c>
      <c r="C2192" s="2" t="s">
        <v>69</v>
      </c>
      <c r="D2192" s="2">
        <v>8.0</v>
      </c>
      <c r="E2192" s="2">
        <v>1999.0</v>
      </c>
      <c r="F2192" s="2" t="s">
        <v>10</v>
      </c>
      <c r="G2192" s="2" t="s">
        <v>10</v>
      </c>
    </row>
    <row r="2193" ht="14.25" customHeight="1">
      <c r="A2193" s="1" t="s">
        <v>1921</v>
      </c>
      <c r="B2193" s="1" t="s">
        <v>8</v>
      </c>
      <c r="C2193" s="2" t="s">
        <v>32</v>
      </c>
      <c r="D2193" s="2">
        <v>8.0</v>
      </c>
      <c r="E2193" s="2">
        <v>1978.0</v>
      </c>
      <c r="F2193" s="2" t="s">
        <v>10</v>
      </c>
      <c r="G2193" s="2" t="s">
        <v>10</v>
      </c>
    </row>
    <row r="2194" ht="14.25" customHeight="1">
      <c r="A2194" s="1" t="s">
        <v>1922</v>
      </c>
      <c r="B2194" s="1" t="s">
        <v>8</v>
      </c>
      <c r="C2194" s="2" t="s">
        <v>282</v>
      </c>
      <c r="D2194" s="2">
        <v>8.0</v>
      </c>
      <c r="E2194" s="2">
        <v>2022.0</v>
      </c>
      <c r="F2194" s="2" t="s">
        <v>10</v>
      </c>
      <c r="G2194" s="2">
        <v>1.22E7</v>
      </c>
    </row>
    <row r="2195" ht="14.25" customHeight="1">
      <c r="A2195" s="1" t="s">
        <v>1922</v>
      </c>
      <c r="B2195" s="1" t="s">
        <v>8</v>
      </c>
      <c r="C2195" s="2" t="s">
        <v>282</v>
      </c>
      <c r="D2195" s="2">
        <v>8.0</v>
      </c>
      <c r="E2195" s="2">
        <v>2022.0</v>
      </c>
      <c r="F2195" s="2" t="s">
        <v>10</v>
      </c>
      <c r="G2195" s="2">
        <v>1.146E7</v>
      </c>
    </row>
    <row r="2196" ht="14.25" customHeight="1">
      <c r="A2196" s="1" t="s">
        <v>1923</v>
      </c>
      <c r="B2196" s="1" t="s">
        <v>20</v>
      </c>
      <c r="C2196" s="2" t="s">
        <v>67</v>
      </c>
      <c r="D2196" s="2">
        <v>8.0</v>
      </c>
      <c r="E2196" s="2">
        <v>2011.0</v>
      </c>
      <c r="F2196" s="2" t="s">
        <v>10</v>
      </c>
      <c r="G2196" s="2" t="s">
        <v>10</v>
      </c>
    </row>
    <row r="2197" ht="14.25" customHeight="1">
      <c r="A2197" s="1" t="s">
        <v>1924</v>
      </c>
      <c r="B2197" s="1" t="s">
        <v>8</v>
      </c>
      <c r="C2197" s="2" t="s">
        <v>53</v>
      </c>
      <c r="D2197" s="2">
        <v>8.0</v>
      </c>
      <c r="E2197" s="2">
        <v>2011.0</v>
      </c>
      <c r="F2197" s="2" t="s">
        <v>10</v>
      </c>
      <c r="G2197" s="2" t="s">
        <v>10</v>
      </c>
    </row>
    <row r="2198" ht="14.25" customHeight="1">
      <c r="A2198" s="1" t="s">
        <v>1925</v>
      </c>
      <c r="B2198" s="1" t="s">
        <v>20</v>
      </c>
      <c r="C2198" s="2" t="s">
        <v>530</v>
      </c>
      <c r="D2198" s="2">
        <v>8.0</v>
      </c>
      <c r="E2198" s="2">
        <v>1969.0</v>
      </c>
      <c r="F2198" s="2" t="s">
        <v>10</v>
      </c>
      <c r="G2198" s="2" t="s">
        <v>10</v>
      </c>
    </row>
    <row r="2199" ht="14.25" customHeight="1">
      <c r="A2199" s="1" t="s">
        <v>1926</v>
      </c>
      <c r="B2199" s="1" t="s">
        <v>20</v>
      </c>
      <c r="C2199" s="2" t="s">
        <v>187</v>
      </c>
      <c r="D2199" s="2">
        <v>8.0</v>
      </c>
      <c r="E2199" s="2">
        <v>1982.0</v>
      </c>
      <c r="F2199" s="2" t="s">
        <v>10</v>
      </c>
      <c r="G2199" s="2" t="s">
        <v>10</v>
      </c>
    </row>
    <row r="2200" ht="14.25" customHeight="1">
      <c r="A2200" s="1" t="s">
        <v>1927</v>
      </c>
      <c r="B2200" s="1" t="s">
        <v>20</v>
      </c>
      <c r="C2200" s="2" t="s">
        <v>481</v>
      </c>
      <c r="D2200" s="2">
        <v>8.0</v>
      </c>
      <c r="E2200" s="2">
        <v>2019.0</v>
      </c>
      <c r="F2200" s="2">
        <v>2019.0</v>
      </c>
      <c r="G2200" s="2" t="s">
        <v>10</v>
      </c>
    </row>
    <row r="2201" ht="14.25" customHeight="1">
      <c r="A2201" s="1" t="s">
        <v>1928</v>
      </c>
      <c r="B2201" s="1" t="s">
        <v>20</v>
      </c>
      <c r="C2201" s="2" t="s">
        <v>611</v>
      </c>
      <c r="D2201" s="2">
        <v>8.0</v>
      </c>
      <c r="E2201" s="2">
        <v>2020.0</v>
      </c>
      <c r="F2201" s="2" t="s">
        <v>10</v>
      </c>
      <c r="G2201" s="2" t="s">
        <v>10</v>
      </c>
    </row>
    <row r="2202" ht="14.25" customHeight="1">
      <c r="A2202" s="1" t="s">
        <v>1929</v>
      </c>
      <c r="B2202" s="1" t="s">
        <v>20</v>
      </c>
      <c r="C2202" s="2" t="s">
        <v>18</v>
      </c>
      <c r="D2202" s="2">
        <v>8.0</v>
      </c>
      <c r="E2202" s="2">
        <v>1962.0</v>
      </c>
      <c r="F2202" s="2" t="s">
        <v>10</v>
      </c>
      <c r="G2202" s="2" t="s">
        <v>10</v>
      </c>
    </row>
    <row r="2203" ht="14.25" customHeight="1">
      <c r="A2203" s="1" t="s">
        <v>1930</v>
      </c>
      <c r="B2203" s="1" t="s">
        <v>20</v>
      </c>
      <c r="C2203" s="2" t="s">
        <v>497</v>
      </c>
      <c r="D2203" s="2">
        <v>8.0</v>
      </c>
      <c r="E2203" s="2">
        <v>2011.0</v>
      </c>
      <c r="F2203" s="2" t="s">
        <v>10</v>
      </c>
      <c r="G2203" s="2" t="s">
        <v>10</v>
      </c>
    </row>
    <row r="2204" ht="14.25" customHeight="1">
      <c r="A2204" s="1" t="s">
        <v>1931</v>
      </c>
      <c r="B2204" s="1" t="s">
        <v>20</v>
      </c>
      <c r="C2204" s="2" t="s">
        <v>1932</v>
      </c>
      <c r="D2204" s="2">
        <v>8.0</v>
      </c>
      <c r="E2204" s="2">
        <v>1924.0</v>
      </c>
      <c r="F2204" s="2" t="s">
        <v>10</v>
      </c>
      <c r="G2204" s="2" t="s">
        <v>10</v>
      </c>
    </row>
    <row r="2205" ht="14.25" customHeight="1">
      <c r="A2205" s="1" t="s">
        <v>1933</v>
      </c>
      <c r="B2205" s="1" t="s">
        <v>20</v>
      </c>
      <c r="C2205" s="2" t="s">
        <v>291</v>
      </c>
      <c r="D2205" s="2">
        <v>8.0</v>
      </c>
      <c r="E2205" s="2">
        <v>2023.0</v>
      </c>
      <c r="F2205" s="2" t="s">
        <v>10</v>
      </c>
      <c r="G2205" s="2" t="s">
        <v>10</v>
      </c>
    </row>
    <row r="2206" ht="14.25" customHeight="1">
      <c r="A2206" s="1" t="s">
        <v>1934</v>
      </c>
      <c r="B2206" s="1" t="s">
        <v>20</v>
      </c>
      <c r="C2206" s="2" t="s">
        <v>239</v>
      </c>
      <c r="D2206" s="2">
        <v>8.0</v>
      </c>
      <c r="E2206" s="2">
        <v>2003.0</v>
      </c>
      <c r="F2206" s="2" t="s">
        <v>10</v>
      </c>
      <c r="G2206" s="2" t="s">
        <v>10</v>
      </c>
    </row>
    <row r="2207" ht="14.25" customHeight="1">
      <c r="A2207" s="1" t="s">
        <v>1935</v>
      </c>
      <c r="B2207" s="1" t="s">
        <v>8</v>
      </c>
      <c r="C2207" s="2" t="s">
        <v>299</v>
      </c>
      <c r="D2207" s="2">
        <v>8.0</v>
      </c>
      <c r="E2207" s="2">
        <v>2023.0</v>
      </c>
      <c r="F2207" s="2" t="s">
        <v>10</v>
      </c>
      <c r="G2207" s="2">
        <v>1.11E7</v>
      </c>
    </row>
    <row r="2208" ht="14.25" customHeight="1">
      <c r="A2208" s="1" t="s">
        <v>1935</v>
      </c>
      <c r="B2208" s="1" t="s">
        <v>8</v>
      </c>
      <c r="C2208" s="2" t="s">
        <v>299</v>
      </c>
      <c r="D2208" s="2">
        <v>8.0</v>
      </c>
      <c r="E2208" s="2">
        <v>2023.0</v>
      </c>
      <c r="F2208" s="2" t="s">
        <v>10</v>
      </c>
      <c r="G2208" s="2">
        <v>1.17E7</v>
      </c>
    </row>
    <row r="2209" ht="14.25" customHeight="1">
      <c r="A2209" s="1" t="s">
        <v>1936</v>
      </c>
      <c r="B2209" s="1" t="s">
        <v>8</v>
      </c>
      <c r="C2209" s="2" t="s">
        <v>1375</v>
      </c>
      <c r="D2209" s="2">
        <v>8.0</v>
      </c>
      <c r="E2209" s="2">
        <v>2024.0</v>
      </c>
      <c r="F2209" s="2" t="s">
        <v>10</v>
      </c>
      <c r="G2209" s="2" t="s">
        <v>10</v>
      </c>
    </row>
    <row r="2210" ht="14.25" customHeight="1">
      <c r="A2210" s="1" t="s">
        <v>1937</v>
      </c>
      <c r="B2210" s="1" t="s">
        <v>8</v>
      </c>
      <c r="C2210" s="2" t="s">
        <v>53</v>
      </c>
      <c r="D2210" s="2">
        <v>8.0</v>
      </c>
      <c r="E2210" s="2">
        <v>2018.0</v>
      </c>
      <c r="F2210" s="2" t="s">
        <v>10</v>
      </c>
      <c r="G2210" s="2" t="s">
        <v>10</v>
      </c>
    </row>
    <row r="2211" ht="14.25" customHeight="1">
      <c r="A2211" s="1" t="s">
        <v>1938</v>
      </c>
      <c r="B2211" s="1" t="s">
        <v>20</v>
      </c>
      <c r="C2211" s="2" t="s">
        <v>524</v>
      </c>
      <c r="D2211" s="2">
        <v>8.0</v>
      </c>
      <c r="E2211" s="2">
        <v>2018.0</v>
      </c>
      <c r="F2211" s="2" t="s">
        <v>10</v>
      </c>
      <c r="G2211" s="2" t="s">
        <v>10</v>
      </c>
    </row>
    <row r="2212" ht="14.25" customHeight="1">
      <c r="A2212" s="1" t="s">
        <v>1939</v>
      </c>
      <c r="B2212" s="1" t="s">
        <v>20</v>
      </c>
      <c r="C2212" s="2" t="s">
        <v>253</v>
      </c>
      <c r="D2212" s="2">
        <v>8.0</v>
      </c>
      <c r="E2212" s="2">
        <v>2023.0</v>
      </c>
      <c r="F2212" s="2" t="s">
        <v>10</v>
      </c>
      <c r="G2212" s="2" t="s">
        <v>10</v>
      </c>
    </row>
    <row r="2213" ht="14.25" customHeight="1">
      <c r="A2213" s="1" t="s">
        <v>1940</v>
      </c>
      <c r="B2213" s="1" t="s">
        <v>8</v>
      </c>
      <c r="C2213" s="2" t="s">
        <v>25</v>
      </c>
      <c r="D2213" s="2">
        <v>8.0</v>
      </c>
      <c r="E2213" s="2">
        <v>1997.0</v>
      </c>
      <c r="F2213" s="2" t="s">
        <v>10</v>
      </c>
      <c r="G2213" s="2" t="s">
        <v>10</v>
      </c>
    </row>
    <row r="2214" ht="14.25" customHeight="1">
      <c r="A2214" s="1" t="s">
        <v>1941</v>
      </c>
      <c r="B2214" s="1" t="s">
        <v>8</v>
      </c>
      <c r="C2214" s="2" t="s">
        <v>262</v>
      </c>
      <c r="D2214" s="2">
        <v>8.0</v>
      </c>
      <c r="E2214" s="2">
        <v>2021.0</v>
      </c>
      <c r="F2214" s="2" t="s">
        <v>10</v>
      </c>
      <c r="G2214" s="2" t="s">
        <v>10</v>
      </c>
    </row>
    <row r="2215" ht="14.25" customHeight="1">
      <c r="A2215" s="1" t="s">
        <v>1942</v>
      </c>
      <c r="B2215" s="1" t="s">
        <v>8</v>
      </c>
      <c r="C2215" s="2" t="s">
        <v>18</v>
      </c>
      <c r="D2215" s="2">
        <v>8.0</v>
      </c>
      <c r="E2215" s="2">
        <v>2024.0</v>
      </c>
      <c r="F2215" s="2" t="s">
        <v>10</v>
      </c>
      <c r="G2215" s="2" t="s">
        <v>10</v>
      </c>
    </row>
    <row r="2216" ht="14.25" customHeight="1">
      <c r="A2216" s="1" t="s">
        <v>1943</v>
      </c>
      <c r="B2216" s="1" t="s">
        <v>20</v>
      </c>
      <c r="C2216" s="2" t="s">
        <v>49</v>
      </c>
      <c r="D2216" s="2">
        <v>8.0</v>
      </c>
      <c r="E2216" s="2">
        <v>2005.0</v>
      </c>
      <c r="F2216" s="2" t="s">
        <v>10</v>
      </c>
      <c r="G2216" s="2" t="s">
        <v>10</v>
      </c>
    </row>
    <row r="2217" ht="14.25" customHeight="1">
      <c r="A2217" s="1" t="s">
        <v>1944</v>
      </c>
      <c r="B2217" s="1" t="s">
        <v>8</v>
      </c>
      <c r="C2217" s="2" t="s">
        <v>63</v>
      </c>
      <c r="D2217" s="2">
        <v>8.0</v>
      </c>
      <c r="E2217" s="2">
        <v>2024.0</v>
      </c>
      <c r="F2217" s="2" t="s">
        <v>10</v>
      </c>
      <c r="G2217" s="2" t="s">
        <v>10</v>
      </c>
    </row>
    <row r="2218" ht="14.25" customHeight="1">
      <c r="A2218" s="1" t="s">
        <v>1945</v>
      </c>
      <c r="B2218" s="1" t="s">
        <v>8</v>
      </c>
      <c r="C2218" s="2" t="s">
        <v>25</v>
      </c>
      <c r="D2218" s="2">
        <v>8.0</v>
      </c>
      <c r="E2218" s="2">
        <v>2016.0</v>
      </c>
      <c r="F2218" s="2">
        <v>2018.0</v>
      </c>
      <c r="G2218" s="2" t="s">
        <v>10</v>
      </c>
    </row>
    <row r="2219" ht="14.25" customHeight="1">
      <c r="A2219" s="1" t="s">
        <v>1946</v>
      </c>
      <c r="B2219" s="1" t="s">
        <v>8</v>
      </c>
      <c r="C2219" s="2" t="s">
        <v>12</v>
      </c>
      <c r="D2219" s="2">
        <v>8.0</v>
      </c>
      <c r="E2219" s="2">
        <v>2018.0</v>
      </c>
      <c r="F2219" s="2">
        <v>2021.0</v>
      </c>
      <c r="G2219" s="2" t="s">
        <v>10</v>
      </c>
    </row>
    <row r="2220" ht="14.25" customHeight="1">
      <c r="A2220" s="1" t="s">
        <v>1947</v>
      </c>
      <c r="B2220" s="1" t="s">
        <v>20</v>
      </c>
      <c r="C2220" s="2" t="s">
        <v>1948</v>
      </c>
      <c r="D2220" s="2">
        <v>8.0</v>
      </c>
      <c r="E2220" s="2">
        <v>2015.0</v>
      </c>
      <c r="F2220" s="2" t="s">
        <v>10</v>
      </c>
      <c r="G2220" s="2" t="s">
        <v>10</v>
      </c>
    </row>
    <row r="2221" ht="14.25" customHeight="1">
      <c r="A2221" s="1" t="s">
        <v>1949</v>
      </c>
      <c r="B2221" s="1" t="s">
        <v>20</v>
      </c>
      <c r="C2221" s="2" t="s">
        <v>212</v>
      </c>
      <c r="D2221" s="2">
        <v>7.9</v>
      </c>
      <c r="E2221" s="2">
        <v>2009.0</v>
      </c>
      <c r="F2221" s="2" t="s">
        <v>10</v>
      </c>
      <c r="G2221" s="2" t="s">
        <v>10</v>
      </c>
    </row>
    <row r="2222" ht="14.25" customHeight="1">
      <c r="A2222" s="1" t="s">
        <v>1950</v>
      </c>
      <c r="B2222" s="1" t="s">
        <v>20</v>
      </c>
      <c r="C2222" s="2" t="s">
        <v>154</v>
      </c>
      <c r="D2222" s="2">
        <v>7.9</v>
      </c>
      <c r="E2222" s="2">
        <v>1997.0</v>
      </c>
      <c r="F2222" s="2" t="s">
        <v>10</v>
      </c>
      <c r="G2222" s="3">
        <v>5000000.0</v>
      </c>
    </row>
    <row r="2223" ht="14.25" customHeight="1">
      <c r="A2223" s="1" t="s">
        <v>1950</v>
      </c>
      <c r="B2223" s="1" t="s">
        <v>20</v>
      </c>
      <c r="C2223" s="2" t="s">
        <v>154</v>
      </c>
      <c r="D2223" s="2">
        <v>7.9</v>
      </c>
      <c r="E2223" s="2">
        <v>1997.0</v>
      </c>
      <c r="F2223" s="2" t="s">
        <v>10</v>
      </c>
      <c r="G2223" s="2">
        <v>1.027E7</v>
      </c>
    </row>
    <row r="2224" ht="14.25" customHeight="1">
      <c r="A2224" s="1" t="s">
        <v>1951</v>
      </c>
      <c r="B2224" s="1" t="s">
        <v>20</v>
      </c>
      <c r="C2224" s="2" t="s">
        <v>151</v>
      </c>
      <c r="D2224" s="2">
        <v>7.9</v>
      </c>
      <c r="E2224" s="2">
        <v>2008.0</v>
      </c>
      <c r="F2224" s="2" t="s">
        <v>10</v>
      </c>
      <c r="G2224" s="2" t="s">
        <v>10</v>
      </c>
    </row>
    <row r="2225" ht="14.25" customHeight="1">
      <c r="A2225" s="1" t="s">
        <v>1952</v>
      </c>
      <c r="B2225" s="1" t="s">
        <v>20</v>
      </c>
      <c r="C2225" s="2" t="s">
        <v>845</v>
      </c>
      <c r="D2225" s="2">
        <v>7.9</v>
      </c>
      <c r="E2225" s="2">
        <v>2017.0</v>
      </c>
      <c r="F2225" s="2">
        <v>2017.0</v>
      </c>
      <c r="G2225" s="2" t="s">
        <v>10</v>
      </c>
    </row>
    <row r="2226" ht="14.25" customHeight="1">
      <c r="A2226" s="1" t="s">
        <v>1953</v>
      </c>
      <c r="B2226" s="1" t="s">
        <v>20</v>
      </c>
      <c r="C2226" s="2" t="s">
        <v>530</v>
      </c>
      <c r="D2226" s="2">
        <v>7.9</v>
      </c>
      <c r="E2226" s="2">
        <v>2019.0</v>
      </c>
      <c r="F2226" s="2" t="s">
        <v>10</v>
      </c>
      <c r="G2226" s="2">
        <v>7470000.0</v>
      </c>
    </row>
    <row r="2227" ht="14.25" customHeight="1">
      <c r="A2227" s="1" t="s">
        <v>1953</v>
      </c>
      <c r="B2227" s="1" t="s">
        <v>20</v>
      </c>
      <c r="C2227" s="2" t="s">
        <v>530</v>
      </c>
      <c r="D2227" s="2">
        <v>7.9</v>
      </c>
      <c r="E2227" s="2">
        <v>2019.0</v>
      </c>
      <c r="F2227" s="2" t="s">
        <v>10</v>
      </c>
      <c r="G2227" s="2">
        <v>1.676E7</v>
      </c>
    </row>
    <row r="2228" ht="14.25" customHeight="1">
      <c r="A2228" s="1" t="s">
        <v>1954</v>
      </c>
      <c r="B2228" s="1" t="s">
        <v>20</v>
      </c>
      <c r="C2228" s="2" t="s">
        <v>231</v>
      </c>
      <c r="D2228" s="2">
        <v>7.9</v>
      </c>
      <c r="E2228" s="2">
        <v>2016.0</v>
      </c>
      <c r="F2228" s="2" t="s">
        <v>10</v>
      </c>
      <c r="G2228" s="2" t="s">
        <v>10</v>
      </c>
    </row>
    <row r="2229" ht="14.25" customHeight="1">
      <c r="A2229" s="1" t="s">
        <v>1955</v>
      </c>
      <c r="B2229" s="1" t="s">
        <v>20</v>
      </c>
      <c r="C2229" s="2" t="s">
        <v>151</v>
      </c>
      <c r="D2229" s="2">
        <v>7.9</v>
      </c>
      <c r="E2229" s="2">
        <v>2014.0</v>
      </c>
      <c r="F2229" s="2" t="s">
        <v>10</v>
      </c>
      <c r="G2229" s="2" t="s">
        <v>10</v>
      </c>
    </row>
    <row r="2230" ht="14.25" customHeight="1">
      <c r="A2230" s="1" t="s">
        <v>1956</v>
      </c>
      <c r="B2230" s="1" t="s">
        <v>20</v>
      </c>
      <c r="C2230" s="2" t="s">
        <v>151</v>
      </c>
      <c r="D2230" s="2">
        <v>7.9</v>
      </c>
      <c r="E2230" s="2">
        <v>2014.0</v>
      </c>
      <c r="F2230" s="2" t="s">
        <v>10</v>
      </c>
      <c r="G2230" s="2" t="s">
        <v>10</v>
      </c>
    </row>
    <row r="2231" ht="14.25" customHeight="1">
      <c r="A2231" s="1" t="s">
        <v>1957</v>
      </c>
      <c r="B2231" s="1" t="s">
        <v>20</v>
      </c>
      <c r="C2231" s="2" t="s">
        <v>55</v>
      </c>
      <c r="D2231" s="2">
        <v>7.9</v>
      </c>
      <c r="E2231" s="2">
        <v>2001.0</v>
      </c>
      <c r="F2231" s="2" t="s">
        <v>10</v>
      </c>
      <c r="G2231" s="2">
        <v>4540000.0</v>
      </c>
    </row>
    <row r="2232" ht="14.25" customHeight="1">
      <c r="A2232" s="1" t="s">
        <v>1957</v>
      </c>
      <c r="B2232" s="1" t="s">
        <v>20</v>
      </c>
      <c r="C2232" s="2" t="s">
        <v>55</v>
      </c>
      <c r="D2232" s="2">
        <v>7.9</v>
      </c>
      <c r="E2232" s="2">
        <v>2001.0</v>
      </c>
      <c r="F2232" s="2" t="s">
        <v>10</v>
      </c>
      <c r="G2232" s="2">
        <v>5310000.0</v>
      </c>
    </row>
    <row r="2233" ht="14.25" customHeight="1">
      <c r="A2233" s="1" t="s">
        <v>1957</v>
      </c>
      <c r="B2233" s="1" t="s">
        <v>20</v>
      </c>
      <c r="C2233" s="2" t="s">
        <v>55</v>
      </c>
      <c r="D2233" s="2">
        <v>7.9</v>
      </c>
      <c r="E2233" s="2">
        <v>2001.0</v>
      </c>
      <c r="F2233" s="2" t="s">
        <v>10</v>
      </c>
      <c r="G2233" s="2">
        <v>5340000.0</v>
      </c>
    </row>
    <row r="2234" ht="14.25" customHeight="1">
      <c r="A2234" s="1" t="s">
        <v>1957</v>
      </c>
      <c r="B2234" s="1" t="s">
        <v>20</v>
      </c>
      <c r="C2234" s="2" t="s">
        <v>55</v>
      </c>
      <c r="D2234" s="2">
        <v>7.9</v>
      </c>
      <c r="E2234" s="2">
        <v>2001.0</v>
      </c>
      <c r="F2234" s="2" t="s">
        <v>10</v>
      </c>
      <c r="G2234" s="2">
        <v>6350000.0</v>
      </c>
    </row>
    <row r="2235" ht="14.25" customHeight="1">
      <c r="A2235" s="1" t="s">
        <v>1957</v>
      </c>
      <c r="B2235" s="1" t="s">
        <v>20</v>
      </c>
      <c r="C2235" s="2" t="s">
        <v>55</v>
      </c>
      <c r="D2235" s="2">
        <v>7.9</v>
      </c>
      <c r="E2235" s="2">
        <v>2001.0</v>
      </c>
      <c r="F2235" s="2" t="s">
        <v>10</v>
      </c>
      <c r="G2235" s="2">
        <v>7870000.0</v>
      </c>
    </row>
    <row r="2236" ht="14.25" customHeight="1">
      <c r="A2236" s="1" t="s">
        <v>1957</v>
      </c>
      <c r="B2236" s="1" t="s">
        <v>20</v>
      </c>
      <c r="C2236" s="2" t="s">
        <v>55</v>
      </c>
      <c r="D2236" s="2">
        <v>7.9</v>
      </c>
      <c r="E2236" s="2">
        <v>2001.0</v>
      </c>
      <c r="F2236" s="2" t="s">
        <v>10</v>
      </c>
      <c r="G2236" s="2">
        <v>1.038E7</v>
      </c>
    </row>
    <row r="2237" ht="14.25" customHeight="1">
      <c r="A2237" s="1" t="s">
        <v>1957</v>
      </c>
      <c r="B2237" s="1" t="s">
        <v>20</v>
      </c>
      <c r="C2237" s="2" t="s">
        <v>55</v>
      </c>
      <c r="D2237" s="2">
        <v>7.9</v>
      </c>
      <c r="E2237" s="2">
        <v>2001.0</v>
      </c>
      <c r="F2237" s="2" t="s">
        <v>10</v>
      </c>
      <c r="G2237" s="2">
        <v>7780000.0</v>
      </c>
    </row>
    <row r="2238" ht="14.25" customHeight="1">
      <c r="A2238" s="1" t="s">
        <v>1958</v>
      </c>
      <c r="B2238" s="1" t="s">
        <v>20</v>
      </c>
      <c r="C2238" s="2" t="s">
        <v>1959</v>
      </c>
      <c r="D2238" s="2">
        <v>7.9</v>
      </c>
      <c r="E2238" s="2">
        <v>2009.0</v>
      </c>
      <c r="F2238" s="2">
        <v>2009.0</v>
      </c>
      <c r="G2238" s="2" t="s">
        <v>10</v>
      </c>
    </row>
    <row r="2239" ht="14.25" customHeight="1">
      <c r="A2239" s="1" t="s">
        <v>1960</v>
      </c>
      <c r="B2239" s="1" t="s">
        <v>20</v>
      </c>
      <c r="C2239" s="2" t="s">
        <v>719</v>
      </c>
      <c r="D2239" s="2">
        <v>7.9</v>
      </c>
      <c r="E2239" s="2">
        <v>2004.0</v>
      </c>
      <c r="F2239" s="2" t="s">
        <v>10</v>
      </c>
      <c r="G2239" s="2" t="s">
        <v>10</v>
      </c>
    </row>
    <row r="2240" ht="14.25" customHeight="1">
      <c r="A2240" s="1" t="s">
        <v>1961</v>
      </c>
      <c r="B2240" s="1" t="s">
        <v>20</v>
      </c>
      <c r="C2240" s="2" t="s">
        <v>78</v>
      </c>
      <c r="D2240" s="2">
        <v>7.9</v>
      </c>
      <c r="E2240" s="2">
        <v>2012.0</v>
      </c>
      <c r="F2240" s="2" t="s">
        <v>10</v>
      </c>
      <c r="G2240" s="2" t="s">
        <v>10</v>
      </c>
    </row>
    <row r="2241" ht="14.25" customHeight="1">
      <c r="A2241" s="1" t="s">
        <v>1962</v>
      </c>
      <c r="B2241" s="1" t="s">
        <v>20</v>
      </c>
      <c r="C2241" s="2" t="s">
        <v>55</v>
      </c>
      <c r="D2241" s="2">
        <v>7.9</v>
      </c>
      <c r="E2241" s="2">
        <v>1999.0</v>
      </c>
      <c r="F2241" s="2" t="s">
        <v>10</v>
      </c>
      <c r="G2241" s="2" t="s">
        <v>10</v>
      </c>
    </row>
    <row r="2242" ht="14.25" customHeight="1">
      <c r="A2242" s="1" t="s">
        <v>669</v>
      </c>
      <c r="B2242" s="1" t="s">
        <v>20</v>
      </c>
      <c r="C2242" s="2" t="s">
        <v>151</v>
      </c>
      <c r="D2242" s="2">
        <v>7.9</v>
      </c>
      <c r="E2242" s="2">
        <v>2009.0</v>
      </c>
      <c r="F2242" s="2">
        <v>2009.0</v>
      </c>
      <c r="G2242" s="2" t="s">
        <v>10</v>
      </c>
    </row>
    <row r="2243" ht="14.25" customHeight="1">
      <c r="A2243" s="1" t="s">
        <v>1963</v>
      </c>
      <c r="B2243" s="1" t="s">
        <v>20</v>
      </c>
      <c r="C2243" s="2" t="s">
        <v>311</v>
      </c>
      <c r="D2243" s="2">
        <v>7.9</v>
      </c>
      <c r="E2243" s="2">
        <v>2018.0</v>
      </c>
      <c r="F2243" s="2" t="s">
        <v>10</v>
      </c>
      <c r="G2243" s="2" t="s">
        <v>10</v>
      </c>
    </row>
    <row r="2244" ht="14.25" customHeight="1">
      <c r="A2244" s="1" t="s">
        <v>1964</v>
      </c>
      <c r="B2244" s="1" t="s">
        <v>20</v>
      </c>
      <c r="C2244" s="2" t="s">
        <v>766</v>
      </c>
      <c r="D2244" s="2">
        <v>7.9</v>
      </c>
      <c r="E2244" s="2">
        <v>2004.0</v>
      </c>
      <c r="F2244" s="2" t="s">
        <v>10</v>
      </c>
      <c r="G2244" s="2" t="s">
        <v>10</v>
      </c>
    </row>
    <row r="2245" ht="14.25" customHeight="1">
      <c r="A2245" s="1" t="s">
        <v>1965</v>
      </c>
      <c r="B2245" s="1" t="s">
        <v>20</v>
      </c>
      <c r="C2245" s="2" t="s">
        <v>18</v>
      </c>
      <c r="D2245" s="2">
        <v>7.9</v>
      </c>
      <c r="E2245" s="2">
        <v>2012.0</v>
      </c>
      <c r="F2245" s="2">
        <v>2012.0</v>
      </c>
      <c r="G2245" s="2" t="s">
        <v>10</v>
      </c>
    </row>
    <row r="2246" ht="14.25" customHeight="1">
      <c r="A2246" s="1" t="s">
        <v>1966</v>
      </c>
      <c r="B2246" s="1" t="s">
        <v>20</v>
      </c>
      <c r="C2246" s="2" t="s">
        <v>639</v>
      </c>
      <c r="D2246" s="2">
        <v>7.9</v>
      </c>
      <c r="E2246" s="2">
        <v>2006.0</v>
      </c>
      <c r="F2246" s="2" t="s">
        <v>10</v>
      </c>
      <c r="G2246" s="2" t="s">
        <v>10</v>
      </c>
    </row>
    <row r="2247" ht="14.25" customHeight="1">
      <c r="A2247" s="1" t="s">
        <v>1967</v>
      </c>
      <c r="B2247" s="1" t="s">
        <v>20</v>
      </c>
      <c r="C2247" s="2" t="s">
        <v>1474</v>
      </c>
      <c r="D2247" s="2">
        <v>7.9</v>
      </c>
      <c r="E2247" s="2">
        <v>1990.0</v>
      </c>
      <c r="F2247" s="2" t="s">
        <v>10</v>
      </c>
      <c r="G2247" s="2" t="s">
        <v>10</v>
      </c>
    </row>
    <row r="2248" ht="14.25" customHeight="1">
      <c r="A2248" s="1" t="s">
        <v>1968</v>
      </c>
      <c r="B2248" s="1" t="s">
        <v>20</v>
      </c>
      <c r="C2248" s="2" t="s">
        <v>169</v>
      </c>
      <c r="D2248" s="2">
        <v>7.9</v>
      </c>
      <c r="E2248" s="2">
        <v>2013.0</v>
      </c>
      <c r="F2248" s="2">
        <v>2013.0</v>
      </c>
      <c r="G2248" s="2" t="s">
        <v>10</v>
      </c>
    </row>
    <row r="2249" ht="14.25" customHeight="1">
      <c r="A2249" s="1" t="s">
        <v>1969</v>
      </c>
      <c r="B2249" s="1" t="s">
        <v>20</v>
      </c>
      <c r="C2249" s="2" t="s">
        <v>53</v>
      </c>
      <c r="D2249" s="2">
        <v>7.9</v>
      </c>
      <c r="E2249" s="2">
        <v>2003.0</v>
      </c>
      <c r="F2249" s="2">
        <v>2003.0</v>
      </c>
      <c r="G2249" s="2" t="s">
        <v>10</v>
      </c>
    </row>
    <row r="2250" ht="14.25" customHeight="1">
      <c r="A2250" s="1" t="s">
        <v>1970</v>
      </c>
      <c r="B2250" s="1" t="s">
        <v>20</v>
      </c>
      <c r="C2250" s="2" t="s">
        <v>530</v>
      </c>
      <c r="D2250" s="2">
        <v>7.9</v>
      </c>
      <c r="E2250" s="2">
        <v>2008.0</v>
      </c>
      <c r="F2250" s="2" t="s">
        <v>10</v>
      </c>
      <c r="G2250" s="2" t="s">
        <v>10</v>
      </c>
    </row>
    <row r="2251" ht="14.25" customHeight="1">
      <c r="A2251" s="1" t="s">
        <v>1971</v>
      </c>
      <c r="B2251" s="1" t="s">
        <v>20</v>
      </c>
      <c r="C2251" s="2" t="s">
        <v>516</v>
      </c>
      <c r="D2251" s="2">
        <v>7.9</v>
      </c>
      <c r="E2251" s="2">
        <v>2019.0</v>
      </c>
      <c r="F2251" s="2" t="s">
        <v>10</v>
      </c>
      <c r="G2251" s="2" t="s">
        <v>10</v>
      </c>
    </row>
    <row r="2252" ht="14.25" customHeight="1">
      <c r="A2252" s="1" t="s">
        <v>1972</v>
      </c>
      <c r="B2252" s="1" t="s">
        <v>20</v>
      </c>
      <c r="C2252" s="2" t="s">
        <v>212</v>
      </c>
      <c r="D2252" s="2">
        <v>7.9</v>
      </c>
      <c r="E2252" s="2">
        <v>2021.0</v>
      </c>
      <c r="F2252" s="2" t="s">
        <v>10</v>
      </c>
      <c r="G2252" s="2" t="s">
        <v>10</v>
      </c>
    </row>
    <row r="2253" ht="14.25" customHeight="1">
      <c r="A2253" s="1" t="s">
        <v>1973</v>
      </c>
      <c r="B2253" s="1" t="s">
        <v>20</v>
      </c>
      <c r="C2253" s="2" t="s">
        <v>1974</v>
      </c>
      <c r="D2253" s="2">
        <v>7.9</v>
      </c>
      <c r="E2253" s="2">
        <v>1982.0</v>
      </c>
      <c r="F2253" s="2" t="s">
        <v>10</v>
      </c>
      <c r="G2253" s="2" t="s">
        <v>10</v>
      </c>
    </row>
    <row r="2254" ht="14.25" customHeight="1">
      <c r="A2254" s="1" t="s">
        <v>1975</v>
      </c>
      <c r="B2254" s="1" t="s">
        <v>20</v>
      </c>
      <c r="C2254" s="2" t="s">
        <v>845</v>
      </c>
      <c r="D2254" s="2">
        <v>7.9</v>
      </c>
      <c r="E2254" s="2">
        <v>2023.0</v>
      </c>
      <c r="F2254" s="2" t="s">
        <v>10</v>
      </c>
      <c r="G2254" s="2" t="s">
        <v>10</v>
      </c>
    </row>
    <row r="2255" ht="14.25" customHeight="1">
      <c r="A2255" s="1" t="s">
        <v>1976</v>
      </c>
      <c r="B2255" s="1" t="s">
        <v>20</v>
      </c>
      <c r="C2255" s="2" t="s">
        <v>468</v>
      </c>
      <c r="D2255" s="2">
        <v>7.9</v>
      </c>
      <c r="E2255" s="2">
        <v>2001.0</v>
      </c>
      <c r="F2255" s="2" t="s">
        <v>10</v>
      </c>
      <c r="G2255" s="2" t="s">
        <v>10</v>
      </c>
    </row>
    <row r="2256" ht="14.25" customHeight="1">
      <c r="A2256" s="1" t="s">
        <v>1977</v>
      </c>
      <c r="B2256" s="1" t="s">
        <v>20</v>
      </c>
      <c r="C2256" s="2" t="s">
        <v>1637</v>
      </c>
      <c r="D2256" s="2">
        <v>7.9</v>
      </c>
      <c r="E2256" s="2">
        <v>1993.0</v>
      </c>
      <c r="F2256" s="2" t="s">
        <v>10</v>
      </c>
      <c r="G2256" s="2" t="s">
        <v>10</v>
      </c>
    </row>
    <row r="2257" ht="14.25" customHeight="1">
      <c r="A2257" s="1" t="s">
        <v>1978</v>
      </c>
      <c r="B2257" s="1" t="s">
        <v>8</v>
      </c>
      <c r="C2257" s="2" t="s">
        <v>253</v>
      </c>
      <c r="D2257" s="2">
        <v>7.9</v>
      </c>
      <c r="E2257" s="2">
        <v>2021.0</v>
      </c>
      <c r="F2257" s="2" t="s">
        <v>10</v>
      </c>
      <c r="G2257" s="2" t="s">
        <v>10</v>
      </c>
    </row>
    <row r="2258" ht="14.25" customHeight="1">
      <c r="A2258" s="1" t="s">
        <v>1979</v>
      </c>
      <c r="B2258" s="1" t="s">
        <v>20</v>
      </c>
      <c r="C2258" s="2" t="s">
        <v>18</v>
      </c>
      <c r="D2258" s="2">
        <v>7.9</v>
      </c>
      <c r="E2258" s="2">
        <v>2014.0</v>
      </c>
      <c r="F2258" s="2" t="s">
        <v>10</v>
      </c>
      <c r="G2258" s="2" t="s">
        <v>10</v>
      </c>
    </row>
    <row r="2259" ht="14.25" customHeight="1">
      <c r="A2259" s="1" t="s">
        <v>1980</v>
      </c>
      <c r="B2259" s="1" t="s">
        <v>20</v>
      </c>
      <c r="C2259" s="2" t="s">
        <v>154</v>
      </c>
      <c r="D2259" s="2">
        <v>7.9</v>
      </c>
      <c r="E2259" s="2">
        <v>2019.0</v>
      </c>
      <c r="F2259" s="2">
        <v>2019.0</v>
      </c>
      <c r="G2259" s="2" t="s">
        <v>10</v>
      </c>
    </row>
    <row r="2260" ht="14.25" customHeight="1">
      <c r="A2260" s="1" t="s">
        <v>1981</v>
      </c>
      <c r="B2260" s="1" t="s">
        <v>8</v>
      </c>
      <c r="C2260" s="2" t="s">
        <v>1982</v>
      </c>
      <c r="D2260" s="2">
        <v>7.9</v>
      </c>
      <c r="E2260" s="2">
        <v>2011.0</v>
      </c>
      <c r="F2260" s="2">
        <v>2019.0</v>
      </c>
      <c r="G2260" s="2" t="s">
        <v>10</v>
      </c>
    </row>
    <row r="2261" ht="14.25" customHeight="1">
      <c r="A2261" s="1" t="s">
        <v>1983</v>
      </c>
      <c r="B2261" s="1" t="s">
        <v>20</v>
      </c>
      <c r="C2261" s="2" t="s">
        <v>262</v>
      </c>
      <c r="D2261" s="2">
        <v>7.9</v>
      </c>
      <c r="E2261" s="2">
        <v>2008.0</v>
      </c>
      <c r="F2261" s="2" t="s">
        <v>10</v>
      </c>
      <c r="G2261" s="2" t="s">
        <v>10</v>
      </c>
    </row>
    <row r="2262" ht="14.25" customHeight="1">
      <c r="A2262" s="1" t="s">
        <v>1984</v>
      </c>
      <c r="B2262" s="1" t="s">
        <v>20</v>
      </c>
      <c r="C2262" s="2" t="s">
        <v>60</v>
      </c>
      <c r="D2262" s="2">
        <v>7.9</v>
      </c>
      <c r="E2262" s="2">
        <v>2000.0</v>
      </c>
      <c r="F2262" s="2" t="s">
        <v>10</v>
      </c>
      <c r="G2262" s="2" t="s">
        <v>10</v>
      </c>
    </row>
    <row r="2263" ht="14.25" customHeight="1">
      <c r="A2263" s="1" t="s">
        <v>1985</v>
      </c>
      <c r="B2263" s="1" t="s">
        <v>20</v>
      </c>
      <c r="C2263" s="2" t="s">
        <v>18</v>
      </c>
      <c r="D2263" s="2">
        <v>7.9</v>
      </c>
      <c r="E2263" s="2">
        <v>1997.0</v>
      </c>
      <c r="F2263" s="2">
        <v>1997.0</v>
      </c>
      <c r="G2263" s="2" t="s">
        <v>10</v>
      </c>
    </row>
    <row r="2264" ht="14.25" customHeight="1">
      <c r="A2264" s="1" t="s">
        <v>1986</v>
      </c>
      <c r="B2264" s="1" t="s">
        <v>8</v>
      </c>
      <c r="C2264" s="2" t="s">
        <v>53</v>
      </c>
      <c r="D2264" s="2">
        <v>7.9</v>
      </c>
      <c r="E2264" s="2">
        <v>2013.0</v>
      </c>
      <c r="F2264" s="2">
        <v>2019.0</v>
      </c>
      <c r="G2264" s="2">
        <v>1.726E7</v>
      </c>
    </row>
    <row r="2265" ht="14.25" customHeight="1">
      <c r="A2265" s="1" t="s">
        <v>1986</v>
      </c>
      <c r="B2265" s="1" t="s">
        <v>8</v>
      </c>
      <c r="C2265" s="2" t="s">
        <v>53</v>
      </c>
      <c r="D2265" s="2">
        <v>7.9</v>
      </c>
      <c r="E2265" s="2">
        <v>2013.0</v>
      </c>
      <c r="F2265" s="2">
        <v>2019.0</v>
      </c>
      <c r="G2265" s="2">
        <v>1.18E7</v>
      </c>
    </row>
    <row r="2266" ht="14.25" customHeight="1">
      <c r="A2266" s="1" t="s">
        <v>1986</v>
      </c>
      <c r="B2266" s="1" t="s">
        <v>8</v>
      </c>
      <c r="C2266" s="2" t="s">
        <v>53</v>
      </c>
      <c r="D2266" s="2">
        <v>7.9</v>
      </c>
      <c r="E2266" s="2">
        <v>2013.0</v>
      </c>
      <c r="F2266" s="2">
        <v>2019.0</v>
      </c>
      <c r="G2266" s="2">
        <v>8710000.0</v>
      </c>
    </row>
    <row r="2267" ht="14.25" customHeight="1">
      <c r="A2267" s="1" t="s">
        <v>1987</v>
      </c>
      <c r="B2267" s="1" t="s">
        <v>20</v>
      </c>
      <c r="C2267" s="2" t="s">
        <v>34</v>
      </c>
      <c r="D2267" s="2">
        <v>7.9</v>
      </c>
      <c r="E2267" s="2">
        <v>2000.0</v>
      </c>
      <c r="F2267" s="2">
        <v>2000.0</v>
      </c>
      <c r="G2267" s="2" t="s">
        <v>10</v>
      </c>
    </row>
    <row r="2268" ht="14.25" customHeight="1">
      <c r="A2268" s="1" t="s">
        <v>1988</v>
      </c>
      <c r="B2268" s="1" t="s">
        <v>20</v>
      </c>
      <c r="C2268" s="2" t="s">
        <v>55</v>
      </c>
      <c r="D2268" s="2">
        <v>7.9</v>
      </c>
      <c r="E2268" s="2">
        <v>2009.0</v>
      </c>
      <c r="F2268" s="2" t="s">
        <v>10</v>
      </c>
      <c r="G2268" s="2" t="s">
        <v>10</v>
      </c>
    </row>
    <row r="2269" ht="14.25" customHeight="1">
      <c r="A2269" s="1" t="s">
        <v>1989</v>
      </c>
      <c r="B2269" s="1" t="s">
        <v>8</v>
      </c>
      <c r="C2269" s="2" t="s">
        <v>686</v>
      </c>
      <c r="D2269" s="2">
        <v>7.9</v>
      </c>
      <c r="E2269" s="2">
        <v>2008.0</v>
      </c>
      <c r="F2269" s="2" t="s">
        <v>10</v>
      </c>
      <c r="G2269" s="2" t="s">
        <v>10</v>
      </c>
    </row>
    <row r="2270" ht="14.25" customHeight="1">
      <c r="A2270" s="1" t="s">
        <v>1990</v>
      </c>
      <c r="B2270" s="1" t="s">
        <v>20</v>
      </c>
      <c r="C2270" s="2" t="s">
        <v>192</v>
      </c>
      <c r="D2270" s="2">
        <v>7.9</v>
      </c>
      <c r="E2270" s="2">
        <v>1993.0</v>
      </c>
      <c r="F2270" s="2" t="s">
        <v>10</v>
      </c>
      <c r="G2270" s="2" t="s">
        <v>10</v>
      </c>
    </row>
    <row r="2271" ht="14.25" customHeight="1">
      <c r="A2271" s="1" t="s">
        <v>1991</v>
      </c>
      <c r="B2271" s="1" t="s">
        <v>20</v>
      </c>
      <c r="C2271" s="2" t="s">
        <v>249</v>
      </c>
      <c r="D2271" s="2">
        <v>7.9</v>
      </c>
      <c r="E2271" s="2">
        <v>1964.0</v>
      </c>
      <c r="F2271" s="2" t="s">
        <v>10</v>
      </c>
      <c r="G2271" s="2" t="s">
        <v>10</v>
      </c>
    </row>
    <row r="2272" ht="14.25" customHeight="1">
      <c r="A2272" s="1" t="s">
        <v>1992</v>
      </c>
      <c r="B2272" s="1" t="s">
        <v>20</v>
      </c>
      <c r="C2272" s="2" t="s">
        <v>9</v>
      </c>
      <c r="D2272" s="2">
        <v>7.9</v>
      </c>
      <c r="E2272" s="2">
        <v>1993.0</v>
      </c>
      <c r="F2272" s="2" t="s">
        <v>10</v>
      </c>
      <c r="G2272" s="2" t="s">
        <v>10</v>
      </c>
    </row>
    <row r="2273" ht="14.25" customHeight="1">
      <c r="A2273" s="1" t="s">
        <v>1993</v>
      </c>
      <c r="B2273" s="1" t="s">
        <v>20</v>
      </c>
      <c r="C2273" s="2" t="s">
        <v>963</v>
      </c>
      <c r="D2273" s="2">
        <v>7.9</v>
      </c>
      <c r="E2273" s="2">
        <v>1980.0</v>
      </c>
      <c r="F2273" s="2" t="s">
        <v>10</v>
      </c>
      <c r="G2273" s="2" t="s">
        <v>10</v>
      </c>
    </row>
    <row r="2274" ht="14.25" customHeight="1">
      <c r="A2274" s="1" t="s">
        <v>1994</v>
      </c>
      <c r="B2274" s="1" t="s">
        <v>8</v>
      </c>
      <c r="C2274" s="2" t="s">
        <v>34</v>
      </c>
      <c r="D2274" s="2">
        <v>7.9</v>
      </c>
      <c r="E2274" s="2">
        <v>2018.0</v>
      </c>
      <c r="F2274" s="2">
        <v>2020.0</v>
      </c>
      <c r="G2274" s="2" t="s">
        <v>10</v>
      </c>
    </row>
    <row r="2275" ht="14.25" customHeight="1">
      <c r="A2275" s="1" t="s">
        <v>1995</v>
      </c>
      <c r="B2275" s="1" t="s">
        <v>20</v>
      </c>
      <c r="C2275" s="2" t="s">
        <v>34</v>
      </c>
      <c r="D2275" s="2">
        <v>7.9</v>
      </c>
      <c r="E2275" s="2">
        <v>2002.0</v>
      </c>
      <c r="F2275" s="2">
        <v>1997.0</v>
      </c>
      <c r="G2275" s="2" t="s">
        <v>10</v>
      </c>
    </row>
    <row r="2276" ht="14.25" customHeight="1">
      <c r="A2276" s="1" t="s">
        <v>1996</v>
      </c>
      <c r="B2276" s="1" t="s">
        <v>20</v>
      </c>
      <c r="C2276" s="2" t="s">
        <v>114</v>
      </c>
      <c r="D2276" s="2">
        <v>7.9</v>
      </c>
      <c r="E2276" s="2">
        <v>2017.0</v>
      </c>
      <c r="F2276" s="2" t="s">
        <v>10</v>
      </c>
      <c r="G2276" s="2" t="s">
        <v>10</v>
      </c>
    </row>
    <row r="2277" ht="14.25" customHeight="1">
      <c r="A2277" s="1" t="s">
        <v>1997</v>
      </c>
      <c r="B2277" s="1" t="s">
        <v>20</v>
      </c>
      <c r="C2277" s="2" t="s">
        <v>63</v>
      </c>
      <c r="D2277" s="2">
        <v>7.9</v>
      </c>
      <c r="E2277" s="2">
        <v>2023.0</v>
      </c>
      <c r="F2277" s="2" t="s">
        <v>10</v>
      </c>
      <c r="G2277" s="2" t="s">
        <v>10</v>
      </c>
    </row>
    <row r="2278" ht="14.25" customHeight="1">
      <c r="A2278" s="1" t="s">
        <v>1998</v>
      </c>
      <c r="B2278" s="1" t="s">
        <v>20</v>
      </c>
      <c r="C2278" s="2" t="s">
        <v>154</v>
      </c>
      <c r="D2278" s="2">
        <v>7.9</v>
      </c>
      <c r="E2278" s="2">
        <v>2013.0</v>
      </c>
      <c r="F2278" s="2" t="s">
        <v>10</v>
      </c>
      <c r="G2278" s="2" t="s">
        <v>10</v>
      </c>
    </row>
    <row r="2279" ht="14.25" customHeight="1">
      <c r="A2279" s="1" t="s">
        <v>1999</v>
      </c>
      <c r="B2279" s="1" t="s">
        <v>20</v>
      </c>
      <c r="C2279" s="2" t="s">
        <v>305</v>
      </c>
      <c r="D2279" s="2">
        <v>7.9</v>
      </c>
      <c r="E2279" s="2">
        <v>1983.0</v>
      </c>
      <c r="F2279" s="2" t="s">
        <v>10</v>
      </c>
      <c r="G2279" s="2" t="s">
        <v>10</v>
      </c>
    </row>
    <row r="2280" ht="14.25" customHeight="1">
      <c r="A2280" s="1" t="s">
        <v>2000</v>
      </c>
      <c r="B2280" s="1" t="s">
        <v>20</v>
      </c>
      <c r="C2280" s="2" t="s">
        <v>2001</v>
      </c>
      <c r="D2280" s="2">
        <v>7.9</v>
      </c>
      <c r="E2280" s="2">
        <v>1941.0</v>
      </c>
      <c r="F2280" s="2" t="s">
        <v>10</v>
      </c>
      <c r="G2280" s="2" t="s">
        <v>10</v>
      </c>
    </row>
    <row r="2281" ht="14.25" customHeight="1">
      <c r="A2281" s="1" t="s">
        <v>2002</v>
      </c>
      <c r="B2281" s="1" t="s">
        <v>20</v>
      </c>
      <c r="C2281" s="2" t="s">
        <v>566</v>
      </c>
      <c r="D2281" s="2">
        <v>7.9</v>
      </c>
      <c r="E2281" s="2">
        <v>1995.0</v>
      </c>
      <c r="F2281" s="2" t="s">
        <v>10</v>
      </c>
      <c r="G2281" s="2" t="s">
        <v>10</v>
      </c>
    </row>
    <row r="2282" ht="14.25" customHeight="1">
      <c r="A2282" s="1" t="s">
        <v>2003</v>
      </c>
      <c r="B2282" s="1" t="s">
        <v>20</v>
      </c>
      <c r="C2282" s="2" t="s">
        <v>53</v>
      </c>
      <c r="D2282" s="2">
        <v>7.9</v>
      </c>
      <c r="E2282" s="2">
        <v>1948.0</v>
      </c>
      <c r="F2282" s="2" t="s">
        <v>10</v>
      </c>
      <c r="G2282" s="2" t="s">
        <v>10</v>
      </c>
    </row>
    <row r="2283" ht="14.25" customHeight="1">
      <c r="A2283" s="1" t="s">
        <v>2004</v>
      </c>
      <c r="B2283" s="1" t="s">
        <v>20</v>
      </c>
      <c r="C2283" s="2" t="s">
        <v>179</v>
      </c>
      <c r="D2283" s="2">
        <v>7.9</v>
      </c>
      <c r="E2283" s="2">
        <v>1984.0</v>
      </c>
      <c r="F2283" s="2" t="s">
        <v>10</v>
      </c>
      <c r="G2283" s="2" t="s">
        <v>10</v>
      </c>
    </row>
    <row r="2284" ht="14.25" customHeight="1">
      <c r="A2284" s="1" t="s">
        <v>2005</v>
      </c>
      <c r="B2284" s="1" t="s">
        <v>8</v>
      </c>
      <c r="C2284" s="2" t="s">
        <v>32</v>
      </c>
      <c r="D2284" s="2">
        <v>7.9</v>
      </c>
      <c r="E2284" s="2">
        <v>1990.0</v>
      </c>
      <c r="F2284" s="2" t="s">
        <v>10</v>
      </c>
      <c r="G2284" s="2" t="s">
        <v>10</v>
      </c>
    </row>
    <row r="2285" ht="14.25" customHeight="1">
      <c r="A2285" s="1" t="s">
        <v>484</v>
      </c>
      <c r="B2285" s="1" t="s">
        <v>20</v>
      </c>
      <c r="C2285" s="2" t="s">
        <v>825</v>
      </c>
      <c r="D2285" s="2">
        <v>7.9</v>
      </c>
      <c r="E2285" s="2">
        <v>1960.0</v>
      </c>
      <c r="F2285" s="2">
        <v>2013.0</v>
      </c>
      <c r="G2285" s="2" t="s">
        <v>10</v>
      </c>
    </row>
    <row r="2286" ht="14.25" customHeight="1">
      <c r="A2286" s="1" t="s">
        <v>2006</v>
      </c>
      <c r="B2286" s="1" t="s">
        <v>20</v>
      </c>
      <c r="C2286" s="2" t="s">
        <v>844</v>
      </c>
      <c r="D2286" s="2">
        <v>7.9</v>
      </c>
      <c r="E2286" s="2">
        <v>1951.0</v>
      </c>
      <c r="F2286" s="2" t="s">
        <v>10</v>
      </c>
      <c r="G2286" s="2" t="s">
        <v>10</v>
      </c>
    </row>
    <row r="2287" ht="14.25" customHeight="1">
      <c r="A2287" s="1" t="s">
        <v>2007</v>
      </c>
      <c r="B2287" s="1" t="s">
        <v>8</v>
      </c>
      <c r="C2287" s="2" t="s">
        <v>325</v>
      </c>
      <c r="D2287" s="2">
        <v>7.9</v>
      </c>
      <c r="E2287" s="2">
        <v>2011.0</v>
      </c>
      <c r="F2287" s="2" t="s">
        <v>10</v>
      </c>
      <c r="G2287" s="2" t="s">
        <v>10</v>
      </c>
    </row>
    <row r="2288" ht="14.25" customHeight="1">
      <c r="A2288" s="1" t="s">
        <v>2008</v>
      </c>
      <c r="B2288" s="1" t="s">
        <v>20</v>
      </c>
      <c r="C2288" s="2" t="s">
        <v>291</v>
      </c>
      <c r="D2288" s="2">
        <v>7.9</v>
      </c>
      <c r="E2288" s="2">
        <v>2014.0</v>
      </c>
      <c r="F2288" s="2" t="s">
        <v>10</v>
      </c>
      <c r="G2288" s="2">
        <v>3840000.0</v>
      </c>
    </row>
    <row r="2289" ht="14.25" customHeight="1">
      <c r="A2289" s="1" t="s">
        <v>2008</v>
      </c>
      <c r="B2289" s="1" t="s">
        <v>20</v>
      </c>
      <c r="C2289" s="2" t="s">
        <v>291</v>
      </c>
      <c r="D2289" s="2">
        <v>7.9</v>
      </c>
      <c r="E2289" s="2">
        <v>2014.0</v>
      </c>
      <c r="F2289" s="2" t="s">
        <v>10</v>
      </c>
      <c r="G2289" s="2">
        <v>5780000.0</v>
      </c>
    </row>
    <row r="2290" ht="14.25" customHeight="1">
      <c r="A2290" s="1" t="s">
        <v>2009</v>
      </c>
      <c r="B2290" s="1" t="s">
        <v>20</v>
      </c>
      <c r="C2290" s="2" t="s">
        <v>22</v>
      </c>
      <c r="D2290" s="2">
        <v>7.9</v>
      </c>
      <c r="E2290" s="2">
        <v>1976.0</v>
      </c>
      <c r="F2290" s="2" t="s">
        <v>10</v>
      </c>
      <c r="G2290" s="2" t="s">
        <v>10</v>
      </c>
    </row>
    <row r="2291" ht="14.25" customHeight="1">
      <c r="A2291" s="1" t="s">
        <v>2010</v>
      </c>
      <c r="B2291" s="1" t="s">
        <v>8</v>
      </c>
      <c r="C2291" s="2" t="s">
        <v>53</v>
      </c>
      <c r="D2291" s="2">
        <v>7.9</v>
      </c>
      <c r="E2291" s="2">
        <v>2012.0</v>
      </c>
      <c r="F2291" s="2" t="s">
        <v>10</v>
      </c>
      <c r="G2291" s="2" t="s">
        <v>10</v>
      </c>
    </row>
    <row r="2292" ht="14.25" customHeight="1">
      <c r="A2292" s="1" t="s">
        <v>2011</v>
      </c>
      <c r="B2292" s="1" t="s">
        <v>8</v>
      </c>
      <c r="C2292" s="2" t="s">
        <v>476</v>
      </c>
      <c r="D2292" s="2">
        <v>7.9</v>
      </c>
      <c r="E2292" s="2">
        <v>2023.0</v>
      </c>
      <c r="F2292" s="2" t="s">
        <v>10</v>
      </c>
      <c r="G2292" s="2">
        <v>2.34E7</v>
      </c>
    </row>
    <row r="2293" ht="14.25" customHeight="1">
      <c r="A2293" s="1" t="s">
        <v>2011</v>
      </c>
      <c r="B2293" s="1" t="s">
        <v>8</v>
      </c>
      <c r="C2293" s="2" t="s">
        <v>476</v>
      </c>
      <c r="D2293" s="2">
        <v>7.9</v>
      </c>
      <c r="E2293" s="2">
        <v>2023.0</v>
      </c>
      <c r="F2293" s="2" t="s">
        <v>10</v>
      </c>
      <c r="G2293" s="2">
        <v>3.45E7</v>
      </c>
    </row>
    <row r="2294" ht="14.25" customHeight="1">
      <c r="A2294" s="1" t="s">
        <v>2011</v>
      </c>
      <c r="B2294" s="1" t="s">
        <v>8</v>
      </c>
      <c r="C2294" s="2" t="s">
        <v>476</v>
      </c>
      <c r="D2294" s="2">
        <v>7.9</v>
      </c>
      <c r="E2294" s="2">
        <v>2023.0</v>
      </c>
      <c r="F2294" s="2" t="s">
        <v>10</v>
      </c>
      <c r="G2294" s="2">
        <v>6.53E7</v>
      </c>
    </row>
    <row r="2295" ht="14.25" customHeight="1">
      <c r="A2295" s="1" t="s">
        <v>2011</v>
      </c>
      <c r="B2295" s="1" t="s">
        <v>8</v>
      </c>
      <c r="C2295" s="2" t="s">
        <v>476</v>
      </c>
      <c r="D2295" s="2">
        <v>7.9</v>
      </c>
      <c r="E2295" s="2">
        <v>2023.0</v>
      </c>
      <c r="F2295" s="2" t="s">
        <v>10</v>
      </c>
      <c r="G2295" s="2">
        <v>5.19E7</v>
      </c>
    </row>
    <row r="2296" ht="14.25" customHeight="1">
      <c r="A2296" s="1" t="s">
        <v>2012</v>
      </c>
      <c r="B2296" s="1" t="s">
        <v>20</v>
      </c>
      <c r="C2296" s="2" t="s">
        <v>2013</v>
      </c>
      <c r="D2296" s="2">
        <v>7.9</v>
      </c>
      <c r="E2296" s="2">
        <v>2000.0</v>
      </c>
      <c r="F2296" s="2" t="s">
        <v>10</v>
      </c>
      <c r="G2296" s="2" t="s">
        <v>10</v>
      </c>
    </row>
    <row r="2297" ht="14.25" customHeight="1">
      <c r="A2297" s="1" t="s">
        <v>2014</v>
      </c>
      <c r="B2297" s="1" t="s">
        <v>20</v>
      </c>
      <c r="C2297" s="2" t="s">
        <v>1060</v>
      </c>
      <c r="D2297" s="2">
        <v>7.9</v>
      </c>
      <c r="E2297" s="2">
        <v>2002.0</v>
      </c>
      <c r="F2297" s="2" t="s">
        <v>10</v>
      </c>
      <c r="G2297" s="2" t="s">
        <v>10</v>
      </c>
    </row>
    <row r="2298" ht="14.25" customHeight="1">
      <c r="A2298" s="1" t="s">
        <v>2015</v>
      </c>
      <c r="B2298" s="1" t="s">
        <v>8</v>
      </c>
      <c r="C2298" s="2" t="s">
        <v>530</v>
      </c>
      <c r="D2298" s="2">
        <v>7.9</v>
      </c>
      <c r="E2298" s="2">
        <v>2005.0</v>
      </c>
      <c r="F2298" s="2">
        <v>2012.0</v>
      </c>
      <c r="G2298" s="2" t="s">
        <v>10</v>
      </c>
    </row>
    <row r="2299" ht="14.25" customHeight="1">
      <c r="A2299" s="1" t="s">
        <v>2016</v>
      </c>
      <c r="B2299" s="1" t="s">
        <v>20</v>
      </c>
      <c r="C2299" s="2" t="s">
        <v>154</v>
      </c>
      <c r="D2299" s="2">
        <v>7.9</v>
      </c>
      <c r="E2299" s="2">
        <v>2010.0</v>
      </c>
      <c r="F2299" s="2" t="s">
        <v>10</v>
      </c>
      <c r="G2299" s="2" t="s">
        <v>10</v>
      </c>
    </row>
    <row r="2300" ht="14.25" customHeight="1">
      <c r="A2300" s="1" t="s">
        <v>2017</v>
      </c>
      <c r="B2300" s="1" t="s">
        <v>20</v>
      </c>
      <c r="C2300" s="2" t="s">
        <v>18</v>
      </c>
      <c r="D2300" s="2">
        <v>7.9</v>
      </c>
      <c r="E2300" s="2">
        <v>1951.0</v>
      </c>
      <c r="F2300" s="2" t="s">
        <v>10</v>
      </c>
      <c r="G2300" s="2" t="s">
        <v>10</v>
      </c>
    </row>
    <row r="2301" ht="14.25" customHeight="1">
      <c r="A2301" s="1" t="s">
        <v>2018</v>
      </c>
      <c r="B2301" s="1" t="s">
        <v>20</v>
      </c>
      <c r="C2301" s="2" t="s">
        <v>63</v>
      </c>
      <c r="D2301" s="2">
        <v>7.9</v>
      </c>
      <c r="E2301" s="2">
        <v>1989.0</v>
      </c>
      <c r="F2301" s="2">
        <v>1989.0</v>
      </c>
      <c r="G2301" s="2" t="s">
        <v>10</v>
      </c>
    </row>
    <row r="2302" ht="14.25" customHeight="1">
      <c r="A2302" s="1" t="s">
        <v>2019</v>
      </c>
      <c r="B2302" s="1" t="s">
        <v>8</v>
      </c>
      <c r="C2302" s="2" t="s">
        <v>639</v>
      </c>
      <c r="D2302" s="2">
        <v>7.9</v>
      </c>
      <c r="E2302" s="2">
        <v>2015.0</v>
      </c>
      <c r="F2302" s="2" t="s">
        <v>10</v>
      </c>
      <c r="G2302" s="2" t="s">
        <v>10</v>
      </c>
    </row>
    <row r="2303" ht="14.25" customHeight="1">
      <c r="A2303" s="1" t="s">
        <v>2020</v>
      </c>
      <c r="B2303" s="1" t="s">
        <v>20</v>
      </c>
      <c r="C2303" s="2" t="s">
        <v>1932</v>
      </c>
      <c r="D2303" s="2">
        <v>7.9</v>
      </c>
      <c r="E2303" s="2">
        <v>1952.0</v>
      </c>
      <c r="F2303" s="2" t="s">
        <v>10</v>
      </c>
      <c r="G2303" s="2" t="s">
        <v>10</v>
      </c>
    </row>
    <row r="2304" ht="14.25" customHeight="1">
      <c r="A2304" s="1" t="s">
        <v>2021</v>
      </c>
      <c r="B2304" s="1" t="s">
        <v>8</v>
      </c>
      <c r="C2304" s="2" t="s">
        <v>611</v>
      </c>
      <c r="D2304" s="2">
        <v>7.9</v>
      </c>
      <c r="E2304" s="2">
        <v>2022.0</v>
      </c>
      <c r="F2304" s="2" t="s">
        <v>10</v>
      </c>
      <c r="G2304" s="2" t="s">
        <v>10</v>
      </c>
    </row>
    <row r="2305" ht="14.25" customHeight="1">
      <c r="A2305" s="1" t="s">
        <v>2022</v>
      </c>
      <c r="B2305" s="1" t="s">
        <v>20</v>
      </c>
      <c r="C2305" s="2" t="s">
        <v>794</v>
      </c>
      <c r="D2305" s="2">
        <v>7.9</v>
      </c>
      <c r="E2305" s="2">
        <v>1970.0</v>
      </c>
      <c r="F2305" s="2" t="s">
        <v>10</v>
      </c>
      <c r="G2305" s="2" t="s">
        <v>10</v>
      </c>
    </row>
    <row r="2306" ht="14.25" customHeight="1">
      <c r="A2306" s="1" t="s">
        <v>2023</v>
      </c>
      <c r="B2306" s="1" t="s">
        <v>20</v>
      </c>
      <c r="C2306" s="2" t="s">
        <v>2024</v>
      </c>
      <c r="D2306" s="2">
        <v>7.9</v>
      </c>
      <c r="E2306" s="2">
        <v>1946.0</v>
      </c>
      <c r="F2306" s="2" t="s">
        <v>10</v>
      </c>
      <c r="G2306" s="2" t="s">
        <v>10</v>
      </c>
    </row>
    <row r="2307" ht="14.25" customHeight="1">
      <c r="A2307" s="1" t="s">
        <v>2025</v>
      </c>
      <c r="B2307" s="1" t="s">
        <v>20</v>
      </c>
      <c r="C2307" s="2" t="s">
        <v>18</v>
      </c>
      <c r="D2307" s="2">
        <v>7.9</v>
      </c>
      <c r="E2307" s="2">
        <v>2012.0</v>
      </c>
      <c r="F2307" s="2" t="s">
        <v>10</v>
      </c>
      <c r="G2307" s="2" t="s">
        <v>10</v>
      </c>
    </row>
    <row r="2308" ht="14.25" customHeight="1">
      <c r="A2308" s="1" t="s">
        <v>2026</v>
      </c>
      <c r="B2308" s="1" t="s">
        <v>8</v>
      </c>
      <c r="C2308" s="2" t="s">
        <v>530</v>
      </c>
      <c r="D2308" s="2">
        <v>7.9</v>
      </c>
      <c r="E2308" s="2">
        <v>2019.0</v>
      </c>
      <c r="F2308" s="2">
        <v>2020.0</v>
      </c>
      <c r="G2308" s="2">
        <v>1.19E7</v>
      </c>
    </row>
    <row r="2309" ht="14.25" customHeight="1">
      <c r="A2309" s="1" t="s">
        <v>2026</v>
      </c>
      <c r="B2309" s="1" t="s">
        <v>8</v>
      </c>
      <c r="C2309" s="2" t="s">
        <v>530</v>
      </c>
      <c r="D2309" s="2">
        <v>7.9</v>
      </c>
      <c r="E2309" s="2">
        <v>2019.0</v>
      </c>
      <c r="F2309" s="2">
        <v>2020.0</v>
      </c>
      <c r="G2309" s="2">
        <v>1.954E7</v>
      </c>
    </row>
    <row r="2310" ht="14.25" customHeight="1">
      <c r="A2310" s="1" t="s">
        <v>2026</v>
      </c>
      <c r="B2310" s="1" t="s">
        <v>8</v>
      </c>
      <c r="C2310" s="2" t="s">
        <v>530</v>
      </c>
      <c r="D2310" s="2">
        <v>7.9</v>
      </c>
      <c r="E2310" s="2">
        <v>2019.0</v>
      </c>
      <c r="F2310" s="2">
        <v>2020.0</v>
      </c>
      <c r="G2310" s="2">
        <v>3.333E7</v>
      </c>
    </row>
    <row r="2311" ht="14.25" customHeight="1">
      <c r="A2311" s="1" t="s">
        <v>2026</v>
      </c>
      <c r="B2311" s="1" t="s">
        <v>8</v>
      </c>
      <c r="C2311" s="2" t="s">
        <v>530</v>
      </c>
      <c r="D2311" s="2">
        <v>7.9</v>
      </c>
      <c r="E2311" s="2">
        <v>2019.0</v>
      </c>
      <c r="F2311" s="2">
        <v>2020.0</v>
      </c>
      <c r="G2311" s="2">
        <v>1.194E7</v>
      </c>
    </row>
    <row r="2312" ht="14.25" customHeight="1">
      <c r="A2312" s="1" t="s">
        <v>2026</v>
      </c>
      <c r="B2312" s="1" t="s">
        <v>8</v>
      </c>
      <c r="C2312" s="2" t="s">
        <v>530</v>
      </c>
      <c r="D2312" s="2">
        <v>7.9</v>
      </c>
      <c r="E2312" s="2">
        <v>2019.0</v>
      </c>
      <c r="F2312" s="2">
        <v>2020.0</v>
      </c>
      <c r="G2312" s="2">
        <v>3.03E7</v>
      </c>
    </row>
    <row r="2313" ht="14.25" customHeight="1">
      <c r="A2313" s="1" t="s">
        <v>2027</v>
      </c>
      <c r="B2313" s="1" t="s">
        <v>20</v>
      </c>
      <c r="C2313" s="2" t="s">
        <v>361</v>
      </c>
      <c r="D2313" s="2">
        <v>7.9</v>
      </c>
      <c r="E2313" s="2">
        <v>2016.0</v>
      </c>
      <c r="F2313" s="2" t="s">
        <v>10</v>
      </c>
      <c r="G2313" s="2" t="s">
        <v>10</v>
      </c>
    </row>
    <row r="2314" ht="14.25" customHeight="1">
      <c r="A2314" s="1" t="s">
        <v>714</v>
      </c>
      <c r="B2314" s="1" t="s">
        <v>20</v>
      </c>
      <c r="C2314" s="2" t="s">
        <v>844</v>
      </c>
      <c r="D2314" s="2">
        <v>7.9</v>
      </c>
      <c r="E2314" s="2">
        <v>1956.0</v>
      </c>
      <c r="F2314" s="2" t="s">
        <v>10</v>
      </c>
      <c r="G2314" s="2" t="s">
        <v>10</v>
      </c>
    </row>
    <row r="2315" ht="14.25" customHeight="1">
      <c r="A2315" s="1" t="s">
        <v>2028</v>
      </c>
      <c r="B2315" s="1" t="s">
        <v>20</v>
      </c>
      <c r="C2315" s="2" t="s">
        <v>231</v>
      </c>
      <c r="D2315" s="2">
        <v>7.9</v>
      </c>
      <c r="E2315" s="2">
        <v>1972.0</v>
      </c>
      <c r="F2315" s="2" t="s">
        <v>10</v>
      </c>
      <c r="G2315" s="2" t="s">
        <v>10</v>
      </c>
    </row>
    <row r="2316" ht="14.25" customHeight="1">
      <c r="A2316" s="1" t="s">
        <v>2029</v>
      </c>
      <c r="B2316" s="1" t="s">
        <v>20</v>
      </c>
      <c r="C2316" s="2" t="s">
        <v>18</v>
      </c>
      <c r="D2316" s="2">
        <v>7.9</v>
      </c>
      <c r="E2316" s="2">
        <v>2013.0</v>
      </c>
      <c r="F2316" s="2">
        <v>2013.0</v>
      </c>
      <c r="G2316" s="2" t="s">
        <v>10</v>
      </c>
    </row>
    <row r="2317" ht="14.25" customHeight="1">
      <c r="A2317" s="1" t="s">
        <v>2030</v>
      </c>
      <c r="B2317" s="1" t="s">
        <v>20</v>
      </c>
      <c r="C2317" s="2" t="s">
        <v>2031</v>
      </c>
      <c r="D2317" s="2">
        <v>7.9</v>
      </c>
      <c r="E2317" s="2">
        <v>1933.0</v>
      </c>
      <c r="F2317" s="2" t="s">
        <v>10</v>
      </c>
      <c r="G2317" s="2" t="s">
        <v>10</v>
      </c>
    </row>
    <row r="2318" ht="14.25" customHeight="1">
      <c r="A2318" s="1" t="s">
        <v>2032</v>
      </c>
      <c r="B2318" s="1" t="s">
        <v>20</v>
      </c>
      <c r="C2318" s="2" t="s">
        <v>844</v>
      </c>
      <c r="D2318" s="2">
        <v>7.9</v>
      </c>
      <c r="E2318" s="2">
        <v>1946.0</v>
      </c>
      <c r="F2318" s="2" t="s">
        <v>10</v>
      </c>
      <c r="G2318" s="2" t="s">
        <v>10</v>
      </c>
    </row>
    <row r="2319" ht="14.25" customHeight="1">
      <c r="A2319" s="1" t="s">
        <v>2033</v>
      </c>
      <c r="B2319" s="1" t="s">
        <v>20</v>
      </c>
      <c r="C2319" s="2" t="s">
        <v>34</v>
      </c>
      <c r="D2319" s="2">
        <v>7.9</v>
      </c>
      <c r="E2319" s="2">
        <v>1969.0</v>
      </c>
      <c r="F2319" s="2" t="s">
        <v>10</v>
      </c>
      <c r="G2319" s="2" t="s">
        <v>10</v>
      </c>
    </row>
    <row r="2320" ht="14.25" customHeight="1">
      <c r="A2320" s="1" t="s">
        <v>2034</v>
      </c>
      <c r="B2320" s="1" t="s">
        <v>20</v>
      </c>
      <c r="C2320" s="2" t="s">
        <v>9</v>
      </c>
      <c r="D2320" s="2">
        <v>7.9</v>
      </c>
      <c r="E2320" s="2">
        <v>2018.0</v>
      </c>
      <c r="F2320" s="2" t="s">
        <v>10</v>
      </c>
      <c r="G2320" s="2" t="s">
        <v>10</v>
      </c>
    </row>
    <row r="2321" ht="14.25" customHeight="1">
      <c r="A2321" s="1" t="s">
        <v>2035</v>
      </c>
      <c r="B2321" s="1" t="s">
        <v>8</v>
      </c>
      <c r="C2321" s="2" t="s">
        <v>78</v>
      </c>
      <c r="D2321" s="2">
        <v>7.9</v>
      </c>
      <c r="E2321" s="2">
        <v>2008.0</v>
      </c>
      <c r="F2321" s="2">
        <v>2012.0</v>
      </c>
      <c r="G2321" s="2" t="s">
        <v>10</v>
      </c>
    </row>
    <row r="2322" ht="14.25" customHeight="1">
      <c r="A2322" s="1" t="s">
        <v>2036</v>
      </c>
      <c r="B2322" s="1" t="s">
        <v>20</v>
      </c>
      <c r="C2322" s="2" t="s">
        <v>262</v>
      </c>
      <c r="D2322" s="2">
        <v>7.9</v>
      </c>
      <c r="E2322" s="2">
        <v>1961.0</v>
      </c>
      <c r="F2322" s="2" t="s">
        <v>10</v>
      </c>
      <c r="G2322" s="2" t="s">
        <v>10</v>
      </c>
    </row>
    <row r="2323" ht="14.25" customHeight="1">
      <c r="A2323" s="1" t="s">
        <v>2037</v>
      </c>
      <c r="B2323" s="1" t="s">
        <v>20</v>
      </c>
      <c r="C2323" s="2" t="s">
        <v>468</v>
      </c>
      <c r="D2323" s="2">
        <v>7.9</v>
      </c>
      <c r="E2323" s="2">
        <v>1967.0</v>
      </c>
      <c r="F2323" s="2" t="s">
        <v>10</v>
      </c>
      <c r="G2323" s="2" t="s">
        <v>10</v>
      </c>
    </row>
    <row r="2324" ht="14.25" customHeight="1">
      <c r="A2324" s="1" t="s">
        <v>2038</v>
      </c>
      <c r="B2324" s="1" t="s">
        <v>8</v>
      </c>
      <c r="C2324" s="2" t="s">
        <v>845</v>
      </c>
      <c r="D2324" s="2">
        <v>7.9</v>
      </c>
      <c r="E2324" s="2">
        <v>2016.0</v>
      </c>
      <c r="F2324" s="2" t="s">
        <v>10</v>
      </c>
      <c r="G2324" s="2" t="s">
        <v>10</v>
      </c>
    </row>
    <row r="2325" ht="14.25" customHeight="1">
      <c r="A2325" s="1" t="s">
        <v>2039</v>
      </c>
      <c r="B2325" s="1" t="s">
        <v>20</v>
      </c>
      <c r="C2325" s="2" t="s">
        <v>461</v>
      </c>
      <c r="D2325" s="2">
        <v>7.9</v>
      </c>
      <c r="E2325" s="2">
        <v>1965.0</v>
      </c>
      <c r="F2325" s="2">
        <v>1965.0</v>
      </c>
      <c r="G2325" s="2" t="s">
        <v>10</v>
      </c>
    </row>
    <row r="2326" ht="14.25" customHeight="1">
      <c r="A2326" s="1" t="s">
        <v>2040</v>
      </c>
      <c r="B2326" s="1" t="s">
        <v>20</v>
      </c>
      <c r="C2326" s="2" t="s">
        <v>187</v>
      </c>
      <c r="D2326" s="2">
        <v>7.9</v>
      </c>
      <c r="E2326" s="2">
        <v>1971.0</v>
      </c>
      <c r="F2326" s="2" t="s">
        <v>10</v>
      </c>
      <c r="G2326" s="2" t="s">
        <v>10</v>
      </c>
    </row>
    <row r="2327" ht="14.25" customHeight="1">
      <c r="A2327" s="1" t="s">
        <v>2041</v>
      </c>
      <c r="B2327" s="1" t="s">
        <v>20</v>
      </c>
      <c r="C2327" s="2" t="s">
        <v>299</v>
      </c>
      <c r="D2327" s="2">
        <v>7.9</v>
      </c>
      <c r="E2327" s="2">
        <v>1962.0</v>
      </c>
      <c r="F2327" s="2" t="s">
        <v>10</v>
      </c>
      <c r="G2327" s="2" t="s">
        <v>10</v>
      </c>
    </row>
    <row r="2328" ht="14.25" customHeight="1">
      <c r="A2328" s="1" t="s">
        <v>2042</v>
      </c>
      <c r="B2328" s="1" t="s">
        <v>8</v>
      </c>
      <c r="C2328" s="2" t="s">
        <v>825</v>
      </c>
      <c r="D2328" s="2">
        <v>7.9</v>
      </c>
      <c r="E2328" s="2">
        <v>2013.0</v>
      </c>
      <c r="F2328" s="2" t="s">
        <v>10</v>
      </c>
      <c r="G2328" s="2" t="s">
        <v>10</v>
      </c>
    </row>
    <row r="2329" ht="14.25" customHeight="1">
      <c r="A2329" s="1" t="s">
        <v>2043</v>
      </c>
      <c r="B2329" s="1" t="s">
        <v>8</v>
      </c>
      <c r="C2329" s="2" t="s">
        <v>34</v>
      </c>
      <c r="D2329" s="2">
        <v>7.9</v>
      </c>
      <c r="E2329" s="2">
        <v>1995.0</v>
      </c>
      <c r="F2329" s="2">
        <v>2000.0</v>
      </c>
      <c r="G2329" s="2" t="s">
        <v>10</v>
      </c>
    </row>
    <row r="2330" ht="14.25" customHeight="1">
      <c r="A2330" s="1" t="s">
        <v>2044</v>
      </c>
      <c r="B2330" s="1" t="s">
        <v>20</v>
      </c>
      <c r="C2330" s="2" t="s">
        <v>1474</v>
      </c>
      <c r="D2330" s="2">
        <v>7.9</v>
      </c>
      <c r="E2330" s="2">
        <v>1987.0</v>
      </c>
      <c r="F2330" s="2" t="s">
        <v>10</v>
      </c>
      <c r="G2330" s="2" t="s">
        <v>10</v>
      </c>
    </row>
    <row r="2331" ht="14.25" customHeight="1">
      <c r="A2331" s="1" t="s">
        <v>2045</v>
      </c>
      <c r="B2331" s="1" t="s">
        <v>20</v>
      </c>
      <c r="C2331" s="2" t="s">
        <v>63</v>
      </c>
      <c r="D2331" s="2">
        <v>7.9</v>
      </c>
      <c r="E2331" s="2">
        <v>1979.0</v>
      </c>
      <c r="F2331" s="2" t="s">
        <v>10</v>
      </c>
      <c r="G2331" s="2" t="s">
        <v>10</v>
      </c>
    </row>
    <row r="2332" ht="14.25" customHeight="1">
      <c r="A2332" s="1" t="s">
        <v>2046</v>
      </c>
      <c r="B2332" s="1" t="s">
        <v>20</v>
      </c>
      <c r="C2332" s="2" t="s">
        <v>105</v>
      </c>
      <c r="D2332" s="2">
        <v>7.9</v>
      </c>
      <c r="E2332" s="2">
        <v>1956.0</v>
      </c>
      <c r="F2332" s="2" t="s">
        <v>10</v>
      </c>
      <c r="G2332" s="2" t="s">
        <v>10</v>
      </c>
    </row>
    <row r="2333" ht="14.25" customHeight="1">
      <c r="A2333" s="1" t="s">
        <v>2047</v>
      </c>
      <c r="B2333" s="1" t="s">
        <v>20</v>
      </c>
      <c r="C2333" s="2" t="s">
        <v>1100</v>
      </c>
      <c r="D2333" s="2">
        <v>7.9</v>
      </c>
      <c r="E2333" s="2">
        <v>2003.0</v>
      </c>
      <c r="F2333" s="2">
        <v>2003.0</v>
      </c>
      <c r="G2333" s="2" t="s">
        <v>10</v>
      </c>
    </row>
    <row r="2334" ht="14.25" customHeight="1">
      <c r="A2334" s="1" t="s">
        <v>2048</v>
      </c>
      <c r="B2334" s="1" t="s">
        <v>8</v>
      </c>
      <c r="C2334" s="2" t="s">
        <v>34</v>
      </c>
      <c r="D2334" s="2">
        <v>7.9</v>
      </c>
      <c r="E2334" s="2">
        <v>1999.0</v>
      </c>
      <c r="F2334" s="2" t="s">
        <v>10</v>
      </c>
      <c r="G2334" s="2" t="s">
        <v>10</v>
      </c>
    </row>
    <row r="2335" ht="14.25" customHeight="1">
      <c r="A2335" s="1" t="s">
        <v>2049</v>
      </c>
      <c r="B2335" s="1" t="s">
        <v>20</v>
      </c>
      <c r="C2335" s="2" t="s">
        <v>989</v>
      </c>
      <c r="D2335" s="2">
        <v>7.9</v>
      </c>
      <c r="E2335" s="2">
        <v>1944.0</v>
      </c>
      <c r="F2335" s="2" t="s">
        <v>10</v>
      </c>
      <c r="G2335" s="2" t="s">
        <v>10</v>
      </c>
    </row>
    <row r="2336" ht="14.25" customHeight="1">
      <c r="A2336" s="1" t="s">
        <v>2050</v>
      </c>
      <c r="B2336" s="1" t="s">
        <v>8</v>
      </c>
      <c r="C2336" s="2" t="s">
        <v>32</v>
      </c>
      <c r="D2336" s="2">
        <v>7.9</v>
      </c>
      <c r="E2336" s="2">
        <v>2015.0</v>
      </c>
      <c r="F2336" s="2" t="s">
        <v>10</v>
      </c>
      <c r="G2336" s="2" t="s">
        <v>10</v>
      </c>
    </row>
    <row r="2337" ht="14.25" customHeight="1">
      <c r="A2337" s="1" t="s">
        <v>2051</v>
      </c>
      <c r="B2337" s="1" t="s">
        <v>8</v>
      </c>
      <c r="C2337" s="2" t="s">
        <v>154</v>
      </c>
      <c r="D2337" s="2">
        <v>7.9</v>
      </c>
      <c r="E2337" s="2">
        <v>1994.0</v>
      </c>
      <c r="F2337" s="2" t="s">
        <v>10</v>
      </c>
      <c r="G2337" s="2" t="s">
        <v>10</v>
      </c>
    </row>
    <row r="2338" ht="14.25" customHeight="1">
      <c r="A2338" s="1" t="s">
        <v>2052</v>
      </c>
      <c r="B2338" s="1" t="s">
        <v>20</v>
      </c>
      <c r="C2338" s="2" t="s">
        <v>2053</v>
      </c>
      <c r="D2338" s="2">
        <v>7.9</v>
      </c>
      <c r="E2338" s="2">
        <v>2010.0</v>
      </c>
      <c r="F2338" s="2" t="s">
        <v>10</v>
      </c>
      <c r="G2338" s="2" t="s">
        <v>10</v>
      </c>
    </row>
    <row r="2339" ht="14.25" customHeight="1">
      <c r="A2339" s="1" t="s">
        <v>2054</v>
      </c>
      <c r="B2339" s="1" t="s">
        <v>20</v>
      </c>
      <c r="C2339" s="2" t="s">
        <v>18</v>
      </c>
      <c r="D2339" s="2">
        <v>7.9</v>
      </c>
      <c r="E2339" s="2">
        <v>2023.0</v>
      </c>
      <c r="F2339" s="2" t="s">
        <v>10</v>
      </c>
      <c r="G2339" s="2" t="s">
        <v>10</v>
      </c>
    </row>
    <row r="2340" ht="14.25" customHeight="1">
      <c r="A2340" s="1" t="s">
        <v>2055</v>
      </c>
      <c r="B2340" s="1" t="s">
        <v>20</v>
      </c>
      <c r="C2340" s="2" t="s">
        <v>212</v>
      </c>
      <c r="D2340" s="2">
        <v>7.9</v>
      </c>
      <c r="E2340" s="2">
        <v>2022.0</v>
      </c>
      <c r="F2340" s="2" t="s">
        <v>10</v>
      </c>
      <c r="G2340" s="2" t="s">
        <v>10</v>
      </c>
    </row>
    <row r="2341" ht="14.25" customHeight="1">
      <c r="A2341" s="1" t="s">
        <v>2056</v>
      </c>
      <c r="B2341" s="1" t="s">
        <v>20</v>
      </c>
      <c r="C2341" s="2" t="s">
        <v>18</v>
      </c>
      <c r="D2341" s="2">
        <v>7.9</v>
      </c>
      <c r="E2341" s="2">
        <v>2007.0</v>
      </c>
      <c r="F2341" s="2" t="s">
        <v>10</v>
      </c>
      <c r="G2341" s="2" t="s">
        <v>10</v>
      </c>
    </row>
    <row r="2342" ht="14.25" customHeight="1">
      <c r="A2342" s="1" t="s">
        <v>2057</v>
      </c>
      <c r="B2342" s="1" t="s">
        <v>20</v>
      </c>
      <c r="C2342" s="2" t="s">
        <v>22</v>
      </c>
      <c r="D2342" s="2">
        <v>7.9</v>
      </c>
      <c r="E2342" s="2">
        <v>1925.0</v>
      </c>
      <c r="F2342" s="2" t="s">
        <v>10</v>
      </c>
      <c r="G2342" s="2" t="s">
        <v>10</v>
      </c>
    </row>
    <row r="2343" ht="14.25" customHeight="1">
      <c r="A2343" s="1" t="s">
        <v>2058</v>
      </c>
      <c r="B2343" s="1" t="s">
        <v>20</v>
      </c>
      <c r="C2343" s="2" t="s">
        <v>1025</v>
      </c>
      <c r="D2343" s="2">
        <v>7.9</v>
      </c>
      <c r="E2343" s="2">
        <v>2015.0</v>
      </c>
      <c r="F2343" s="2">
        <v>2020.0</v>
      </c>
      <c r="G2343" s="2" t="s">
        <v>10</v>
      </c>
    </row>
    <row r="2344" ht="14.25" customHeight="1">
      <c r="A2344" s="1" t="s">
        <v>2059</v>
      </c>
      <c r="B2344" s="1" t="s">
        <v>8</v>
      </c>
      <c r="C2344" s="2" t="s">
        <v>32</v>
      </c>
      <c r="D2344" s="2">
        <v>7.9</v>
      </c>
      <c r="E2344" s="2">
        <v>2014.0</v>
      </c>
      <c r="F2344" s="2">
        <v>2019.0</v>
      </c>
      <c r="G2344" s="2" t="s">
        <v>10</v>
      </c>
    </row>
    <row r="2345" ht="14.25" customHeight="1">
      <c r="A2345" s="1" t="s">
        <v>2060</v>
      </c>
      <c r="B2345" s="1" t="s">
        <v>20</v>
      </c>
      <c r="C2345" s="2" t="s">
        <v>187</v>
      </c>
      <c r="D2345" s="2">
        <v>7.9</v>
      </c>
      <c r="E2345" s="2">
        <v>2007.0</v>
      </c>
      <c r="F2345" s="2">
        <v>2007.0</v>
      </c>
      <c r="G2345" s="2" t="s">
        <v>10</v>
      </c>
    </row>
    <row r="2346" ht="14.25" customHeight="1">
      <c r="A2346" s="1" t="s">
        <v>2061</v>
      </c>
      <c r="B2346" s="1" t="s">
        <v>20</v>
      </c>
      <c r="C2346" s="2" t="s">
        <v>516</v>
      </c>
      <c r="D2346" s="2">
        <v>7.9</v>
      </c>
      <c r="E2346" s="2">
        <v>1953.0</v>
      </c>
      <c r="F2346" s="2" t="s">
        <v>10</v>
      </c>
      <c r="G2346" s="2" t="s">
        <v>10</v>
      </c>
    </row>
    <row r="2347" ht="14.25" customHeight="1">
      <c r="A2347" s="1" t="s">
        <v>2062</v>
      </c>
      <c r="B2347" s="1" t="s">
        <v>8</v>
      </c>
      <c r="C2347" s="2" t="s">
        <v>60</v>
      </c>
      <c r="D2347" s="2">
        <v>7.9</v>
      </c>
      <c r="E2347" s="2">
        <v>2006.0</v>
      </c>
      <c r="F2347" s="2" t="s">
        <v>10</v>
      </c>
      <c r="G2347" s="2" t="s">
        <v>10</v>
      </c>
    </row>
    <row r="2348" ht="14.25" customHeight="1">
      <c r="A2348" s="1" t="s">
        <v>2063</v>
      </c>
      <c r="B2348" s="1" t="s">
        <v>8</v>
      </c>
      <c r="C2348" s="2" t="s">
        <v>507</v>
      </c>
      <c r="D2348" s="2">
        <v>7.9</v>
      </c>
      <c r="E2348" s="2">
        <v>2006.0</v>
      </c>
      <c r="F2348" s="2">
        <v>2008.0</v>
      </c>
      <c r="G2348" s="2" t="s">
        <v>10</v>
      </c>
    </row>
    <row r="2349" ht="14.25" customHeight="1">
      <c r="A2349" s="1" t="s">
        <v>2064</v>
      </c>
      <c r="B2349" s="1" t="s">
        <v>20</v>
      </c>
      <c r="C2349" s="2" t="s">
        <v>44</v>
      </c>
      <c r="D2349" s="2">
        <v>7.9</v>
      </c>
      <c r="E2349" s="2">
        <v>2016.0</v>
      </c>
      <c r="F2349" s="2" t="s">
        <v>10</v>
      </c>
      <c r="G2349" s="2" t="s">
        <v>10</v>
      </c>
    </row>
    <row r="2350" ht="14.25" customHeight="1">
      <c r="A2350" s="1" t="s">
        <v>2065</v>
      </c>
      <c r="B2350" s="1" t="s">
        <v>20</v>
      </c>
      <c r="C2350" s="2" t="s">
        <v>192</v>
      </c>
      <c r="D2350" s="2">
        <v>7.9</v>
      </c>
      <c r="E2350" s="2">
        <v>2004.0</v>
      </c>
      <c r="F2350" s="2" t="s">
        <v>10</v>
      </c>
      <c r="G2350" s="2" t="s">
        <v>10</v>
      </c>
    </row>
    <row r="2351" ht="14.25" customHeight="1">
      <c r="A2351" s="1" t="s">
        <v>2066</v>
      </c>
      <c r="B2351" s="1" t="s">
        <v>20</v>
      </c>
      <c r="C2351" s="2" t="s">
        <v>284</v>
      </c>
      <c r="D2351" s="2">
        <v>7.9</v>
      </c>
      <c r="E2351" s="2">
        <v>1950.0</v>
      </c>
      <c r="F2351" s="2" t="s">
        <v>10</v>
      </c>
      <c r="G2351" s="2" t="s">
        <v>10</v>
      </c>
    </row>
    <row r="2352" ht="14.25" customHeight="1">
      <c r="A2352" s="1" t="s">
        <v>2067</v>
      </c>
      <c r="B2352" s="1" t="s">
        <v>20</v>
      </c>
      <c r="C2352" s="2" t="s">
        <v>154</v>
      </c>
      <c r="D2352" s="2">
        <v>7.9</v>
      </c>
      <c r="E2352" s="2">
        <v>2004.0</v>
      </c>
      <c r="F2352" s="2" t="s">
        <v>10</v>
      </c>
      <c r="G2352" s="2" t="s">
        <v>10</v>
      </c>
    </row>
    <row r="2353" ht="14.25" customHeight="1">
      <c r="A2353" s="1" t="s">
        <v>2068</v>
      </c>
      <c r="B2353" s="1" t="s">
        <v>20</v>
      </c>
      <c r="C2353" s="2" t="s">
        <v>222</v>
      </c>
      <c r="D2353" s="2">
        <v>7.9</v>
      </c>
      <c r="E2353" s="2">
        <v>2009.0</v>
      </c>
      <c r="F2353" s="2" t="s">
        <v>10</v>
      </c>
      <c r="G2353" s="2" t="s">
        <v>10</v>
      </c>
    </row>
    <row r="2354" ht="14.25" customHeight="1">
      <c r="A2354" s="1" t="s">
        <v>2069</v>
      </c>
      <c r="B2354" s="1" t="s">
        <v>20</v>
      </c>
      <c r="C2354" s="2" t="s">
        <v>9</v>
      </c>
      <c r="D2354" s="2">
        <v>7.9</v>
      </c>
      <c r="E2354" s="2">
        <v>2000.0</v>
      </c>
      <c r="F2354" s="2" t="s">
        <v>10</v>
      </c>
      <c r="G2354" s="2" t="s">
        <v>10</v>
      </c>
    </row>
    <row r="2355" ht="14.25" customHeight="1">
      <c r="A2355" s="1" t="s">
        <v>2070</v>
      </c>
      <c r="B2355" s="1" t="s">
        <v>20</v>
      </c>
      <c r="C2355" s="2" t="s">
        <v>825</v>
      </c>
      <c r="D2355" s="2">
        <v>7.9</v>
      </c>
      <c r="E2355" s="2">
        <v>2019.0</v>
      </c>
      <c r="F2355" s="2" t="s">
        <v>10</v>
      </c>
      <c r="G2355" s="2">
        <v>6790000.0</v>
      </c>
    </row>
    <row r="2356" ht="14.25" customHeight="1">
      <c r="A2356" s="1" t="s">
        <v>2070</v>
      </c>
      <c r="B2356" s="1" t="s">
        <v>20</v>
      </c>
      <c r="C2356" s="2" t="s">
        <v>825</v>
      </c>
      <c r="D2356" s="2">
        <v>7.9</v>
      </c>
      <c r="E2356" s="2">
        <v>2019.0</v>
      </c>
      <c r="F2356" s="2" t="s">
        <v>10</v>
      </c>
      <c r="G2356" s="2">
        <v>4140000.0</v>
      </c>
    </row>
    <row r="2357" ht="14.25" customHeight="1">
      <c r="A2357" s="1" t="s">
        <v>2071</v>
      </c>
      <c r="B2357" s="1" t="s">
        <v>20</v>
      </c>
      <c r="C2357" s="2" t="s">
        <v>67</v>
      </c>
      <c r="D2357" s="2">
        <v>7.9</v>
      </c>
      <c r="E2357" s="2">
        <v>1947.0</v>
      </c>
      <c r="F2357" s="2" t="s">
        <v>10</v>
      </c>
      <c r="G2357" s="2" t="s">
        <v>10</v>
      </c>
    </row>
    <row r="2358" ht="14.25" customHeight="1">
      <c r="A2358" s="1" t="s">
        <v>2072</v>
      </c>
      <c r="B2358" s="1" t="s">
        <v>8</v>
      </c>
      <c r="C2358" s="2" t="s">
        <v>1289</v>
      </c>
      <c r="D2358" s="2">
        <v>7.9</v>
      </c>
      <c r="E2358" s="2">
        <v>2018.0</v>
      </c>
      <c r="F2358" s="2" t="s">
        <v>10</v>
      </c>
      <c r="G2358" s="2" t="s">
        <v>10</v>
      </c>
    </row>
    <row r="2359" ht="14.25" customHeight="1">
      <c r="A2359" s="1" t="s">
        <v>2073</v>
      </c>
      <c r="B2359" s="1" t="s">
        <v>20</v>
      </c>
      <c r="C2359" s="2" t="s">
        <v>524</v>
      </c>
      <c r="D2359" s="2">
        <v>7.9</v>
      </c>
      <c r="E2359" s="2">
        <v>2017.0</v>
      </c>
      <c r="F2359" s="2">
        <v>2017.0</v>
      </c>
      <c r="G2359" s="2" t="s">
        <v>10</v>
      </c>
    </row>
    <row r="2360" ht="14.25" customHeight="1">
      <c r="A2360" s="1" t="s">
        <v>2074</v>
      </c>
      <c r="B2360" s="1" t="s">
        <v>20</v>
      </c>
      <c r="C2360" s="2" t="s">
        <v>2075</v>
      </c>
      <c r="D2360" s="2">
        <v>7.9</v>
      </c>
      <c r="E2360" s="2">
        <v>1938.0</v>
      </c>
      <c r="F2360" s="2" t="s">
        <v>10</v>
      </c>
      <c r="G2360" s="2" t="s">
        <v>10</v>
      </c>
    </row>
    <row r="2361" ht="14.25" customHeight="1">
      <c r="A2361" s="1" t="s">
        <v>2076</v>
      </c>
      <c r="B2361" s="1" t="s">
        <v>8</v>
      </c>
      <c r="C2361" s="2" t="s">
        <v>55</v>
      </c>
      <c r="D2361" s="2">
        <v>7.9</v>
      </c>
      <c r="E2361" s="2">
        <v>1996.0</v>
      </c>
      <c r="F2361" s="2" t="s">
        <v>10</v>
      </c>
      <c r="G2361" s="2" t="s">
        <v>10</v>
      </c>
    </row>
    <row r="2362" ht="14.25" customHeight="1">
      <c r="A2362" s="1" t="s">
        <v>2077</v>
      </c>
      <c r="B2362" s="1" t="s">
        <v>8</v>
      </c>
      <c r="C2362" s="2" t="s">
        <v>134</v>
      </c>
      <c r="D2362" s="2">
        <v>7.9</v>
      </c>
      <c r="E2362" s="2">
        <v>2008.0</v>
      </c>
      <c r="F2362" s="2" t="s">
        <v>10</v>
      </c>
      <c r="G2362" s="2" t="s">
        <v>10</v>
      </c>
    </row>
    <row r="2363" ht="14.25" customHeight="1">
      <c r="A2363" s="1" t="s">
        <v>2078</v>
      </c>
      <c r="B2363" s="1" t="s">
        <v>8</v>
      </c>
      <c r="C2363" s="2" t="s">
        <v>356</v>
      </c>
      <c r="D2363" s="2">
        <v>7.9</v>
      </c>
      <c r="E2363" s="2">
        <v>2011.0</v>
      </c>
      <c r="F2363" s="2">
        <v>2013.0</v>
      </c>
      <c r="G2363" s="2" t="s">
        <v>10</v>
      </c>
    </row>
    <row r="2364" ht="14.25" customHeight="1">
      <c r="A2364" s="1" t="s">
        <v>2079</v>
      </c>
      <c r="B2364" s="1" t="s">
        <v>20</v>
      </c>
      <c r="C2364" s="2" t="s">
        <v>18</v>
      </c>
      <c r="D2364" s="2">
        <v>7.9</v>
      </c>
      <c r="E2364" s="2">
        <v>1958.0</v>
      </c>
      <c r="F2364" s="2">
        <v>1958.0</v>
      </c>
      <c r="G2364" s="2" t="s">
        <v>10</v>
      </c>
    </row>
    <row r="2365" ht="14.25" customHeight="1">
      <c r="A2365" s="1" t="s">
        <v>2080</v>
      </c>
      <c r="B2365" s="1" t="s">
        <v>20</v>
      </c>
      <c r="C2365" s="2" t="s">
        <v>169</v>
      </c>
      <c r="D2365" s="2">
        <v>7.9</v>
      </c>
      <c r="E2365" s="2">
        <v>1975.0</v>
      </c>
      <c r="F2365" s="2" t="s">
        <v>10</v>
      </c>
      <c r="G2365" s="2" t="s">
        <v>10</v>
      </c>
    </row>
    <row r="2366" ht="14.25" customHeight="1">
      <c r="A2366" s="1" t="s">
        <v>2081</v>
      </c>
      <c r="B2366" s="1" t="s">
        <v>20</v>
      </c>
      <c r="C2366" s="2" t="s">
        <v>1334</v>
      </c>
      <c r="D2366" s="2">
        <v>7.9</v>
      </c>
      <c r="E2366" s="2">
        <v>1944.0</v>
      </c>
      <c r="F2366" s="2" t="s">
        <v>10</v>
      </c>
      <c r="G2366" s="2" t="s">
        <v>10</v>
      </c>
    </row>
    <row r="2367" ht="14.25" customHeight="1">
      <c r="A2367" s="1" t="s">
        <v>2082</v>
      </c>
      <c r="B2367" s="1" t="s">
        <v>8</v>
      </c>
      <c r="C2367" s="2" t="s">
        <v>69</v>
      </c>
      <c r="D2367" s="2">
        <v>7.9</v>
      </c>
      <c r="E2367" s="2">
        <v>2013.0</v>
      </c>
      <c r="F2367" s="2" t="s">
        <v>10</v>
      </c>
      <c r="G2367" s="2" t="s">
        <v>10</v>
      </c>
    </row>
    <row r="2368" ht="14.25" customHeight="1">
      <c r="A2368" s="1">
        <v>39814.0</v>
      </c>
      <c r="B2368" s="1" t="s">
        <v>8</v>
      </c>
      <c r="C2368" s="2" t="s">
        <v>611</v>
      </c>
      <c r="D2368" s="2">
        <v>7.9</v>
      </c>
      <c r="E2368" s="2">
        <v>2018.0</v>
      </c>
      <c r="F2368" s="2" t="s">
        <v>10</v>
      </c>
      <c r="G2368" s="2" t="s">
        <v>10</v>
      </c>
    </row>
    <row r="2369" ht="14.25" customHeight="1">
      <c r="A2369" s="1" t="s">
        <v>2083</v>
      </c>
      <c r="B2369" s="1" t="s">
        <v>8</v>
      </c>
      <c r="C2369" s="2" t="s">
        <v>80</v>
      </c>
      <c r="D2369" s="2">
        <v>7.9</v>
      </c>
      <c r="E2369" s="2">
        <v>2019.0</v>
      </c>
      <c r="F2369" s="2">
        <v>2019.0</v>
      </c>
      <c r="G2369" s="2" t="s">
        <v>10</v>
      </c>
    </row>
    <row r="2370" ht="14.25" customHeight="1">
      <c r="A2370" s="1" t="s">
        <v>2084</v>
      </c>
      <c r="B2370" s="1" t="s">
        <v>20</v>
      </c>
      <c r="C2370" s="2" t="s">
        <v>187</v>
      </c>
      <c r="D2370" s="2">
        <v>7.9</v>
      </c>
      <c r="E2370" s="2">
        <v>2001.0</v>
      </c>
      <c r="F2370" s="2">
        <v>2017.0</v>
      </c>
      <c r="G2370" s="2" t="s">
        <v>10</v>
      </c>
    </row>
    <row r="2371" ht="14.25" customHeight="1">
      <c r="A2371" s="1" t="s">
        <v>2085</v>
      </c>
      <c r="B2371" s="1" t="s">
        <v>20</v>
      </c>
      <c r="C2371" s="2" t="s">
        <v>616</v>
      </c>
      <c r="D2371" s="2">
        <v>7.9</v>
      </c>
      <c r="E2371" s="2">
        <v>1972.0</v>
      </c>
      <c r="F2371" s="2" t="s">
        <v>10</v>
      </c>
      <c r="G2371" s="2" t="s">
        <v>10</v>
      </c>
    </row>
    <row r="2372" ht="14.25" customHeight="1">
      <c r="A2372" s="1" t="s">
        <v>2086</v>
      </c>
      <c r="B2372" s="1" t="s">
        <v>8</v>
      </c>
      <c r="C2372" s="2" t="s">
        <v>34</v>
      </c>
      <c r="D2372" s="2">
        <v>7.9</v>
      </c>
      <c r="E2372" s="2">
        <v>2015.0</v>
      </c>
      <c r="F2372" s="2">
        <v>2018.0</v>
      </c>
      <c r="G2372" s="2" t="s">
        <v>10</v>
      </c>
    </row>
    <row r="2373" ht="14.25" customHeight="1">
      <c r="A2373" s="1" t="s">
        <v>2087</v>
      </c>
      <c r="B2373" s="1" t="s">
        <v>8</v>
      </c>
      <c r="C2373" s="2" t="s">
        <v>18</v>
      </c>
      <c r="D2373" s="2">
        <v>7.9</v>
      </c>
      <c r="E2373" s="2">
        <v>2014.0</v>
      </c>
      <c r="F2373" s="2" t="s">
        <v>10</v>
      </c>
      <c r="G2373" s="2" t="s">
        <v>10</v>
      </c>
    </row>
    <row r="2374" ht="14.25" customHeight="1">
      <c r="A2374" s="1" t="s">
        <v>2088</v>
      </c>
      <c r="B2374" s="1" t="s">
        <v>20</v>
      </c>
      <c r="C2374" s="2" t="s">
        <v>516</v>
      </c>
      <c r="D2374" s="2">
        <v>7.9</v>
      </c>
      <c r="E2374" s="2">
        <v>2001.0</v>
      </c>
      <c r="F2374" s="2" t="s">
        <v>10</v>
      </c>
      <c r="G2374" s="2" t="s">
        <v>10</v>
      </c>
    </row>
    <row r="2375" ht="14.25" customHeight="1">
      <c r="A2375" s="1" t="s">
        <v>2089</v>
      </c>
      <c r="B2375" s="1" t="s">
        <v>20</v>
      </c>
      <c r="C2375" s="2" t="s">
        <v>18</v>
      </c>
      <c r="D2375" s="2">
        <v>7.9</v>
      </c>
      <c r="E2375" s="2">
        <v>2003.0</v>
      </c>
      <c r="F2375" s="2" t="s">
        <v>10</v>
      </c>
      <c r="G2375" s="2" t="s">
        <v>10</v>
      </c>
    </row>
    <row r="2376" ht="14.25" customHeight="1">
      <c r="A2376" s="1" t="s">
        <v>2090</v>
      </c>
      <c r="B2376" s="1" t="s">
        <v>8</v>
      </c>
      <c r="C2376" s="2" t="s">
        <v>118</v>
      </c>
      <c r="D2376" s="2">
        <v>7.9</v>
      </c>
      <c r="E2376" s="2">
        <v>2024.0</v>
      </c>
      <c r="F2376" s="2" t="s">
        <v>10</v>
      </c>
      <c r="G2376" s="2" t="s">
        <v>10</v>
      </c>
    </row>
    <row r="2377" ht="14.25" customHeight="1">
      <c r="A2377" s="1" t="s">
        <v>2091</v>
      </c>
      <c r="B2377" s="1" t="s">
        <v>20</v>
      </c>
      <c r="C2377" s="2" t="s">
        <v>411</v>
      </c>
      <c r="D2377" s="2">
        <v>7.9</v>
      </c>
      <c r="E2377" s="2">
        <v>2019.0</v>
      </c>
      <c r="F2377" s="2" t="s">
        <v>10</v>
      </c>
      <c r="G2377" s="2" t="s">
        <v>10</v>
      </c>
    </row>
    <row r="2378" ht="14.25" customHeight="1">
      <c r="A2378" s="1" t="s">
        <v>2092</v>
      </c>
      <c r="B2378" s="1" t="s">
        <v>8</v>
      </c>
      <c r="C2378" s="2" t="s">
        <v>838</v>
      </c>
      <c r="D2378" s="2">
        <v>7.9</v>
      </c>
      <c r="E2378" s="2">
        <v>2015.0</v>
      </c>
      <c r="F2378" s="2" t="s">
        <v>10</v>
      </c>
      <c r="G2378" s="2" t="s">
        <v>10</v>
      </c>
    </row>
    <row r="2379" ht="14.25" customHeight="1">
      <c r="A2379" s="1" t="s">
        <v>2093</v>
      </c>
      <c r="B2379" s="1" t="s">
        <v>8</v>
      </c>
      <c r="C2379" s="2" t="s">
        <v>55</v>
      </c>
      <c r="D2379" s="2">
        <v>7.9</v>
      </c>
      <c r="E2379" s="2">
        <v>1969.0</v>
      </c>
      <c r="F2379" s="2" t="s">
        <v>10</v>
      </c>
      <c r="G2379" s="2" t="s">
        <v>10</v>
      </c>
    </row>
    <row r="2380" ht="14.25" customHeight="1">
      <c r="A2380" s="1" t="s">
        <v>2094</v>
      </c>
      <c r="B2380" s="1" t="s">
        <v>20</v>
      </c>
      <c r="C2380" s="2" t="s">
        <v>1025</v>
      </c>
      <c r="D2380" s="2">
        <v>7.9</v>
      </c>
      <c r="E2380" s="2">
        <v>2013.0</v>
      </c>
      <c r="F2380" s="2" t="s">
        <v>10</v>
      </c>
      <c r="G2380" s="2" t="s">
        <v>10</v>
      </c>
    </row>
    <row r="2381" ht="14.25" customHeight="1">
      <c r="A2381" s="1" t="s">
        <v>2095</v>
      </c>
      <c r="B2381" s="1" t="s">
        <v>8</v>
      </c>
      <c r="C2381" s="2" t="s">
        <v>53</v>
      </c>
      <c r="D2381" s="2">
        <v>7.9</v>
      </c>
      <c r="E2381" s="2">
        <v>1997.0</v>
      </c>
      <c r="F2381" s="2" t="s">
        <v>10</v>
      </c>
      <c r="G2381" s="2" t="s">
        <v>10</v>
      </c>
    </row>
    <row r="2382" ht="14.25" customHeight="1">
      <c r="A2382" s="1" t="s">
        <v>2096</v>
      </c>
      <c r="B2382" s="1" t="s">
        <v>20</v>
      </c>
      <c r="C2382" s="2" t="s">
        <v>643</v>
      </c>
      <c r="D2382" s="2">
        <v>7.9</v>
      </c>
      <c r="E2382" s="2">
        <v>1945.0</v>
      </c>
      <c r="F2382" s="2" t="s">
        <v>10</v>
      </c>
      <c r="G2382" s="2" t="s">
        <v>10</v>
      </c>
    </row>
    <row r="2383" ht="14.25" customHeight="1">
      <c r="A2383" s="1" t="s">
        <v>2097</v>
      </c>
      <c r="B2383" s="1" t="s">
        <v>8</v>
      </c>
      <c r="C2383" s="2" t="s">
        <v>34</v>
      </c>
      <c r="D2383" s="2">
        <v>7.9</v>
      </c>
      <c r="E2383" s="2">
        <v>2014.0</v>
      </c>
      <c r="F2383" s="2">
        <v>2018.0</v>
      </c>
      <c r="G2383" s="2" t="s">
        <v>10</v>
      </c>
    </row>
    <row r="2384" ht="14.25" customHeight="1">
      <c r="A2384" s="1" t="s">
        <v>2098</v>
      </c>
      <c r="B2384" s="1" t="s">
        <v>8</v>
      </c>
      <c r="C2384" s="2" t="s">
        <v>25</v>
      </c>
      <c r="D2384" s="2">
        <v>7.9</v>
      </c>
      <c r="E2384" s="2">
        <v>2003.0</v>
      </c>
      <c r="F2384" s="2" t="s">
        <v>10</v>
      </c>
      <c r="G2384" s="2" t="s">
        <v>10</v>
      </c>
    </row>
    <row r="2385" ht="14.25" customHeight="1">
      <c r="A2385" s="1" t="s">
        <v>2099</v>
      </c>
      <c r="B2385" s="1" t="s">
        <v>20</v>
      </c>
      <c r="C2385" s="2" t="s">
        <v>112</v>
      </c>
      <c r="D2385" s="2">
        <v>7.9</v>
      </c>
      <c r="E2385" s="2">
        <v>1980.0</v>
      </c>
      <c r="F2385" s="2" t="s">
        <v>10</v>
      </c>
      <c r="G2385" s="2" t="s">
        <v>10</v>
      </c>
    </row>
    <row r="2386" ht="14.25" customHeight="1">
      <c r="A2386" s="1" t="s">
        <v>2100</v>
      </c>
      <c r="B2386" s="1" t="s">
        <v>8</v>
      </c>
      <c r="C2386" s="2" t="s">
        <v>154</v>
      </c>
      <c r="D2386" s="2">
        <v>7.9</v>
      </c>
      <c r="E2386" s="2">
        <v>2013.0</v>
      </c>
      <c r="F2386" s="2" t="s">
        <v>10</v>
      </c>
      <c r="G2386" s="2" t="s">
        <v>10</v>
      </c>
    </row>
    <row r="2387" ht="14.25" customHeight="1">
      <c r="A2387" s="1" t="s">
        <v>2101</v>
      </c>
      <c r="B2387" s="1" t="s">
        <v>20</v>
      </c>
      <c r="C2387" s="2" t="s">
        <v>63</v>
      </c>
      <c r="D2387" s="2">
        <v>7.9</v>
      </c>
      <c r="E2387" s="2">
        <v>2018.0</v>
      </c>
      <c r="F2387" s="2" t="s">
        <v>10</v>
      </c>
      <c r="G2387" s="2" t="s">
        <v>10</v>
      </c>
    </row>
    <row r="2388" ht="14.25" customHeight="1">
      <c r="A2388" s="1" t="s">
        <v>2102</v>
      </c>
      <c r="B2388" s="1" t="s">
        <v>8</v>
      </c>
      <c r="C2388" s="2" t="s">
        <v>25</v>
      </c>
      <c r="D2388" s="2">
        <v>7.9</v>
      </c>
      <c r="E2388" s="2">
        <v>1987.0</v>
      </c>
      <c r="F2388" s="2">
        <v>2007.0</v>
      </c>
      <c r="G2388" s="2" t="s">
        <v>10</v>
      </c>
    </row>
    <row r="2389" ht="14.25" customHeight="1">
      <c r="A2389" s="1" t="s">
        <v>2103</v>
      </c>
      <c r="B2389" s="1" t="s">
        <v>20</v>
      </c>
      <c r="C2389" s="2" t="s">
        <v>169</v>
      </c>
      <c r="D2389" s="2">
        <v>7.9</v>
      </c>
      <c r="E2389" s="2">
        <v>2019.0</v>
      </c>
      <c r="F2389" s="2" t="s">
        <v>10</v>
      </c>
      <c r="G2389" s="2" t="s">
        <v>10</v>
      </c>
    </row>
    <row r="2390" ht="14.25" customHeight="1">
      <c r="A2390" s="1" t="s">
        <v>2104</v>
      </c>
      <c r="B2390" s="1" t="s">
        <v>8</v>
      </c>
      <c r="C2390" s="2" t="s">
        <v>258</v>
      </c>
      <c r="D2390" s="2">
        <v>7.9</v>
      </c>
      <c r="E2390" s="2">
        <v>2004.0</v>
      </c>
      <c r="F2390" s="2" t="s">
        <v>10</v>
      </c>
      <c r="G2390" s="2" t="s">
        <v>10</v>
      </c>
    </row>
    <row r="2391" ht="14.25" customHeight="1">
      <c r="A2391" s="1" t="s">
        <v>2105</v>
      </c>
      <c r="B2391" s="1" t="s">
        <v>20</v>
      </c>
      <c r="C2391" s="2" t="s">
        <v>18</v>
      </c>
      <c r="D2391" s="2">
        <v>7.9</v>
      </c>
      <c r="E2391" s="2">
        <v>1972.0</v>
      </c>
      <c r="F2391" s="2" t="s">
        <v>10</v>
      </c>
      <c r="G2391" s="2" t="s">
        <v>10</v>
      </c>
    </row>
    <row r="2392" ht="14.25" customHeight="1">
      <c r="A2392" s="1" t="s">
        <v>2106</v>
      </c>
      <c r="B2392" s="1" t="s">
        <v>8</v>
      </c>
      <c r="C2392" s="2" t="s">
        <v>187</v>
      </c>
      <c r="D2392" s="2">
        <v>7.9</v>
      </c>
      <c r="E2392" s="2">
        <v>2019.0</v>
      </c>
      <c r="F2392" s="2" t="s">
        <v>10</v>
      </c>
      <c r="G2392" s="2" t="s">
        <v>10</v>
      </c>
    </row>
    <row r="2393" ht="14.25" customHeight="1">
      <c r="A2393" s="1" t="s">
        <v>2107</v>
      </c>
      <c r="B2393" s="1" t="s">
        <v>20</v>
      </c>
      <c r="C2393" s="2" t="s">
        <v>36</v>
      </c>
      <c r="D2393" s="2">
        <v>7.9</v>
      </c>
      <c r="E2393" s="2">
        <v>1994.0</v>
      </c>
      <c r="F2393" s="2" t="s">
        <v>10</v>
      </c>
      <c r="G2393" s="2" t="s">
        <v>10</v>
      </c>
    </row>
    <row r="2394" ht="14.25" customHeight="1">
      <c r="A2394" s="1" t="s">
        <v>2108</v>
      </c>
      <c r="B2394" s="1" t="s">
        <v>20</v>
      </c>
      <c r="C2394" s="2" t="s">
        <v>1334</v>
      </c>
      <c r="D2394" s="2">
        <v>7.9</v>
      </c>
      <c r="E2394" s="2">
        <v>1950.0</v>
      </c>
      <c r="F2394" s="2" t="s">
        <v>10</v>
      </c>
      <c r="G2394" s="2" t="s">
        <v>10</v>
      </c>
    </row>
    <row r="2395" ht="14.25" customHeight="1">
      <c r="A2395" s="1" t="s">
        <v>2109</v>
      </c>
      <c r="B2395" s="1" t="s">
        <v>20</v>
      </c>
      <c r="C2395" s="2" t="s">
        <v>40</v>
      </c>
      <c r="D2395" s="2">
        <v>7.9</v>
      </c>
      <c r="E2395" s="2">
        <v>1993.0</v>
      </c>
      <c r="F2395" s="2" t="s">
        <v>10</v>
      </c>
      <c r="G2395" s="2" t="s">
        <v>10</v>
      </c>
    </row>
    <row r="2396" ht="14.25" customHeight="1">
      <c r="A2396" s="1" t="s">
        <v>2110</v>
      </c>
      <c r="B2396" s="1" t="s">
        <v>20</v>
      </c>
      <c r="C2396" s="2" t="s">
        <v>18</v>
      </c>
      <c r="D2396" s="2">
        <v>7.9</v>
      </c>
      <c r="E2396" s="2">
        <v>1970.0</v>
      </c>
      <c r="F2396" s="2" t="s">
        <v>10</v>
      </c>
      <c r="G2396" s="2" t="s">
        <v>10</v>
      </c>
    </row>
    <row r="2397" ht="14.25" customHeight="1">
      <c r="A2397" s="1" t="s">
        <v>2111</v>
      </c>
      <c r="B2397" s="1" t="s">
        <v>8</v>
      </c>
      <c r="C2397" s="2" t="s">
        <v>530</v>
      </c>
      <c r="D2397" s="2">
        <v>7.9</v>
      </c>
      <c r="E2397" s="2">
        <v>2009.0</v>
      </c>
      <c r="F2397" s="2" t="s">
        <v>10</v>
      </c>
      <c r="G2397" s="2" t="s">
        <v>10</v>
      </c>
    </row>
    <row r="2398" ht="14.25" customHeight="1">
      <c r="A2398" s="1" t="s">
        <v>2112</v>
      </c>
      <c r="B2398" s="1" t="s">
        <v>20</v>
      </c>
      <c r="C2398" s="2" t="s">
        <v>80</v>
      </c>
      <c r="D2398" s="2">
        <v>7.9</v>
      </c>
      <c r="E2398" s="2">
        <v>1968.0</v>
      </c>
      <c r="F2398" s="2" t="s">
        <v>10</v>
      </c>
      <c r="G2398" s="2" t="s">
        <v>10</v>
      </c>
    </row>
    <row r="2399" ht="14.25" customHeight="1">
      <c r="A2399" s="1" t="s">
        <v>2113</v>
      </c>
      <c r="B2399" s="1" t="s">
        <v>20</v>
      </c>
      <c r="C2399" s="2" t="s">
        <v>12</v>
      </c>
      <c r="D2399" s="2">
        <v>7.9</v>
      </c>
      <c r="E2399" s="2">
        <v>1997.0</v>
      </c>
      <c r="F2399" s="2">
        <v>2001.0</v>
      </c>
      <c r="G2399" s="2" t="s">
        <v>10</v>
      </c>
    </row>
    <row r="2400" ht="14.25" customHeight="1">
      <c r="A2400" s="1" t="s">
        <v>2114</v>
      </c>
      <c r="B2400" s="1" t="s">
        <v>20</v>
      </c>
      <c r="C2400" s="2" t="s">
        <v>14</v>
      </c>
      <c r="D2400" s="2">
        <v>7.9</v>
      </c>
      <c r="E2400" s="2">
        <v>2017.0</v>
      </c>
      <c r="F2400" s="2" t="s">
        <v>10</v>
      </c>
      <c r="G2400" s="2" t="s">
        <v>10</v>
      </c>
    </row>
    <row r="2401" ht="14.25" customHeight="1">
      <c r="A2401" s="1" t="s">
        <v>716</v>
      </c>
      <c r="B2401" s="1" t="s">
        <v>8</v>
      </c>
      <c r="C2401" s="2" t="s">
        <v>717</v>
      </c>
      <c r="D2401" s="2">
        <v>7.9</v>
      </c>
      <c r="E2401" s="2">
        <v>2021.0</v>
      </c>
      <c r="F2401" s="2" t="s">
        <v>10</v>
      </c>
      <c r="G2401" s="2" t="s">
        <v>10</v>
      </c>
    </row>
    <row r="2402" ht="14.25" customHeight="1">
      <c r="A2402" s="1" t="s">
        <v>2115</v>
      </c>
      <c r="B2402" s="1" t="s">
        <v>20</v>
      </c>
      <c r="C2402" s="2" t="s">
        <v>663</v>
      </c>
      <c r="D2402" s="2">
        <v>7.9</v>
      </c>
      <c r="E2402" s="2">
        <v>1934.0</v>
      </c>
      <c r="F2402" s="2" t="s">
        <v>10</v>
      </c>
      <c r="G2402" s="2" t="s">
        <v>10</v>
      </c>
    </row>
    <row r="2403" ht="14.25" customHeight="1">
      <c r="A2403" s="1" t="s">
        <v>2116</v>
      </c>
      <c r="B2403" s="1" t="s">
        <v>8</v>
      </c>
      <c r="C2403" s="2" t="s">
        <v>530</v>
      </c>
      <c r="D2403" s="2">
        <v>7.9</v>
      </c>
      <c r="E2403" s="2">
        <v>2012.0</v>
      </c>
      <c r="F2403" s="2">
        <v>2014.0</v>
      </c>
      <c r="G2403" s="2" t="s">
        <v>10</v>
      </c>
    </row>
    <row r="2404" ht="14.25" customHeight="1">
      <c r="A2404" s="1" t="s">
        <v>2117</v>
      </c>
      <c r="B2404" s="1" t="s">
        <v>20</v>
      </c>
      <c r="C2404" s="2" t="s">
        <v>187</v>
      </c>
      <c r="D2404" s="2">
        <v>7.9</v>
      </c>
      <c r="E2404" s="2">
        <v>2009.0</v>
      </c>
      <c r="F2404" s="2">
        <v>2009.0</v>
      </c>
      <c r="G2404" s="2" t="s">
        <v>10</v>
      </c>
    </row>
    <row r="2405" ht="14.25" customHeight="1">
      <c r="A2405" s="1" t="s">
        <v>2118</v>
      </c>
      <c r="B2405" s="1" t="s">
        <v>8</v>
      </c>
      <c r="C2405" s="2" t="s">
        <v>55</v>
      </c>
      <c r="D2405" s="2">
        <v>7.9</v>
      </c>
      <c r="E2405" s="2">
        <v>2020.0</v>
      </c>
      <c r="F2405" s="2" t="s">
        <v>10</v>
      </c>
      <c r="G2405" s="2" t="s">
        <v>10</v>
      </c>
    </row>
    <row r="2406" ht="14.25" customHeight="1">
      <c r="A2406" s="1" t="s">
        <v>1300</v>
      </c>
      <c r="B2406" s="1" t="s">
        <v>8</v>
      </c>
      <c r="C2406" s="2" t="s">
        <v>476</v>
      </c>
      <c r="D2406" s="2">
        <v>7.9</v>
      </c>
      <c r="E2406" s="2">
        <v>2016.0</v>
      </c>
      <c r="F2406" s="2" t="s">
        <v>10</v>
      </c>
      <c r="G2406" s="2" t="s">
        <v>10</v>
      </c>
    </row>
    <row r="2407" ht="14.25" customHeight="1">
      <c r="A2407" s="1" t="s">
        <v>2119</v>
      </c>
      <c r="B2407" s="1" t="s">
        <v>8</v>
      </c>
      <c r="C2407" s="2" t="s">
        <v>32</v>
      </c>
      <c r="D2407" s="2">
        <v>7.9</v>
      </c>
      <c r="E2407" s="2">
        <v>2024.0</v>
      </c>
      <c r="F2407" s="2" t="s">
        <v>10</v>
      </c>
      <c r="G2407" s="2">
        <v>5750000.0</v>
      </c>
    </row>
    <row r="2408" ht="14.25" customHeight="1">
      <c r="A2408" s="1" t="s">
        <v>2119</v>
      </c>
      <c r="B2408" s="1" t="s">
        <v>8</v>
      </c>
      <c r="C2408" s="2" t="s">
        <v>32</v>
      </c>
      <c r="D2408" s="2">
        <v>7.9</v>
      </c>
      <c r="E2408" s="2">
        <v>2024.0</v>
      </c>
      <c r="F2408" s="2" t="s">
        <v>10</v>
      </c>
      <c r="G2408" s="2">
        <v>1.121E7</v>
      </c>
    </row>
    <row r="2409" ht="14.25" customHeight="1">
      <c r="A2409" s="1" t="s">
        <v>2120</v>
      </c>
      <c r="B2409" s="1" t="s">
        <v>20</v>
      </c>
      <c r="C2409" s="2" t="s">
        <v>18</v>
      </c>
      <c r="D2409" s="2">
        <v>7.9</v>
      </c>
      <c r="E2409" s="2">
        <v>1986.0</v>
      </c>
      <c r="F2409" s="2" t="s">
        <v>10</v>
      </c>
      <c r="G2409" s="2" t="s">
        <v>10</v>
      </c>
    </row>
    <row r="2410" ht="14.25" customHeight="1">
      <c r="A2410" s="1" t="s">
        <v>2121</v>
      </c>
      <c r="B2410" s="1" t="s">
        <v>20</v>
      </c>
      <c r="C2410" s="2" t="s">
        <v>63</v>
      </c>
      <c r="D2410" s="2">
        <v>7.9</v>
      </c>
      <c r="E2410" s="2">
        <v>1939.0</v>
      </c>
      <c r="F2410" s="2" t="s">
        <v>10</v>
      </c>
      <c r="G2410" s="2" t="s">
        <v>10</v>
      </c>
    </row>
    <row r="2411" ht="14.25" customHeight="1">
      <c r="A2411" s="1" t="s">
        <v>2122</v>
      </c>
      <c r="B2411" s="1" t="s">
        <v>8</v>
      </c>
      <c r="C2411" s="2" t="s">
        <v>154</v>
      </c>
      <c r="D2411" s="2">
        <v>7.9</v>
      </c>
      <c r="E2411" s="2">
        <v>2013.0</v>
      </c>
      <c r="F2411" s="2">
        <v>2017.0</v>
      </c>
      <c r="G2411" s="2" t="s">
        <v>10</v>
      </c>
    </row>
    <row r="2412" ht="14.25" customHeight="1">
      <c r="A2412" s="1" t="s">
        <v>2123</v>
      </c>
      <c r="B2412" s="1" t="s">
        <v>20</v>
      </c>
      <c r="C2412" s="2" t="s">
        <v>18</v>
      </c>
      <c r="D2412" s="2">
        <v>7.9</v>
      </c>
      <c r="E2412" s="2">
        <v>1983.0</v>
      </c>
      <c r="F2412" s="2" t="s">
        <v>10</v>
      </c>
      <c r="G2412" s="2" t="s">
        <v>10</v>
      </c>
    </row>
    <row r="2413" ht="14.25" customHeight="1">
      <c r="A2413" s="1" t="s">
        <v>2124</v>
      </c>
      <c r="B2413" s="1" t="s">
        <v>20</v>
      </c>
      <c r="C2413" s="2" t="s">
        <v>44</v>
      </c>
      <c r="D2413" s="2">
        <v>7.9</v>
      </c>
      <c r="E2413" s="2">
        <v>1963.0</v>
      </c>
      <c r="F2413" s="2" t="s">
        <v>10</v>
      </c>
      <c r="G2413" s="2" t="s">
        <v>10</v>
      </c>
    </row>
    <row r="2414" ht="14.25" customHeight="1">
      <c r="A2414" s="1" t="s">
        <v>2125</v>
      </c>
      <c r="B2414" s="1" t="s">
        <v>20</v>
      </c>
      <c r="C2414" s="2" t="s">
        <v>2126</v>
      </c>
      <c r="D2414" s="2">
        <v>7.9</v>
      </c>
      <c r="E2414" s="2">
        <v>1953.0</v>
      </c>
      <c r="F2414" s="2" t="s">
        <v>10</v>
      </c>
      <c r="G2414" s="2" t="s">
        <v>10</v>
      </c>
    </row>
    <row r="2415" ht="14.25" customHeight="1">
      <c r="A2415" s="1" t="s">
        <v>2127</v>
      </c>
      <c r="B2415" s="1" t="s">
        <v>20</v>
      </c>
      <c r="C2415" s="2" t="s">
        <v>40</v>
      </c>
      <c r="D2415" s="2">
        <v>7.9</v>
      </c>
      <c r="E2415" s="2">
        <v>1967.0</v>
      </c>
      <c r="F2415" s="2" t="s">
        <v>10</v>
      </c>
      <c r="G2415" s="2" t="s">
        <v>10</v>
      </c>
    </row>
    <row r="2416" ht="14.25" customHeight="1">
      <c r="A2416" s="1" t="s">
        <v>2128</v>
      </c>
      <c r="B2416" s="1" t="s">
        <v>8</v>
      </c>
      <c r="C2416" s="2" t="s">
        <v>40</v>
      </c>
      <c r="D2416" s="2">
        <v>7.9</v>
      </c>
      <c r="E2416" s="2">
        <v>2018.0</v>
      </c>
      <c r="F2416" s="2" t="s">
        <v>10</v>
      </c>
      <c r="G2416" s="2" t="s">
        <v>10</v>
      </c>
    </row>
    <row r="2417" ht="14.25" customHeight="1">
      <c r="A2417" s="1" t="s">
        <v>2129</v>
      </c>
      <c r="B2417" s="1" t="s">
        <v>8</v>
      </c>
      <c r="C2417" s="2" t="s">
        <v>1375</v>
      </c>
      <c r="D2417" s="2">
        <v>7.9</v>
      </c>
      <c r="E2417" s="2">
        <v>2012.0</v>
      </c>
      <c r="F2417" s="2" t="s">
        <v>10</v>
      </c>
      <c r="G2417" s="2" t="s">
        <v>10</v>
      </c>
    </row>
    <row r="2418" ht="14.25" customHeight="1">
      <c r="A2418" s="1" t="s">
        <v>2130</v>
      </c>
      <c r="B2418" s="1" t="s">
        <v>20</v>
      </c>
      <c r="C2418" s="2" t="s">
        <v>63</v>
      </c>
      <c r="D2418" s="2">
        <v>7.9</v>
      </c>
      <c r="E2418" s="2">
        <v>2018.0</v>
      </c>
      <c r="F2418" s="2">
        <v>2018.0</v>
      </c>
      <c r="G2418" s="2" t="s">
        <v>10</v>
      </c>
    </row>
    <row r="2419" ht="14.25" customHeight="1">
      <c r="A2419" s="1" t="s">
        <v>2131</v>
      </c>
      <c r="B2419" s="1" t="s">
        <v>20</v>
      </c>
      <c r="C2419" s="2" t="s">
        <v>9</v>
      </c>
      <c r="D2419" s="2">
        <v>7.9</v>
      </c>
      <c r="E2419" s="2">
        <v>1958.0</v>
      </c>
      <c r="F2419" s="2" t="s">
        <v>10</v>
      </c>
      <c r="G2419" s="2" t="s">
        <v>10</v>
      </c>
    </row>
    <row r="2420" ht="14.25" customHeight="1">
      <c r="A2420" s="1" t="s">
        <v>2132</v>
      </c>
      <c r="B2420" s="1" t="s">
        <v>20</v>
      </c>
      <c r="C2420" s="2" t="s">
        <v>9</v>
      </c>
      <c r="D2420" s="2">
        <v>7.9</v>
      </c>
      <c r="E2420" s="2">
        <v>1970.0</v>
      </c>
      <c r="F2420" s="2" t="s">
        <v>10</v>
      </c>
      <c r="G2420" s="2" t="s">
        <v>10</v>
      </c>
    </row>
    <row r="2421" ht="14.25" customHeight="1">
      <c r="A2421" s="1" t="s">
        <v>2133</v>
      </c>
      <c r="B2421" s="1" t="s">
        <v>8</v>
      </c>
      <c r="C2421" s="2" t="s">
        <v>25</v>
      </c>
      <c r="D2421" s="2">
        <v>7.9</v>
      </c>
      <c r="E2421" s="2">
        <v>2009.0</v>
      </c>
      <c r="F2421" s="2">
        <v>2009.0</v>
      </c>
      <c r="G2421" s="2" t="s">
        <v>10</v>
      </c>
    </row>
    <row r="2422" ht="14.25" customHeight="1">
      <c r="A2422" s="1" t="s">
        <v>2134</v>
      </c>
      <c r="B2422" s="1" t="s">
        <v>20</v>
      </c>
      <c r="C2422" s="2" t="s">
        <v>844</v>
      </c>
      <c r="D2422" s="2">
        <v>7.9</v>
      </c>
      <c r="E2422" s="2">
        <v>1945.0</v>
      </c>
      <c r="F2422" s="2" t="s">
        <v>10</v>
      </c>
      <c r="G2422" s="2" t="s">
        <v>10</v>
      </c>
    </row>
    <row r="2423" ht="14.25" customHeight="1">
      <c r="A2423" s="1" t="s">
        <v>2135</v>
      </c>
      <c r="B2423" s="1" t="s">
        <v>20</v>
      </c>
      <c r="C2423" s="2" t="s">
        <v>60</v>
      </c>
      <c r="D2423" s="2">
        <v>7.9</v>
      </c>
      <c r="E2423" s="2">
        <v>1941.0</v>
      </c>
      <c r="F2423" s="2" t="s">
        <v>10</v>
      </c>
      <c r="G2423" s="2" t="s">
        <v>10</v>
      </c>
    </row>
    <row r="2424" ht="14.25" customHeight="1">
      <c r="A2424" s="1" t="s">
        <v>1636</v>
      </c>
      <c r="B2424" s="1" t="s">
        <v>20</v>
      </c>
      <c r="C2424" s="2" t="s">
        <v>1474</v>
      </c>
      <c r="D2424" s="2">
        <v>7.9</v>
      </c>
      <c r="E2424" s="2">
        <v>1946.0</v>
      </c>
      <c r="F2424" s="2" t="s">
        <v>10</v>
      </c>
      <c r="G2424" s="2">
        <v>1150000.0</v>
      </c>
    </row>
    <row r="2425" ht="14.25" customHeight="1">
      <c r="A2425" s="1" t="s">
        <v>1636</v>
      </c>
      <c r="B2425" s="1" t="s">
        <v>20</v>
      </c>
      <c r="C2425" s="2" t="s">
        <v>1474</v>
      </c>
      <c r="D2425" s="2">
        <v>7.9</v>
      </c>
      <c r="E2425" s="2">
        <v>1946.0</v>
      </c>
      <c r="F2425" s="2" t="s">
        <v>10</v>
      </c>
      <c r="G2425" s="2">
        <v>1800000.0</v>
      </c>
    </row>
    <row r="2426" ht="14.25" customHeight="1">
      <c r="A2426" s="1" t="s">
        <v>1636</v>
      </c>
      <c r="B2426" s="1" t="s">
        <v>20</v>
      </c>
      <c r="C2426" s="2" t="s">
        <v>1474</v>
      </c>
      <c r="D2426" s="2">
        <v>7.9</v>
      </c>
      <c r="E2426" s="2">
        <v>1946.0</v>
      </c>
      <c r="F2426" s="2" t="s">
        <v>10</v>
      </c>
      <c r="G2426" s="2">
        <v>1790000.0</v>
      </c>
    </row>
    <row r="2427" ht="14.25" customHeight="1">
      <c r="A2427" s="1" t="s">
        <v>1636</v>
      </c>
      <c r="B2427" s="1" t="s">
        <v>20</v>
      </c>
      <c r="C2427" s="2" t="s">
        <v>1474</v>
      </c>
      <c r="D2427" s="2">
        <v>7.9</v>
      </c>
      <c r="E2427" s="2">
        <v>1946.0</v>
      </c>
      <c r="F2427" s="2" t="s">
        <v>10</v>
      </c>
      <c r="G2427" s="2">
        <v>2740000.0</v>
      </c>
    </row>
    <row r="2428" ht="14.25" customHeight="1">
      <c r="A2428" s="1" t="s">
        <v>2136</v>
      </c>
      <c r="B2428" s="1" t="s">
        <v>20</v>
      </c>
      <c r="C2428" s="2" t="s">
        <v>239</v>
      </c>
      <c r="D2428" s="2">
        <v>7.9</v>
      </c>
      <c r="E2428" s="2">
        <v>2017.0</v>
      </c>
      <c r="F2428" s="2" t="s">
        <v>10</v>
      </c>
      <c r="G2428" s="2" t="s">
        <v>10</v>
      </c>
    </row>
    <row r="2429" ht="14.25" customHeight="1">
      <c r="A2429" s="1" t="s">
        <v>2137</v>
      </c>
      <c r="B2429" s="1" t="s">
        <v>20</v>
      </c>
      <c r="C2429" s="2" t="s">
        <v>154</v>
      </c>
      <c r="D2429" s="2">
        <v>7.9</v>
      </c>
      <c r="E2429" s="2">
        <v>2014.0</v>
      </c>
      <c r="F2429" s="2" t="s">
        <v>10</v>
      </c>
      <c r="G2429" s="2" t="s">
        <v>10</v>
      </c>
    </row>
    <row r="2430" ht="14.25" customHeight="1">
      <c r="A2430" s="1" t="s">
        <v>2138</v>
      </c>
      <c r="B2430" s="1" t="s">
        <v>20</v>
      </c>
      <c r="C2430" s="2" t="s">
        <v>18</v>
      </c>
      <c r="D2430" s="2">
        <v>7.9</v>
      </c>
      <c r="E2430" s="2">
        <v>1961.0</v>
      </c>
      <c r="F2430" s="2" t="s">
        <v>10</v>
      </c>
      <c r="G2430" s="2" t="s">
        <v>10</v>
      </c>
    </row>
    <row r="2431" ht="14.25" customHeight="1">
      <c r="A2431" s="1" t="s">
        <v>2139</v>
      </c>
      <c r="B2431" s="1" t="s">
        <v>20</v>
      </c>
      <c r="C2431" s="2" t="s">
        <v>187</v>
      </c>
      <c r="D2431" s="2">
        <v>7.9</v>
      </c>
      <c r="E2431" s="2">
        <v>1936.0</v>
      </c>
      <c r="F2431" s="2" t="s">
        <v>10</v>
      </c>
      <c r="G2431" s="2" t="s">
        <v>10</v>
      </c>
    </row>
    <row r="2432" ht="14.25" customHeight="1">
      <c r="A2432" s="1" t="s">
        <v>2140</v>
      </c>
      <c r="B2432" s="1" t="s">
        <v>20</v>
      </c>
      <c r="C2432" s="2" t="s">
        <v>497</v>
      </c>
      <c r="D2432" s="2">
        <v>7.9</v>
      </c>
      <c r="E2432" s="2">
        <v>1988.0</v>
      </c>
      <c r="F2432" s="2" t="s">
        <v>10</v>
      </c>
      <c r="G2432" s="2" t="s">
        <v>10</v>
      </c>
    </row>
    <row r="2433" ht="14.25" customHeight="1">
      <c r="A2433" s="1" t="s">
        <v>2141</v>
      </c>
      <c r="B2433" s="1" t="s">
        <v>8</v>
      </c>
      <c r="C2433" s="2" t="s">
        <v>356</v>
      </c>
      <c r="D2433" s="2">
        <v>7.9</v>
      </c>
      <c r="E2433" s="2">
        <v>2018.0</v>
      </c>
      <c r="F2433" s="2" t="s">
        <v>10</v>
      </c>
      <c r="G2433" s="2" t="s">
        <v>10</v>
      </c>
    </row>
    <row r="2434" ht="14.25" customHeight="1">
      <c r="A2434" s="1" t="s">
        <v>2142</v>
      </c>
      <c r="B2434" s="1" t="s">
        <v>8</v>
      </c>
      <c r="C2434" s="2" t="s">
        <v>55</v>
      </c>
      <c r="D2434" s="2">
        <v>7.9</v>
      </c>
      <c r="E2434" s="2">
        <v>1993.0</v>
      </c>
      <c r="F2434" s="2" t="s">
        <v>10</v>
      </c>
      <c r="G2434" s="2" t="s">
        <v>10</v>
      </c>
    </row>
    <row r="2435" ht="14.25" customHeight="1">
      <c r="A2435" s="1" t="s">
        <v>2143</v>
      </c>
      <c r="B2435" s="1" t="s">
        <v>8</v>
      </c>
      <c r="C2435" s="2" t="s">
        <v>53</v>
      </c>
      <c r="D2435" s="2">
        <v>7.9</v>
      </c>
      <c r="E2435" s="2">
        <v>2017.0</v>
      </c>
      <c r="F2435" s="2" t="s">
        <v>10</v>
      </c>
      <c r="G2435" s="2" t="s">
        <v>10</v>
      </c>
    </row>
    <row r="2436" ht="14.25" customHeight="1">
      <c r="A2436" s="1" t="s">
        <v>2144</v>
      </c>
      <c r="B2436" s="1" t="s">
        <v>20</v>
      </c>
      <c r="C2436" s="2" t="s">
        <v>258</v>
      </c>
      <c r="D2436" s="2">
        <v>7.9</v>
      </c>
      <c r="E2436" s="2">
        <v>2009.0</v>
      </c>
      <c r="F2436" s="2" t="s">
        <v>10</v>
      </c>
      <c r="G2436" s="2" t="s">
        <v>10</v>
      </c>
    </row>
    <row r="2437" ht="14.25" customHeight="1">
      <c r="A2437" s="1" t="s">
        <v>2145</v>
      </c>
      <c r="B2437" s="1" t="s">
        <v>20</v>
      </c>
      <c r="C2437" s="2" t="s">
        <v>18</v>
      </c>
      <c r="D2437" s="2">
        <v>7.9</v>
      </c>
      <c r="E2437" s="2">
        <v>1961.0</v>
      </c>
      <c r="F2437" s="2" t="s">
        <v>10</v>
      </c>
      <c r="G2437" s="2" t="s">
        <v>10</v>
      </c>
    </row>
    <row r="2438" ht="14.25" customHeight="1">
      <c r="A2438" s="1" t="s">
        <v>2146</v>
      </c>
      <c r="B2438" s="1" t="s">
        <v>20</v>
      </c>
      <c r="C2438" s="2" t="s">
        <v>53</v>
      </c>
      <c r="D2438" s="2">
        <v>7.9</v>
      </c>
      <c r="E2438" s="2">
        <v>2013.0</v>
      </c>
      <c r="F2438" s="2">
        <v>2013.0</v>
      </c>
      <c r="G2438" s="2" t="s">
        <v>10</v>
      </c>
    </row>
    <row r="2439" ht="14.25" customHeight="1">
      <c r="A2439" s="1" t="s">
        <v>2147</v>
      </c>
      <c r="B2439" s="1" t="s">
        <v>20</v>
      </c>
      <c r="C2439" s="2" t="s">
        <v>75</v>
      </c>
      <c r="D2439" s="2">
        <v>7.9</v>
      </c>
      <c r="E2439" s="2">
        <v>2016.0</v>
      </c>
      <c r="F2439" s="2">
        <v>2017.0</v>
      </c>
      <c r="G2439" s="2" t="s">
        <v>10</v>
      </c>
    </row>
    <row r="2440" ht="14.25" customHeight="1">
      <c r="A2440" s="1" t="s">
        <v>2148</v>
      </c>
      <c r="B2440" s="1" t="s">
        <v>20</v>
      </c>
      <c r="C2440" s="2" t="s">
        <v>844</v>
      </c>
      <c r="D2440" s="2">
        <v>7.9</v>
      </c>
      <c r="E2440" s="2">
        <v>1938.0</v>
      </c>
      <c r="F2440" s="2" t="s">
        <v>10</v>
      </c>
      <c r="G2440" s="2" t="s">
        <v>10</v>
      </c>
    </row>
    <row r="2441" ht="14.25" customHeight="1">
      <c r="A2441" s="1" t="s">
        <v>2149</v>
      </c>
      <c r="B2441" s="1" t="s">
        <v>20</v>
      </c>
      <c r="C2441" s="2" t="s">
        <v>32</v>
      </c>
      <c r="D2441" s="2">
        <v>7.9</v>
      </c>
      <c r="E2441" s="2">
        <v>1985.0</v>
      </c>
      <c r="F2441" s="2" t="s">
        <v>10</v>
      </c>
      <c r="G2441" s="2" t="s">
        <v>10</v>
      </c>
    </row>
    <row r="2442" ht="14.25" customHeight="1">
      <c r="A2442" s="1" t="s">
        <v>2150</v>
      </c>
      <c r="B2442" s="1" t="s">
        <v>20</v>
      </c>
      <c r="C2442" s="2" t="s">
        <v>114</v>
      </c>
      <c r="D2442" s="2">
        <v>7.9</v>
      </c>
      <c r="E2442" s="2">
        <v>1969.0</v>
      </c>
      <c r="F2442" s="2" t="s">
        <v>10</v>
      </c>
      <c r="G2442" s="2" t="s">
        <v>10</v>
      </c>
    </row>
    <row r="2443" ht="14.25" customHeight="1">
      <c r="A2443" s="1" t="s">
        <v>2151</v>
      </c>
      <c r="B2443" s="1" t="s">
        <v>8</v>
      </c>
      <c r="C2443" s="2" t="s">
        <v>2152</v>
      </c>
      <c r="D2443" s="2">
        <v>7.9</v>
      </c>
      <c r="E2443" s="2">
        <v>2015.0</v>
      </c>
      <c r="F2443" s="2">
        <v>2019.0</v>
      </c>
      <c r="G2443" s="2" t="s">
        <v>10</v>
      </c>
    </row>
    <row r="2444" ht="14.25" customHeight="1">
      <c r="A2444" s="1" t="s">
        <v>2153</v>
      </c>
      <c r="B2444" s="1" t="s">
        <v>20</v>
      </c>
      <c r="C2444" s="2" t="s">
        <v>1271</v>
      </c>
      <c r="D2444" s="2">
        <v>7.9</v>
      </c>
      <c r="E2444" s="2">
        <v>1964.0</v>
      </c>
      <c r="F2444" s="2" t="s">
        <v>10</v>
      </c>
      <c r="G2444" s="2" t="s">
        <v>10</v>
      </c>
    </row>
    <row r="2445" ht="14.25" customHeight="1">
      <c r="A2445" s="1" t="s">
        <v>2154</v>
      </c>
      <c r="B2445" s="1" t="s">
        <v>20</v>
      </c>
      <c r="C2445" s="2" t="s">
        <v>18</v>
      </c>
      <c r="D2445" s="2">
        <v>7.9</v>
      </c>
      <c r="E2445" s="2">
        <v>2008.0</v>
      </c>
      <c r="F2445" s="2" t="s">
        <v>10</v>
      </c>
      <c r="G2445" s="2" t="s">
        <v>10</v>
      </c>
    </row>
    <row r="2446" ht="14.25" customHeight="1">
      <c r="A2446" s="1" t="s">
        <v>2155</v>
      </c>
      <c r="B2446" s="1" t="s">
        <v>8</v>
      </c>
      <c r="C2446" s="2" t="s">
        <v>756</v>
      </c>
      <c r="D2446" s="2">
        <v>7.9</v>
      </c>
      <c r="E2446" s="2">
        <v>1993.0</v>
      </c>
      <c r="F2446" s="2" t="s">
        <v>10</v>
      </c>
      <c r="G2446" s="2" t="s">
        <v>10</v>
      </c>
    </row>
    <row r="2447" ht="14.25" customHeight="1">
      <c r="A2447" s="1" t="s">
        <v>2156</v>
      </c>
      <c r="B2447" s="1" t="s">
        <v>20</v>
      </c>
      <c r="C2447" s="2" t="s">
        <v>2157</v>
      </c>
      <c r="D2447" s="2">
        <v>7.9</v>
      </c>
      <c r="E2447" s="2">
        <v>1958.0</v>
      </c>
      <c r="F2447" s="2" t="s">
        <v>10</v>
      </c>
      <c r="G2447" s="2" t="s">
        <v>10</v>
      </c>
    </row>
    <row r="2448" ht="14.25" customHeight="1">
      <c r="A2448" s="1" t="s">
        <v>2158</v>
      </c>
      <c r="B2448" s="1" t="s">
        <v>8</v>
      </c>
      <c r="C2448" s="2" t="s">
        <v>63</v>
      </c>
      <c r="D2448" s="2">
        <v>7.9</v>
      </c>
      <c r="E2448" s="2">
        <v>2017.0</v>
      </c>
      <c r="F2448" s="2" t="s">
        <v>10</v>
      </c>
      <c r="G2448" s="2" t="s">
        <v>10</v>
      </c>
    </row>
    <row r="2449" ht="14.25" customHeight="1">
      <c r="A2449" s="1" t="s">
        <v>2159</v>
      </c>
      <c r="B2449" s="1" t="s">
        <v>20</v>
      </c>
      <c r="C2449" s="2" t="s">
        <v>92</v>
      </c>
      <c r="D2449" s="2">
        <v>7.9</v>
      </c>
      <c r="E2449" s="2">
        <v>1964.0</v>
      </c>
      <c r="F2449" s="2" t="s">
        <v>10</v>
      </c>
      <c r="G2449" s="2" t="s">
        <v>10</v>
      </c>
    </row>
    <row r="2450" ht="14.25" customHeight="1">
      <c r="A2450" s="1" t="s">
        <v>2160</v>
      </c>
      <c r="B2450" s="1" t="s">
        <v>20</v>
      </c>
      <c r="C2450" s="2" t="s">
        <v>2161</v>
      </c>
      <c r="D2450" s="2">
        <v>7.9</v>
      </c>
      <c r="E2450" s="2">
        <v>1966.0</v>
      </c>
      <c r="F2450" s="2" t="s">
        <v>10</v>
      </c>
      <c r="G2450" s="2" t="s">
        <v>10</v>
      </c>
    </row>
    <row r="2451" ht="14.25" customHeight="1">
      <c r="A2451" s="1" t="s">
        <v>2162</v>
      </c>
      <c r="B2451" s="1" t="s">
        <v>20</v>
      </c>
      <c r="C2451" s="2" t="s">
        <v>1741</v>
      </c>
      <c r="D2451" s="2">
        <v>7.9</v>
      </c>
      <c r="E2451" s="2">
        <v>2021.0</v>
      </c>
      <c r="F2451" s="2" t="s">
        <v>10</v>
      </c>
      <c r="G2451" s="2" t="s">
        <v>10</v>
      </c>
    </row>
    <row r="2452" ht="14.25" customHeight="1">
      <c r="A2452" s="1" t="s">
        <v>2163</v>
      </c>
      <c r="B2452" s="1" t="s">
        <v>8</v>
      </c>
      <c r="C2452" s="2" t="s">
        <v>163</v>
      </c>
      <c r="D2452" s="2">
        <v>7.9</v>
      </c>
      <c r="E2452" s="2">
        <v>2008.0</v>
      </c>
      <c r="F2452" s="2">
        <v>2008.0</v>
      </c>
      <c r="G2452" s="2" t="s">
        <v>10</v>
      </c>
    </row>
    <row r="2453" ht="14.25" customHeight="1">
      <c r="A2453" s="1" t="s">
        <v>2164</v>
      </c>
      <c r="B2453" s="1" t="s">
        <v>8</v>
      </c>
      <c r="C2453" s="2" t="s">
        <v>55</v>
      </c>
      <c r="D2453" s="2">
        <v>7.9</v>
      </c>
      <c r="E2453" s="2">
        <v>2014.0</v>
      </c>
      <c r="F2453" s="2">
        <v>2018.0</v>
      </c>
      <c r="G2453" s="2" t="s">
        <v>10</v>
      </c>
    </row>
    <row r="2454" ht="14.25" customHeight="1">
      <c r="A2454" s="1" t="s">
        <v>2165</v>
      </c>
      <c r="B2454" s="1" t="s">
        <v>8</v>
      </c>
      <c r="C2454" s="2" t="s">
        <v>25</v>
      </c>
      <c r="D2454" s="2">
        <v>7.9</v>
      </c>
      <c r="E2454" s="2">
        <v>2012.0</v>
      </c>
      <c r="F2454" s="2" t="s">
        <v>10</v>
      </c>
      <c r="G2454" s="2" t="s">
        <v>10</v>
      </c>
    </row>
    <row r="2455" ht="14.25" customHeight="1">
      <c r="A2455" s="1" t="s">
        <v>2166</v>
      </c>
      <c r="B2455" s="1" t="s">
        <v>8</v>
      </c>
      <c r="C2455" s="2" t="s">
        <v>53</v>
      </c>
      <c r="D2455" s="2">
        <v>7.9</v>
      </c>
      <c r="E2455" s="2">
        <v>2024.0</v>
      </c>
      <c r="F2455" s="2" t="s">
        <v>10</v>
      </c>
      <c r="G2455" s="2" t="s">
        <v>10</v>
      </c>
    </row>
    <row r="2456" ht="14.25" customHeight="1">
      <c r="A2456" s="1" t="s">
        <v>2167</v>
      </c>
      <c r="B2456" s="1" t="s">
        <v>8</v>
      </c>
      <c r="C2456" s="2" t="s">
        <v>25</v>
      </c>
      <c r="D2456" s="2">
        <v>7.9</v>
      </c>
      <c r="E2456" s="2">
        <v>1985.0</v>
      </c>
      <c r="F2456" s="2" t="s">
        <v>10</v>
      </c>
      <c r="G2456" s="2" t="s">
        <v>10</v>
      </c>
    </row>
    <row r="2457" ht="14.25" customHeight="1">
      <c r="A2457" s="1" t="s">
        <v>2168</v>
      </c>
      <c r="B2457" s="1" t="s">
        <v>20</v>
      </c>
      <c r="C2457" s="2" t="s">
        <v>524</v>
      </c>
      <c r="D2457" s="2">
        <v>7.9</v>
      </c>
      <c r="E2457" s="2">
        <v>1996.0</v>
      </c>
      <c r="F2457" s="2" t="s">
        <v>10</v>
      </c>
      <c r="G2457" s="2" t="s">
        <v>10</v>
      </c>
    </row>
    <row r="2458" ht="14.25" customHeight="1">
      <c r="A2458" s="1" t="s">
        <v>2169</v>
      </c>
      <c r="B2458" s="1" t="s">
        <v>20</v>
      </c>
      <c r="C2458" s="2" t="s">
        <v>154</v>
      </c>
      <c r="D2458" s="2">
        <v>7.9</v>
      </c>
      <c r="E2458" s="2">
        <v>1942.0</v>
      </c>
      <c r="F2458" s="2" t="s">
        <v>10</v>
      </c>
      <c r="G2458" s="2" t="s">
        <v>10</v>
      </c>
    </row>
    <row r="2459" ht="14.25" customHeight="1">
      <c r="A2459" s="1" t="s">
        <v>2170</v>
      </c>
      <c r="B2459" s="1" t="s">
        <v>20</v>
      </c>
      <c r="C2459" s="2" t="s">
        <v>18</v>
      </c>
      <c r="D2459" s="2">
        <v>7.9</v>
      </c>
      <c r="E2459" s="2">
        <v>2008.0</v>
      </c>
      <c r="F2459" s="2" t="s">
        <v>10</v>
      </c>
      <c r="G2459" s="2" t="s">
        <v>10</v>
      </c>
    </row>
    <row r="2460" ht="14.25" customHeight="1">
      <c r="A2460" s="1" t="s">
        <v>2171</v>
      </c>
      <c r="B2460" s="1" t="s">
        <v>8</v>
      </c>
      <c r="C2460" s="2" t="s">
        <v>80</v>
      </c>
      <c r="D2460" s="2">
        <v>7.9</v>
      </c>
      <c r="E2460" s="2">
        <v>2015.0</v>
      </c>
      <c r="F2460" s="2">
        <v>2018.0</v>
      </c>
      <c r="G2460" s="2" t="s">
        <v>10</v>
      </c>
    </row>
    <row r="2461" ht="14.25" customHeight="1">
      <c r="A2461" s="1" t="s">
        <v>2172</v>
      </c>
      <c r="B2461" s="1" t="s">
        <v>8</v>
      </c>
      <c r="C2461" s="2" t="s">
        <v>25</v>
      </c>
      <c r="D2461" s="2">
        <v>7.9</v>
      </c>
      <c r="E2461" s="2">
        <v>2006.0</v>
      </c>
      <c r="F2461" s="2" t="s">
        <v>10</v>
      </c>
      <c r="G2461" s="2" t="s">
        <v>10</v>
      </c>
    </row>
    <row r="2462" ht="14.25" customHeight="1">
      <c r="A2462" s="1" t="s">
        <v>2173</v>
      </c>
      <c r="B2462" s="1" t="s">
        <v>8</v>
      </c>
      <c r="C2462" s="2" t="s">
        <v>63</v>
      </c>
      <c r="D2462" s="2">
        <v>7.9</v>
      </c>
      <c r="E2462" s="2">
        <v>2016.0</v>
      </c>
      <c r="F2462" s="2" t="s">
        <v>10</v>
      </c>
      <c r="G2462" s="2" t="s">
        <v>10</v>
      </c>
    </row>
    <row r="2463" ht="14.25" customHeight="1">
      <c r="A2463" s="1" t="s">
        <v>2174</v>
      </c>
      <c r="B2463" s="1" t="s">
        <v>8</v>
      </c>
      <c r="C2463" s="2" t="s">
        <v>25</v>
      </c>
      <c r="D2463" s="2">
        <v>7.9</v>
      </c>
      <c r="E2463" s="2">
        <v>2000.0</v>
      </c>
      <c r="F2463" s="2">
        <v>2001.0</v>
      </c>
      <c r="G2463" s="2" t="s">
        <v>10</v>
      </c>
    </row>
    <row r="2464" ht="14.25" customHeight="1">
      <c r="A2464" s="1" t="s">
        <v>2175</v>
      </c>
      <c r="B2464" s="1" t="s">
        <v>8</v>
      </c>
      <c r="C2464" s="2" t="s">
        <v>32</v>
      </c>
      <c r="D2464" s="2">
        <v>7.9</v>
      </c>
      <c r="E2464" s="2">
        <v>1990.0</v>
      </c>
      <c r="F2464" s="2" t="s">
        <v>10</v>
      </c>
      <c r="G2464" s="2" t="s">
        <v>10</v>
      </c>
    </row>
    <row r="2465" ht="14.25" customHeight="1">
      <c r="A2465" s="1" t="s">
        <v>2176</v>
      </c>
      <c r="B2465" s="1" t="s">
        <v>8</v>
      </c>
      <c r="C2465" s="2" t="s">
        <v>154</v>
      </c>
      <c r="D2465" s="2">
        <v>7.9</v>
      </c>
      <c r="E2465" s="2">
        <v>2022.0</v>
      </c>
      <c r="F2465" s="2" t="s">
        <v>10</v>
      </c>
      <c r="G2465" s="2">
        <v>1.988E7</v>
      </c>
    </row>
    <row r="2466" ht="14.25" customHeight="1">
      <c r="A2466" s="1" t="s">
        <v>2176</v>
      </c>
      <c r="B2466" s="1" t="s">
        <v>8</v>
      </c>
      <c r="C2466" s="2" t="s">
        <v>154</v>
      </c>
      <c r="D2466" s="2">
        <v>7.9</v>
      </c>
      <c r="E2466" s="2">
        <v>2022.0</v>
      </c>
      <c r="F2466" s="2" t="s">
        <v>10</v>
      </c>
      <c r="G2466" s="2">
        <v>3.13E7</v>
      </c>
    </row>
    <row r="2467" ht="14.25" customHeight="1">
      <c r="A2467" s="1" t="s">
        <v>2176</v>
      </c>
      <c r="B2467" s="1" t="s">
        <v>8</v>
      </c>
      <c r="C2467" s="2" t="s">
        <v>154</v>
      </c>
      <c r="D2467" s="2">
        <v>7.9</v>
      </c>
      <c r="E2467" s="2">
        <v>2022.0</v>
      </c>
      <c r="F2467" s="2" t="s">
        <v>10</v>
      </c>
      <c r="G2467" s="2">
        <v>5.045E7</v>
      </c>
    </row>
    <row r="2468" ht="14.25" customHeight="1">
      <c r="A2468" s="1" t="s">
        <v>2176</v>
      </c>
      <c r="B2468" s="1" t="s">
        <v>8</v>
      </c>
      <c r="C2468" s="2" t="s">
        <v>154</v>
      </c>
      <c r="D2468" s="2">
        <v>7.9</v>
      </c>
      <c r="E2468" s="2">
        <v>2022.0</v>
      </c>
      <c r="F2468" s="2" t="s">
        <v>10</v>
      </c>
      <c r="G2468" s="2">
        <v>7.202E7</v>
      </c>
    </row>
    <row r="2469" ht="14.25" customHeight="1">
      <c r="A2469" s="1" t="s">
        <v>2176</v>
      </c>
      <c r="B2469" s="1" t="s">
        <v>8</v>
      </c>
      <c r="C2469" s="2" t="s">
        <v>154</v>
      </c>
      <c r="D2469" s="2">
        <v>7.9</v>
      </c>
      <c r="E2469" s="2">
        <v>2022.0</v>
      </c>
      <c r="F2469" s="2" t="s">
        <v>10</v>
      </c>
      <c r="G2469" s="2">
        <v>3.223E7</v>
      </c>
    </row>
    <row r="2470" ht="14.25" customHeight="1">
      <c r="A2470" s="1" t="s">
        <v>2177</v>
      </c>
      <c r="B2470" s="1" t="s">
        <v>20</v>
      </c>
      <c r="C2470" s="2" t="s">
        <v>22</v>
      </c>
      <c r="D2470" s="2">
        <v>7.9</v>
      </c>
      <c r="E2470" s="2">
        <v>1997.0</v>
      </c>
      <c r="F2470" s="2" t="s">
        <v>10</v>
      </c>
      <c r="G2470" s="2" t="s">
        <v>10</v>
      </c>
    </row>
    <row r="2471" ht="14.25" customHeight="1">
      <c r="A2471" s="1" t="s">
        <v>2178</v>
      </c>
      <c r="B2471" s="1" t="s">
        <v>8</v>
      </c>
      <c r="C2471" s="2" t="s">
        <v>53</v>
      </c>
      <c r="D2471" s="2">
        <v>7.9</v>
      </c>
      <c r="E2471" s="2">
        <v>2014.0</v>
      </c>
      <c r="F2471" s="2" t="s">
        <v>10</v>
      </c>
      <c r="G2471" s="2" t="s">
        <v>10</v>
      </c>
    </row>
    <row r="2472" ht="14.25" customHeight="1">
      <c r="A2472" s="1" t="s">
        <v>2179</v>
      </c>
      <c r="B2472" s="1" t="s">
        <v>20</v>
      </c>
      <c r="C2472" s="2" t="s">
        <v>44</v>
      </c>
      <c r="D2472" s="2">
        <v>7.9</v>
      </c>
      <c r="E2472" s="2">
        <v>1958.0</v>
      </c>
      <c r="F2472" s="2" t="s">
        <v>10</v>
      </c>
      <c r="G2472" s="2" t="s">
        <v>10</v>
      </c>
    </row>
    <row r="2473" ht="14.25" customHeight="1">
      <c r="A2473" s="1" t="s">
        <v>2180</v>
      </c>
      <c r="B2473" s="1" t="s">
        <v>8</v>
      </c>
      <c r="C2473" s="2" t="s">
        <v>32</v>
      </c>
      <c r="D2473" s="2">
        <v>7.9</v>
      </c>
      <c r="E2473" s="2">
        <v>2001.0</v>
      </c>
      <c r="F2473" s="2" t="s">
        <v>10</v>
      </c>
      <c r="G2473" s="2" t="s">
        <v>10</v>
      </c>
    </row>
    <row r="2474" ht="14.25" customHeight="1">
      <c r="A2474" s="1" t="s">
        <v>2181</v>
      </c>
      <c r="B2474" s="1" t="s">
        <v>8</v>
      </c>
      <c r="C2474" s="2" t="s">
        <v>203</v>
      </c>
      <c r="D2474" s="2">
        <v>7.9</v>
      </c>
      <c r="E2474" s="2">
        <v>2013.0</v>
      </c>
      <c r="F2474" s="2">
        <v>2014.0</v>
      </c>
      <c r="G2474" s="2" t="s">
        <v>10</v>
      </c>
    </row>
    <row r="2475" ht="14.25" customHeight="1">
      <c r="A2475" s="1" t="s">
        <v>2182</v>
      </c>
      <c r="B2475" s="1" t="s">
        <v>20</v>
      </c>
      <c r="C2475" s="2" t="s">
        <v>282</v>
      </c>
      <c r="D2475" s="2">
        <v>7.9</v>
      </c>
      <c r="E2475" s="2">
        <v>2022.0</v>
      </c>
      <c r="F2475" s="2" t="s">
        <v>10</v>
      </c>
      <c r="G2475" s="2" t="s">
        <v>10</v>
      </c>
    </row>
    <row r="2476" ht="14.25" customHeight="1">
      <c r="A2476" s="1" t="s">
        <v>2183</v>
      </c>
      <c r="B2476" s="1" t="s">
        <v>8</v>
      </c>
      <c r="C2476" s="2" t="s">
        <v>187</v>
      </c>
      <c r="D2476" s="2">
        <v>7.9</v>
      </c>
      <c r="E2476" s="2">
        <v>2018.0</v>
      </c>
      <c r="F2476" s="2" t="s">
        <v>10</v>
      </c>
      <c r="G2476" s="2" t="s">
        <v>10</v>
      </c>
    </row>
    <row r="2477" ht="14.25" customHeight="1">
      <c r="A2477" s="1" t="s">
        <v>2184</v>
      </c>
      <c r="B2477" s="1" t="s">
        <v>8</v>
      </c>
      <c r="C2477" s="2" t="s">
        <v>25</v>
      </c>
      <c r="D2477" s="2">
        <v>7.9</v>
      </c>
      <c r="E2477" s="2">
        <v>2006.0</v>
      </c>
      <c r="F2477" s="2" t="s">
        <v>10</v>
      </c>
      <c r="G2477" s="2" t="s">
        <v>10</v>
      </c>
    </row>
    <row r="2478" ht="14.25" customHeight="1">
      <c r="A2478" s="1" t="s">
        <v>2185</v>
      </c>
      <c r="B2478" s="1" t="s">
        <v>20</v>
      </c>
      <c r="C2478" s="2" t="s">
        <v>2186</v>
      </c>
      <c r="D2478" s="2">
        <v>7.9</v>
      </c>
      <c r="E2478" s="2">
        <v>2008.0</v>
      </c>
      <c r="F2478" s="2" t="s">
        <v>10</v>
      </c>
      <c r="G2478" s="2" t="s">
        <v>10</v>
      </c>
    </row>
    <row r="2479" ht="14.25" customHeight="1">
      <c r="A2479" s="1" t="s">
        <v>2187</v>
      </c>
      <c r="B2479" s="1" t="s">
        <v>8</v>
      </c>
      <c r="C2479" s="2" t="s">
        <v>69</v>
      </c>
      <c r="D2479" s="2">
        <v>7.9</v>
      </c>
      <c r="E2479" s="2">
        <v>2017.0</v>
      </c>
      <c r="F2479" s="2">
        <v>2020.0</v>
      </c>
      <c r="G2479" s="2" t="s">
        <v>10</v>
      </c>
    </row>
    <row r="2480" ht="14.25" customHeight="1">
      <c r="A2480" s="1" t="s">
        <v>2188</v>
      </c>
      <c r="B2480" s="1" t="s">
        <v>8</v>
      </c>
      <c r="C2480" s="2" t="s">
        <v>2189</v>
      </c>
      <c r="D2480" s="2">
        <v>7.9</v>
      </c>
      <c r="E2480" s="2">
        <v>2024.0</v>
      </c>
      <c r="F2480" s="2" t="s">
        <v>10</v>
      </c>
      <c r="G2480" s="2" t="s">
        <v>10</v>
      </c>
    </row>
    <row r="2481" ht="14.25" customHeight="1">
      <c r="A2481" s="1" t="s">
        <v>2190</v>
      </c>
      <c r="B2481" s="1" t="s">
        <v>20</v>
      </c>
      <c r="C2481" s="2" t="s">
        <v>1749</v>
      </c>
      <c r="D2481" s="2">
        <v>7.9</v>
      </c>
      <c r="E2481" s="2">
        <v>1932.0</v>
      </c>
      <c r="F2481" s="2" t="s">
        <v>10</v>
      </c>
      <c r="G2481" s="2" t="s">
        <v>10</v>
      </c>
    </row>
    <row r="2482" ht="14.25" customHeight="1">
      <c r="A2482" s="1" t="s">
        <v>2191</v>
      </c>
      <c r="B2482" s="1" t="s">
        <v>20</v>
      </c>
      <c r="C2482" s="2" t="s">
        <v>36</v>
      </c>
      <c r="D2482" s="2">
        <v>7.9</v>
      </c>
      <c r="E2482" s="2">
        <v>1998.0</v>
      </c>
      <c r="F2482" s="2" t="s">
        <v>10</v>
      </c>
      <c r="G2482" s="2" t="s">
        <v>10</v>
      </c>
    </row>
    <row r="2483" ht="14.25" customHeight="1">
      <c r="A2483" s="1" t="s">
        <v>2192</v>
      </c>
      <c r="B2483" s="1" t="s">
        <v>8</v>
      </c>
      <c r="C2483" s="2" t="s">
        <v>63</v>
      </c>
      <c r="D2483" s="2">
        <v>7.9</v>
      </c>
      <c r="E2483" s="2">
        <v>2010.0</v>
      </c>
      <c r="F2483" s="2" t="s">
        <v>10</v>
      </c>
      <c r="G2483" s="2" t="s">
        <v>10</v>
      </c>
    </row>
    <row r="2484" ht="14.25" customHeight="1">
      <c r="A2484" s="1" t="s">
        <v>2193</v>
      </c>
      <c r="B2484" s="1" t="s">
        <v>20</v>
      </c>
      <c r="C2484" s="2" t="s">
        <v>1100</v>
      </c>
      <c r="D2484" s="2">
        <v>7.9</v>
      </c>
      <c r="E2484" s="2">
        <v>2022.0</v>
      </c>
      <c r="F2484" s="2" t="s">
        <v>10</v>
      </c>
      <c r="G2484" s="2" t="s">
        <v>10</v>
      </c>
    </row>
    <row r="2485" ht="14.25" customHeight="1">
      <c r="A2485" s="1" t="s">
        <v>2194</v>
      </c>
      <c r="B2485" s="1" t="s">
        <v>20</v>
      </c>
      <c r="C2485" s="2" t="s">
        <v>9</v>
      </c>
      <c r="D2485" s="2">
        <v>7.9</v>
      </c>
      <c r="E2485" s="2">
        <v>1939.0</v>
      </c>
      <c r="F2485" s="2" t="s">
        <v>10</v>
      </c>
      <c r="G2485" s="2" t="s">
        <v>10</v>
      </c>
    </row>
    <row r="2486" ht="14.25" customHeight="1">
      <c r="A2486" s="1" t="s">
        <v>2195</v>
      </c>
      <c r="B2486" s="1" t="s">
        <v>20</v>
      </c>
      <c r="C2486" s="2" t="s">
        <v>18</v>
      </c>
      <c r="D2486" s="2">
        <v>7.9</v>
      </c>
      <c r="E2486" s="2">
        <v>2007.0</v>
      </c>
      <c r="F2486" s="2" t="s">
        <v>10</v>
      </c>
      <c r="G2486" s="2" t="s">
        <v>10</v>
      </c>
    </row>
    <row r="2487" ht="14.25" customHeight="1">
      <c r="A2487" s="1" t="s">
        <v>2102</v>
      </c>
      <c r="B2487" s="1" t="s">
        <v>8</v>
      </c>
      <c r="C2487" s="2" t="s">
        <v>25</v>
      </c>
      <c r="D2487" s="2">
        <v>7.9</v>
      </c>
      <c r="E2487" s="2">
        <v>2012.0</v>
      </c>
      <c r="F2487" s="2">
        <v>2007.0</v>
      </c>
      <c r="G2487" s="2" t="s">
        <v>10</v>
      </c>
    </row>
    <row r="2488" ht="14.25" customHeight="1">
      <c r="A2488" s="1" t="s">
        <v>2196</v>
      </c>
      <c r="B2488" s="1" t="s">
        <v>20</v>
      </c>
      <c r="C2488" s="2" t="s">
        <v>2197</v>
      </c>
      <c r="D2488" s="2">
        <v>7.9</v>
      </c>
      <c r="E2488" s="2">
        <v>1950.0</v>
      </c>
      <c r="F2488" s="2" t="s">
        <v>10</v>
      </c>
      <c r="G2488" s="2" t="s">
        <v>10</v>
      </c>
    </row>
    <row r="2489" ht="14.25" customHeight="1">
      <c r="A2489" s="1" t="s">
        <v>2198</v>
      </c>
      <c r="B2489" s="1" t="s">
        <v>20</v>
      </c>
      <c r="C2489" s="2" t="s">
        <v>18</v>
      </c>
      <c r="D2489" s="2">
        <v>7.9</v>
      </c>
      <c r="E2489" s="2">
        <v>2022.0</v>
      </c>
      <c r="F2489" s="2" t="s">
        <v>10</v>
      </c>
      <c r="G2489" s="2" t="s">
        <v>10</v>
      </c>
    </row>
    <row r="2490" ht="14.25" customHeight="1">
      <c r="A2490" s="1" t="s">
        <v>2199</v>
      </c>
      <c r="B2490" s="1" t="s">
        <v>8</v>
      </c>
      <c r="C2490" s="2" t="s">
        <v>1375</v>
      </c>
      <c r="D2490" s="2">
        <v>7.9</v>
      </c>
      <c r="E2490" s="2">
        <v>2014.0</v>
      </c>
      <c r="F2490" s="2">
        <v>2017.0</v>
      </c>
      <c r="G2490" s="2" t="s">
        <v>10</v>
      </c>
    </row>
    <row r="2491" ht="14.25" customHeight="1">
      <c r="A2491" s="1" t="s">
        <v>2200</v>
      </c>
      <c r="B2491" s="1" t="s">
        <v>20</v>
      </c>
      <c r="C2491" s="2" t="s">
        <v>584</v>
      </c>
      <c r="D2491" s="2">
        <v>7.9</v>
      </c>
      <c r="E2491" s="2">
        <v>2021.0</v>
      </c>
      <c r="F2491" s="2" t="s">
        <v>10</v>
      </c>
      <c r="G2491" s="2" t="s">
        <v>10</v>
      </c>
    </row>
    <row r="2492" ht="14.25" customHeight="1">
      <c r="A2492" s="1" t="s">
        <v>2201</v>
      </c>
      <c r="B2492" s="1" t="s">
        <v>20</v>
      </c>
      <c r="C2492" s="2" t="s">
        <v>18</v>
      </c>
      <c r="D2492" s="2">
        <v>7.9</v>
      </c>
      <c r="E2492" s="2">
        <v>1998.0</v>
      </c>
      <c r="F2492" s="2" t="s">
        <v>10</v>
      </c>
      <c r="G2492" s="2" t="s">
        <v>10</v>
      </c>
    </row>
    <row r="2493" ht="14.25" customHeight="1">
      <c r="A2493" s="1" t="s">
        <v>2202</v>
      </c>
      <c r="B2493" s="1" t="s">
        <v>8</v>
      </c>
      <c r="C2493" s="2" t="s">
        <v>169</v>
      </c>
      <c r="D2493" s="2">
        <v>7.9</v>
      </c>
      <c r="E2493" s="2">
        <v>2019.0</v>
      </c>
      <c r="F2493" s="2" t="s">
        <v>10</v>
      </c>
      <c r="G2493" s="2" t="s">
        <v>10</v>
      </c>
    </row>
    <row r="2494" ht="14.25" customHeight="1">
      <c r="A2494" s="1" t="s">
        <v>2203</v>
      </c>
      <c r="B2494" s="1" t="s">
        <v>20</v>
      </c>
      <c r="C2494" s="2" t="s">
        <v>12</v>
      </c>
      <c r="D2494" s="2">
        <v>7.9</v>
      </c>
      <c r="E2494" s="2">
        <v>2007.0</v>
      </c>
      <c r="F2494" s="2" t="s">
        <v>10</v>
      </c>
      <c r="G2494" s="2" t="s">
        <v>10</v>
      </c>
    </row>
    <row r="2495" ht="14.25" customHeight="1">
      <c r="A2495" s="1" t="s">
        <v>2204</v>
      </c>
      <c r="B2495" s="1" t="s">
        <v>20</v>
      </c>
      <c r="C2495" s="2" t="s">
        <v>187</v>
      </c>
      <c r="D2495" s="2">
        <v>7.9</v>
      </c>
      <c r="E2495" s="2">
        <v>1961.0</v>
      </c>
      <c r="F2495" s="2" t="s">
        <v>10</v>
      </c>
      <c r="G2495" s="2" t="s">
        <v>10</v>
      </c>
    </row>
    <row r="2496" ht="14.25" customHeight="1">
      <c r="A2496" s="1" t="s">
        <v>2205</v>
      </c>
      <c r="B2496" s="1" t="s">
        <v>20</v>
      </c>
      <c r="C2496" s="2" t="s">
        <v>132</v>
      </c>
      <c r="D2496" s="2">
        <v>7.9</v>
      </c>
      <c r="E2496" s="2">
        <v>2012.0</v>
      </c>
      <c r="F2496" s="2" t="s">
        <v>10</v>
      </c>
      <c r="G2496" s="2" t="s">
        <v>10</v>
      </c>
    </row>
    <row r="2497" ht="14.25" customHeight="1">
      <c r="A2497" s="1" t="s">
        <v>2206</v>
      </c>
      <c r="B2497" s="1" t="s">
        <v>20</v>
      </c>
      <c r="C2497" s="2" t="s">
        <v>169</v>
      </c>
      <c r="D2497" s="2">
        <v>7.9</v>
      </c>
      <c r="E2497" s="2">
        <v>1985.0</v>
      </c>
      <c r="F2497" s="2" t="s">
        <v>10</v>
      </c>
      <c r="G2497" s="2" t="s">
        <v>10</v>
      </c>
    </row>
    <row r="2498" ht="14.25" customHeight="1">
      <c r="A2498" s="1" t="s">
        <v>2207</v>
      </c>
      <c r="B2498" s="1" t="s">
        <v>8</v>
      </c>
      <c r="C2498" s="2" t="s">
        <v>356</v>
      </c>
      <c r="D2498" s="2">
        <v>7.9</v>
      </c>
      <c r="E2498" s="2">
        <v>2012.0</v>
      </c>
      <c r="F2498" s="2" t="s">
        <v>10</v>
      </c>
      <c r="G2498" s="2" t="s">
        <v>10</v>
      </c>
    </row>
    <row r="2499" ht="14.25" customHeight="1">
      <c r="A2499" s="1" t="s">
        <v>2208</v>
      </c>
      <c r="B2499" s="1" t="s">
        <v>8</v>
      </c>
      <c r="C2499" s="2" t="s">
        <v>792</v>
      </c>
      <c r="D2499" s="2">
        <v>7.9</v>
      </c>
      <c r="E2499" s="2">
        <v>2020.0</v>
      </c>
      <c r="F2499" s="2" t="s">
        <v>10</v>
      </c>
      <c r="G2499" s="2" t="s">
        <v>10</v>
      </c>
    </row>
    <row r="2500" ht="14.25" customHeight="1">
      <c r="A2500" s="1" t="s">
        <v>2209</v>
      </c>
      <c r="B2500" s="1" t="s">
        <v>20</v>
      </c>
      <c r="C2500" s="2" t="s">
        <v>356</v>
      </c>
      <c r="D2500" s="2">
        <v>7.9</v>
      </c>
      <c r="E2500" s="2">
        <v>2000.0</v>
      </c>
      <c r="F2500" s="2" t="s">
        <v>10</v>
      </c>
      <c r="G2500" s="2" t="s">
        <v>10</v>
      </c>
    </row>
    <row r="2501" ht="14.25" customHeight="1">
      <c r="A2501" s="1" t="s">
        <v>2210</v>
      </c>
      <c r="B2501" s="1" t="s">
        <v>8</v>
      </c>
      <c r="C2501" s="2" t="s">
        <v>25</v>
      </c>
      <c r="D2501" s="2">
        <v>7.9</v>
      </c>
      <c r="E2501" s="2">
        <v>2012.0</v>
      </c>
      <c r="F2501" s="2" t="s">
        <v>10</v>
      </c>
      <c r="G2501" s="2" t="s">
        <v>10</v>
      </c>
    </row>
    <row r="2502" ht="14.25" customHeight="1">
      <c r="A2502" s="1" t="s">
        <v>2211</v>
      </c>
      <c r="B2502" s="1" t="s">
        <v>20</v>
      </c>
      <c r="C2502" s="2" t="s">
        <v>1326</v>
      </c>
      <c r="D2502" s="2">
        <v>7.9</v>
      </c>
      <c r="E2502" s="2">
        <v>1986.0</v>
      </c>
      <c r="F2502" s="2" t="s">
        <v>10</v>
      </c>
      <c r="G2502" s="2" t="s">
        <v>10</v>
      </c>
    </row>
    <row r="2503" ht="14.25" customHeight="1">
      <c r="A2503" s="1" t="s">
        <v>2212</v>
      </c>
      <c r="B2503" s="1" t="s">
        <v>8</v>
      </c>
      <c r="C2503" s="2" t="s">
        <v>935</v>
      </c>
      <c r="D2503" s="2">
        <v>7.9</v>
      </c>
      <c r="E2503" s="2">
        <v>2013.0</v>
      </c>
      <c r="F2503" s="2" t="s">
        <v>10</v>
      </c>
      <c r="G2503" s="2" t="s">
        <v>10</v>
      </c>
    </row>
    <row r="2504" ht="14.25" customHeight="1">
      <c r="A2504" s="1" t="s">
        <v>2213</v>
      </c>
      <c r="B2504" s="1" t="s">
        <v>20</v>
      </c>
      <c r="C2504" s="2" t="s">
        <v>154</v>
      </c>
      <c r="D2504" s="2">
        <v>7.9</v>
      </c>
      <c r="E2504" s="2">
        <v>1948.0</v>
      </c>
      <c r="F2504" s="2" t="s">
        <v>10</v>
      </c>
      <c r="G2504" s="2" t="s">
        <v>10</v>
      </c>
    </row>
    <row r="2505" ht="14.25" customHeight="1">
      <c r="A2505" s="1" t="s">
        <v>2214</v>
      </c>
      <c r="B2505" s="1" t="s">
        <v>8</v>
      </c>
      <c r="C2505" s="2" t="s">
        <v>80</v>
      </c>
      <c r="D2505" s="2">
        <v>7.9</v>
      </c>
      <c r="E2505" s="2">
        <v>2020.0</v>
      </c>
      <c r="F2505" s="2" t="s">
        <v>10</v>
      </c>
      <c r="G2505" s="2" t="s">
        <v>10</v>
      </c>
    </row>
    <row r="2506" ht="14.25" customHeight="1">
      <c r="A2506" s="1" t="s">
        <v>2215</v>
      </c>
      <c r="B2506" s="1" t="s">
        <v>8</v>
      </c>
      <c r="C2506" s="2" t="s">
        <v>756</v>
      </c>
      <c r="D2506" s="2">
        <v>7.9</v>
      </c>
      <c r="E2506" s="2">
        <v>1966.0</v>
      </c>
      <c r="F2506" s="2" t="s">
        <v>10</v>
      </c>
      <c r="G2506" s="2" t="s">
        <v>10</v>
      </c>
    </row>
    <row r="2507" ht="14.25" customHeight="1">
      <c r="A2507" s="1" t="s">
        <v>2216</v>
      </c>
      <c r="B2507" s="1" t="s">
        <v>20</v>
      </c>
      <c r="C2507" s="2" t="s">
        <v>282</v>
      </c>
      <c r="D2507" s="2">
        <v>7.9</v>
      </c>
      <c r="E2507" s="2">
        <v>2024.0</v>
      </c>
      <c r="F2507" s="2" t="s">
        <v>10</v>
      </c>
      <c r="G2507" s="2" t="s">
        <v>10</v>
      </c>
    </row>
    <row r="2508" ht="14.25" customHeight="1">
      <c r="A2508" s="1" t="s">
        <v>2217</v>
      </c>
      <c r="B2508" s="1" t="s">
        <v>20</v>
      </c>
      <c r="C2508" s="2" t="s">
        <v>134</v>
      </c>
      <c r="D2508" s="2">
        <v>7.9</v>
      </c>
      <c r="E2508" s="2">
        <v>1933.0</v>
      </c>
      <c r="F2508" s="2" t="s">
        <v>10</v>
      </c>
      <c r="G2508" s="2" t="s">
        <v>10</v>
      </c>
    </row>
    <row r="2509" ht="14.25" customHeight="1">
      <c r="A2509" s="1" t="s">
        <v>2218</v>
      </c>
      <c r="B2509" s="1" t="s">
        <v>20</v>
      </c>
      <c r="C2509" s="2" t="s">
        <v>2219</v>
      </c>
      <c r="D2509" s="2">
        <v>7.9</v>
      </c>
      <c r="E2509" s="2">
        <v>2015.0</v>
      </c>
      <c r="F2509" s="2" t="s">
        <v>10</v>
      </c>
      <c r="G2509" s="2" t="s">
        <v>10</v>
      </c>
    </row>
    <row r="2510" ht="14.25" customHeight="1">
      <c r="A2510" s="1" t="s">
        <v>2220</v>
      </c>
      <c r="B2510" s="1" t="s">
        <v>20</v>
      </c>
      <c r="C2510" s="2" t="s">
        <v>1474</v>
      </c>
      <c r="D2510" s="2">
        <v>7.9</v>
      </c>
      <c r="E2510" s="2">
        <v>1950.0</v>
      </c>
      <c r="F2510" s="2" t="s">
        <v>10</v>
      </c>
      <c r="G2510" s="2" t="s">
        <v>10</v>
      </c>
    </row>
    <row r="2511" ht="14.25" customHeight="1">
      <c r="A2511" s="1" t="s">
        <v>2221</v>
      </c>
      <c r="B2511" s="1" t="s">
        <v>20</v>
      </c>
      <c r="C2511" s="2" t="s">
        <v>9</v>
      </c>
      <c r="D2511" s="2">
        <v>7.9</v>
      </c>
      <c r="E2511" s="2">
        <v>2007.0</v>
      </c>
      <c r="F2511" s="2" t="s">
        <v>10</v>
      </c>
      <c r="G2511" s="2" t="s">
        <v>10</v>
      </c>
    </row>
    <row r="2512" ht="14.25" customHeight="1">
      <c r="A2512" s="1" t="s">
        <v>2222</v>
      </c>
      <c r="B2512" s="1" t="s">
        <v>20</v>
      </c>
      <c r="C2512" s="2" t="s">
        <v>154</v>
      </c>
      <c r="D2512" s="2">
        <v>7.9</v>
      </c>
      <c r="E2512" s="2">
        <v>1941.0</v>
      </c>
      <c r="F2512" s="2" t="s">
        <v>10</v>
      </c>
      <c r="G2512" s="2" t="s">
        <v>10</v>
      </c>
    </row>
    <row r="2513" ht="14.25" customHeight="1">
      <c r="A2513" s="1" t="s">
        <v>2102</v>
      </c>
      <c r="B2513" s="1" t="s">
        <v>8</v>
      </c>
      <c r="C2513" s="2" t="s">
        <v>25</v>
      </c>
      <c r="D2513" s="2">
        <v>7.9</v>
      </c>
      <c r="E2513" s="2">
        <v>2003.0</v>
      </c>
      <c r="F2513" s="2">
        <v>2007.0</v>
      </c>
      <c r="G2513" s="2" t="s">
        <v>10</v>
      </c>
    </row>
    <row r="2514" ht="14.25" customHeight="1">
      <c r="A2514" s="1" t="s">
        <v>2223</v>
      </c>
      <c r="B2514" s="1" t="s">
        <v>8</v>
      </c>
      <c r="C2514" s="2" t="s">
        <v>53</v>
      </c>
      <c r="D2514" s="2">
        <v>7.9</v>
      </c>
      <c r="E2514" s="2">
        <v>1996.0</v>
      </c>
      <c r="F2514" s="2" t="s">
        <v>10</v>
      </c>
      <c r="G2514" s="2" t="s">
        <v>10</v>
      </c>
    </row>
    <row r="2515" ht="14.25" customHeight="1">
      <c r="A2515" s="1" t="s">
        <v>2224</v>
      </c>
      <c r="B2515" s="1" t="s">
        <v>20</v>
      </c>
      <c r="C2515" s="2" t="s">
        <v>69</v>
      </c>
      <c r="D2515" s="2">
        <v>7.9</v>
      </c>
      <c r="E2515" s="2">
        <v>2019.0</v>
      </c>
      <c r="F2515" s="2" t="s">
        <v>10</v>
      </c>
      <c r="G2515" s="2" t="s">
        <v>10</v>
      </c>
    </row>
    <row r="2516" ht="14.25" customHeight="1">
      <c r="A2516" s="1" t="s">
        <v>2225</v>
      </c>
      <c r="B2516" s="1" t="s">
        <v>8</v>
      </c>
      <c r="C2516" s="2" t="s">
        <v>159</v>
      </c>
      <c r="D2516" s="2">
        <v>7.9</v>
      </c>
      <c r="E2516" s="2">
        <v>2014.0</v>
      </c>
      <c r="F2516" s="2" t="s">
        <v>10</v>
      </c>
      <c r="G2516" s="2" t="s">
        <v>10</v>
      </c>
    </row>
    <row r="2517" ht="14.25" customHeight="1">
      <c r="A2517" s="1" t="s">
        <v>2226</v>
      </c>
      <c r="B2517" s="1" t="s">
        <v>20</v>
      </c>
      <c r="C2517" s="2" t="s">
        <v>53</v>
      </c>
      <c r="D2517" s="2">
        <v>7.9</v>
      </c>
      <c r="E2517" s="2">
        <v>2016.0</v>
      </c>
      <c r="F2517" s="2" t="s">
        <v>10</v>
      </c>
      <c r="G2517" s="2" t="s">
        <v>10</v>
      </c>
    </row>
    <row r="2518" ht="14.25" customHeight="1">
      <c r="A2518" s="1" t="s">
        <v>2227</v>
      </c>
      <c r="B2518" s="1" t="s">
        <v>20</v>
      </c>
      <c r="C2518" s="2" t="s">
        <v>187</v>
      </c>
      <c r="D2518" s="2">
        <v>7.9</v>
      </c>
      <c r="E2518" s="2">
        <v>1958.0</v>
      </c>
      <c r="F2518" s="2" t="s">
        <v>10</v>
      </c>
      <c r="G2518" s="2" t="s">
        <v>10</v>
      </c>
    </row>
    <row r="2519" ht="14.25" customHeight="1">
      <c r="A2519" s="1" t="s">
        <v>2228</v>
      </c>
      <c r="B2519" s="1" t="s">
        <v>20</v>
      </c>
      <c r="C2519" s="2" t="s">
        <v>63</v>
      </c>
      <c r="D2519" s="2">
        <v>7.9</v>
      </c>
      <c r="E2519" s="2">
        <v>2013.0</v>
      </c>
      <c r="F2519" s="2">
        <v>2013.0</v>
      </c>
      <c r="G2519" s="2" t="s">
        <v>10</v>
      </c>
    </row>
    <row r="2520" ht="14.25" customHeight="1">
      <c r="A2520" s="1" t="s">
        <v>2229</v>
      </c>
      <c r="B2520" s="1" t="s">
        <v>20</v>
      </c>
      <c r="C2520" s="2" t="s">
        <v>44</v>
      </c>
      <c r="D2520" s="2">
        <v>7.9</v>
      </c>
      <c r="E2520" s="2">
        <v>2008.0</v>
      </c>
      <c r="F2520" s="2" t="s">
        <v>10</v>
      </c>
      <c r="G2520" s="2" t="s">
        <v>10</v>
      </c>
    </row>
    <row r="2521" ht="14.25" customHeight="1">
      <c r="A2521" s="1" t="s">
        <v>2230</v>
      </c>
      <c r="B2521" s="1" t="s">
        <v>20</v>
      </c>
      <c r="C2521" s="2" t="s">
        <v>18</v>
      </c>
      <c r="D2521" s="2">
        <v>7.9</v>
      </c>
      <c r="E2521" s="2">
        <v>1977.0</v>
      </c>
      <c r="F2521" s="2">
        <v>2016.0</v>
      </c>
      <c r="G2521" s="2" t="s">
        <v>10</v>
      </c>
    </row>
    <row r="2522" ht="14.25" customHeight="1">
      <c r="A2522" s="1" t="s">
        <v>2231</v>
      </c>
      <c r="B2522" s="1" t="s">
        <v>8</v>
      </c>
      <c r="C2522" s="2" t="s">
        <v>262</v>
      </c>
      <c r="D2522" s="2">
        <v>7.9</v>
      </c>
      <c r="E2522" s="2">
        <v>2017.0</v>
      </c>
      <c r="F2522" s="2" t="s">
        <v>10</v>
      </c>
      <c r="G2522" s="2" t="s">
        <v>10</v>
      </c>
    </row>
    <row r="2523" ht="14.25" customHeight="1">
      <c r="A2523" s="1" t="s">
        <v>2232</v>
      </c>
      <c r="B2523" s="1" t="s">
        <v>20</v>
      </c>
      <c r="C2523" s="2" t="s">
        <v>12</v>
      </c>
      <c r="D2523" s="2">
        <v>7.9</v>
      </c>
      <c r="E2523" s="2">
        <v>2001.0</v>
      </c>
      <c r="F2523" s="2" t="s">
        <v>10</v>
      </c>
      <c r="G2523" s="2" t="s">
        <v>10</v>
      </c>
    </row>
    <row r="2524" ht="14.25" customHeight="1">
      <c r="A2524" s="1" t="s">
        <v>2233</v>
      </c>
      <c r="B2524" s="1" t="s">
        <v>20</v>
      </c>
      <c r="C2524" s="2" t="s">
        <v>339</v>
      </c>
      <c r="D2524" s="2">
        <v>7.9</v>
      </c>
      <c r="E2524" s="2">
        <v>1966.0</v>
      </c>
      <c r="F2524" s="2" t="s">
        <v>10</v>
      </c>
      <c r="G2524" s="2" t="s">
        <v>10</v>
      </c>
    </row>
    <row r="2525" ht="14.25" customHeight="1">
      <c r="A2525" s="1" t="s">
        <v>2234</v>
      </c>
      <c r="B2525" s="1" t="s">
        <v>8</v>
      </c>
      <c r="C2525" s="2" t="s">
        <v>44</v>
      </c>
      <c r="D2525" s="2">
        <v>7.9</v>
      </c>
      <c r="E2525" s="2">
        <v>2015.0</v>
      </c>
      <c r="F2525" s="2" t="s">
        <v>10</v>
      </c>
      <c r="G2525" s="2" t="s">
        <v>10</v>
      </c>
    </row>
    <row r="2526" ht="14.25" customHeight="1">
      <c r="A2526" s="1" t="s">
        <v>2235</v>
      </c>
      <c r="B2526" s="1" t="s">
        <v>20</v>
      </c>
      <c r="C2526" s="2" t="s">
        <v>284</v>
      </c>
      <c r="D2526" s="2">
        <v>7.9</v>
      </c>
      <c r="E2526" s="2">
        <v>2014.0</v>
      </c>
      <c r="F2526" s="2" t="s">
        <v>10</v>
      </c>
      <c r="G2526" s="2" t="s">
        <v>10</v>
      </c>
    </row>
    <row r="2527" ht="14.25" customHeight="1">
      <c r="A2527" s="1" t="s">
        <v>2236</v>
      </c>
      <c r="B2527" s="1" t="s">
        <v>8</v>
      </c>
      <c r="C2527" s="2" t="s">
        <v>2237</v>
      </c>
      <c r="D2527" s="2">
        <v>7.9</v>
      </c>
      <c r="E2527" s="2">
        <v>1966.0</v>
      </c>
      <c r="F2527" s="2" t="s">
        <v>10</v>
      </c>
      <c r="G2527" s="2" t="s">
        <v>10</v>
      </c>
    </row>
    <row r="2528" ht="14.25" customHeight="1">
      <c r="A2528" s="1" t="s">
        <v>2238</v>
      </c>
      <c r="B2528" s="1" t="s">
        <v>8</v>
      </c>
      <c r="C2528" s="2" t="s">
        <v>49</v>
      </c>
      <c r="D2528" s="2">
        <v>7.9</v>
      </c>
      <c r="E2528" s="2">
        <v>2021.0</v>
      </c>
      <c r="F2528" s="2">
        <v>2021.0</v>
      </c>
      <c r="G2528" s="2">
        <v>1.872E7</v>
      </c>
    </row>
    <row r="2529" ht="14.25" customHeight="1">
      <c r="A2529" s="1" t="s">
        <v>2238</v>
      </c>
      <c r="B2529" s="1" t="s">
        <v>8</v>
      </c>
      <c r="C2529" s="2" t="s">
        <v>49</v>
      </c>
      <c r="D2529" s="2">
        <v>7.9</v>
      </c>
      <c r="E2529" s="2">
        <v>2021.0</v>
      </c>
      <c r="F2529" s="2">
        <v>2021.0</v>
      </c>
      <c r="G2529" s="2">
        <v>3.791E7</v>
      </c>
    </row>
    <row r="2530" ht="14.25" customHeight="1">
      <c r="A2530" s="1" t="s">
        <v>2238</v>
      </c>
      <c r="B2530" s="1" t="s">
        <v>8</v>
      </c>
      <c r="C2530" s="2" t="s">
        <v>49</v>
      </c>
      <c r="D2530" s="2">
        <v>7.9</v>
      </c>
      <c r="E2530" s="2">
        <v>2021.0</v>
      </c>
      <c r="F2530" s="2">
        <v>2021.0</v>
      </c>
      <c r="G2530" s="2">
        <v>2.405E7</v>
      </c>
    </row>
    <row r="2531" ht="14.25" customHeight="1">
      <c r="A2531" s="1" t="s">
        <v>2239</v>
      </c>
      <c r="B2531" s="1" t="s">
        <v>20</v>
      </c>
      <c r="C2531" s="2" t="s">
        <v>527</v>
      </c>
      <c r="D2531" s="2">
        <v>7.9</v>
      </c>
      <c r="E2531" s="2">
        <v>1958.0</v>
      </c>
      <c r="F2531" s="2" t="s">
        <v>10</v>
      </c>
      <c r="G2531" s="2" t="s">
        <v>10</v>
      </c>
    </row>
    <row r="2532" ht="14.25" customHeight="1">
      <c r="A2532" s="1" t="s">
        <v>2240</v>
      </c>
      <c r="B2532" s="1" t="s">
        <v>20</v>
      </c>
      <c r="C2532" s="2" t="s">
        <v>12</v>
      </c>
      <c r="D2532" s="2">
        <v>7.9</v>
      </c>
      <c r="E2532" s="2">
        <v>1996.0</v>
      </c>
      <c r="F2532" s="2" t="s">
        <v>10</v>
      </c>
      <c r="G2532" s="2" t="s">
        <v>10</v>
      </c>
    </row>
    <row r="2533" ht="14.25" customHeight="1">
      <c r="A2533" s="1" t="s">
        <v>2241</v>
      </c>
      <c r="B2533" s="1" t="s">
        <v>20</v>
      </c>
      <c r="C2533" s="2" t="s">
        <v>154</v>
      </c>
      <c r="D2533" s="2">
        <v>7.9</v>
      </c>
      <c r="E2533" s="2">
        <v>1939.0</v>
      </c>
      <c r="F2533" s="2" t="s">
        <v>10</v>
      </c>
      <c r="G2533" s="2" t="s">
        <v>10</v>
      </c>
    </row>
    <row r="2534" ht="14.25" customHeight="1">
      <c r="A2534" s="1" t="s">
        <v>2242</v>
      </c>
      <c r="B2534" s="1" t="s">
        <v>20</v>
      </c>
      <c r="C2534" s="2" t="s">
        <v>32</v>
      </c>
      <c r="D2534" s="2">
        <v>7.9</v>
      </c>
      <c r="E2534" s="2">
        <v>2020.0</v>
      </c>
      <c r="F2534" s="2">
        <v>2020.0</v>
      </c>
      <c r="G2534" s="2" t="s">
        <v>10</v>
      </c>
    </row>
    <row r="2535" ht="14.25" customHeight="1">
      <c r="A2535" s="1" t="s">
        <v>2243</v>
      </c>
      <c r="B2535" s="1" t="s">
        <v>8</v>
      </c>
      <c r="C2535" s="2" t="s">
        <v>299</v>
      </c>
      <c r="D2535" s="2">
        <v>7.9</v>
      </c>
      <c r="E2535" s="2">
        <v>2014.0</v>
      </c>
      <c r="F2535" s="2" t="s">
        <v>10</v>
      </c>
      <c r="G2535" s="2" t="s">
        <v>10</v>
      </c>
    </row>
    <row r="2536" ht="14.25" customHeight="1">
      <c r="A2536" s="1" t="s">
        <v>2244</v>
      </c>
      <c r="B2536" s="1" t="s">
        <v>20</v>
      </c>
      <c r="C2536" s="2" t="s">
        <v>18</v>
      </c>
      <c r="D2536" s="2">
        <v>7.9</v>
      </c>
      <c r="E2536" s="2">
        <v>1976.0</v>
      </c>
      <c r="F2536" s="2" t="s">
        <v>10</v>
      </c>
      <c r="G2536" s="2" t="s">
        <v>10</v>
      </c>
    </row>
    <row r="2537" ht="14.25" customHeight="1">
      <c r="A2537" s="1" t="s">
        <v>2245</v>
      </c>
      <c r="B2537" s="1" t="s">
        <v>20</v>
      </c>
      <c r="C2537" s="2" t="s">
        <v>154</v>
      </c>
      <c r="D2537" s="2">
        <v>7.9</v>
      </c>
      <c r="E2537" s="2">
        <v>1995.0</v>
      </c>
      <c r="F2537" s="2" t="s">
        <v>10</v>
      </c>
      <c r="G2537" s="2" t="s">
        <v>10</v>
      </c>
    </row>
    <row r="2538" ht="14.25" customHeight="1">
      <c r="A2538" s="1" t="s">
        <v>2246</v>
      </c>
      <c r="B2538" s="1" t="s">
        <v>8</v>
      </c>
      <c r="C2538" s="2" t="s">
        <v>1271</v>
      </c>
      <c r="D2538" s="2">
        <v>7.9</v>
      </c>
      <c r="E2538" s="2">
        <v>2017.0</v>
      </c>
      <c r="F2538" s="2">
        <v>2017.0</v>
      </c>
      <c r="G2538" s="2" t="s">
        <v>10</v>
      </c>
    </row>
    <row r="2539" ht="14.25" customHeight="1">
      <c r="A2539" s="1" t="s">
        <v>2247</v>
      </c>
      <c r="B2539" s="1" t="s">
        <v>20</v>
      </c>
      <c r="C2539" s="2" t="s">
        <v>154</v>
      </c>
      <c r="D2539" s="2">
        <v>7.9</v>
      </c>
      <c r="E2539" s="2">
        <v>1953.0</v>
      </c>
      <c r="F2539" s="2" t="s">
        <v>10</v>
      </c>
      <c r="G2539" s="2" t="s">
        <v>10</v>
      </c>
    </row>
    <row r="2540" ht="14.25" customHeight="1">
      <c r="A2540" s="1" t="s">
        <v>2248</v>
      </c>
      <c r="B2540" s="1" t="s">
        <v>20</v>
      </c>
      <c r="C2540" s="2" t="s">
        <v>114</v>
      </c>
      <c r="D2540" s="2">
        <v>7.9</v>
      </c>
      <c r="E2540" s="2">
        <v>2008.0</v>
      </c>
      <c r="F2540" s="2" t="s">
        <v>10</v>
      </c>
      <c r="G2540" s="2" t="s">
        <v>10</v>
      </c>
    </row>
    <row r="2541" ht="14.25" customHeight="1">
      <c r="A2541" s="1" t="s">
        <v>2249</v>
      </c>
      <c r="B2541" s="1" t="s">
        <v>8</v>
      </c>
      <c r="C2541" s="2" t="s">
        <v>53</v>
      </c>
      <c r="D2541" s="2">
        <v>7.9</v>
      </c>
      <c r="E2541" s="2">
        <v>2004.0</v>
      </c>
      <c r="F2541" s="2" t="s">
        <v>10</v>
      </c>
      <c r="G2541" s="2" t="s">
        <v>10</v>
      </c>
    </row>
    <row r="2542" ht="14.25" customHeight="1">
      <c r="A2542" s="1" t="s">
        <v>2250</v>
      </c>
      <c r="B2542" s="1" t="s">
        <v>8</v>
      </c>
      <c r="C2542" s="2" t="s">
        <v>987</v>
      </c>
      <c r="D2542" s="2">
        <v>7.9</v>
      </c>
      <c r="E2542" s="2">
        <v>2010.0</v>
      </c>
      <c r="F2542" s="2" t="s">
        <v>10</v>
      </c>
      <c r="G2542" s="2" t="s">
        <v>10</v>
      </c>
    </row>
    <row r="2543" ht="14.25" customHeight="1">
      <c r="A2543" s="1" t="s">
        <v>2251</v>
      </c>
      <c r="B2543" s="1" t="s">
        <v>8</v>
      </c>
      <c r="C2543" s="2" t="s">
        <v>53</v>
      </c>
      <c r="D2543" s="2">
        <v>7.9</v>
      </c>
      <c r="E2543" s="2">
        <v>2010.0</v>
      </c>
      <c r="F2543" s="2" t="s">
        <v>10</v>
      </c>
      <c r="G2543" s="2" t="s">
        <v>10</v>
      </c>
    </row>
    <row r="2544" ht="14.25" customHeight="1">
      <c r="A2544" s="1" t="s">
        <v>2252</v>
      </c>
      <c r="B2544" s="1" t="s">
        <v>20</v>
      </c>
      <c r="C2544" s="2" t="s">
        <v>105</v>
      </c>
      <c r="D2544" s="2">
        <v>7.9</v>
      </c>
      <c r="E2544" s="2">
        <v>1937.0</v>
      </c>
      <c r="F2544" s="2" t="s">
        <v>10</v>
      </c>
      <c r="G2544" s="2" t="s">
        <v>10</v>
      </c>
    </row>
    <row r="2545" ht="14.25" customHeight="1">
      <c r="A2545" s="1" t="s">
        <v>2253</v>
      </c>
      <c r="B2545" s="1" t="s">
        <v>8</v>
      </c>
      <c r="C2545" s="2" t="s">
        <v>32</v>
      </c>
      <c r="D2545" s="2">
        <v>7.9</v>
      </c>
      <c r="E2545" s="2">
        <v>1972.0</v>
      </c>
      <c r="F2545" s="2" t="s">
        <v>10</v>
      </c>
      <c r="G2545" s="2" t="s">
        <v>10</v>
      </c>
    </row>
    <row r="2546" ht="14.25" customHeight="1">
      <c r="A2546" s="1" t="s">
        <v>2254</v>
      </c>
      <c r="B2546" s="1" t="s">
        <v>20</v>
      </c>
      <c r="C2546" s="2" t="s">
        <v>497</v>
      </c>
      <c r="D2546" s="2">
        <v>7.9</v>
      </c>
      <c r="E2546" s="2">
        <v>2012.0</v>
      </c>
      <c r="F2546" s="2" t="s">
        <v>10</v>
      </c>
      <c r="G2546" s="2" t="s">
        <v>10</v>
      </c>
    </row>
    <row r="2547" ht="14.25" customHeight="1">
      <c r="A2547" s="1" t="s">
        <v>2255</v>
      </c>
      <c r="B2547" s="1" t="s">
        <v>8</v>
      </c>
      <c r="C2547" s="2" t="s">
        <v>2256</v>
      </c>
      <c r="D2547" s="2">
        <v>7.9</v>
      </c>
      <c r="E2547" s="2">
        <v>2020.0</v>
      </c>
      <c r="F2547" s="2" t="s">
        <v>10</v>
      </c>
      <c r="G2547" s="2" t="s">
        <v>10</v>
      </c>
    </row>
    <row r="2548" ht="14.25" customHeight="1">
      <c r="A2548" s="1" t="s">
        <v>2257</v>
      </c>
      <c r="B2548" s="1" t="s">
        <v>8</v>
      </c>
      <c r="C2548" s="2" t="s">
        <v>53</v>
      </c>
      <c r="D2548" s="2">
        <v>7.9</v>
      </c>
      <c r="E2548" s="2">
        <v>2013.0</v>
      </c>
      <c r="F2548" s="2" t="s">
        <v>10</v>
      </c>
      <c r="G2548" s="2" t="s">
        <v>10</v>
      </c>
    </row>
    <row r="2549" ht="14.25" customHeight="1">
      <c r="A2549" s="1" t="s">
        <v>2258</v>
      </c>
      <c r="B2549" s="1" t="s">
        <v>20</v>
      </c>
      <c r="C2549" s="2" t="s">
        <v>497</v>
      </c>
      <c r="D2549" s="2">
        <v>7.9</v>
      </c>
      <c r="E2549" s="2">
        <v>2006.0</v>
      </c>
      <c r="F2549" s="2" t="s">
        <v>10</v>
      </c>
      <c r="G2549" s="2" t="s">
        <v>10</v>
      </c>
    </row>
    <row r="2550" ht="14.25" customHeight="1">
      <c r="A2550" s="1" t="s">
        <v>2259</v>
      </c>
      <c r="B2550" s="1" t="s">
        <v>8</v>
      </c>
      <c r="C2550" s="2" t="s">
        <v>18</v>
      </c>
      <c r="D2550" s="2">
        <v>7.9</v>
      </c>
      <c r="E2550" s="2">
        <v>2018.0</v>
      </c>
      <c r="F2550" s="2" t="s">
        <v>10</v>
      </c>
      <c r="G2550" s="2" t="s">
        <v>10</v>
      </c>
    </row>
    <row r="2551" ht="14.25" customHeight="1">
      <c r="A2551" s="1" t="s">
        <v>2260</v>
      </c>
      <c r="B2551" s="1" t="s">
        <v>20</v>
      </c>
      <c r="C2551" s="2" t="s">
        <v>639</v>
      </c>
      <c r="D2551" s="2">
        <v>7.9</v>
      </c>
      <c r="E2551" s="2">
        <v>1966.0</v>
      </c>
      <c r="F2551" s="2" t="s">
        <v>10</v>
      </c>
      <c r="G2551" s="2" t="s">
        <v>10</v>
      </c>
    </row>
    <row r="2552" ht="14.25" customHeight="1">
      <c r="A2552" s="1" t="s">
        <v>2261</v>
      </c>
      <c r="B2552" s="1" t="s">
        <v>8</v>
      </c>
      <c r="C2552" s="2" t="s">
        <v>36</v>
      </c>
      <c r="D2552" s="2">
        <v>7.9</v>
      </c>
      <c r="E2552" s="2">
        <v>2024.0</v>
      </c>
      <c r="F2552" s="2" t="s">
        <v>10</v>
      </c>
      <c r="G2552" s="2" t="s">
        <v>10</v>
      </c>
    </row>
    <row r="2553" ht="14.25" customHeight="1">
      <c r="A2553" s="1" t="s">
        <v>2262</v>
      </c>
      <c r="B2553" s="1" t="s">
        <v>20</v>
      </c>
      <c r="C2553" s="2" t="s">
        <v>132</v>
      </c>
      <c r="D2553" s="2">
        <v>7.9</v>
      </c>
      <c r="E2553" s="2">
        <v>2005.0</v>
      </c>
      <c r="F2553" s="2" t="s">
        <v>10</v>
      </c>
      <c r="G2553" s="2" t="s">
        <v>10</v>
      </c>
    </row>
    <row r="2554" ht="14.25" customHeight="1">
      <c r="A2554" s="1" t="s">
        <v>2263</v>
      </c>
      <c r="B2554" s="1" t="s">
        <v>8</v>
      </c>
      <c r="C2554" s="2" t="s">
        <v>40</v>
      </c>
      <c r="D2554" s="2">
        <v>7.9</v>
      </c>
      <c r="E2554" s="2">
        <v>2023.0</v>
      </c>
      <c r="F2554" s="2" t="s">
        <v>10</v>
      </c>
      <c r="G2554" s="2" t="s">
        <v>10</v>
      </c>
    </row>
    <row r="2555" ht="14.25" customHeight="1">
      <c r="A2555" s="1" t="s">
        <v>2264</v>
      </c>
      <c r="B2555" s="1" t="s">
        <v>8</v>
      </c>
      <c r="C2555" s="2" t="s">
        <v>154</v>
      </c>
      <c r="D2555" s="2">
        <v>7.9</v>
      </c>
      <c r="E2555" s="2">
        <v>1983.0</v>
      </c>
      <c r="F2555" s="2" t="s">
        <v>10</v>
      </c>
      <c r="G2555" s="2" t="s">
        <v>10</v>
      </c>
    </row>
    <row r="2556" ht="14.25" customHeight="1">
      <c r="A2556" s="1" t="s">
        <v>2265</v>
      </c>
      <c r="B2556" s="1" t="s">
        <v>20</v>
      </c>
      <c r="C2556" s="2" t="s">
        <v>9</v>
      </c>
      <c r="D2556" s="2">
        <v>7.9</v>
      </c>
      <c r="E2556" s="2">
        <v>2007.0</v>
      </c>
      <c r="F2556" s="2">
        <v>2017.0</v>
      </c>
      <c r="G2556" s="2" t="s">
        <v>10</v>
      </c>
    </row>
    <row r="2557" ht="14.25" customHeight="1">
      <c r="A2557" s="1" t="s">
        <v>2266</v>
      </c>
      <c r="B2557" s="1" t="s">
        <v>8</v>
      </c>
      <c r="C2557" s="2" t="s">
        <v>2267</v>
      </c>
      <c r="D2557" s="2">
        <v>7.9</v>
      </c>
      <c r="E2557" s="2">
        <v>2020.0</v>
      </c>
      <c r="F2557" s="2" t="s">
        <v>10</v>
      </c>
      <c r="G2557" s="2" t="s">
        <v>10</v>
      </c>
    </row>
    <row r="2558" ht="14.25" customHeight="1">
      <c r="A2558" s="1" t="s">
        <v>2268</v>
      </c>
      <c r="B2558" s="1" t="s">
        <v>8</v>
      </c>
      <c r="C2558" s="2" t="s">
        <v>63</v>
      </c>
      <c r="D2558" s="2">
        <v>7.9</v>
      </c>
      <c r="E2558" s="2">
        <v>2014.0</v>
      </c>
      <c r="F2558" s="2" t="s">
        <v>10</v>
      </c>
      <c r="G2558" s="2" t="s">
        <v>10</v>
      </c>
    </row>
    <row r="2559" ht="14.25" customHeight="1">
      <c r="A2559" s="1" t="s">
        <v>2269</v>
      </c>
      <c r="B2559" s="1" t="s">
        <v>20</v>
      </c>
      <c r="C2559" s="2" t="s">
        <v>36</v>
      </c>
      <c r="D2559" s="2">
        <v>7.9</v>
      </c>
      <c r="E2559" s="2">
        <v>1988.0</v>
      </c>
      <c r="F2559" s="2" t="s">
        <v>10</v>
      </c>
      <c r="G2559" s="2" t="s">
        <v>10</v>
      </c>
    </row>
    <row r="2560" ht="14.25" customHeight="1">
      <c r="A2560" s="1" t="s">
        <v>2270</v>
      </c>
      <c r="B2560" s="1" t="s">
        <v>20</v>
      </c>
      <c r="C2560" s="2" t="s">
        <v>282</v>
      </c>
      <c r="D2560" s="2">
        <v>7.9</v>
      </c>
      <c r="E2560" s="2">
        <v>1967.0</v>
      </c>
      <c r="F2560" s="2" t="s">
        <v>10</v>
      </c>
      <c r="G2560" s="2" t="s">
        <v>10</v>
      </c>
    </row>
    <row r="2561" ht="14.25" customHeight="1">
      <c r="A2561" s="1" t="s">
        <v>2271</v>
      </c>
      <c r="B2561" s="1" t="s">
        <v>20</v>
      </c>
      <c r="C2561" s="2" t="s">
        <v>18</v>
      </c>
      <c r="D2561" s="2">
        <v>7.9</v>
      </c>
      <c r="E2561" s="2">
        <v>1988.0</v>
      </c>
      <c r="F2561" s="2" t="s">
        <v>10</v>
      </c>
      <c r="G2561" s="2" t="s">
        <v>10</v>
      </c>
    </row>
    <row r="2562" ht="14.25" customHeight="1">
      <c r="A2562" s="1" t="s">
        <v>2272</v>
      </c>
      <c r="B2562" s="1" t="s">
        <v>20</v>
      </c>
      <c r="C2562" s="2" t="s">
        <v>151</v>
      </c>
      <c r="D2562" s="2">
        <v>7.8</v>
      </c>
      <c r="E2562" s="2">
        <v>2015.0</v>
      </c>
      <c r="F2562" s="2" t="s">
        <v>10</v>
      </c>
      <c r="G2562" s="2" t="s">
        <v>10</v>
      </c>
    </row>
    <row r="2563" ht="14.25" customHeight="1">
      <c r="A2563" s="1" t="s">
        <v>2273</v>
      </c>
      <c r="B2563" s="1" t="s">
        <v>20</v>
      </c>
      <c r="C2563" s="2" t="s">
        <v>72</v>
      </c>
      <c r="D2563" s="2">
        <v>7.8</v>
      </c>
      <c r="E2563" s="2">
        <v>2012.0</v>
      </c>
      <c r="F2563" s="2" t="s">
        <v>10</v>
      </c>
      <c r="G2563" s="2" t="s">
        <v>10</v>
      </c>
    </row>
    <row r="2564" ht="14.25" customHeight="1">
      <c r="A2564" s="1" t="s">
        <v>2274</v>
      </c>
      <c r="B2564" s="1" t="s">
        <v>20</v>
      </c>
      <c r="C2564" s="2" t="s">
        <v>210</v>
      </c>
      <c r="D2564" s="2">
        <v>7.8</v>
      </c>
      <c r="E2564" s="2">
        <v>2016.0</v>
      </c>
      <c r="F2564" s="2" t="s">
        <v>10</v>
      </c>
      <c r="G2564" s="2" t="s">
        <v>10</v>
      </c>
    </row>
    <row r="2565" ht="14.25" customHeight="1">
      <c r="A2565" s="1" t="s">
        <v>2275</v>
      </c>
      <c r="B2565" s="1" t="s">
        <v>20</v>
      </c>
      <c r="C2565" s="2" t="s">
        <v>69</v>
      </c>
      <c r="D2565" s="2">
        <v>7.8</v>
      </c>
      <c r="E2565" s="2">
        <v>2022.0</v>
      </c>
      <c r="F2565" s="2" t="s">
        <v>10</v>
      </c>
      <c r="G2565" s="2" t="s">
        <v>10</v>
      </c>
    </row>
    <row r="2566" ht="14.25" customHeight="1">
      <c r="A2566" s="1" t="s">
        <v>2276</v>
      </c>
      <c r="B2566" s="1" t="s">
        <v>20</v>
      </c>
      <c r="C2566" s="2" t="s">
        <v>169</v>
      </c>
      <c r="D2566" s="2">
        <v>7.8</v>
      </c>
      <c r="E2566" s="2">
        <v>2010.0</v>
      </c>
      <c r="F2566" s="2">
        <v>2010.0</v>
      </c>
      <c r="G2566" s="2" t="s">
        <v>10</v>
      </c>
    </row>
    <row r="2567" ht="14.25" customHeight="1">
      <c r="A2567" s="1" t="s">
        <v>2277</v>
      </c>
      <c r="B2567" s="1" t="s">
        <v>20</v>
      </c>
      <c r="C2567" s="2" t="s">
        <v>14</v>
      </c>
      <c r="D2567" s="2">
        <v>7.8</v>
      </c>
      <c r="E2567" s="2">
        <v>2017.0</v>
      </c>
      <c r="F2567" s="2" t="s">
        <v>10</v>
      </c>
      <c r="G2567" s="2" t="s">
        <v>10</v>
      </c>
    </row>
    <row r="2568" ht="14.25" customHeight="1">
      <c r="A2568" s="1" t="s">
        <v>2278</v>
      </c>
      <c r="B2568" s="1" t="s">
        <v>20</v>
      </c>
      <c r="C2568" s="2" t="s">
        <v>1622</v>
      </c>
      <c r="D2568" s="2">
        <v>7.8</v>
      </c>
      <c r="E2568" s="2">
        <v>2012.0</v>
      </c>
      <c r="F2568" s="2" t="s">
        <v>10</v>
      </c>
      <c r="G2568" s="2" t="s">
        <v>10</v>
      </c>
    </row>
    <row r="2569" ht="14.25" customHeight="1">
      <c r="A2569" s="1" t="s">
        <v>2279</v>
      </c>
      <c r="B2569" s="1" t="s">
        <v>20</v>
      </c>
      <c r="C2569" s="2" t="s">
        <v>459</v>
      </c>
      <c r="D2569" s="2">
        <v>7.8</v>
      </c>
      <c r="E2569" s="2">
        <v>2017.0</v>
      </c>
      <c r="F2569" s="2" t="s">
        <v>10</v>
      </c>
      <c r="G2569" s="2">
        <v>5300000.0</v>
      </c>
    </row>
    <row r="2570" ht="14.25" customHeight="1">
      <c r="A2570" s="1" t="s">
        <v>2279</v>
      </c>
      <c r="B2570" s="1" t="s">
        <v>20</v>
      </c>
      <c r="C2570" s="2" t="s">
        <v>459</v>
      </c>
      <c r="D2570" s="2">
        <v>7.8</v>
      </c>
      <c r="E2570" s="2">
        <v>2017.0</v>
      </c>
      <c r="F2570" s="2" t="s">
        <v>10</v>
      </c>
      <c r="G2570" s="2">
        <v>4100000.0</v>
      </c>
    </row>
    <row r="2571" ht="14.25" customHeight="1">
      <c r="A2571" s="1" t="s">
        <v>2280</v>
      </c>
      <c r="B2571" s="1" t="s">
        <v>20</v>
      </c>
      <c r="C2571" s="2" t="s">
        <v>339</v>
      </c>
      <c r="D2571" s="2">
        <v>7.8</v>
      </c>
      <c r="E2571" s="2">
        <v>2011.0</v>
      </c>
      <c r="F2571" s="2">
        <v>2019.0</v>
      </c>
      <c r="G2571" s="2" t="s">
        <v>10</v>
      </c>
    </row>
    <row r="2572" ht="14.25" customHeight="1">
      <c r="A2572" s="1" t="s">
        <v>2281</v>
      </c>
      <c r="B2572" s="1" t="s">
        <v>20</v>
      </c>
      <c r="C2572" s="2" t="s">
        <v>72</v>
      </c>
      <c r="D2572" s="2">
        <v>7.8</v>
      </c>
      <c r="E2572" s="2">
        <v>2013.0</v>
      </c>
      <c r="F2572" s="2" t="s">
        <v>10</v>
      </c>
      <c r="G2572" s="2" t="s">
        <v>10</v>
      </c>
    </row>
    <row r="2573" ht="14.25" customHeight="1">
      <c r="A2573" s="1" t="s">
        <v>2282</v>
      </c>
      <c r="B2573" s="1" t="s">
        <v>20</v>
      </c>
      <c r="C2573" s="2" t="s">
        <v>1474</v>
      </c>
      <c r="D2573" s="2">
        <v>7.8</v>
      </c>
      <c r="E2573" s="2">
        <v>2008.0</v>
      </c>
      <c r="F2573" s="2" t="s">
        <v>10</v>
      </c>
      <c r="G2573" s="2" t="s">
        <v>10</v>
      </c>
    </row>
    <row r="2574" ht="14.25" customHeight="1">
      <c r="A2574" s="1" t="s">
        <v>2283</v>
      </c>
      <c r="B2574" s="1" t="s">
        <v>20</v>
      </c>
      <c r="C2574" s="2" t="s">
        <v>151</v>
      </c>
      <c r="D2574" s="2">
        <v>7.8</v>
      </c>
      <c r="E2574" s="2">
        <v>2016.0</v>
      </c>
      <c r="F2574" s="2" t="s">
        <v>10</v>
      </c>
      <c r="G2574" s="2" t="s">
        <v>10</v>
      </c>
    </row>
    <row r="2575" ht="14.25" customHeight="1">
      <c r="A2575" s="1" t="s">
        <v>2284</v>
      </c>
      <c r="B2575" s="1" t="s">
        <v>20</v>
      </c>
      <c r="C2575" s="2" t="s">
        <v>53</v>
      </c>
      <c r="D2575" s="2">
        <v>7.8</v>
      </c>
      <c r="E2575" s="2">
        <v>2015.0</v>
      </c>
      <c r="F2575" s="2">
        <v>2015.0</v>
      </c>
      <c r="G2575" s="2" t="s">
        <v>10</v>
      </c>
    </row>
    <row r="2576" ht="14.25" customHeight="1">
      <c r="A2576" s="1" t="s">
        <v>2285</v>
      </c>
      <c r="B2576" s="1" t="s">
        <v>20</v>
      </c>
      <c r="C2576" s="2" t="s">
        <v>1897</v>
      </c>
      <c r="D2576" s="2">
        <v>7.8</v>
      </c>
      <c r="E2576" s="2">
        <v>2000.0</v>
      </c>
      <c r="F2576" s="2" t="s">
        <v>10</v>
      </c>
      <c r="G2576" s="2" t="s">
        <v>10</v>
      </c>
    </row>
    <row r="2577" ht="14.25" customHeight="1">
      <c r="A2577" s="1" t="s">
        <v>2286</v>
      </c>
      <c r="B2577" s="1" t="s">
        <v>20</v>
      </c>
      <c r="C2577" s="2" t="s">
        <v>154</v>
      </c>
      <c r="D2577" s="2">
        <v>7.8</v>
      </c>
      <c r="E2577" s="2">
        <v>2004.0</v>
      </c>
      <c r="F2577" s="2" t="s">
        <v>10</v>
      </c>
      <c r="G2577" s="2" t="s">
        <v>10</v>
      </c>
    </row>
    <row r="2578" ht="14.25" customHeight="1">
      <c r="A2578" s="1" t="s">
        <v>2287</v>
      </c>
      <c r="B2578" s="1" t="s">
        <v>20</v>
      </c>
      <c r="C2578" s="2" t="s">
        <v>9</v>
      </c>
      <c r="D2578" s="2">
        <v>7.8</v>
      </c>
      <c r="E2578" s="2">
        <v>2014.0</v>
      </c>
      <c r="F2578" s="2">
        <v>2014.0</v>
      </c>
      <c r="G2578" s="2" t="s">
        <v>10</v>
      </c>
    </row>
    <row r="2579" ht="14.25" customHeight="1">
      <c r="A2579" s="1" t="s">
        <v>2288</v>
      </c>
      <c r="B2579" s="1" t="s">
        <v>20</v>
      </c>
      <c r="C2579" s="2" t="s">
        <v>446</v>
      </c>
      <c r="D2579" s="2">
        <v>7.8</v>
      </c>
      <c r="E2579" s="2">
        <v>1989.0</v>
      </c>
      <c r="F2579" s="2" t="s">
        <v>10</v>
      </c>
      <c r="G2579" s="2" t="s">
        <v>10</v>
      </c>
    </row>
    <row r="2580" ht="14.25" customHeight="1">
      <c r="A2580" s="1" t="s">
        <v>2289</v>
      </c>
      <c r="B2580" s="1" t="s">
        <v>20</v>
      </c>
      <c r="C2580" s="2" t="s">
        <v>1583</v>
      </c>
      <c r="D2580" s="2">
        <v>7.8</v>
      </c>
      <c r="E2580" s="2">
        <v>2002.0</v>
      </c>
      <c r="F2580" s="2" t="s">
        <v>10</v>
      </c>
      <c r="G2580" s="2" t="s">
        <v>10</v>
      </c>
    </row>
    <row r="2581" ht="14.25" customHeight="1">
      <c r="A2581" s="1" t="s">
        <v>2290</v>
      </c>
      <c r="B2581" s="1" t="s">
        <v>20</v>
      </c>
      <c r="C2581" s="2" t="s">
        <v>845</v>
      </c>
      <c r="D2581" s="2">
        <v>7.8</v>
      </c>
      <c r="E2581" s="2">
        <v>2022.0</v>
      </c>
      <c r="F2581" s="2" t="s">
        <v>10</v>
      </c>
      <c r="G2581" s="2" t="s">
        <v>10</v>
      </c>
    </row>
    <row r="2582" ht="14.25" customHeight="1">
      <c r="A2582" s="1" t="s">
        <v>2291</v>
      </c>
      <c r="B2582" s="1" t="s">
        <v>20</v>
      </c>
      <c r="C2582" s="2" t="s">
        <v>2292</v>
      </c>
      <c r="D2582" s="2">
        <v>7.8</v>
      </c>
      <c r="E2582" s="2">
        <v>2007.0</v>
      </c>
      <c r="F2582" s="2" t="s">
        <v>10</v>
      </c>
      <c r="G2582" s="2" t="s">
        <v>10</v>
      </c>
    </row>
    <row r="2583" ht="14.25" customHeight="1">
      <c r="A2583" s="1" t="s">
        <v>2293</v>
      </c>
      <c r="B2583" s="1" t="s">
        <v>20</v>
      </c>
      <c r="C2583" s="2" t="s">
        <v>63</v>
      </c>
      <c r="D2583" s="2">
        <v>7.8</v>
      </c>
      <c r="E2583" s="2">
        <v>2006.0</v>
      </c>
      <c r="F2583" s="2" t="s">
        <v>10</v>
      </c>
      <c r="G2583" s="2" t="s">
        <v>10</v>
      </c>
    </row>
    <row r="2584" ht="14.25" customHeight="1">
      <c r="A2584" s="1" t="s">
        <v>2294</v>
      </c>
      <c r="B2584" s="1" t="s">
        <v>20</v>
      </c>
      <c r="C2584" s="2" t="s">
        <v>25</v>
      </c>
      <c r="D2584" s="2">
        <v>7.8</v>
      </c>
      <c r="E2584" s="2">
        <v>2014.0</v>
      </c>
      <c r="F2584" s="2" t="s">
        <v>10</v>
      </c>
      <c r="G2584" s="2" t="s">
        <v>10</v>
      </c>
    </row>
    <row r="2585" ht="14.25" customHeight="1">
      <c r="A2585" s="1" t="s">
        <v>2295</v>
      </c>
      <c r="B2585" s="1" t="s">
        <v>20</v>
      </c>
      <c r="C2585" s="2" t="s">
        <v>53</v>
      </c>
      <c r="D2585" s="2">
        <v>7.8</v>
      </c>
      <c r="E2585" s="2">
        <v>2011.0</v>
      </c>
      <c r="F2585" s="2">
        <v>2011.0</v>
      </c>
      <c r="G2585" s="2" t="s">
        <v>10</v>
      </c>
    </row>
    <row r="2586" ht="14.25" customHeight="1">
      <c r="A2586" s="1" t="s">
        <v>2296</v>
      </c>
      <c r="B2586" s="1" t="s">
        <v>20</v>
      </c>
      <c r="C2586" s="2" t="s">
        <v>1142</v>
      </c>
      <c r="D2586" s="2">
        <v>7.8</v>
      </c>
      <c r="E2586" s="2">
        <v>2013.0</v>
      </c>
      <c r="F2586" s="2" t="s">
        <v>10</v>
      </c>
      <c r="G2586" s="2" t="s">
        <v>10</v>
      </c>
    </row>
    <row r="2587" ht="14.25" customHeight="1">
      <c r="A2587" s="1" t="s">
        <v>2297</v>
      </c>
      <c r="B2587" s="1" t="s">
        <v>20</v>
      </c>
      <c r="C2587" s="2" t="s">
        <v>742</v>
      </c>
      <c r="D2587" s="2">
        <v>7.8</v>
      </c>
      <c r="E2587" s="2">
        <v>2015.0</v>
      </c>
      <c r="F2587" s="2" t="s">
        <v>10</v>
      </c>
      <c r="G2587" s="2" t="s">
        <v>10</v>
      </c>
    </row>
    <row r="2588" ht="14.25" customHeight="1">
      <c r="A2588" s="1" t="s">
        <v>2298</v>
      </c>
      <c r="B2588" s="1" t="s">
        <v>20</v>
      </c>
      <c r="C2588" s="2" t="s">
        <v>9</v>
      </c>
      <c r="D2588" s="2">
        <v>7.8</v>
      </c>
      <c r="E2588" s="2">
        <v>2001.0</v>
      </c>
      <c r="F2588" s="2">
        <v>2001.0</v>
      </c>
      <c r="G2588" s="2" t="s">
        <v>10</v>
      </c>
    </row>
    <row r="2589" ht="14.25" customHeight="1">
      <c r="A2589" s="1" t="s">
        <v>2299</v>
      </c>
      <c r="B2589" s="1" t="s">
        <v>20</v>
      </c>
      <c r="C2589" s="2" t="s">
        <v>339</v>
      </c>
      <c r="D2589" s="2">
        <v>7.8</v>
      </c>
      <c r="E2589" s="2">
        <v>2003.0</v>
      </c>
      <c r="F2589" s="2" t="s">
        <v>10</v>
      </c>
      <c r="G2589" s="2" t="s">
        <v>10</v>
      </c>
    </row>
    <row r="2590" ht="14.25" customHeight="1">
      <c r="A2590" s="1" t="s">
        <v>2300</v>
      </c>
      <c r="B2590" s="1" t="s">
        <v>20</v>
      </c>
      <c r="C2590" s="2" t="s">
        <v>2301</v>
      </c>
      <c r="D2590" s="2">
        <v>7.8</v>
      </c>
      <c r="E2590" s="2">
        <v>1987.0</v>
      </c>
      <c r="F2590" s="2" t="s">
        <v>10</v>
      </c>
      <c r="G2590" s="2" t="s">
        <v>10</v>
      </c>
    </row>
    <row r="2591" ht="14.25" customHeight="1">
      <c r="A2591" s="1" t="s">
        <v>2302</v>
      </c>
      <c r="B2591" s="1" t="s">
        <v>20</v>
      </c>
      <c r="C2591" s="2" t="s">
        <v>40</v>
      </c>
      <c r="D2591" s="2">
        <v>7.8</v>
      </c>
      <c r="E2591" s="2">
        <v>2007.0</v>
      </c>
      <c r="F2591" s="2" t="s">
        <v>10</v>
      </c>
      <c r="G2591" s="2" t="s">
        <v>10</v>
      </c>
    </row>
    <row r="2592" ht="14.25" customHeight="1">
      <c r="A2592" s="1" t="s">
        <v>2303</v>
      </c>
      <c r="B2592" s="1" t="s">
        <v>20</v>
      </c>
      <c r="C2592" s="2" t="s">
        <v>588</v>
      </c>
      <c r="D2592" s="2">
        <v>7.8</v>
      </c>
      <c r="E2592" s="2">
        <v>1984.0</v>
      </c>
      <c r="F2592" s="2" t="s">
        <v>10</v>
      </c>
      <c r="G2592" s="2" t="s">
        <v>10</v>
      </c>
    </row>
    <row r="2593" ht="14.25" customHeight="1">
      <c r="A2593" s="1" t="s">
        <v>2304</v>
      </c>
      <c r="B2593" s="1" t="s">
        <v>20</v>
      </c>
      <c r="C2593" s="2" t="s">
        <v>63</v>
      </c>
      <c r="D2593" s="2">
        <v>7.8</v>
      </c>
      <c r="E2593" s="2">
        <v>1985.0</v>
      </c>
      <c r="F2593" s="2" t="s">
        <v>10</v>
      </c>
      <c r="G2593" s="2" t="s">
        <v>10</v>
      </c>
    </row>
    <row r="2594" ht="14.25" customHeight="1">
      <c r="A2594" s="1" t="s">
        <v>2305</v>
      </c>
      <c r="B2594" s="1" t="s">
        <v>20</v>
      </c>
      <c r="C2594" s="2" t="s">
        <v>40</v>
      </c>
      <c r="D2594" s="2">
        <v>7.8</v>
      </c>
      <c r="E2594" s="2">
        <v>2019.0</v>
      </c>
      <c r="F2594" s="2">
        <v>2019.0</v>
      </c>
      <c r="G2594" s="2" t="s">
        <v>10</v>
      </c>
    </row>
    <row r="2595" ht="14.25" customHeight="1">
      <c r="A2595" s="1" t="s">
        <v>1678</v>
      </c>
      <c r="B2595" s="1" t="s">
        <v>20</v>
      </c>
      <c r="C2595" s="2" t="s">
        <v>2306</v>
      </c>
      <c r="D2595" s="2">
        <v>7.8</v>
      </c>
      <c r="E2595" s="2">
        <v>2019.0</v>
      </c>
      <c r="F2595" s="2" t="s">
        <v>10</v>
      </c>
      <c r="G2595" s="2">
        <v>8610000.0</v>
      </c>
    </row>
    <row r="2596" ht="14.25" customHeight="1">
      <c r="A2596" s="1" t="s">
        <v>2307</v>
      </c>
      <c r="B2596" s="1" t="s">
        <v>20</v>
      </c>
      <c r="C2596" s="2" t="s">
        <v>284</v>
      </c>
      <c r="D2596" s="2">
        <v>7.8</v>
      </c>
      <c r="E2596" s="2">
        <v>2013.0</v>
      </c>
      <c r="F2596" s="2">
        <v>2013.0</v>
      </c>
      <c r="G2596" s="2" t="s">
        <v>10</v>
      </c>
    </row>
    <row r="2597" ht="14.25" customHeight="1">
      <c r="A2597" s="1" t="s">
        <v>2308</v>
      </c>
      <c r="B2597" s="1" t="s">
        <v>20</v>
      </c>
      <c r="C2597" s="2" t="s">
        <v>32</v>
      </c>
      <c r="D2597" s="2">
        <v>7.8</v>
      </c>
      <c r="E2597" s="2">
        <v>1986.0</v>
      </c>
      <c r="F2597" s="2">
        <v>1986.0</v>
      </c>
      <c r="G2597" s="2" t="s">
        <v>10</v>
      </c>
    </row>
    <row r="2598" ht="14.25" customHeight="1">
      <c r="A2598" s="1" t="s">
        <v>2309</v>
      </c>
      <c r="B2598" s="1" t="s">
        <v>20</v>
      </c>
      <c r="C2598" s="2" t="s">
        <v>833</v>
      </c>
      <c r="D2598" s="2">
        <v>7.8</v>
      </c>
      <c r="E2598" s="2">
        <v>2010.0</v>
      </c>
      <c r="F2598" s="2">
        <v>2010.0</v>
      </c>
      <c r="G2598" s="2" t="s">
        <v>10</v>
      </c>
    </row>
    <row r="2599" ht="14.25" customHeight="1">
      <c r="A2599" s="1" t="s">
        <v>2310</v>
      </c>
      <c r="B2599" s="1" t="s">
        <v>20</v>
      </c>
      <c r="C2599" s="2" t="s">
        <v>231</v>
      </c>
      <c r="D2599" s="2">
        <v>7.8</v>
      </c>
      <c r="E2599" s="2">
        <v>2009.0</v>
      </c>
      <c r="F2599" s="2">
        <v>2009.0</v>
      </c>
      <c r="G2599" s="2" t="s">
        <v>10</v>
      </c>
    </row>
    <row r="2600" ht="14.25" customHeight="1">
      <c r="A2600" s="1" t="s">
        <v>2311</v>
      </c>
      <c r="B2600" s="1" t="s">
        <v>20</v>
      </c>
      <c r="C2600" s="2" t="s">
        <v>25</v>
      </c>
      <c r="D2600" s="2">
        <v>7.8</v>
      </c>
      <c r="E2600" s="2">
        <v>2014.0</v>
      </c>
      <c r="F2600" s="2">
        <v>2014.0</v>
      </c>
      <c r="G2600" s="2" t="s">
        <v>10</v>
      </c>
    </row>
    <row r="2601" ht="14.25" customHeight="1">
      <c r="A2601" s="1" t="s">
        <v>2312</v>
      </c>
      <c r="B2601" s="1" t="s">
        <v>20</v>
      </c>
      <c r="C2601" s="2" t="s">
        <v>60</v>
      </c>
      <c r="D2601" s="2">
        <v>7.8</v>
      </c>
      <c r="E2601" s="2">
        <v>2012.0</v>
      </c>
      <c r="F2601" s="2" t="s">
        <v>10</v>
      </c>
      <c r="G2601" s="2" t="s">
        <v>10</v>
      </c>
    </row>
    <row r="2602" ht="14.25" customHeight="1">
      <c r="A2602" s="1" t="s">
        <v>2313</v>
      </c>
      <c r="B2602" s="1" t="s">
        <v>20</v>
      </c>
      <c r="C2602" s="2" t="s">
        <v>154</v>
      </c>
      <c r="D2602" s="2">
        <v>7.8</v>
      </c>
      <c r="E2602" s="2">
        <v>2005.0</v>
      </c>
      <c r="F2602" s="2" t="s">
        <v>10</v>
      </c>
      <c r="G2602" s="2" t="s">
        <v>10</v>
      </c>
    </row>
    <row r="2603" ht="14.25" customHeight="1">
      <c r="A2603" s="1" t="s">
        <v>2314</v>
      </c>
      <c r="B2603" s="1" t="s">
        <v>20</v>
      </c>
      <c r="C2603" s="2" t="s">
        <v>34</v>
      </c>
      <c r="D2603" s="2">
        <v>7.8</v>
      </c>
      <c r="E2603" s="2">
        <v>2006.0</v>
      </c>
      <c r="F2603" s="2" t="s">
        <v>10</v>
      </c>
      <c r="G2603" s="2" t="s">
        <v>10</v>
      </c>
    </row>
    <row r="2604" ht="14.25" customHeight="1">
      <c r="A2604" s="1" t="s">
        <v>2315</v>
      </c>
      <c r="B2604" s="1" t="s">
        <v>20</v>
      </c>
      <c r="C2604" s="2" t="s">
        <v>9</v>
      </c>
      <c r="D2604" s="2">
        <v>7.8</v>
      </c>
      <c r="E2604" s="2">
        <v>1987.0</v>
      </c>
      <c r="F2604" s="2" t="s">
        <v>10</v>
      </c>
      <c r="G2604" s="2" t="s">
        <v>10</v>
      </c>
    </row>
    <row r="2605" ht="14.25" customHeight="1">
      <c r="A2605" s="1" t="s">
        <v>2316</v>
      </c>
      <c r="B2605" s="1" t="s">
        <v>20</v>
      </c>
      <c r="C2605" s="2" t="s">
        <v>154</v>
      </c>
      <c r="D2605" s="2">
        <v>7.8</v>
      </c>
      <c r="E2605" s="2">
        <v>2017.0</v>
      </c>
      <c r="F2605" s="2" t="s">
        <v>10</v>
      </c>
      <c r="G2605" s="2" t="s">
        <v>10</v>
      </c>
    </row>
    <row r="2606" ht="14.25" customHeight="1">
      <c r="A2606" s="1" t="s">
        <v>2317</v>
      </c>
      <c r="B2606" s="1" t="s">
        <v>20</v>
      </c>
      <c r="C2606" s="2" t="s">
        <v>69</v>
      </c>
      <c r="D2606" s="2">
        <v>7.8</v>
      </c>
      <c r="E2606" s="2">
        <v>1993.0</v>
      </c>
      <c r="F2606" s="2" t="s">
        <v>10</v>
      </c>
      <c r="G2606" s="2" t="s">
        <v>10</v>
      </c>
    </row>
    <row r="2607" ht="14.25" customHeight="1">
      <c r="A2607" s="1" t="s">
        <v>2318</v>
      </c>
      <c r="B2607" s="1" t="s">
        <v>20</v>
      </c>
      <c r="C2607" s="2" t="s">
        <v>18</v>
      </c>
      <c r="D2607" s="2">
        <v>7.8</v>
      </c>
      <c r="E2607" s="2">
        <v>2016.0</v>
      </c>
      <c r="F2607" s="2" t="s">
        <v>10</v>
      </c>
      <c r="G2607" s="2" t="s">
        <v>10</v>
      </c>
    </row>
    <row r="2608" ht="14.25" customHeight="1">
      <c r="A2608" s="1" t="s">
        <v>2319</v>
      </c>
      <c r="B2608" s="1" t="s">
        <v>20</v>
      </c>
      <c r="C2608" s="2" t="s">
        <v>187</v>
      </c>
      <c r="D2608" s="2">
        <v>7.8</v>
      </c>
      <c r="E2608" s="2">
        <v>2023.0</v>
      </c>
      <c r="F2608" s="2" t="s">
        <v>10</v>
      </c>
      <c r="G2608" s="2" t="s">
        <v>10</v>
      </c>
    </row>
    <row r="2609" ht="14.25" customHeight="1">
      <c r="A2609" s="1" t="s">
        <v>2320</v>
      </c>
      <c r="B2609" s="1" t="s">
        <v>20</v>
      </c>
      <c r="C2609" s="2" t="s">
        <v>151</v>
      </c>
      <c r="D2609" s="2">
        <v>7.8</v>
      </c>
      <c r="E2609" s="2">
        <v>2005.0</v>
      </c>
      <c r="F2609" s="2" t="s">
        <v>10</v>
      </c>
      <c r="G2609" s="2" t="s">
        <v>10</v>
      </c>
    </row>
    <row r="2610" ht="14.25" customHeight="1">
      <c r="A2610" s="1" t="s">
        <v>2321</v>
      </c>
      <c r="B2610" s="1" t="s">
        <v>20</v>
      </c>
      <c r="C2610" s="2" t="s">
        <v>1060</v>
      </c>
      <c r="D2610" s="2">
        <v>7.8</v>
      </c>
      <c r="E2610" s="2">
        <v>2007.0</v>
      </c>
      <c r="F2610" s="2" t="s">
        <v>10</v>
      </c>
      <c r="G2610" s="2" t="s">
        <v>10</v>
      </c>
    </row>
    <row r="2611" ht="14.25" customHeight="1">
      <c r="A2611" s="1" t="s">
        <v>2322</v>
      </c>
      <c r="B2611" s="1" t="s">
        <v>8</v>
      </c>
      <c r="C2611" s="2" t="s">
        <v>845</v>
      </c>
      <c r="D2611" s="2">
        <v>7.8</v>
      </c>
      <c r="E2611" s="2">
        <v>2019.0</v>
      </c>
      <c r="F2611" s="2">
        <v>2020.0</v>
      </c>
      <c r="G2611" s="2">
        <v>1.825E7</v>
      </c>
    </row>
    <row r="2612" ht="14.25" customHeight="1">
      <c r="A2612" s="1" t="s">
        <v>2322</v>
      </c>
      <c r="B2612" s="1" t="s">
        <v>8</v>
      </c>
      <c r="C2612" s="2" t="s">
        <v>845</v>
      </c>
      <c r="D2612" s="2">
        <v>7.8</v>
      </c>
      <c r="E2612" s="2">
        <v>2019.0</v>
      </c>
      <c r="F2612" s="2">
        <v>2020.0</v>
      </c>
      <c r="G2612" s="2">
        <v>2.725E7</v>
      </c>
    </row>
    <row r="2613" ht="14.25" customHeight="1">
      <c r="A2613" s="1" t="s">
        <v>2322</v>
      </c>
      <c r="B2613" s="1" t="s">
        <v>8</v>
      </c>
      <c r="C2613" s="2" t="s">
        <v>845</v>
      </c>
      <c r="D2613" s="2">
        <v>7.8</v>
      </c>
      <c r="E2613" s="2">
        <v>2019.0</v>
      </c>
      <c r="F2613" s="2">
        <v>2020.0</v>
      </c>
      <c r="G2613" s="2">
        <v>4.384E7</v>
      </c>
    </row>
    <row r="2614" ht="14.25" customHeight="1">
      <c r="A2614" s="1" t="s">
        <v>2322</v>
      </c>
      <c r="B2614" s="1" t="s">
        <v>8</v>
      </c>
      <c r="C2614" s="2" t="s">
        <v>845</v>
      </c>
      <c r="D2614" s="2">
        <v>7.8</v>
      </c>
      <c r="E2614" s="2">
        <v>2019.0</v>
      </c>
      <c r="F2614" s="2">
        <v>2020.0</v>
      </c>
      <c r="G2614" s="2">
        <v>1.818E7</v>
      </c>
    </row>
    <row r="2615" ht="14.25" customHeight="1">
      <c r="A2615" s="1" t="s">
        <v>2322</v>
      </c>
      <c r="B2615" s="1" t="s">
        <v>8</v>
      </c>
      <c r="C2615" s="2" t="s">
        <v>845</v>
      </c>
      <c r="D2615" s="2">
        <v>7.8</v>
      </c>
      <c r="E2615" s="2">
        <v>2019.0</v>
      </c>
      <c r="F2615" s="2">
        <v>2020.0</v>
      </c>
      <c r="G2615" s="2">
        <v>1.423E7</v>
      </c>
    </row>
    <row r="2616" ht="14.25" customHeight="1">
      <c r="A2616" s="1" t="s">
        <v>2322</v>
      </c>
      <c r="B2616" s="1" t="s">
        <v>8</v>
      </c>
      <c r="C2616" s="2" t="s">
        <v>845</v>
      </c>
      <c r="D2616" s="2">
        <v>7.8</v>
      </c>
      <c r="E2616" s="2">
        <v>2019.0</v>
      </c>
      <c r="F2616" s="2">
        <v>2020.0</v>
      </c>
      <c r="G2616" s="2">
        <v>8.798E7</v>
      </c>
    </row>
    <row r="2617" ht="14.25" customHeight="1">
      <c r="A2617" s="1" t="s">
        <v>2322</v>
      </c>
      <c r="B2617" s="1" t="s">
        <v>8</v>
      </c>
      <c r="C2617" s="2" t="s">
        <v>845</v>
      </c>
      <c r="D2617" s="2">
        <v>7.8</v>
      </c>
      <c r="E2617" s="2">
        <v>2019.0</v>
      </c>
      <c r="F2617" s="2">
        <v>2020.0</v>
      </c>
      <c r="G2617" s="2">
        <v>3.284E7</v>
      </c>
    </row>
    <row r="2618" ht="14.25" customHeight="1">
      <c r="A2618" s="1" t="s">
        <v>2322</v>
      </c>
      <c r="B2618" s="1" t="s">
        <v>8</v>
      </c>
      <c r="C2618" s="2" t="s">
        <v>845</v>
      </c>
      <c r="D2618" s="2">
        <v>7.8</v>
      </c>
      <c r="E2618" s="2">
        <v>2019.0</v>
      </c>
      <c r="F2618" s="2">
        <v>2020.0</v>
      </c>
      <c r="G2618" s="2">
        <v>2.03E7</v>
      </c>
    </row>
    <row r="2619" ht="14.25" customHeight="1">
      <c r="A2619" s="1" t="s">
        <v>2322</v>
      </c>
      <c r="B2619" s="1" t="s">
        <v>8</v>
      </c>
      <c r="C2619" s="2" t="s">
        <v>845</v>
      </c>
      <c r="D2619" s="2">
        <v>7.8</v>
      </c>
      <c r="E2619" s="2">
        <v>2019.0</v>
      </c>
      <c r="F2619" s="2">
        <v>2020.0</v>
      </c>
      <c r="G2619" s="2">
        <v>1.2453E8</v>
      </c>
    </row>
    <row r="2620" ht="14.25" customHeight="1">
      <c r="A2620" s="1" t="s">
        <v>2322</v>
      </c>
      <c r="B2620" s="1" t="s">
        <v>8</v>
      </c>
      <c r="C2620" s="2" t="s">
        <v>845</v>
      </c>
      <c r="D2620" s="2">
        <v>7.8</v>
      </c>
      <c r="E2620" s="2">
        <v>2019.0</v>
      </c>
      <c r="F2620" s="2">
        <v>2020.0</v>
      </c>
      <c r="G2620" s="2">
        <v>2.723E7</v>
      </c>
    </row>
    <row r="2621" ht="14.25" customHeight="1">
      <c r="A2621" s="1" t="s">
        <v>2323</v>
      </c>
      <c r="B2621" s="1" t="s">
        <v>20</v>
      </c>
      <c r="C2621" s="2" t="s">
        <v>710</v>
      </c>
      <c r="D2621" s="2">
        <v>7.8</v>
      </c>
      <c r="E2621" s="2">
        <v>2009.0</v>
      </c>
      <c r="F2621" s="2">
        <v>2009.0</v>
      </c>
      <c r="G2621" s="2" t="s">
        <v>10</v>
      </c>
    </row>
    <row r="2622" ht="14.25" customHeight="1">
      <c r="A2622" s="1" t="s">
        <v>2324</v>
      </c>
      <c r="B2622" s="1" t="s">
        <v>20</v>
      </c>
      <c r="C2622" s="2" t="s">
        <v>311</v>
      </c>
      <c r="D2622" s="2">
        <v>7.8</v>
      </c>
      <c r="E2622" s="2">
        <v>2005.0</v>
      </c>
      <c r="F2622" s="2" t="s">
        <v>10</v>
      </c>
      <c r="G2622" s="2" t="s">
        <v>10</v>
      </c>
    </row>
    <row r="2623" ht="14.25" customHeight="1">
      <c r="A2623" s="1" t="s">
        <v>2325</v>
      </c>
      <c r="B2623" s="1" t="s">
        <v>20</v>
      </c>
      <c r="C2623" s="2" t="s">
        <v>80</v>
      </c>
      <c r="D2623" s="2">
        <v>7.8</v>
      </c>
      <c r="E2623" s="2">
        <v>2016.0</v>
      </c>
      <c r="F2623" s="2" t="s">
        <v>10</v>
      </c>
      <c r="G2623" s="2" t="s">
        <v>10</v>
      </c>
    </row>
    <row r="2624" ht="14.25" customHeight="1">
      <c r="A2624" s="1" t="s">
        <v>1390</v>
      </c>
      <c r="B2624" s="1" t="s">
        <v>20</v>
      </c>
      <c r="C2624" s="2" t="s">
        <v>112</v>
      </c>
      <c r="D2624" s="2">
        <v>7.8</v>
      </c>
      <c r="E2624" s="2">
        <v>2022.0</v>
      </c>
      <c r="F2624" s="2" t="s">
        <v>10</v>
      </c>
      <c r="G2624" s="2">
        <v>1280000.0</v>
      </c>
    </row>
    <row r="2625" ht="14.25" customHeight="1">
      <c r="A2625" s="1" t="s">
        <v>1390</v>
      </c>
      <c r="B2625" s="1" t="s">
        <v>20</v>
      </c>
      <c r="C2625" s="2" t="s">
        <v>112</v>
      </c>
      <c r="D2625" s="2">
        <v>7.8</v>
      </c>
      <c r="E2625" s="2">
        <v>2022.0</v>
      </c>
      <c r="F2625" s="2" t="s">
        <v>10</v>
      </c>
      <c r="G2625" s="2">
        <v>1340000.0</v>
      </c>
    </row>
    <row r="2626" ht="14.25" customHeight="1">
      <c r="A2626" s="1" t="s">
        <v>1390</v>
      </c>
      <c r="B2626" s="1" t="s">
        <v>20</v>
      </c>
      <c r="C2626" s="2" t="s">
        <v>112</v>
      </c>
      <c r="D2626" s="2">
        <v>7.8</v>
      </c>
      <c r="E2626" s="2">
        <v>2022.0</v>
      </c>
      <c r="F2626" s="2" t="s">
        <v>10</v>
      </c>
      <c r="G2626" s="2">
        <v>1660000.0</v>
      </c>
    </row>
    <row r="2627" ht="14.25" customHeight="1">
      <c r="A2627" s="1" t="s">
        <v>1390</v>
      </c>
      <c r="B2627" s="1" t="s">
        <v>20</v>
      </c>
      <c r="C2627" s="2" t="s">
        <v>112</v>
      </c>
      <c r="D2627" s="2">
        <v>7.8</v>
      </c>
      <c r="E2627" s="2">
        <v>2022.0</v>
      </c>
      <c r="F2627" s="2" t="s">
        <v>10</v>
      </c>
      <c r="G2627" s="2">
        <v>2310000.0</v>
      </c>
    </row>
    <row r="2628" ht="14.25" customHeight="1">
      <c r="A2628" s="1" t="s">
        <v>1390</v>
      </c>
      <c r="B2628" s="1" t="s">
        <v>20</v>
      </c>
      <c r="C2628" s="2" t="s">
        <v>112</v>
      </c>
      <c r="D2628" s="2">
        <v>7.8</v>
      </c>
      <c r="E2628" s="2">
        <v>2022.0</v>
      </c>
      <c r="F2628" s="2" t="s">
        <v>10</v>
      </c>
      <c r="G2628" s="2">
        <v>3420000.0</v>
      </c>
    </row>
    <row r="2629" ht="14.25" customHeight="1">
      <c r="A2629" s="1" t="s">
        <v>1390</v>
      </c>
      <c r="B2629" s="1" t="s">
        <v>20</v>
      </c>
      <c r="C2629" s="2" t="s">
        <v>112</v>
      </c>
      <c r="D2629" s="2">
        <v>7.8</v>
      </c>
      <c r="E2629" s="2">
        <v>2022.0</v>
      </c>
      <c r="F2629" s="2" t="s">
        <v>10</v>
      </c>
      <c r="G2629" s="2">
        <v>6850000.0</v>
      </c>
    </row>
    <row r="2630" ht="14.25" customHeight="1">
      <c r="A2630" s="1" t="s">
        <v>1390</v>
      </c>
      <c r="B2630" s="1" t="s">
        <v>20</v>
      </c>
      <c r="C2630" s="2" t="s">
        <v>112</v>
      </c>
      <c r="D2630" s="2">
        <v>7.8</v>
      </c>
      <c r="E2630" s="2">
        <v>2022.0</v>
      </c>
      <c r="F2630" s="2" t="s">
        <v>10</v>
      </c>
      <c r="G2630" s="2">
        <v>9530000.0</v>
      </c>
    </row>
    <row r="2631" ht="14.25" customHeight="1">
      <c r="A2631" s="1" t="s">
        <v>1390</v>
      </c>
      <c r="B2631" s="1" t="s">
        <v>20</v>
      </c>
      <c r="C2631" s="2" t="s">
        <v>112</v>
      </c>
      <c r="D2631" s="2">
        <v>7.8</v>
      </c>
      <c r="E2631" s="2">
        <v>2022.0</v>
      </c>
      <c r="F2631" s="2" t="s">
        <v>10</v>
      </c>
      <c r="G2631" s="2">
        <v>4230000.0</v>
      </c>
    </row>
    <row r="2632" ht="14.25" customHeight="1">
      <c r="A2632" s="1" t="s">
        <v>1390</v>
      </c>
      <c r="B2632" s="1" t="s">
        <v>20</v>
      </c>
      <c r="C2632" s="2" t="s">
        <v>112</v>
      </c>
      <c r="D2632" s="2">
        <v>7.8</v>
      </c>
      <c r="E2632" s="2">
        <v>2022.0</v>
      </c>
      <c r="F2632" s="2" t="s">
        <v>10</v>
      </c>
      <c r="G2632" s="2">
        <v>4200000.0</v>
      </c>
    </row>
    <row r="2633" ht="14.25" customHeight="1">
      <c r="A2633" s="1" t="s">
        <v>1390</v>
      </c>
      <c r="B2633" s="1" t="s">
        <v>20</v>
      </c>
      <c r="C2633" s="2" t="s">
        <v>112</v>
      </c>
      <c r="D2633" s="2">
        <v>7.8</v>
      </c>
      <c r="E2633" s="2">
        <v>2022.0</v>
      </c>
      <c r="F2633" s="2" t="s">
        <v>10</v>
      </c>
      <c r="G2633" s="2">
        <v>5470000.0</v>
      </c>
    </row>
    <row r="2634" ht="14.25" customHeight="1">
      <c r="A2634" s="1" t="s">
        <v>1390</v>
      </c>
      <c r="B2634" s="1" t="s">
        <v>20</v>
      </c>
      <c r="C2634" s="2" t="s">
        <v>112</v>
      </c>
      <c r="D2634" s="2">
        <v>7.8</v>
      </c>
      <c r="E2634" s="2">
        <v>2022.0</v>
      </c>
      <c r="F2634" s="2" t="s">
        <v>10</v>
      </c>
      <c r="G2634" s="2">
        <v>2990000.0</v>
      </c>
    </row>
    <row r="2635" ht="14.25" customHeight="1">
      <c r="A2635" s="1" t="s">
        <v>1390</v>
      </c>
      <c r="B2635" s="1" t="s">
        <v>20</v>
      </c>
      <c r="C2635" s="2" t="s">
        <v>112</v>
      </c>
      <c r="D2635" s="2">
        <v>7.8</v>
      </c>
      <c r="E2635" s="2">
        <v>2022.0</v>
      </c>
      <c r="F2635" s="2" t="s">
        <v>10</v>
      </c>
      <c r="G2635" s="2">
        <v>3660000.0</v>
      </c>
    </row>
    <row r="2636" ht="14.25" customHeight="1">
      <c r="A2636" s="1" t="s">
        <v>1390</v>
      </c>
      <c r="B2636" s="1" t="s">
        <v>20</v>
      </c>
      <c r="C2636" s="2" t="s">
        <v>112</v>
      </c>
      <c r="D2636" s="2">
        <v>7.8</v>
      </c>
      <c r="E2636" s="2">
        <v>2022.0</v>
      </c>
      <c r="F2636" s="2" t="s">
        <v>10</v>
      </c>
      <c r="G2636" s="2">
        <v>7050000.0</v>
      </c>
    </row>
    <row r="2637" ht="14.25" customHeight="1">
      <c r="A2637" s="1" t="s">
        <v>1390</v>
      </c>
      <c r="B2637" s="1" t="s">
        <v>20</v>
      </c>
      <c r="C2637" s="2" t="s">
        <v>112</v>
      </c>
      <c r="D2637" s="2">
        <v>7.8</v>
      </c>
      <c r="E2637" s="2">
        <v>2022.0</v>
      </c>
      <c r="F2637" s="2" t="s">
        <v>10</v>
      </c>
      <c r="G2637" s="2">
        <v>8170000.0</v>
      </c>
    </row>
    <row r="2638" ht="14.25" customHeight="1">
      <c r="A2638" s="1" t="s">
        <v>1390</v>
      </c>
      <c r="B2638" s="1" t="s">
        <v>20</v>
      </c>
      <c r="C2638" s="2" t="s">
        <v>112</v>
      </c>
      <c r="D2638" s="2">
        <v>7.8</v>
      </c>
      <c r="E2638" s="2">
        <v>2022.0</v>
      </c>
      <c r="F2638" s="2" t="s">
        <v>10</v>
      </c>
      <c r="G2638" s="2">
        <v>2800000.0</v>
      </c>
    </row>
    <row r="2639" ht="14.25" customHeight="1">
      <c r="A2639" s="1" t="s">
        <v>1390</v>
      </c>
      <c r="B2639" s="1" t="s">
        <v>20</v>
      </c>
      <c r="C2639" s="2" t="s">
        <v>112</v>
      </c>
      <c r="D2639" s="2">
        <v>7.8</v>
      </c>
      <c r="E2639" s="2">
        <v>2022.0</v>
      </c>
      <c r="F2639" s="2" t="s">
        <v>10</v>
      </c>
      <c r="G2639" s="2">
        <v>2220000.0</v>
      </c>
    </row>
    <row r="2640" ht="14.25" customHeight="1">
      <c r="A2640" s="1" t="s">
        <v>1390</v>
      </c>
      <c r="B2640" s="1" t="s">
        <v>20</v>
      </c>
      <c r="C2640" s="2" t="s">
        <v>112</v>
      </c>
      <c r="D2640" s="2">
        <v>7.8</v>
      </c>
      <c r="E2640" s="2">
        <v>2022.0</v>
      </c>
      <c r="F2640" s="2" t="s">
        <v>10</v>
      </c>
      <c r="G2640" s="2">
        <v>2570000.0</v>
      </c>
    </row>
    <row r="2641" ht="14.25" customHeight="1">
      <c r="A2641" s="1" t="s">
        <v>1390</v>
      </c>
      <c r="B2641" s="1" t="s">
        <v>20</v>
      </c>
      <c r="C2641" s="2" t="s">
        <v>112</v>
      </c>
      <c r="D2641" s="2">
        <v>7.8</v>
      </c>
      <c r="E2641" s="2">
        <v>2022.0</v>
      </c>
      <c r="F2641" s="2" t="s">
        <v>10</v>
      </c>
      <c r="G2641" s="2">
        <v>3320000.0</v>
      </c>
    </row>
    <row r="2642" ht="14.25" customHeight="1">
      <c r="A2642" s="1" t="s">
        <v>1390</v>
      </c>
      <c r="B2642" s="1" t="s">
        <v>20</v>
      </c>
      <c r="C2642" s="2" t="s">
        <v>112</v>
      </c>
      <c r="D2642" s="2">
        <v>7.8</v>
      </c>
      <c r="E2642" s="2">
        <v>2022.0</v>
      </c>
      <c r="F2642" s="2" t="s">
        <v>10</v>
      </c>
      <c r="G2642" s="2">
        <v>4870000.0</v>
      </c>
    </row>
    <row r="2643" ht="14.25" customHeight="1">
      <c r="A2643" s="1" t="s">
        <v>1390</v>
      </c>
      <c r="B2643" s="1" t="s">
        <v>20</v>
      </c>
      <c r="C2643" s="2" t="s">
        <v>112</v>
      </c>
      <c r="D2643" s="2">
        <v>7.8</v>
      </c>
      <c r="E2643" s="2">
        <v>2022.0</v>
      </c>
      <c r="F2643" s="2" t="s">
        <v>10</v>
      </c>
      <c r="G2643" s="2">
        <v>9490000.0</v>
      </c>
    </row>
    <row r="2644" ht="14.25" customHeight="1">
      <c r="A2644" s="1" t="s">
        <v>1390</v>
      </c>
      <c r="B2644" s="1" t="s">
        <v>20</v>
      </c>
      <c r="C2644" s="2" t="s">
        <v>112</v>
      </c>
      <c r="D2644" s="2">
        <v>7.8</v>
      </c>
      <c r="E2644" s="2">
        <v>2022.0</v>
      </c>
      <c r="F2644" s="2" t="s">
        <v>10</v>
      </c>
      <c r="G2644" s="2">
        <v>1.761E7</v>
      </c>
    </row>
    <row r="2645" ht="14.25" customHeight="1">
      <c r="A2645" s="1" t="s">
        <v>1390</v>
      </c>
      <c r="B2645" s="1" t="s">
        <v>20</v>
      </c>
      <c r="C2645" s="2" t="s">
        <v>112</v>
      </c>
      <c r="D2645" s="2">
        <v>7.8</v>
      </c>
      <c r="E2645" s="2">
        <v>2022.0</v>
      </c>
      <c r="F2645" s="2" t="s">
        <v>10</v>
      </c>
      <c r="G2645" s="2">
        <v>3.995E7</v>
      </c>
    </row>
    <row r="2646" ht="14.25" customHeight="1">
      <c r="A2646" s="1" t="s">
        <v>1390</v>
      </c>
      <c r="B2646" s="1" t="s">
        <v>20</v>
      </c>
      <c r="C2646" s="2" t="s">
        <v>112</v>
      </c>
      <c r="D2646" s="2">
        <v>7.8</v>
      </c>
      <c r="E2646" s="2">
        <v>2022.0</v>
      </c>
      <c r="F2646" s="2" t="s">
        <v>10</v>
      </c>
      <c r="G2646" s="2">
        <v>3.15E7</v>
      </c>
    </row>
    <row r="2647" ht="14.25" customHeight="1">
      <c r="A2647" s="1" t="s">
        <v>2326</v>
      </c>
      <c r="B2647" s="1" t="s">
        <v>20</v>
      </c>
      <c r="C2647" s="2" t="s">
        <v>154</v>
      </c>
      <c r="D2647" s="2">
        <v>7.8</v>
      </c>
      <c r="E2647" s="2">
        <v>2019.0</v>
      </c>
      <c r="F2647" s="2" t="s">
        <v>10</v>
      </c>
      <c r="G2647" s="2">
        <v>8590000.0</v>
      </c>
    </row>
    <row r="2648" ht="14.25" customHeight="1">
      <c r="A2648" s="1" t="s">
        <v>2326</v>
      </c>
      <c r="B2648" s="1" t="s">
        <v>20</v>
      </c>
      <c r="C2648" s="2" t="s">
        <v>154</v>
      </c>
      <c r="D2648" s="2">
        <v>7.8</v>
      </c>
      <c r="E2648" s="2">
        <v>2019.0</v>
      </c>
      <c r="F2648" s="2" t="s">
        <v>10</v>
      </c>
      <c r="G2648" s="2">
        <v>1.033E7</v>
      </c>
    </row>
    <row r="2649" ht="14.25" customHeight="1">
      <c r="A2649" s="1" t="s">
        <v>2326</v>
      </c>
      <c r="B2649" s="1" t="s">
        <v>20</v>
      </c>
      <c r="C2649" s="2" t="s">
        <v>154</v>
      </c>
      <c r="D2649" s="2">
        <v>7.8</v>
      </c>
      <c r="E2649" s="2">
        <v>2019.0</v>
      </c>
      <c r="F2649" s="2" t="s">
        <v>10</v>
      </c>
      <c r="G2649" s="2">
        <v>1.13E7</v>
      </c>
    </row>
    <row r="2650" ht="14.25" customHeight="1">
      <c r="A2650" s="1" t="s">
        <v>2326</v>
      </c>
      <c r="B2650" s="1" t="s">
        <v>20</v>
      </c>
      <c r="C2650" s="2" t="s">
        <v>154</v>
      </c>
      <c r="D2650" s="2">
        <v>7.8</v>
      </c>
      <c r="E2650" s="2">
        <v>2019.0</v>
      </c>
      <c r="F2650" s="2" t="s">
        <v>10</v>
      </c>
      <c r="G2650" s="2">
        <v>1.229E7</v>
      </c>
    </row>
    <row r="2651" ht="14.25" customHeight="1">
      <c r="A2651" s="1" t="s">
        <v>2326</v>
      </c>
      <c r="B2651" s="1" t="s">
        <v>20</v>
      </c>
      <c r="C2651" s="2" t="s">
        <v>154</v>
      </c>
      <c r="D2651" s="2">
        <v>7.8</v>
      </c>
      <c r="E2651" s="2">
        <v>2019.0</v>
      </c>
      <c r="F2651" s="2" t="s">
        <v>10</v>
      </c>
      <c r="G2651" s="2">
        <v>1.555E7</v>
      </c>
    </row>
    <row r="2652" ht="14.25" customHeight="1">
      <c r="A2652" s="1" t="s">
        <v>2326</v>
      </c>
      <c r="B2652" s="1" t="s">
        <v>20</v>
      </c>
      <c r="C2652" s="2" t="s">
        <v>154</v>
      </c>
      <c r="D2652" s="2">
        <v>7.8</v>
      </c>
      <c r="E2652" s="2">
        <v>2019.0</v>
      </c>
      <c r="F2652" s="2" t="s">
        <v>10</v>
      </c>
      <c r="G2652" s="2">
        <v>2.499E7</v>
      </c>
    </row>
    <row r="2653" ht="14.25" customHeight="1">
      <c r="A2653" s="1" t="s">
        <v>2326</v>
      </c>
      <c r="B2653" s="1" t="s">
        <v>20</v>
      </c>
      <c r="C2653" s="2" t="s">
        <v>154</v>
      </c>
      <c r="D2653" s="2">
        <v>7.8</v>
      </c>
      <c r="E2653" s="2">
        <v>2019.0</v>
      </c>
      <c r="F2653" s="2" t="s">
        <v>10</v>
      </c>
      <c r="G2653" s="2">
        <v>2.358E7</v>
      </c>
    </row>
    <row r="2654" ht="14.25" customHeight="1">
      <c r="A2654" s="1" t="s">
        <v>2326</v>
      </c>
      <c r="B2654" s="1" t="s">
        <v>20</v>
      </c>
      <c r="C2654" s="2" t="s">
        <v>154</v>
      </c>
      <c r="D2654" s="2">
        <v>7.8</v>
      </c>
      <c r="E2654" s="2">
        <v>2019.0</v>
      </c>
      <c r="F2654" s="2" t="s">
        <v>10</v>
      </c>
      <c r="G2654" s="2">
        <v>1.894E7</v>
      </c>
    </row>
    <row r="2655" ht="14.25" customHeight="1">
      <c r="A2655" s="1" t="s">
        <v>2326</v>
      </c>
      <c r="B2655" s="1" t="s">
        <v>20</v>
      </c>
      <c r="C2655" s="2" t="s">
        <v>154</v>
      </c>
      <c r="D2655" s="2">
        <v>7.8</v>
      </c>
      <c r="E2655" s="2">
        <v>2019.0</v>
      </c>
      <c r="F2655" s="2" t="s">
        <v>10</v>
      </c>
      <c r="G2655" s="2">
        <v>1.502E7</v>
      </c>
    </row>
    <row r="2656" ht="14.25" customHeight="1">
      <c r="A2656" s="1" t="s">
        <v>2326</v>
      </c>
      <c r="B2656" s="1" t="s">
        <v>20</v>
      </c>
      <c r="C2656" s="2" t="s">
        <v>154</v>
      </c>
      <c r="D2656" s="2">
        <v>7.8</v>
      </c>
      <c r="E2656" s="2">
        <v>2019.0</v>
      </c>
      <c r="F2656" s="2" t="s">
        <v>10</v>
      </c>
      <c r="G2656" s="2">
        <v>1.296E7</v>
      </c>
    </row>
    <row r="2657" ht="14.25" customHeight="1">
      <c r="A2657" s="1" t="s">
        <v>2326</v>
      </c>
      <c r="B2657" s="1" t="s">
        <v>20</v>
      </c>
      <c r="C2657" s="2" t="s">
        <v>154</v>
      </c>
      <c r="D2657" s="2">
        <v>7.8</v>
      </c>
      <c r="E2657" s="2">
        <v>2019.0</v>
      </c>
      <c r="F2657" s="2" t="s">
        <v>10</v>
      </c>
      <c r="G2657" s="2">
        <v>9970000.0</v>
      </c>
    </row>
    <row r="2658" ht="14.25" customHeight="1">
      <c r="A2658" s="1" t="s">
        <v>2327</v>
      </c>
      <c r="B2658" s="1" t="s">
        <v>8</v>
      </c>
      <c r="C2658" s="2" t="s">
        <v>118</v>
      </c>
      <c r="D2658" s="2">
        <v>7.8</v>
      </c>
      <c r="E2658" s="2">
        <v>2011.0</v>
      </c>
      <c r="F2658" s="2">
        <v>2018.0</v>
      </c>
      <c r="G2658" s="2" t="s">
        <v>10</v>
      </c>
    </row>
    <row r="2659" ht="14.25" customHeight="1">
      <c r="A2659" s="1" t="s">
        <v>2328</v>
      </c>
      <c r="B2659" s="1" t="s">
        <v>20</v>
      </c>
      <c r="C2659" s="2" t="s">
        <v>187</v>
      </c>
      <c r="D2659" s="2">
        <v>7.8</v>
      </c>
      <c r="E2659" s="2">
        <v>2011.0</v>
      </c>
      <c r="F2659" s="2">
        <v>2011.0</v>
      </c>
      <c r="G2659" s="2" t="s">
        <v>10</v>
      </c>
    </row>
    <row r="2660" ht="14.25" customHeight="1">
      <c r="A2660" s="1" t="s">
        <v>2329</v>
      </c>
      <c r="B2660" s="1" t="s">
        <v>8</v>
      </c>
      <c r="C2660" s="2" t="s">
        <v>69</v>
      </c>
      <c r="D2660" s="2">
        <v>7.8</v>
      </c>
      <c r="E2660" s="2">
        <v>2014.0</v>
      </c>
      <c r="F2660" s="2">
        <v>2019.0</v>
      </c>
      <c r="G2660" s="2" t="s">
        <v>10</v>
      </c>
    </row>
    <row r="2661" ht="14.25" customHeight="1">
      <c r="A2661" s="1" t="s">
        <v>2330</v>
      </c>
      <c r="B2661" s="1" t="s">
        <v>20</v>
      </c>
      <c r="C2661" s="2" t="s">
        <v>299</v>
      </c>
      <c r="D2661" s="2">
        <v>7.8</v>
      </c>
      <c r="E2661" s="2">
        <v>1990.0</v>
      </c>
      <c r="F2661" s="2" t="s">
        <v>10</v>
      </c>
      <c r="G2661" s="2" t="s">
        <v>10</v>
      </c>
    </row>
    <row r="2662" ht="14.25" customHeight="1">
      <c r="A2662" s="1" t="s">
        <v>2331</v>
      </c>
      <c r="B2662" s="1" t="s">
        <v>20</v>
      </c>
      <c r="C2662" s="2" t="s">
        <v>63</v>
      </c>
      <c r="D2662" s="2">
        <v>7.8</v>
      </c>
      <c r="E2662" s="2">
        <v>2016.0</v>
      </c>
      <c r="F2662" s="2">
        <v>2016.0</v>
      </c>
      <c r="G2662" s="2" t="s">
        <v>10</v>
      </c>
    </row>
    <row r="2663" ht="14.25" customHeight="1">
      <c r="A2663" s="1" t="s">
        <v>2332</v>
      </c>
      <c r="B2663" s="1" t="s">
        <v>20</v>
      </c>
      <c r="C2663" s="2" t="s">
        <v>742</v>
      </c>
      <c r="D2663" s="2">
        <v>7.8</v>
      </c>
      <c r="E2663" s="2">
        <v>2000.0</v>
      </c>
      <c r="F2663" s="2" t="s">
        <v>10</v>
      </c>
      <c r="G2663" s="2" t="s">
        <v>10</v>
      </c>
    </row>
    <row r="2664" ht="14.25" customHeight="1">
      <c r="A2664" s="1" t="s">
        <v>2333</v>
      </c>
      <c r="B2664" s="1" t="s">
        <v>20</v>
      </c>
      <c r="C2664" s="2" t="s">
        <v>1187</v>
      </c>
      <c r="D2664" s="2">
        <v>7.8</v>
      </c>
      <c r="E2664" s="2">
        <v>1971.0</v>
      </c>
      <c r="F2664" s="2">
        <v>1971.0</v>
      </c>
      <c r="G2664" s="2" t="s">
        <v>10</v>
      </c>
    </row>
    <row r="2665" ht="14.25" customHeight="1">
      <c r="A2665" s="1" t="s">
        <v>2334</v>
      </c>
      <c r="B2665" s="1" t="s">
        <v>20</v>
      </c>
      <c r="C2665" s="2" t="s">
        <v>92</v>
      </c>
      <c r="D2665" s="2">
        <v>7.8</v>
      </c>
      <c r="E2665" s="2">
        <v>2008.0</v>
      </c>
      <c r="F2665" s="2" t="s">
        <v>10</v>
      </c>
      <c r="G2665" s="2" t="s">
        <v>10</v>
      </c>
    </row>
    <row r="2666" ht="14.25" customHeight="1">
      <c r="A2666" s="1" t="s">
        <v>2335</v>
      </c>
      <c r="B2666" s="1" t="s">
        <v>8</v>
      </c>
      <c r="C2666" s="2" t="s">
        <v>69</v>
      </c>
      <c r="D2666" s="2">
        <v>7.8</v>
      </c>
      <c r="E2666" s="2">
        <v>2015.0</v>
      </c>
      <c r="F2666" s="2" t="s">
        <v>10</v>
      </c>
      <c r="G2666" s="2" t="s">
        <v>10</v>
      </c>
    </row>
    <row r="2667" ht="14.25" customHeight="1">
      <c r="A2667" s="1" t="s">
        <v>2295</v>
      </c>
      <c r="B2667" s="1" t="s">
        <v>20</v>
      </c>
      <c r="C2667" s="2" t="s">
        <v>53</v>
      </c>
      <c r="D2667" s="2">
        <v>7.8</v>
      </c>
      <c r="E2667" s="2">
        <v>2009.0</v>
      </c>
      <c r="F2667" s="2">
        <v>2011.0</v>
      </c>
      <c r="G2667" s="2" t="s">
        <v>10</v>
      </c>
    </row>
    <row r="2668" ht="14.25" customHeight="1">
      <c r="A2668" s="1" t="s">
        <v>2336</v>
      </c>
      <c r="B2668" s="1" t="s">
        <v>20</v>
      </c>
      <c r="C2668" s="2" t="s">
        <v>80</v>
      </c>
      <c r="D2668" s="2">
        <v>7.8</v>
      </c>
      <c r="E2668" s="2">
        <v>2015.0</v>
      </c>
      <c r="F2668" s="2" t="s">
        <v>10</v>
      </c>
      <c r="G2668" s="2" t="s">
        <v>10</v>
      </c>
    </row>
    <row r="2669" ht="14.25" customHeight="1">
      <c r="A2669" s="1" t="s">
        <v>2337</v>
      </c>
      <c r="B2669" s="1" t="s">
        <v>20</v>
      </c>
      <c r="C2669" s="2" t="s">
        <v>639</v>
      </c>
      <c r="D2669" s="2">
        <v>7.8</v>
      </c>
      <c r="E2669" s="2">
        <v>1985.0</v>
      </c>
      <c r="F2669" s="2" t="s">
        <v>10</v>
      </c>
      <c r="G2669" s="2" t="s">
        <v>10</v>
      </c>
    </row>
    <row r="2670" ht="14.25" customHeight="1">
      <c r="A2670" s="1" t="s">
        <v>2338</v>
      </c>
      <c r="B2670" s="1" t="s">
        <v>20</v>
      </c>
      <c r="C2670" s="2" t="s">
        <v>686</v>
      </c>
      <c r="D2670" s="2">
        <v>7.8</v>
      </c>
      <c r="E2670" s="2">
        <v>2007.0</v>
      </c>
      <c r="F2670" s="2" t="s">
        <v>10</v>
      </c>
      <c r="G2670" s="2" t="s">
        <v>10</v>
      </c>
    </row>
    <row r="2671" ht="14.25" customHeight="1">
      <c r="A2671" s="1" t="s">
        <v>2339</v>
      </c>
      <c r="B2671" s="1" t="s">
        <v>20</v>
      </c>
      <c r="C2671" s="2" t="s">
        <v>55</v>
      </c>
      <c r="D2671" s="2">
        <v>7.8</v>
      </c>
      <c r="E2671" s="2">
        <v>2018.0</v>
      </c>
      <c r="F2671" s="2" t="s">
        <v>10</v>
      </c>
      <c r="G2671" s="2" t="s">
        <v>10</v>
      </c>
    </row>
    <row r="2672" ht="14.25" customHeight="1">
      <c r="A2672" s="1" t="s">
        <v>2340</v>
      </c>
      <c r="B2672" s="1" t="s">
        <v>20</v>
      </c>
      <c r="C2672" s="2" t="s">
        <v>25</v>
      </c>
      <c r="D2672" s="2">
        <v>7.8</v>
      </c>
      <c r="E2672" s="2">
        <v>2022.0</v>
      </c>
      <c r="F2672" s="2" t="s">
        <v>10</v>
      </c>
      <c r="G2672" s="2">
        <v>7200000.0</v>
      </c>
    </row>
    <row r="2673" ht="14.25" customHeight="1">
      <c r="A2673" s="1" t="s">
        <v>2340</v>
      </c>
      <c r="B2673" s="1" t="s">
        <v>20</v>
      </c>
      <c r="C2673" s="2" t="s">
        <v>25</v>
      </c>
      <c r="D2673" s="2">
        <v>7.8</v>
      </c>
      <c r="E2673" s="2">
        <v>2022.0</v>
      </c>
      <c r="F2673" s="2" t="s">
        <v>10</v>
      </c>
      <c r="G2673" s="2">
        <v>1.06E7</v>
      </c>
    </row>
    <row r="2674" ht="14.25" customHeight="1">
      <c r="A2674" s="1" t="s">
        <v>2340</v>
      </c>
      <c r="B2674" s="1" t="s">
        <v>20</v>
      </c>
      <c r="C2674" s="2" t="s">
        <v>25</v>
      </c>
      <c r="D2674" s="2">
        <v>7.8</v>
      </c>
      <c r="E2674" s="2">
        <v>2022.0</v>
      </c>
      <c r="F2674" s="2" t="s">
        <v>10</v>
      </c>
      <c r="G2674" s="2">
        <v>9400000.0</v>
      </c>
    </row>
    <row r="2675" ht="14.25" customHeight="1">
      <c r="A2675" s="1" t="s">
        <v>2341</v>
      </c>
      <c r="B2675" s="1" t="s">
        <v>20</v>
      </c>
      <c r="C2675" s="2" t="s">
        <v>2342</v>
      </c>
      <c r="D2675" s="2">
        <v>7.8</v>
      </c>
      <c r="E2675" s="2">
        <v>1964.0</v>
      </c>
      <c r="F2675" s="2" t="s">
        <v>10</v>
      </c>
      <c r="G2675" s="2" t="s">
        <v>10</v>
      </c>
    </row>
    <row r="2676" ht="14.25" customHeight="1">
      <c r="A2676" s="1" t="s">
        <v>2343</v>
      </c>
      <c r="B2676" s="1" t="s">
        <v>20</v>
      </c>
      <c r="C2676" s="2" t="s">
        <v>742</v>
      </c>
      <c r="D2676" s="2">
        <v>7.8</v>
      </c>
      <c r="E2676" s="2">
        <v>1994.0</v>
      </c>
      <c r="F2676" s="2" t="s">
        <v>10</v>
      </c>
      <c r="G2676" s="2" t="s">
        <v>10</v>
      </c>
    </row>
    <row r="2677" ht="14.25" customHeight="1">
      <c r="A2677" s="1" t="s">
        <v>2344</v>
      </c>
      <c r="B2677" s="1" t="s">
        <v>8</v>
      </c>
      <c r="C2677" s="2" t="s">
        <v>40</v>
      </c>
      <c r="D2677" s="2">
        <v>7.8</v>
      </c>
      <c r="E2677" s="2">
        <v>2022.0</v>
      </c>
      <c r="F2677" s="2" t="s">
        <v>10</v>
      </c>
      <c r="G2677" s="2" t="s">
        <v>10</v>
      </c>
    </row>
    <row r="2678" ht="14.25" customHeight="1">
      <c r="A2678" s="1" t="s">
        <v>2345</v>
      </c>
      <c r="B2678" s="1" t="s">
        <v>20</v>
      </c>
      <c r="C2678" s="2" t="s">
        <v>80</v>
      </c>
      <c r="D2678" s="2">
        <v>7.8</v>
      </c>
      <c r="E2678" s="2">
        <v>1999.0</v>
      </c>
      <c r="F2678" s="2" t="s">
        <v>10</v>
      </c>
      <c r="G2678" s="2" t="s">
        <v>10</v>
      </c>
    </row>
    <row r="2679" ht="14.25" customHeight="1">
      <c r="A2679" s="1" t="s">
        <v>2346</v>
      </c>
      <c r="B2679" s="1" t="s">
        <v>8</v>
      </c>
      <c r="C2679" s="2" t="s">
        <v>53</v>
      </c>
      <c r="D2679" s="2">
        <v>7.8</v>
      </c>
      <c r="E2679" s="2">
        <v>2005.0</v>
      </c>
      <c r="F2679" s="2" t="s">
        <v>10</v>
      </c>
      <c r="G2679" s="2" t="s">
        <v>10</v>
      </c>
    </row>
    <row r="2680" ht="14.25" customHeight="1">
      <c r="A2680" s="1" t="s">
        <v>2347</v>
      </c>
      <c r="B2680" s="1" t="s">
        <v>20</v>
      </c>
      <c r="C2680" s="2" t="s">
        <v>34</v>
      </c>
      <c r="D2680" s="2">
        <v>7.8</v>
      </c>
      <c r="E2680" s="2">
        <v>2022.0</v>
      </c>
      <c r="F2680" s="2" t="s">
        <v>10</v>
      </c>
      <c r="G2680" s="2" t="s">
        <v>10</v>
      </c>
    </row>
    <row r="2681" ht="14.25" customHeight="1">
      <c r="A2681" s="1" t="s">
        <v>2348</v>
      </c>
      <c r="B2681" s="1" t="s">
        <v>20</v>
      </c>
      <c r="C2681" s="2" t="s">
        <v>80</v>
      </c>
      <c r="D2681" s="2">
        <v>7.8</v>
      </c>
      <c r="E2681" s="2">
        <v>1993.0</v>
      </c>
      <c r="F2681" s="2" t="s">
        <v>10</v>
      </c>
      <c r="G2681" s="2" t="s">
        <v>10</v>
      </c>
    </row>
    <row r="2682" ht="14.25" customHeight="1">
      <c r="A2682" s="1" t="s">
        <v>2349</v>
      </c>
      <c r="B2682" s="1" t="s">
        <v>20</v>
      </c>
      <c r="C2682" s="2" t="s">
        <v>1637</v>
      </c>
      <c r="D2682" s="2">
        <v>7.8</v>
      </c>
      <c r="E2682" s="2">
        <v>1989.0</v>
      </c>
      <c r="F2682" s="2" t="s">
        <v>10</v>
      </c>
      <c r="G2682" s="2" t="s">
        <v>10</v>
      </c>
    </row>
    <row r="2683" ht="14.25" customHeight="1">
      <c r="A2683" s="1" t="s">
        <v>2350</v>
      </c>
      <c r="B2683" s="1" t="s">
        <v>20</v>
      </c>
      <c r="C2683" s="2" t="s">
        <v>34</v>
      </c>
      <c r="D2683" s="2">
        <v>7.8</v>
      </c>
      <c r="E2683" s="2">
        <v>2006.0</v>
      </c>
      <c r="F2683" s="2" t="s">
        <v>10</v>
      </c>
      <c r="G2683" s="2" t="s">
        <v>10</v>
      </c>
    </row>
    <row r="2684" ht="14.25" customHeight="1">
      <c r="A2684" s="1" t="s">
        <v>2351</v>
      </c>
      <c r="B2684" s="1" t="s">
        <v>20</v>
      </c>
      <c r="C2684" s="2" t="s">
        <v>36</v>
      </c>
      <c r="D2684" s="2">
        <v>7.8</v>
      </c>
      <c r="E2684" s="2">
        <v>1993.0</v>
      </c>
      <c r="F2684" s="2" t="s">
        <v>10</v>
      </c>
      <c r="G2684" s="2" t="s">
        <v>10</v>
      </c>
    </row>
    <row r="2685" ht="14.25" customHeight="1">
      <c r="A2685" s="1" t="s">
        <v>2352</v>
      </c>
      <c r="B2685" s="1" t="s">
        <v>8</v>
      </c>
      <c r="C2685" s="2" t="s">
        <v>69</v>
      </c>
      <c r="D2685" s="2">
        <v>7.8</v>
      </c>
      <c r="E2685" s="2">
        <v>2003.0</v>
      </c>
      <c r="F2685" s="2">
        <v>2017.0</v>
      </c>
      <c r="G2685" s="2" t="s">
        <v>10</v>
      </c>
    </row>
    <row r="2686" ht="14.25" customHeight="1">
      <c r="A2686" s="1" t="s">
        <v>2353</v>
      </c>
      <c r="B2686" s="1" t="s">
        <v>20</v>
      </c>
      <c r="C2686" s="2" t="s">
        <v>169</v>
      </c>
      <c r="D2686" s="2">
        <v>7.8</v>
      </c>
      <c r="E2686" s="2">
        <v>1990.0</v>
      </c>
      <c r="F2686" s="2" t="s">
        <v>10</v>
      </c>
      <c r="G2686" s="2" t="s">
        <v>10</v>
      </c>
    </row>
    <row r="2687" ht="14.25" customHeight="1">
      <c r="A2687" s="1" t="s">
        <v>2354</v>
      </c>
      <c r="B2687" s="1" t="s">
        <v>20</v>
      </c>
      <c r="C2687" s="2" t="s">
        <v>36</v>
      </c>
      <c r="D2687" s="2">
        <v>7.8</v>
      </c>
      <c r="E2687" s="2">
        <v>1991.0</v>
      </c>
      <c r="F2687" s="2" t="s">
        <v>10</v>
      </c>
      <c r="G2687" s="2" t="s">
        <v>10</v>
      </c>
    </row>
    <row r="2688" ht="14.25" customHeight="1">
      <c r="A2688" s="1" t="s">
        <v>2355</v>
      </c>
      <c r="B2688" s="1" t="s">
        <v>20</v>
      </c>
      <c r="C2688" s="2" t="s">
        <v>18</v>
      </c>
      <c r="D2688" s="2">
        <v>7.8</v>
      </c>
      <c r="E2688" s="2">
        <v>1979.0</v>
      </c>
      <c r="F2688" s="2" t="s">
        <v>10</v>
      </c>
      <c r="G2688" s="2" t="s">
        <v>10</v>
      </c>
    </row>
    <row r="2689" ht="14.25" customHeight="1">
      <c r="A2689" s="1" t="s">
        <v>2356</v>
      </c>
      <c r="B2689" s="1" t="s">
        <v>20</v>
      </c>
      <c r="C2689" s="2" t="s">
        <v>825</v>
      </c>
      <c r="D2689" s="2">
        <v>7.8</v>
      </c>
      <c r="E2689" s="2">
        <v>2023.0</v>
      </c>
      <c r="F2689" s="2" t="s">
        <v>10</v>
      </c>
      <c r="G2689" s="2" t="s">
        <v>10</v>
      </c>
    </row>
    <row r="2690" ht="14.25" customHeight="1">
      <c r="A2690" s="1" t="s">
        <v>2357</v>
      </c>
      <c r="B2690" s="1" t="s">
        <v>20</v>
      </c>
      <c r="C2690" s="2" t="s">
        <v>1025</v>
      </c>
      <c r="D2690" s="2">
        <v>7.8</v>
      </c>
      <c r="E2690" s="2">
        <v>2010.0</v>
      </c>
      <c r="F2690" s="2" t="s">
        <v>10</v>
      </c>
      <c r="G2690" s="2" t="s">
        <v>10</v>
      </c>
    </row>
    <row r="2691" ht="14.25" customHeight="1">
      <c r="A2691" s="1" t="s">
        <v>2358</v>
      </c>
      <c r="B2691" s="1" t="s">
        <v>20</v>
      </c>
      <c r="C2691" s="2" t="s">
        <v>187</v>
      </c>
      <c r="D2691" s="2">
        <v>7.8</v>
      </c>
      <c r="E2691" s="2">
        <v>1979.0</v>
      </c>
      <c r="F2691" s="2" t="s">
        <v>10</v>
      </c>
      <c r="G2691" s="2" t="s">
        <v>10</v>
      </c>
    </row>
    <row r="2692" ht="14.25" customHeight="1">
      <c r="A2692" s="1" t="s">
        <v>2359</v>
      </c>
      <c r="B2692" s="1" t="s">
        <v>20</v>
      </c>
      <c r="C2692" s="2" t="s">
        <v>80</v>
      </c>
      <c r="D2692" s="2">
        <v>7.8</v>
      </c>
      <c r="E2692" s="2">
        <v>1989.0</v>
      </c>
      <c r="F2692" s="2" t="s">
        <v>10</v>
      </c>
      <c r="G2692" s="2" t="s">
        <v>10</v>
      </c>
    </row>
    <row r="2693" ht="14.25" customHeight="1">
      <c r="A2693" s="1" t="s">
        <v>2360</v>
      </c>
      <c r="B2693" s="1" t="s">
        <v>20</v>
      </c>
      <c r="C2693" s="2" t="s">
        <v>60</v>
      </c>
      <c r="D2693" s="2">
        <v>7.8</v>
      </c>
      <c r="E2693" s="2">
        <v>2016.0</v>
      </c>
      <c r="F2693" s="2">
        <v>2016.0</v>
      </c>
      <c r="G2693" s="2" t="s">
        <v>10</v>
      </c>
    </row>
    <row r="2694" ht="14.25" customHeight="1">
      <c r="A2694" s="1" t="s">
        <v>2361</v>
      </c>
      <c r="B2694" s="1" t="s">
        <v>8</v>
      </c>
      <c r="C2694" s="2" t="s">
        <v>53</v>
      </c>
      <c r="D2694" s="2">
        <v>7.8</v>
      </c>
      <c r="E2694" s="2">
        <v>2017.0</v>
      </c>
      <c r="F2694" s="2">
        <v>2020.0</v>
      </c>
      <c r="G2694" s="2">
        <v>1.324E7</v>
      </c>
    </row>
    <row r="2695" ht="14.25" customHeight="1">
      <c r="A2695" s="1" t="s">
        <v>2361</v>
      </c>
      <c r="B2695" s="1" t="s">
        <v>8</v>
      </c>
      <c r="C2695" s="2" t="s">
        <v>53</v>
      </c>
      <c r="D2695" s="2">
        <v>7.8</v>
      </c>
      <c r="E2695" s="2">
        <v>2017.0</v>
      </c>
      <c r="F2695" s="2">
        <v>2020.0</v>
      </c>
      <c r="G2695" s="2">
        <v>1.669E7</v>
      </c>
    </row>
    <row r="2696" ht="14.25" customHeight="1">
      <c r="A2696" s="1" t="s">
        <v>2361</v>
      </c>
      <c r="B2696" s="1" t="s">
        <v>8</v>
      </c>
      <c r="C2696" s="2" t="s">
        <v>53</v>
      </c>
      <c r="D2696" s="2">
        <v>7.8</v>
      </c>
      <c r="E2696" s="2">
        <v>2017.0</v>
      </c>
      <c r="F2696" s="2">
        <v>2020.0</v>
      </c>
      <c r="G2696" s="2">
        <v>2.132E7</v>
      </c>
    </row>
    <row r="2697" ht="14.25" customHeight="1">
      <c r="A2697" s="1" t="s">
        <v>2362</v>
      </c>
      <c r="B2697" s="1" t="s">
        <v>20</v>
      </c>
      <c r="C2697" s="2" t="s">
        <v>2363</v>
      </c>
      <c r="D2697" s="2">
        <v>7.8</v>
      </c>
      <c r="E2697" s="2">
        <v>1968.0</v>
      </c>
      <c r="F2697" s="2" t="s">
        <v>10</v>
      </c>
      <c r="G2697" s="2" t="s">
        <v>10</v>
      </c>
    </row>
    <row r="2698" ht="14.25" customHeight="1">
      <c r="A2698" s="1" t="s">
        <v>2364</v>
      </c>
      <c r="B2698" s="1" t="s">
        <v>20</v>
      </c>
      <c r="C2698" s="2" t="s">
        <v>154</v>
      </c>
      <c r="D2698" s="2">
        <v>7.8</v>
      </c>
      <c r="E2698" s="2">
        <v>2023.0</v>
      </c>
      <c r="F2698" s="2" t="s">
        <v>10</v>
      </c>
      <c r="G2698" s="2" t="s">
        <v>10</v>
      </c>
    </row>
    <row r="2699" ht="14.25" customHeight="1">
      <c r="A2699" s="1" t="s">
        <v>2365</v>
      </c>
      <c r="B2699" s="1" t="s">
        <v>20</v>
      </c>
      <c r="C2699" s="2" t="s">
        <v>2363</v>
      </c>
      <c r="D2699" s="2">
        <v>7.8</v>
      </c>
      <c r="E2699" s="2">
        <v>1978.0</v>
      </c>
      <c r="F2699" s="2" t="s">
        <v>10</v>
      </c>
      <c r="G2699" s="2" t="s">
        <v>10</v>
      </c>
    </row>
    <row r="2700" ht="14.25" customHeight="1">
      <c r="A2700" s="1" t="s">
        <v>2366</v>
      </c>
      <c r="B2700" s="1" t="s">
        <v>20</v>
      </c>
      <c r="C2700" s="2" t="s">
        <v>53</v>
      </c>
      <c r="D2700" s="2">
        <v>7.8</v>
      </c>
      <c r="E2700" s="2">
        <v>2013.0</v>
      </c>
      <c r="F2700" s="2" t="s">
        <v>10</v>
      </c>
      <c r="G2700" s="2" t="s">
        <v>10</v>
      </c>
    </row>
    <row r="2701" ht="14.25" customHeight="1">
      <c r="A2701" s="1" t="s">
        <v>2367</v>
      </c>
      <c r="B2701" s="1" t="s">
        <v>8</v>
      </c>
      <c r="C2701" s="2" t="s">
        <v>468</v>
      </c>
      <c r="D2701" s="2">
        <v>7.8</v>
      </c>
      <c r="E2701" s="2">
        <v>2011.0</v>
      </c>
      <c r="F2701" s="2">
        <v>2017.0</v>
      </c>
      <c r="G2701" s="2" t="s">
        <v>10</v>
      </c>
    </row>
    <row r="2702" ht="14.25" customHeight="1">
      <c r="A2702" s="1" t="s">
        <v>2368</v>
      </c>
      <c r="B2702" s="1" t="s">
        <v>20</v>
      </c>
      <c r="C2702" s="2" t="s">
        <v>18</v>
      </c>
      <c r="D2702" s="2">
        <v>7.8</v>
      </c>
      <c r="E2702" s="2">
        <v>1969.0</v>
      </c>
      <c r="F2702" s="2" t="s">
        <v>10</v>
      </c>
      <c r="G2702" s="2" t="s">
        <v>10</v>
      </c>
    </row>
    <row r="2703" ht="14.25" customHeight="1">
      <c r="A2703" s="1" t="s">
        <v>2369</v>
      </c>
      <c r="B2703" s="1" t="s">
        <v>20</v>
      </c>
      <c r="C2703" s="2" t="s">
        <v>530</v>
      </c>
      <c r="D2703" s="2">
        <v>7.8</v>
      </c>
      <c r="E2703" s="2">
        <v>1982.0</v>
      </c>
      <c r="F2703" s="2" t="s">
        <v>10</v>
      </c>
      <c r="G2703" s="2" t="s">
        <v>10</v>
      </c>
    </row>
    <row r="2704" ht="14.25" customHeight="1">
      <c r="A2704" s="1" t="s">
        <v>2370</v>
      </c>
      <c r="B2704" s="1" t="s">
        <v>20</v>
      </c>
      <c r="C2704" s="2" t="s">
        <v>411</v>
      </c>
      <c r="D2704" s="2">
        <v>7.8</v>
      </c>
      <c r="E2704" s="2">
        <v>2006.0</v>
      </c>
      <c r="F2704" s="2" t="s">
        <v>10</v>
      </c>
      <c r="G2704" s="2" t="s">
        <v>10</v>
      </c>
    </row>
    <row r="2705" ht="14.25" customHeight="1">
      <c r="A2705" s="1" t="s">
        <v>1349</v>
      </c>
      <c r="B2705" s="1" t="s">
        <v>20</v>
      </c>
      <c r="C2705" s="2" t="s">
        <v>78</v>
      </c>
      <c r="D2705" s="2">
        <v>7.8</v>
      </c>
      <c r="E2705" s="2">
        <v>2006.0</v>
      </c>
      <c r="F2705" s="2" t="s">
        <v>10</v>
      </c>
      <c r="G2705" s="2" t="s">
        <v>10</v>
      </c>
    </row>
    <row r="2706" ht="14.25" customHeight="1">
      <c r="A2706" s="1" t="s">
        <v>2371</v>
      </c>
      <c r="B2706" s="1" t="s">
        <v>8</v>
      </c>
      <c r="C2706" s="2" t="s">
        <v>686</v>
      </c>
      <c r="D2706" s="2">
        <v>7.8</v>
      </c>
      <c r="E2706" s="2">
        <v>2016.0</v>
      </c>
      <c r="F2706" s="2">
        <v>2019.0</v>
      </c>
      <c r="G2706" s="2" t="s">
        <v>10</v>
      </c>
    </row>
    <row r="2707" ht="14.25" customHeight="1">
      <c r="A2707" s="1" t="s">
        <v>2372</v>
      </c>
      <c r="B2707" s="1" t="s">
        <v>8</v>
      </c>
      <c r="C2707" s="2" t="s">
        <v>476</v>
      </c>
      <c r="D2707" s="2">
        <v>7.8</v>
      </c>
      <c r="E2707" s="2">
        <v>2022.0</v>
      </c>
      <c r="F2707" s="2" t="s">
        <v>10</v>
      </c>
      <c r="G2707" s="2" t="s">
        <v>10</v>
      </c>
    </row>
    <row r="2708" ht="14.25" customHeight="1">
      <c r="A2708" s="1" t="s">
        <v>2373</v>
      </c>
      <c r="B2708" s="1" t="s">
        <v>20</v>
      </c>
      <c r="C2708" s="2" t="s">
        <v>53</v>
      </c>
      <c r="D2708" s="2">
        <v>7.8</v>
      </c>
      <c r="E2708" s="2">
        <v>1988.0</v>
      </c>
      <c r="F2708" s="2" t="s">
        <v>10</v>
      </c>
      <c r="G2708" s="2" t="s">
        <v>10</v>
      </c>
    </row>
    <row r="2709" ht="14.25" customHeight="1">
      <c r="A2709" s="1" t="s">
        <v>2374</v>
      </c>
      <c r="B2709" s="1" t="s">
        <v>20</v>
      </c>
      <c r="C2709" s="2" t="s">
        <v>2375</v>
      </c>
      <c r="D2709" s="2">
        <v>7.8</v>
      </c>
      <c r="E2709" s="2">
        <v>1993.0</v>
      </c>
      <c r="F2709" s="2" t="s">
        <v>10</v>
      </c>
      <c r="G2709" s="2" t="s">
        <v>10</v>
      </c>
    </row>
    <row r="2710" ht="14.25" customHeight="1">
      <c r="A2710" s="1" t="s">
        <v>2376</v>
      </c>
      <c r="B2710" s="1" t="s">
        <v>8</v>
      </c>
      <c r="C2710" s="2" t="s">
        <v>32</v>
      </c>
      <c r="D2710" s="2">
        <v>7.8</v>
      </c>
      <c r="E2710" s="2">
        <v>2005.0</v>
      </c>
      <c r="F2710" s="2" t="s">
        <v>10</v>
      </c>
      <c r="G2710" s="2" t="s">
        <v>10</v>
      </c>
    </row>
    <row r="2711" ht="14.25" customHeight="1">
      <c r="A2711" s="1" t="s">
        <v>2377</v>
      </c>
      <c r="B2711" s="1" t="s">
        <v>20</v>
      </c>
      <c r="C2711" s="2" t="s">
        <v>2378</v>
      </c>
      <c r="D2711" s="2">
        <v>7.8</v>
      </c>
      <c r="E2711" s="2">
        <v>1922.0</v>
      </c>
      <c r="F2711" s="2" t="s">
        <v>10</v>
      </c>
      <c r="G2711" s="2" t="s">
        <v>10</v>
      </c>
    </row>
    <row r="2712" ht="14.25" customHeight="1">
      <c r="A2712" s="1" t="s">
        <v>2379</v>
      </c>
      <c r="B2712" s="1" t="s">
        <v>20</v>
      </c>
      <c r="C2712" s="2" t="s">
        <v>67</v>
      </c>
      <c r="D2712" s="2">
        <v>7.8</v>
      </c>
      <c r="E2712" s="2">
        <v>1993.0</v>
      </c>
      <c r="F2712" s="2" t="s">
        <v>10</v>
      </c>
      <c r="G2712" s="2" t="s">
        <v>10</v>
      </c>
    </row>
    <row r="2713" ht="14.25" customHeight="1">
      <c r="A2713" s="1" t="s">
        <v>2380</v>
      </c>
      <c r="B2713" s="1" t="s">
        <v>20</v>
      </c>
      <c r="C2713" s="2" t="s">
        <v>187</v>
      </c>
      <c r="D2713" s="2">
        <v>7.8</v>
      </c>
      <c r="E2713" s="2">
        <v>1999.0</v>
      </c>
      <c r="F2713" s="2" t="s">
        <v>10</v>
      </c>
      <c r="G2713" s="2" t="s">
        <v>10</v>
      </c>
    </row>
    <row r="2714" ht="14.25" customHeight="1">
      <c r="A2714" s="1" t="s">
        <v>2381</v>
      </c>
      <c r="B2714" s="1" t="s">
        <v>20</v>
      </c>
      <c r="C2714" s="2" t="s">
        <v>36</v>
      </c>
      <c r="D2714" s="2">
        <v>7.8</v>
      </c>
      <c r="E2714" s="2">
        <v>2009.0</v>
      </c>
      <c r="F2714" s="2" t="s">
        <v>10</v>
      </c>
      <c r="G2714" s="2" t="s">
        <v>10</v>
      </c>
    </row>
    <row r="2715" ht="14.25" customHeight="1">
      <c r="A2715" s="1" t="s">
        <v>2382</v>
      </c>
      <c r="B2715" s="1" t="s">
        <v>20</v>
      </c>
      <c r="C2715" s="2" t="s">
        <v>1697</v>
      </c>
      <c r="D2715" s="2">
        <v>7.8</v>
      </c>
      <c r="E2715" s="2">
        <v>2013.0</v>
      </c>
      <c r="F2715" s="2" t="s">
        <v>10</v>
      </c>
      <c r="G2715" s="2" t="s">
        <v>10</v>
      </c>
    </row>
    <row r="2716" ht="14.25" customHeight="1">
      <c r="A2716" s="1" t="s">
        <v>2383</v>
      </c>
      <c r="B2716" s="1" t="s">
        <v>20</v>
      </c>
      <c r="C2716" s="2" t="s">
        <v>1316</v>
      </c>
      <c r="D2716" s="2">
        <v>7.8</v>
      </c>
      <c r="E2716" s="2">
        <v>1999.0</v>
      </c>
      <c r="F2716" s="2" t="s">
        <v>10</v>
      </c>
      <c r="G2716" s="2" t="s">
        <v>10</v>
      </c>
    </row>
    <row r="2717" ht="14.25" customHeight="1">
      <c r="A2717" s="1" t="s">
        <v>2384</v>
      </c>
      <c r="B2717" s="1" t="s">
        <v>20</v>
      </c>
      <c r="C2717" s="2" t="s">
        <v>1187</v>
      </c>
      <c r="D2717" s="2">
        <v>7.8</v>
      </c>
      <c r="E2717" s="2">
        <v>2017.0</v>
      </c>
      <c r="F2717" s="2" t="s">
        <v>10</v>
      </c>
      <c r="G2717" s="2" t="s">
        <v>10</v>
      </c>
    </row>
    <row r="2718" ht="14.25" customHeight="1">
      <c r="A2718" s="1" t="s">
        <v>2385</v>
      </c>
      <c r="B2718" s="1" t="s">
        <v>20</v>
      </c>
      <c r="C2718" s="2" t="s">
        <v>157</v>
      </c>
      <c r="D2718" s="2">
        <v>7.8</v>
      </c>
      <c r="E2718" s="2">
        <v>1956.0</v>
      </c>
      <c r="F2718" s="2" t="s">
        <v>10</v>
      </c>
      <c r="G2718" s="2" t="s">
        <v>10</v>
      </c>
    </row>
    <row r="2719" ht="14.25" customHeight="1">
      <c r="A2719" s="1" t="s">
        <v>2386</v>
      </c>
      <c r="B2719" s="1" t="s">
        <v>8</v>
      </c>
      <c r="C2719" s="2" t="s">
        <v>476</v>
      </c>
      <c r="D2719" s="2">
        <v>7.8</v>
      </c>
      <c r="E2719" s="2">
        <v>2021.0</v>
      </c>
      <c r="F2719" s="2" t="s">
        <v>10</v>
      </c>
      <c r="G2719" s="2" t="s">
        <v>10</v>
      </c>
    </row>
    <row r="2720" ht="14.25" customHeight="1">
      <c r="A2720" s="1" t="s">
        <v>2387</v>
      </c>
      <c r="B2720" s="1" t="s">
        <v>8</v>
      </c>
      <c r="C2720" s="2" t="s">
        <v>559</v>
      </c>
      <c r="D2720" s="2">
        <v>7.8</v>
      </c>
      <c r="E2720" s="2">
        <v>2017.0</v>
      </c>
      <c r="F2720" s="2">
        <v>2020.0</v>
      </c>
      <c r="G2720" s="2">
        <v>1.25E7</v>
      </c>
    </row>
    <row r="2721" ht="14.25" customHeight="1">
      <c r="A2721" s="1" t="s">
        <v>2387</v>
      </c>
      <c r="B2721" s="1" t="s">
        <v>8</v>
      </c>
      <c r="C2721" s="2" t="s">
        <v>559</v>
      </c>
      <c r="D2721" s="2">
        <v>7.8</v>
      </c>
      <c r="E2721" s="2">
        <v>2017.0</v>
      </c>
      <c r="F2721" s="2">
        <v>2020.0</v>
      </c>
      <c r="G2721" s="2">
        <v>7400000.0</v>
      </c>
    </row>
    <row r="2722" ht="14.25" customHeight="1">
      <c r="A2722" s="1" t="s">
        <v>2387</v>
      </c>
      <c r="B2722" s="1" t="s">
        <v>8</v>
      </c>
      <c r="C2722" s="2" t="s">
        <v>559</v>
      </c>
      <c r="D2722" s="2">
        <v>7.8</v>
      </c>
      <c r="E2722" s="2">
        <v>2017.0</v>
      </c>
      <c r="F2722" s="2">
        <v>2020.0</v>
      </c>
      <c r="G2722" s="2">
        <v>1.359E7</v>
      </c>
    </row>
    <row r="2723" ht="14.25" customHeight="1">
      <c r="A2723" s="1" t="s">
        <v>2387</v>
      </c>
      <c r="B2723" s="1" t="s">
        <v>8</v>
      </c>
      <c r="C2723" s="2" t="s">
        <v>559</v>
      </c>
      <c r="D2723" s="2">
        <v>7.8</v>
      </c>
      <c r="E2723" s="2">
        <v>2017.0</v>
      </c>
      <c r="F2723" s="2">
        <v>2020.0</v>
      </c>
      <c r="G2723" s="2">
        <v>1.141E7</v>
      </c>
    </row>
    <row r="2724" ht="14.25" customHeight="1">
      <c r="A2724" s="1" t="s">
        <v>2387</v>
      </c>
      <c r="B2724" s="1" t="s">
        <v>8</v>
      </c>
      <c r="C2724" s="2" t="s">
        <v>559</v>
      </c>
      <c r="D2724" s="2">
        <v>7.8</v>
      </c>
      <c r="E2724" s="2">
        <v>2017.0</v>
      </c>
      <c r="F2724" s="2">
        <v>2020.0</v>
      </c>
      <c r="G2724" s="2">
        <v>2.539E7</v>
      </c>
    </row>
    <row r="2725" ht="14.25" customHeight="1">
      <c r="A2725" s="1" t="s">
        <v>2387</v>
      </c>
      <c r="B2725" s="1" t="s">
        <v>8</v>
      </c>
      <c r="C2725" s="2" t="s">
        <v>559</v>
      </c>
      <c r="D2725" s="2">
        <v>7.8</v>
      </c>
      <c r="E2725" s="2">
        <v>2017.0</v>
      </c>
      <c r="F2725" s="2">
        <v>2020.0</v>
      </c>
      <c r="G2725" s="2">
        <v>1.957E7</v>
      </c>
    </row>
    <row r="2726" ht="14.25" customHeight="1">
      <c r="A2726" s="1" t="s">
        <v>2388</v>
      </c>
      <c r="B2726" s="1" t="s">
        <v>8</v>
      </c>
      <c r="C2726" s="2" t="s">
        <v>2237</v>
      </c>
      <c r="D2726" s="2">
        <v>7.8</v>
      </c>
      <c r="E2726" s="2">
        <v>2015.0</v>
      </c>
      <c r="F2726" s="2" t="s">
        <v>10</v>
      </c>
      <c r="G2726" s="2" t="s">
        <v>10</v>
      </c>
    </row>
    <row r="2727" ht="14.25" customHeight="1">
      <c r="A2727" s="1" t="s">
        <v>2389</v>
      </c>
      <c r="B2727" s="1" t="s">
        <v>8</v>
      </c>
      <c r="C2727" s="2" t="s">
        <v>2390</v>
      </c>
      <c r="D2727" s="2">
        <v>7.8</v>
      </c>
      <c r="E2727" s="2">
        <v>2003.0</v>
      </c>
      <c r="F2727" s="2" t="s">
        <v>10</v>
      </c>
      <c r="G2727" s="2" t="s">
        <v>10</v>
      </c>
    </row>
    <row r="2728" ht="14.25" customHeight="1">
      <c r="A2728" s="1" t="s">
        <v>2391</v>
      </c>
      <c r="B2728" s="1" t="s">
        <v>8</v>
      </c>
      <c r="C2728" s="2" t="s">
        <v>78</v>
      </c>
      <c r="D2728" s="2">
        <v>7.8</v>
      </c>
      <c r="E2728" s="2">
        <v>2019.0</v>
      </c>
      <c r="F2728" s="2" t="s">
        <v>10</v>
      </c>
      <c r="G2728" s="2" t="s">
        <v>10</v>
      </c>
    </row>
    <row r="2729" ht="14.25" customHeight="1">
      <c r="A2729" s="1" t="s">
        <v>2392</v>
      </c>
      <c r="B2729" s="1" t="s">
        <v>20</v>
      </c>
      <c r="C2729" s="2" t="s">
        <v>1844</v>
      </c>
      <c r="D2729" s="2">
        <v>7.8</v>
      </c>
      <c r="E2729" s="2">
        <v>1963.0</v>
      </c>
      <c r="F2729" s="2" t="s">
        <v>10</v>
      </c>
      <c r="G2729" s="2" t="s">
        <v>10</v>
      </c>
    </row>
    <row r="2730" ht="14.25" customHeight="1">
      <c r="A2730" s="1" t="s">
        <v>2393</v>
      </c>
      <c r="B2730" s="1" t="s">
        <v>20</v>
      </c>
      <c r="C2730" s="2" t="s">
        <v>154</v>
      </c>
      <c r="D2730" s="2">
        <v>7.8</v>
      </c>
      <c r="E2730" s="2">
        <v>1993.0</v>
      </c>
      <c r="F2730" s="2" t="s">
        <v>10</v>
      </c>
      <c r="G2730" s="2" t="s">
        <v>10</v>
      </c>
    </row>
    <row r="2731" ht="14.25" customHeight="1">
      <c r="A2731" s="1" t="s">
        <v>2394</v>
      </c>
      <c r="B2731" s="1" t="s">
        <v>8</v>
      </c>
      <c r="C2731" s="2" t="s">
        <v>63</v>
      </c>
      <c r="D2731" s="2">
        <v>7.8</v>
      </c>
      <c r="E2731" s="2">
        <v>2020.0</v>
      </c>
      <c r="F2731" s="2">
        <v>2021.0</v>
      </c>
      <c r="G2731" s="2">
        <v>1.42E7</v>
      </c>
    </row>
    <row r="2732" ht="14.25" customHeight="1">
      <c r="A2732" s="1" t="s">
        <v>2394</v>
      </c>
      <c r="B2732" s="1" t="s">
        <v>8</v>
      </c>
      <c r="C2732" s="2" t="s">
        <v>63</v>
      </c>
      <c r="D2732" s="2">
        <v>7.8</v>
      </c>
      <c r="E2732" s="2">
        <v>2020.0</v>
      </c>
      <c r="F2732" s="2">
        <v>2021.0</v>
      </c>
      <c r="G2732" s="2">
        <v>2.46E7</v>
      </c>
    </row>
    <row r="2733" ht="14.25" customHeight="1">
      <c r="A2733" s="1" t="s">
        <v>2394</v>
      </c>
      <c r="B2733" s="1" t="s">
        <v>8</v>
      </c>
      <c r="C2733" s="2" t="s">
        <v>63</v>
      </c>
      <c r="D2733" s="2">
        <v>7.8</v>
      </c>
      <c r="E2733" s="2">
        <v>2020.0</v>
      </c>
      <c r="F2733" s="2">
        <v>2021.0</v>
      </c>
      <c r="G2733" s="2">
        <v>5.64E7</v>
      </c>
    </row>
    <row r="2734" ht="14.25" customHeight="1">
      <c r="A2734" s="1" t="s">
        <v>2394</v>
      </c>
      <c r="B2734" s="1" t="s">
        <v>8</v>
      </c>
      <c r="C2734" s="2" t="s">
        <v>63</v>
      </c>
      <c r="D2734" s="2">
        <v>7.8</v>
      </c>
      <c r="E2734" s="2">
        <v>2020.0</v>
      </c>
      <c r="F2734" s="2">
        <v>2021.0</v>
      </c>
      <c r="G2734" s="2">
        <v>1.19E7</v>
      </c>
    </row>
    <row r="2735" ht="14.25" customHeight="1">
      <c r="A2735" s="1" t="s">
        <v>2394</v>
      </c>
      <c r="B2735" s="1" t="s">
        <v>8</v>
      </c>
      <c r="C2735" s="2" t="s">
        <v>63</v>
      </c>
      <c r="D2735" s="2">
        <v>7.8</v>
      </c>
      <c r="E2735" s="2">
        <v>2020.0</v>
      </c>
      <c r="F2735" s="2">
        <v>2021.0</v>
      </c>
      <c r="G2735" s="2">
        <v>1.08E7</v>
      </c>
    </row>
    <row r="2736" ht="14.25" customHeight="1">
      <c r="A2736" s="1" t="s">
        <v>2394</v>
      </c>
      <c r="B2736" s="1" t="s">
        <v>8</v>
      </c>
      <c r="C2736" s="2" t="s">
        <v>63</v>
      </c>
      <c r="D2736" s="2">
        <v>7.8</v>
      </c>
      <c r="E2736" s="2">
        <v>2020.0</v>
      </c>
      <c r="F2736" s="2">
        <v>2021.0</v>
      </c>
      <c r="G2736" s="2">
        <v>7.621E7</v>
      </c>
    </row>
    <row r="2737" ht="14.25" customHeight="1">
      <c r="A2737" s="1" t="s">
        <v>2394</v>
      </c>
      <c r="B2737" s="1" t="s">
        <v>8</v>
      </c>
      <c r="C2737" s="2" t="s">
        <v>63</v>
      </c>
      <c r="D2737" s="2">
        <v>7.8</v>
      </c>
      <c r="E2737" s="2">
        <v>2020.0</v>
      </c>
      <c r="F2737" s="2">
        <v>2021.0</v>
      </c>
      <c r="G2737" s="2">
        <v>1.482E7</v>
      </c>
    </row>
    <row r="2738" ht="14.25" customHeight="1">
      <c r="A2738" s="1" t="s">
        <v>2394</v>
      </c>
      <c r="B2738" s="1" t="s">
        <v>8</v>
      </c>
      <c r="C2738" s="2" t="s">
        <v>63</v>
      </c>
      <c r="D2738" s="2">
        <v>7.8</v>
      </c>
      <c r="E2738" s="2">
        <v>2020.0</v>
      </c>
      <c r="F2738" s="2">
        <v>2021.0</v>
      </c>
      <c r="G2738" s="2">
        <v>2.564E7</v>
      </c>
    </row>
    <row r="2739" ht="14.25" customHeight="1">
      <c r="A2739" s="1" t="s">
        <v>2394</v>
      </c>
      <c r="B2739" s="1" t="s">
        <v>8</v>
      </c>
      <c r="C2739" s="2" t="s">
        <v>63</v>
      </c>
      <c r="D2739" s="2">
        <v>7.8</v>
      </c>
      <c r="E2739" s="2">
        <v>2020.0</v>
      </c>
      <c r="F2739" s="2">
        <v>2021.0</v>
      </c>
      <c r="G2739" s="2">
        <v>5.945E7</v>
      </c>
    </row>
    <row r="2740" ht="14.25" customHeight="1">
      <c r="A2740" s="1" t="s">
        <v>2394</v>
      </c>
      <c r="B2740" s="1" t="s">
        <v>8</v>
      </c>
      <c r="C2740" s="2" t="s">
        <v>63</v>
      </c>
      <c r="D2740" s="2">
        <v>7.8</v>
      </c>
      <c r="E2740" s="2">
        <v>2020.0</v>
      </c>
      <c r="F2740" s="2">
        <v>2021.0</v>
      </c>
      <c r="G2740" s="2">
        <v>1.701E7</v>
      </c>
    </row>
    <row r="2741" ht="14.25" customHeight="1">
      <c r="A2741" s="1" t="s">
        <v>2394</v>
      </c>
      <c r="B2741" s="1" t="s">
        <v>8</v>
      </c>
      <c r="C2741" s="2" t="s">
        <v>63</v>
      </c>
      <c r="D2741" s="2">
        <v>7.8</v>
      </c>
      <c r="E2741" s="2">
        <v>2020.0</v>
      </c>
      <c r="F2741" s="2">
        <v>2021.0</v>
      </c>
      <c r="G2741" s="2">
        <v>1.677E7</v>
      </c>
    </row>
    <row r="2742" ht="14.25" customHeight="1">
      <c r="A2742" s="1" t="s">
        <v>2394</v>
      </c>
      <c r="B2742" s="1" t="s">
        <v>8</v>
      </c>
      <c r="C2742" s="2" t="s">
        <v>63</v>
      </c>
      <c r="D2742" s="2">
        <v>7.8</v>
      </c>
      <c r="E2742" s="2">
        <v>2020.0</v>
      </c>
      <c r="F2742" s="2">
        <v>2021.0</v>
      </c>
      <c r="G2742" s="2">
        <v>5.501E7</v>
      </c>
    </row>
    <row r="2743" ht="14.25" customHeight="1">
      <c r="A2743" s="1" t="s">
        <v>2394</v>
      </c>
      <c r="B2743" s="1" t="s">
        <v>8</v>
      </c>
      <c r="C2743" s="2" t="s">
        <v>63</v>
      </c>
      <c r="D2743" s="2">
        <v>7.8</v>
      </c>
      <c r="E2743" s="2">
        <v>2020.0</v>
      </c>
      <c r="F2743" s="2">
        <v>2021.0</v>
      </c>
      <c r="G2743" s="2">
        <v>2.357E7</v>
      </c>
    </row>
    <row r="2744" ht="14.25" customHeight="1">
      <c r="A2744" s="1" t="s">
        <v>2394</v>
      </c>
      <c r="B2744" s="1" t="s">
        <v>8</v>
      </c>
      <c r="C2744" s="2" t="s">
        <v>63</v>
      </c>
      <c r="D2744" s="2">
        <v>7.8</v>
      </c>
      <c r="E2744" s="2">
        <v>2020.0</v>
      </c>
      <c r="F2744" s="2">
        <v>2021.0</v>
      </c>
      <c r="G2744" s="2">
        <v>5.019E7</v>
      </c>
    </row>
    <row r="2745" ht="14.25" customHeight="1">
      <c r="A2745" s="1" t="s">
        <v>2394</v>
      </c>
      <c r="B2745" s="1" t="s">
        <v>8</v>
      </c>
      <c r="C2745" s="2" t="s">
        <v>63</v>
      </c>
      <c r="D2745" s="2">
        <v>7.8</v>
      </c>
      <c r="E2745" s="2">
        <v>2020.0</v>
      </c>
      <c r="F2745" s="2">
        <v>2021.0</v>
      </c>
      <c r="G2745" s="2">
        <v>1.74E7</v>
      </c>
    </row>
    <row r="2746" ht="14.25" customHeight="1">
      <c r="A2746" s="1" t="s">
        <v>2394</v>
      </c>
      <c r="B2746" s="1" t="s">
        <v>8</v>
      </c>
      <c r="C2746" s="2" t="s">
        <v>63</v>
      </c>
      <c r="D2746" s="2">
        <v>7.8</v>
      </c>
      <c r="E2746" s="2">
        <v>2020.0</v>
      </c>
      <c r="F2746" s="2">
        <v>2021.0</v>
      </c>
      <c r="G2746" s="2">
        <v>5.838E7</v>
      </c>
    </row>
    <row r="2747" ht="14.25" customHeight="1">
      <c r="A2747" s="1" t="s">
        <v>2395</v>
      </c>
      <c r="B2747" s="1" t="s">
        <v>8</v>
      </c>
      <c r="C2747" s="2" t="s">
        <v>2396</v>
      </c>
      <c r="D2747" s="2">
        <v>7.8</v>
      </c>
      <c r="E2747" s="2">
        <v>2020.0</v>
      </c>
      <c r="F2747" s="2" t="s">
        <v>10</v>
      </c>
      <c r="G2747" s="2" t="s">
        <v>10</v>
      </c>
    </row>
    <row r="2748" ht="14.25" customHeight="1">
      <c r="A2748" s="1" t="s">
        <v>2397</v>
      </c>
      <c r="B2748" s="1" t="s">
        <v>20</v>
      </c>
      <c r="C2748" s="2" t="s">
        <v>1982</v>
      </c>
      <c r="D2748" s="2">
        <v>7.8</v>
      </c>
      <c r="E2748" s="2">
        <v>1931.0</v>
      </c>
      <c r="F2748" s="2" t="s">
        <v>10</v>
      </c>
      <c r="G2748" s="2" t="s">
        <v>10</v>
      </c>
    </row>
    <row r="2749" ht="14.25" customHeight="1">
      <c r="A2749" s="1" t="s">
        <v>2398</v>
      </c>
      <c r="B2749" s="1" t="s">
        <v>20</v>
      </c>
      <c r="C2749" s="2" t="s">
        <v>249</v>
      </c>
      <c r="D2749" s="2">
        <v>7.8</v>
      </c>
      <c r="E2749" s="2">
        <v>1976.0</v>
      </c>
      <c r="F2749" s="2">
        <v>1976.0</v>
      </c>
      <c r="G2749" s="2" t="s">
        <v>10</v>
      </c>
    </row>
    <row r="2750" ht="14.25" customHeight="1">
      <c r="A2750" s="1" t="s">
        <v>2399</v>
      </c>
      <c r="B2750" s="1" t="s">
        <v>20</v>
      </c>
      <c r="C2750" s="2" t="s">
        <v>169</v>
      </c>
      <c r="D2750" s="2">
        <v>7.8</v>
      </c>
      <c r="E2750" s="2">
        <v>1989.0</v>
      </c>
      <c r="F2750" s="2" t="s">
        <v>10</v>
      </c>
      <c r="G2750" s="2" t="s">
        <v>10</v>
      </c>
    </row>
    <row r="2751" ht="14.25" customHeight="1">
      <c r="A2751" s="1" t="s">
        <v>2400</v>
      </c>
      <c r="B2751" s="1" t="s">
        <v>20</v>
      </c>
      <c r="C2751" s="2" t="s">
        <v>468</v>
      </c>
      <c r="D2751" s="2">
        <v>7.8</v>
      </c>
      <c r="E2751" s="2">
        <v>2009.0</v>
      </c>
      <c r="F2751" s="2" t="s">
        <v>10</v>
      </c>
      <c r="G2751" s="2" t="s">
        <v>10</v>
      </c>
    </row>
    <row r="2752" ht="14.25" customHeight="1">
      <c r="A2752" s="1" t="s">
        <v>2401</v>
      </c>
      <c r="B2752" s="1" t="s">
        <v>8</v>
      </c>
      <c r="C2752" s="2" t="s">
        <v>766</v>
      </c>
      <c r="D2752" s="2">
        <v>7.8</v>
      </c>
      <c r="E2752" s="2">
        <v>2017.0</v>
      </c>
      <c r="F2752" s="2">
        <v>2019.0</v>
      </c>
      <c r="G2752" s="2" t="s">
        <v>10</v>
      </c>
    </row>
    <row r="2753" ht="14.25" customHeight="1">
      <c r="A2753" s="1" t="s">
        <v>2402</v>
      </c>
      <c r="B2753" s="1" t="s">
        <v>20</v>
      </c>
      <c r="C2753" s="2" t="s">
        <v>63</v>
      </c>
      <c r="D2753" s="2">
        <v>7.8</v>
      </c>
      <c r="E2753" s="2">
        <v>1986.0</v>
      </c>
      <c r="F2753" s="2" t="s">
        <v>10</v>
      </c>
      <c r="G2753" s="2" t="s">
        <v>10</v>
      </c>
    </row>
    <row r="2754" ht="14.25" customHeight="1">
      <c r="A2754" s="1" t="s">
        <v>2403</v>
      </c>
      <c r="B2754" s="1" t="s">
        <v>8</v>
      </c>
      <c r="C2754" s="2" t="s">
        <v>159</v>
      </c>
      <c r="D2754" s="2">
        <v>7.8</v>
      </c>
      <c r="E2754" s="2">
        <v>2015.0</v>
      </c>
      <c r="F2754" s="2" t="s">
        <v>10</v>
      </c>
      <c r="G2754" s="2">
        <v>1.05E7</v>
      </c>
    </row>
    <row r="2755" ht="14.25" customHeight="1">
      <c r="A2755" s="1" t="s">
        <v>2403</v>
      </c>
      <c r="B2755" s="1" t="s">
        <v>8</v>
      </c>
      <c r="C2755" s="2" t="s">
        <v>159</v>
      </c>
      <c r="D2755" s="2">
        <v>7.8</v>
      </c>
      <c r="E2755" s="2">
        <v>2015.0</v>
      </c>
      <c r="F2755" s="2" t="s">
        <v>10</v>
      </c>
      <c r="G2755" s="2">
        <v>1.84E7</v>
      </c>
    </row>
    <row r="2756" ht="14.25" customHeight="1">
      <c r="A2756" s="1" t="s">
        <v>2404</v>
      </c>
      <c r="B2756" s="1" t="s">
        <v>8</v>
      </c>
      <c r="C2756" s="2" t="s">
        <v>53</v>
      </c>
      <c r="D2756" s="2">
        <v>7.8</v>
      </c>
      <c r="E2756" s="2">
        <v>2022.0</v>
      </c>
      <c r="F2756" s="2">
        <v>2011.0</v>
      </c>
      <c r="G2756" s="2">
        <v>1.53E7</v>
      </c>
    </row>
    <row r="2757" ht="14.25" customHeight="1">
      <c r="A2757" s="1" t="s">
        <v>2404</v>
      </c>
      <c r="B2757" s="1" t="s">
        <v>8</v>
      </c>
      <c r="C2757" s="2" t="s">
        <v>53</v>
      </c>
      <c r="D2757" s="2">
        <v>7.8</v>
      </c>
      <c r="E2757" s="2">
        <v>2022.0</v>
      </c>
      <c r="F2757" s="2">
        <v>2011.0</v>
      </c>
      <c r="G2757" s="2">
        <v>2.35E7</v>
      </c>
    </row>
    <row r="2758" ht="14.25" customHeight="1">
      <c r="A2758" s="1" t="s">
        <v>2404</v>
      </c>
      <c r="B2758" s="1" t="s">
        <v>8</v>
      </c>
      <c r="C2758" s="2" t="s">
        <v>53</v>
      </c>
      <c r="D2758" s="2">
        <v>7.8</v>
      </c>
      <c r="E2758" s="2">
        <v>2022.0</v>
      </c>
      <c r="F2758" s="2">
        <v>2011.0</v>
      </c>
      <c r="G2758" s="2">
        <v>4.24E7</v>
      </c>
    </row>
    <row r="2759" ht="14.25" customHeight="1">
      <c r="A2759" s="1" t="s">
        <v>2404</v>
      </c>
      <c r="B2759" s="1" t="s">
        <v>8</v>
      </c>
      <c r="C2759" s="2" t="s">
        <v>53</v>
      </c>
      <c r="D2759" s="2">
        <v>7.8</v>
      </c>
      <c r="E2759" s="2">
        <v>2022.0</v>
      </c>
      <c r="F2759" s="2">
        <v>2011.0</v>
      </c>
      <c r="G2759" s="2">
        <v>1.83E7</v>
      </c>
    </row>
    <row r="2760" ht="14.25" customHeight="1">
      <c r="A2760" s="1" t="s">
        <v>2404</v>
      </c>
      <c r="B2760" s="1" t="s">
        <v>8</v>
      </c>
      <c r="C2760" s="2" t="s">
        <v>53</v>
      </c>
      <c r="D2760" s="2">
        <v>7.8</v>
      </c>
      <c r="E2760" s="2">
        <v>2022.0</v>
      </c>
      <c r="F2760" s="2">
        <v>2011.0</v>
      </c>
      <c r="G2760" s="2">
        <v>5.52E7</v>
      </c>
    </row>
    <row r="2761" ht="14.25" customHeight="1">
      <c r="A2761" s="1" t="s">
        <v>2404</v>
      </c>
      <c r="B2761" s="1" t="s">
        <v>8</v>
      </c>
      <c r="C2761" s="2" t="s">
        <v>53</v>
      </c>
      <c r="D2761" s="2">
        <v>7.8</v>
      </c>
      <c r="E2761" s="2">
        <v>2022.0</v>
      </c>
      <c r="F2761" s="2">
        <v>2011.0</v>
      </c>
      <c r="G2761" s="2">
        <v>1.73E7</v>
      </c>
    </row>
    <row r="2762" ht="14.25" customHeight="1">
      <c r="A2762" s="1" t="s">
        <v>2404</v>
      </c>
      <c r="B2762" s="1" t="s">
        <v>8</v>
      </c>
      <c r="C2762" s="2" t="s">
        <v>53</v>
      </c>
      <c r="D2762" s="2">
        <v>7.8</v>
      </c>
      <c r="E2762" s="2">
        <v>2022.0</v>
      </c>
      <c r="F2762" s="2">
        <v>2011.0</v>
      </c>
      <c r="G2762" s="2">
        <v>1.26E7</v>
      </c>
    </row>
    <row r="2763" ht="14.25" customHeight="1">
      <c r="A2763" s="1" t="s">
        <v>2404</v>
      </c>
      <c r="B2763" s="1" t="s">
        <v>8</v>
      </c>
      <c r="C2763" s="2" t="s">
        <v>53</v>
      </c>
      <c r="D2763" s="2">
        <v>7.8</v>
      </c>
      <c r="E2763" s="2">
        <v>2022.0</v>
      </c>
      <c r="F2763" s="2">
        <v>2011.0</v>
      </c>
      <c r="G2763" s="2">
        <v>1.94E7</v>
      </c>
    </row>
    <row r="2764" ht="14.25" customHeight="1">
      <c r="A2764" s="1" t="s">
        <v>2404</v>
      </c>
      <c r="B2764" s="1" t="s">
        <v>8</v>
      </c>
      <c r="C2764" s="2" t="s">
        <v>53</v>
      </c>
      <c r="D2764" s="2">
        <v>7.8</v>
      </c>
      <c r="E2764" s="2">
        <v>2022.0</v>
      </c>
      <c r="F2764" s="2">
        <v>2011.0</v>
      </c>
      <c r="G2764" s="2">
        <v>1.78E7</v>
      </c>
    </row>
    <row r="2765" ht="14.25" customHeight="1">
      <c r="A2765" s="1" t="s">
        <v>2404</v>
      </c>
      <c r="B2765" s="1" t="s">
        <v>8</v>
      </c>
      <c r="C2765" s="2" t="s">
        <v>53</v>
      </c>
      <c r="D2765" s="2">
        <v>7.8</v>
      </c>
      <c r="E2765" s="2">
        <v>2022.0</v>
      </c>
      <c r="F2765" s="2">
        <v>2011.0</v>
      </c>
      <c r="G2765" s="2">
        <v>3.53E7</v>
      </c>
    </row>
    <row r="2766" ht="14.25" customHeight="1">
      <c r="A2766" s="1" t="s">
        <v>2404</v>
      </c>
      <c r="B2766" s="1" t="s">
        <v>8</v>
      </c>
      <c r="C2766" s="2" t="s">
        <v>53</v>
      </c>
      <c r="D2766" s="2">
        <v>7.8</v>
      </c>
      <c r="E2766" s="2">
        <v>2022.0</v>
      </c>
      <c r="F2766" s="2">
        <v>2011.0</v>
      </c>
      <c r="G2766" s="2">
        <v>2.83E7</v>
      </c>
    </row>
    <row r="2767" ht="14.25" customHeight="1">
      <c r="A2767" s="1" t="s">
        <v>2404</v>
      </c>
      <c r="B2767" s="1" t="s">
        <v>8</v>
      </c>
      <c r="C2767" s="2" t="s">
        <v>53</v>
      </c>
      <c r="D2767" s="2">
        <v>7.8</v>
      </c>
      <c r="E2767" s="2">
        <v>2022.0</v>
      </c>
      <c r="F2767" s="2">
        <v>2011.0</v>
      </c>
      <c r="G2767" s="2">
        <v>3.14E7</v>
      </c>
    </row>
    <row r="2768" ht="14.25" customHeight="1">
      <c r="A2768" s="1" t="s">
        <v>2404</v>
      </c>
      <c r="B2768" s="1" t="s">
        <v>8</v>
      </c>
      <c r="C2768" s="2" t="s">
        <v>53</v>
      </c>
      <c r="D2768" s="2">
        <v>7.8</v>
      </c>
      <c r="E2768" s="2">
        <v>2022.0</v>
      </c>
      <c r="F2768" s="2">
        <v>2011.0</v>
      </c>
      <c r="G2768" s="2">
        <v>1.92E7</v>
      </c>
    </row>
    <row r="2769" ht="14.25" customHeight="1">
      <c r="A2769" s="1" t="s">
        <v>2404</v>
      </c>
      <c r="B2769" s="1" t="s">
        <v>8</v>
      </c>
      <c r="C2769" s="2" t="s">
        <v>53</v>
      </c>
      <c r="D2769" s="2">
        <v>7.8</v>
      </c>
      <c r="E2769" s="2">
        <v>2022.0</v>
      </c>
      <c r="F2769" s="2">
        <v>2011.0</v>
      </c>
      <c r="G2769" s="2">
        <v>1.755E7</v>
      </c>
    </row>
    <row r="2770" ht="14.25" customHeight="1">
      <c r="A2770" s="1" t="s">
        <v>2404</v>
      </c>
      <c r="B2770" s="1" t="s">
        <v>8</v>
      </c>
      <c r="C2770" s="2" t="s">
        <v>53</v>
      </c>
      <c r="D2770" s="2">
        <v>7.8</v>
      </c>
      <c r="E2770" s="2">
        <v>2022.0</v>
      </c>
      <c r="F2770" s="2">
        <v>2011.0</v>
      </c>
      <c r="G2770" s="2">
        <v>2.719E7</v>
      </c>
    </row>
    <row r="2771" ht="14.25" customHeight="1">
      <c r="A2771" s="1" t="s">
        <v>2404</v>
      </c>
      <c r="B2771" s="1" t="s">
        <v>8</v>
      </c>
      <c r="C2771" s="2" t="s">
        <v>53</v>
      </c>
      <c r="D2771" s="2">
        <v>7.8</v>
      </c>
      <c r="E2771" s="2">
        <v>2022.0</v>
      </c>
      <c r="F2771" s="2">
        <v>2011.0</v>
      </c>
      <c r="G2771" s="2">
        <v>4.253E7</v>
      </c>
    </row>
    <row r="2772" ht="14.25" customHeight="1">
      <c r="A2772" s="1" t="s">
        <v>2404</v>
      </c>
      <c r="B2772" s="1" t="s">
        <v>8</v>
      </c>
      <c r="C2772" s="2" t="s">
        <v>53</v>
      </c>
      <c r="D2772" s="2">
        <v>7.8</v>
      </c>
      <c r="E2772" s="2">
        <v>2022.0</v>
      </c>
      <c r="F2772" s="2">
        <v>2011.0</v>
      </c>
      <c r="G2772" s="2">
        <v>6.482E7</v>
      </c>
    </row>
    <row r="2773" ht="14.25" customHeight="1">
      <c r="A2773" s="1" t="s">
        <v>2404</v>
      </c>
      <c r="B2773" s="1" t="s">
        <v>8</v>
      </c>
      <c r="C2773" s="2" t="s">
        <v>53</v>
      </c>
      <c r="D2773" s="2">
        <v>7.8</v>
      </c>
      <c r="E2773" s="2">
        <v>2022.0</v>
      </c>
      <c r="F2773" s="2">
        <v>2011.0</v>
      </c>
      <c r="G2773" s="2">
        <v>1.0809E8</v>
      </c>
    </row>
    <row r="2774" ht="14.25" customHeight="1">
      <c r="A2774" s="1" t="s">
        <v>2404</v>
      </c>
      <c r="B2774" s="1" t="s">
        <v>8</v>
      </c>
      <c r="C2774" s="2" t="s">
        <v>53</v>
      </c>
      <c r="D2774" s="2">
        <v>7.8</v>
      </c>
      <c r="E2774" s="2">
        <v>2022.0</v>
      </c>
      <c r="F2774" s="2">
        <v>2011.0</v>
      </c>
      <c r="G2774" s="2">
        <v>4.509E7</v>
      </c>
    </row>
    <row r="2775" ht="14.25" customHeight="1">
      <c r="A2775" s="1" t="s">
        <v>2405</v>
      </c>
      <c r="B2775" s="1" t="s">
        <v>8</v>
      </c>
      <c r="C2775" s="2" t="s">
        <v>530</v>
      </c>
      <c r="D2775" s="2">
        <v>7.8</v>
      </c>
      <c r="E2775" s="2">
        <v>2015.0</v>
      </c>
      <c r="F2775" s="2">
        <v>2019.0</v>
      </c>
      <c r="G2775" s="2" t="s">
        <v>10</v>
      </c>
    </row>
    <row r="2776" ht="14.25" customHeight="1">
      <c r="A2776" s="1" t="s">
        <v>2406</v>
      </c>
      <c r="B2776" s="1" t="s">
        <v>20</v>
      </c>
      <c r="C2776" s="2" t="s">
        <v>710</v>
      </c>
      <c r="D2776" s="2">
        <v>7.8</v>
      </c>
      <c r="E2776" s="2">
        <v>1995.0</v>
      </c>
      <c r="F2776" s="2" t="s">
        <v>10</v>
      </c>
      <c r="G2776" s="2" t="s">
        <v>10</v>
      </c>
    </row>
    <row r="2777" ht="14.25" customHeight="1">
      <c r="A2777" s="1" t="s">
        <v>2407</v>
      </c>
      <c r="B2777" s="1" t="s">
        <v>20</v>
      </c>
      <c r="C2777" s="2" t="s">
        <v>118</v>
      </c>
      <c r="D2777" s="2">
        <v>7.8</v>
      </c>
      <c r="E2777" s="2">
        <v>1940.0</v>
      </c>
      <c r="F2777" s="2" t="s">
        <v>10</v>
      </c>
      <c r="G2777" s="2" t="s">
        <v>10</v>
      </c>
    </row>
    <row r="2778" ht="14.25" customHeight="1">
      <c r="A2778" s="1" t="s">
        <v>2408</v>
      </c>
      <c r="B2778" s="1" t="s">
        <v>20</v>
      </c>
      <c r="C2778" s="2" t="s">
        <v>69</v>
      </c>
      <c r="D2778" s="2">
        <v>7.8</v>
      </c>
      <c r="E2778" s="2">
        <v>2008.0</v>
      </c>
      <c r="F2778" s="2" t="s">
        <v>10</v>
      </c>
      <c r="G2778" s="2" t="s">
        <v>10</v>
      </c>
    </row>
    <row r="2779" ht="14.25" customHeight="1">
      <c r="A2779" s="1" t="s">
        <v>2409</v>
      </c>
      <c r="B2779" s="1" t="s">
        <v>20</v>
      </c>
      <c r="C2779" s="2" t="s">
        <v>67</v>
      </c>
      <c r="D2779" s="2">
        <v>7.8</v>
      </c>
      <c r="E2779" s="2">
        <v>1992.0</v>
      </c>
      <c r="F2779" s="2" t="s">
        <v>10</v>
      </c>
      <c r="G2779" s="2" t="s">
        <v>10</v>
      </c>
    </row>
    <row r="2780" ht="14.25" customHeight="1">
      <c r="A2780" s="1" t="s">
        <v>2410</v>
      </c>
      <c r="B2780" s="1" t="s">
        <v>20</v>
      </c>
      <c r="C2780" s="2" t="s">
        <v>18</v>
      </c>
      <c r="D2780" s="2">
        <v>7.8</v>
      </c>
      <c r="E2780" s="2">
        <v>1996.0</v>
      </c>
      <c r="F2780" s="2" t="s">
        <v>10</v>
      </c>
      <c r="G2780" s="2" t="s">
        <v>10</v>
      </c>
    </row>
    <row r="2781" ht="14.25" customHeight="1">
      <c r="A2781" s="1" t="s">
        <v>2411</v>
      </c>
      <c r="B2781" s="1" t="s">
        <v>8</v>
      </c>
      <c r="C2781" s="2" t="s">
        <v>53</v>
      </c>
      <c r="D2781" s="2">
        <v>7.8</v>
      </c>
      <c r="E2781" s="2">
        <v>2020.0</v>
      </c>
      <c r="F2781" s="2" t="s">
        <v>10</v>
      </c>
      <c r="G2781" s="2" t="s">
        <v>10</v>
      </c>
    </row>
    <row r="2782" ht="14.25" customHeight="1">
      <c r="A2782" s="1" t="s">
        <v>2412</v>
      </c>
      <c r="B2782" s="1" t="s">
        <v>20</v>
      </c>
      <c r="C2782" s="2" t="s">
        <v>2413</v>
      </c>
      <c r="D2782" s="2">
        <v>7.8</v>
      </c>
      <c r="E2782" s="2">
        <v>1943.0</v>
      </c>
      <c r="F2782" s="2" t="s">
        <v>10</v>
      </c>
      <c r="G2782" s="2" t="s">
        <v>10</v>
      </c>
    </row>
    <row r="2783" ht="14.25" customHeight="1">
      <c r="A2783" s="1" t="s">
        <v>2414</v>
      </c>
      <c r="B2783" s="1" t="s">
        <v>20</v>
      </c>
      <c r="C2783" s="2" t="s">
        <v>1616</v>
      </c>
      <c r="D2783" s="2">
        <v>7.8</v>
      </c>
      <c r="E2783" s="2">
        <v>2022.0</v>
      </c>
      <c r="F2783" s="2" t="s">
        <v>10</v>
      </c>
      <c r="G2783" s="2" t="s">
        <v>10</v>
      </c>
    </row>
    <row r="2784" ht="14.25" customHeight="1">
      <c r="A2784" s="1" t="s">
        <v>2415</v>
      </c>
      <c r="B2784" s="1" t="s">
        <v>20</v>
      </c>
      <c r="C2784" s="2" t="s">
        <v>452</v>
      </c>
      <c r="D2784" s="2">
        <v>7.8</v>
      </c>
      <c r="E2784" s="2">
        <v>2004.0</v>
      </c>
      <c r="F2784" s="2" t="s">
        <v>10</v>
      </c>
      <c r="G2784" s="2" t="s">
        <v>10</v>
      </c>
    </row>
    <row r="2785" ht="14.25" customHeight="1">
      <c r="A2785" s="1" t="s">
        <v>2416</v>
      </c>
      <c r="B2785" s="1" t="s">
        <v>20</v>
      </c>
      <c r="C2785" s="2" t="s">
        <v>32</v>
      </c>
      <c r="D2785" s="2">
        <v>7.8</v>
      </c>
      <c r="E2785" s="2">
        <v>1938.0</v>
      </c>
      <c r="F2785" s="2" t="s">
        <v>10</v>
      </c>
      <c r="G2785" s="2" t="s">
        <v>10</v>
      </c>
    </row>
    <row r="2786" ht="14.25" customHeight="1">
      <c r="A2786" s="1" t="s">
        <v>2417</v>
      </c>
      <c r="B2786" s="1" t="s">
        <v>20</v>
      </c>
      <c r="C2786" s="2" t="s">
        <v>825</v>
      </c>
      <c r="D2786" s="2">
        <v>7.8</v>
      </c>
      <c r="E2786" s="2">
        <v>1983.0</v>
      </c>
      <c r="F2786" s="2" t="s">
        <v>10</v>
      </c>
      <c r="G2786" s="2" t="s">
        <v>10</v>
      </c>
    </row>
    <row r="2787" ht="14.25" customHeight="1">
      <c r="A2787" s="1" t="s">
        <v>2418</v>
      </c>
      <c r="B2787" s="1" t="s">
        <v>8</v>
      </c>
      <c r="C2787" s="2" t="s">
        <v>1474</v>
      </c>
      <c r="D2787" s="2">
        <v>7.8</v>
      </c>
      <c r="E2787" s="2">
        <v>2018.0</v>
      </c>
      <c r="F2787" s="2" t="s">
        <v>10</v>
      </c>
      <c r="G2787" s="2" t="s">
        <v>10</v>
      </c>
    </row>
    <row r="2788" ht="14.25" customHeight="1">
      <c r="A2788" s="1" t="s">
        <v>2419</v>
      </c>
      <c r="B2788" s="1" t="s">
        <v>20</v>
      </c>
      <c r="C2788" s="2" t="s">
        <v>18</v>
      </c>
      <c r="D2788" s="2">
        <v>7.8</v>
      </c>
      <c r="E2788" s="2">
        <v>2016.0</v>
      </c>
      <c r="F2788" s="2">
        <v>2016.0</v>
      </c>
      <c r="G2788" s="2" t="s">
        <v>10</v>
      </c>
    </row>
    <row r="2789" ht="14.25" customHeight="1">
      <c r="A2789" s="1" t="s">
        <v>2420</v>
      </c>
      <c r="B2789" s="1" t="s">
        <v>20</v>
      </c>
      <c r="C2789" s="2" t="s">
        <v>768</v>
      </c>
      <c r="D2789" s="2">
        <v>7.8</v>
      </c>
      <c r="E2789" s="2">
        <v>2017.0</v>
      </c>
      <c r="F2789" s="2" t="s">
        <v>10</v>
      </c>
      <c r="G2789" s="2" t="s">
        <v>10</v>
      </c>
    </row>
    <row r="2790" ht="14.25" customHeight="1">
      <c r="A2790" s="1" t="s">
        <v>2421</v>
      </c>
      <c r="B2790" s="1" t="s">
        <v>20</v>
      </c>
      <c r="C2790" s="2" t="s">
        <v>187</v>
      </c>
      <c r="D2790" s="2">
        <v>7.8</v>
      </c>
      <c r="E2790" s="2">
        <v>1940.0</v>
      </c>
      <c r="F2790" s="2" t="s">
        <v>10</v>
      </c>
      <c r="G2790" s="2" t="s">
        <v>10</v>
      </c>
    </row>
    <row r="2791" ht="14.25" customHeight="1">
      <c r="A2791" s="1" t="s">
        <v>2422</v>
      </c>
      <c r="B2791" s="1" t="s">
        <v>20</v>
      </c>
      <c r="C2791" s="2" t="s">
        <v>147</v>
      </c>
      <c r="D2791" s="2">
        <v>7.8</v>
      </c>
      <c r="E2791" s="2">
        <v>1972.0</v>
      </c>
      <c r="F2791" s="2" t="s">
        <v>10</v>
      </c>
      <c r="G2791" s="2" t="s">
        <v>10</v>
      </c>
    </row>
    <row r="2792" ht="14.25" customHeight="1">
      <c r="A2792" s="1" t="s">
        <v>2423</v>
      </c>
      <c r="B2792" s="1" t="s">
        <v>20</v>
      </c>
      <c r="C2792" s="2" t="s">
        <v>584</v>
      </c>
      <c r="D2792" s="2">
        <v>7.8</v>
      </c>
      <c r="E2792" s="2">
        <v>2005.0</v>
      </c>
      <c r="F2792" s="2" t="s">
        <v>10</v>
      </c>
      <c r="G2792" s="2" t="s">
        <v>10</v>
      </c>
    </row>
    <row r="2793" ht="14.25" customHeight="1">
      <c r="A2793" s="1" t="s">
        <v>2424</v>
      </c>
      <c r="B2793" s="1" t="s">
        <v>20</v>
      </c>
      <c r="C2793" s="2" t="s">
        <v>40</v>
      </c>
      <c r="D2793" s="2">
        <v>7.8</v>
      </c>
      <c r="E2793" s="2">
        <v>2022.0</v>
      </c>
      <c r="F2793" s="2" t="s">
        <v>10</v>
      </c>
      <c r="G2793" s="2">
        <v>2840000.0</v>
      </c>
    </row>
    <row r="2794" ht="14.25" customHeight="1">
      <c r="A2794" s="1" t="s">
        <v>2424</v>
      </c>
      <c r="B2794" s="1" t="s">
        <v>20</v>
      </c>
      <c r="C2794" s="2" t="s">
        <v>40</v>
      </c>
      <c r="D2794" s="2">
        <v>7.8</v>
      </c>
      <c r="E2794" s="2">
        <v>2022.0</v>
      </c>
      <c r="F2794" s="2" t="s">
        <v>10</v>
      </c>
      <c r="G2794" s="2">
        <v>4840000.0</v>
      </c>
    </row>
    <row r="2795" ht="14.25" customHeight="1">
      <c r="A2795" s="1" t="s">
        <v>2424</v>
      </c>
      <c r="B2795" s="1" t="s">
        <v>20</v>
      </c>
      <c r="C2795" s="2" t="s">
        <v>40</v>
      </c>
      <c r="D2795" s="2">
        <v>7.8</v>
      </c>
      <c r="E2795" s="2">
        <v>2022.0</v>
      </c>
      <c r="F2795" s="2" t="s">
        <v>10</v>
      </c>
      <c r="G2795" s="2">
        <v>8800000.0</v>
      </c>
    </row>
    <row r="2796" ht="14.25" customHeight="1">
      <c r="A2796" s="1" t="s">
        <v>2424</v>
      </c>
      <c r="B2796" s="1" t="s">
        <v>20</v>
      </c>
      <c r="C2796" s="2" t="s">
        <v>40</v>
      </c>
      <c r="D2796" s="2">
        <v>7.8</v>
      </c>
      <c r="E2796" s="2">
        <v>2022.0</v>
      </c>
      <c r="F2796" s="2" t="s">
        <v>10</v>
      </c>
      <c r="G2796" s="2">
        <v>1.219E7</v>
      </c>
    </row>
    <row r="2797" ht="14.25" customHeight="1">
      <c r="A2797" s="1" t="s">
        <v>2424</v>
      </c>
      <c r="B2797" s="1" t="s">
        <v>20</v>
      </c>
      <c r="C2797" s="2" t="s">
        <v>40</v>
      </c>
      <c r="D2797" s="2">
        <v>7.8</v>
      </c>
      <c r="E2797" s="2">
        <v>2022.0</v>
      </c>
      <c r="F2797" s="2" t="s">
        <v>10</v>
      </c>
      <c r="G2797" s="2">
        <v>8320000.0</v>
      </c>
    </row>
    <row r="2798" ht="14.25" customHeight="1">
      <c r="A2798" s="1" t="s">
        <v>2424</v>
      </c>
      <c r="B2798" s="1" t="s">
        <v>20</v>
      </c>
      <c r="C2798" s="2" t="s">
        <v>40</v>
      </c>
      <c r="D2798" s="2">
        <v>7.8</v>
      </c>
      <c r="E2798" s="2">
        <v>2022.0</v>
      </c>
      <c r="F2798" s="2" t="s">
        <v>10</v>
      </c>
      <c r="G2798" s="2">
        <v>1.381E7</v>
      </c>
    </row>
    <row r="2799" ht="14.25" customHeight="1">
      <c r="A2799" s="1" t="s">
        <v>2425</v>
      </c>
      <c r="B2799" s="1" t="s">
        <v>20</v>
      </c>
      <c r="C2799" s="2" t="s">
        <v>742</v>
      </c>
      <c r="D2799" s="2">
        <v>7.8</v>
      </c>
      <c r="E2799" s="2">
        <v>2014.0</v>
      </c>
      <c r="F2799" s="2" t="s">
        <v>10</v>
      </c>
      <c r="G2799" s="2" t="s">
        <v>10</v>
      </c>
    </row>
    <row r="2800" ht="14.25" customHeight="1">
      <c r="A2800" s="1" t="s">
        <v>2426</v>
      </c>
      <c r="B2800" s="1" t="s">
        <v>20</v>
      </c>
      <c r="C2800" s="2" t="s">
        <v>154</v>
      </c>
      <c r="D2800" s="2">
        <v>7.8</v>
      </c>
      <c r="E2800" s="2">
        <v>2013.0</v>
      </c>
      <c r="F2800" s="2" t="s">
        <v>10</v>
      </c>
      <c r="G2800" s="2" t="s">
        <v>10</v>
      </c>
    </row>
    <row r="2801" ht="14.25" customHeight="1">
      <c r="A2801" s="1" t="s">
        <v>2427</v>
      </c>
      <c r="B2801" s="1" t="s">
        <v>20</v>
      </c>
      <c r="C2801" s="2" t="s">
        <v>63</v>
      </c>
      <c r="D2801" s="2">
        <v>7.8</v>
      </c>
      <c r="E2801" s="2">
        <v>1989.0</v>
      </c>
      <c r="F2801" s="2" t="s">
        <v>10</v>
      </c>
      <c r="G2801" s="2" t="s">
        <v>10</v>
      </c>
    </row>
    <row r="2802" ht="14.25" customHeight="1">
      <c r="A2802" s="1" t="s">
        <v>2428</v>
      </c>
      <c r="B2802" s="1" t="s">
        <v>20</v>
      </c>
      <c r="C2802" s="2" t="s">
        <v>1170</v>
      </c>
      <c r="D2802" s="2">
        <v>7.8</v>
      </c>
      <c r="E2802" s="2">
        <v>1972.0</v>
      </c>
      <c r="F2802" s="2" t="s">
        <v>10</v>
      </c>
      <c r="G2802" s="2" t="s">
        <v>10</v>
      </c>
    </row>
    <row r="2803" ht="14.25" customHeight="1">
      <c r="A2803" s="1" t="s">
        <v>2429</v>
      </c>
      <c r="B2803" s="1" t="s">
        <v>20</v>
      </c>
      <c r="C2803" s="2" t="s">
        <v>80</v>
      </c>
      <c r="D2803" s="2">
        <v>7.8</v>
      </c>
      <c r="E2803" s="2">
        <v>1984.0</v>
      </c>
      <c r="F2803" s="2" t="s">
        <v>10</v>
      </c>
      <c r="G2803" s="2" t="s">
        <v>10</v>
      </c>
    </row>
    <row r="2804" ht="14.25" customHeight="1">
      <c r="A2804" s="1" t="s">
        <v>2430</v>
      </c>
      <c r="B2804" s="1" t="s">
        <v>8</v>
      </c>
      <c r="C2804" s="2" t="s">
        <v>299</v>
      </c>
      <c r="D2804" s="2">
        <v>7.8</v>
      </c>
      <c r="E2804" s="2">
        <v>2015.0</v>
      </c>
      <c r="F2804" s="2">
        <v>2017.0</v>
      </c>
      <c r="G2804" s="2" t="s">
        <v>10</v>
      </c>
    </row>
    <row r="2805" ht="14.25" customHeight="1">
      <c r="A2805" s="1" t="s">
        <v>2431</v>
      </c>
      <c r="B2805" s="1" t="s">
        <v>20</v>
      </c>
      <c r="C2805" s="2" t="s">
        <v>910</v>
      </c>
      <c r="D2805" s="2">
        <v>7.8</v>
      </c>
      <c r="E2805" s="2">
        <v>2005.0</v>
      </c>
      <c r="F2805" s="2" t="s">
        <v>10</v>
      </c>
      <c r="G2805" s="2" t="s">
        <v>10</v>
      </c>
    </row>
    <row r="2806" ht="14.25" customHeight="1">
      <c r="A2806" s="1" t="s">
        <v>2432</v>
      </c>
      <c r="B2806" s="1" t="s">
        <v>20</v>
      </c>
      <c r="C2806" s="2" t="s">
        <v>25</v>
      </c>
      <c r="D2806" s="2">
        <v>7.8</v>
      </c>
      <c r="E2806" s="2">
        <v>1993.0</v>
      </c>
      <c r="F2806" s="2" t="s">
        <v>10</v>
      </c>
      <c r="G2806" s="2" t="s">
        <v>10</v>
      </c>
    </row>
    <row r="2807" ht="14.25" customHeight="1">
      <c r="A2807" s="1" t="s">
        <v>2433</v>
      </c>
      <c r="B2807" s="1" t="s">
        <v>8</v>
      </c>
      <c r="C2807" s="2" t="s">
        <v>25</v>
      </c>
      <c r="D2807" s="2">
        <v>7.8</v>
      </c>
      <c r="E2807" s="2">
        <v>2021.0</v>
      </c>
      <c r="F2807" s="2" t="s">
        <v>10</v>
      </c>
      <c r="G2807" s="2" t="s">
        <v>10</v>
      </c>
    </row>
    <row r="2808" ht="14.25" customHeight="1">
      <c r="A2808" s="1" t="s">
        <v>2434</v>
      </c>
      <c r="B2808" s="1" t="s">
        <v>20</v>
      </c>
      <c r="C2808" s="2" t="s">
        <v>1761</v>
      </c>
      <c r="D2808" s="2">
        <v>7.8</v>
      </c>
      <c r="E2808" s="2">
        <v>2004.0</v>
      </c>
      <c r="F2808" s="2" t="s">
        <v>10</v>
      </c>
      <c r="G2808" s="2" t="s">
        <v>10</v>
      </c>
    </row>
    <row r="2809" ht="14.25" customHeight="1">
      <c r="A2809" s="1" t="s">
        <v>2435</v>
      </c>
      <c r="B2809" s="1" t="s">
        <v>8</v>
      </c>
      <c r="C2809" s="2" t="s">
        <v>14</v>
      </c>
      <c r="D2809" s="2">
        <v>7.8</v>
      </c>
      <c r="E2809" s="2">
        <v>2024.0</v>
      </c>
      <c r="F2809" s="2" t="s">
        <v>10</v>
      </c>
      <c r="G2809" s="2" t="s">
        <v>10</v>
      </c>
    </row>
    <row r="2810" ht="14.25" customHeight="1">
      <c r="A2810" s="1" t="s">
        <v>2436</v>
      </c>
      <c r="B2810" s="1" t="s">
        <v>8</v>
      </c>
      <c r="C2810" s="2" t="s">
        <v>2437</v>
      </c>
      <c r="D2810" s="2">
        <v>7.8</v>
      </c>
      <c r="E2810" s="2">
        <v>1996.0</v>
      </c>
      <c r="F2810" s="2" t="s">
        <v>10</v>
      </c>
      <c r="G2810" s="2" t="s">
        <v>10</v>
      </c>
    </row>
    <row r="2811" ht="14.25" customHeight="1">
      <c r="A2811" s="1" t="s">
        <v>2438</v>
      </c>
      <c r="B2811" s="1" t="s">
        <v>20</v>
      </c>
      <c r="C2811" s="2" t="s">
        <v>132</v>
      </c>
      <c r="D2811" s="2">
        <v>7.8</v>
      </c>
      <c r="E2811" s="2">
        <v>2015.0</v>
      </c>
      <c r="F2811" s="2">
        <v>2015.0</v>
      </c>
      <c r="G2811" s="2" t="s">
        <v>10</v>
      </c>
    </row>
    <row r="2812" ht="14.25" customHeight="1">
      <c r="A2812" s="1" t="s">
        <v>2439</v>
      </c>
      <c r="B2812" s="1" t="s">
        <v>20</v>
      </c>
      <c r="C2812" s="2" t="s">
        <v>157</v>
      </c>
      <c r="D2812" s="2">
        <v>7.8</v>
      </c>
      <c r="E2812" s="2">
        <v>1939.0</v>
      </c>
      <c r="F2812" s="2" t="s">
        <v>10</v>
      </c>
      <c r="G2812" s="2" t="s">
        <v>10</v>
      </c>
    </row>
    <row r="2813" ht="14.25" customHeight="1">
      <c r="A2813" s="1" t="s">
        <v>2440</v>
      </c>
      <c r="B2813" s="1" t="s">
        <v>20</v>
      </c>
      <c r="C2813" s="2" t="s">
        <v>1982</v>
      </c>
      <c r="D2813" s="2">
        <v>7.8</v>
      </c>
      <c r="E2813" s="2">
        <v>1935.0</v>
      </c>
      <c r="F2813" s="2" t="s">
        <v>10</v>
      </c>
      <c r="G2813" s="2" t="s">
        <v>10</v>
      </c>
    </row>
    <row r="2814" ht="14.25" customHeight="1">
      <c r="A2814" s="1" t="s">
        <v>2441</v>
      </c>
      <c r="B2814" s="1" t="s">
        <v>20</v>
      </c>
      <c r="C2814" s="2" t="s">
        <v>566</v>
      </c>
      <c r="D2814" s="2">
        <v>7.8</v>
      </c>
      <c r="E2814" s="2">
        <v>2001.0</v>
      </c>
      <c r="F2814" s="2" t="s">
        <v>10</v>
      </c>
      <c r="G2814" s="2" t="s">
        <v>10</v>
      </c>
    </row>
    <row r="2815" ht="14.25" customHeight="1">
      <c r="A2815" s="1" t="s">
        <v>2442</v>
      </c>
      <c r="B2815" s="1" t="s">
        <v>20</v>
      </c>
      <c r="C2815" s="2" t="s">
        <v>1152</v>
      </c>
      <c r="D2815" s="2">
        <v>7.8</v>
      </c>
      <c r="E2815" s="2">
        <v>2008.0</v>
      </c>
      <c r="F2815" s="2" t="s">
        <v>10</v>
      </c>
      <c r="G2815" s="2" t="s">
        <v>10</v>
      </c>
    </row>
    <row r="2816" ht="14.25" customHeight="1">
      <c r="A2816" s="1" t="s">
        <v>2443</v>
      </c>
      <c r="B2816" s="1" t="s">
        <v>20</v>
      </c>
      <c r="C2816" s="2" t="s">
        <v>621</v>
      </c>
      <c r="D2816" s="2">
        <v>7.8</v>
      </c>
      <c r="E2816" s="2">
        <v>1932.0</v>
      </c>
      <c r="F2816" s="2">
        <v>2018.0</v>
      </c>
      <c r="G2816" s="2" t="s">
        <v>10</v>
      </c>
    </row>
    <row r="2817" ht="14.25" customHeight="1">
      <c r="A2817" s="1" t="s">
        <v>2444</v>
      </c>
      <c r="B2817" s="1" t="s">
        <v>8</v>
      </c>
      <c r="C2817" s="2" t="s">
        <v>530</v>
      </c>
      <c r="D2817" s="2">
        <v>7.8</v>
      </c>
      <c r="E2817" s="2">
        <v>2023.0</v>
      </c>
      <c r="F2817" s="2" t="s">
        <v>10</v>
      </c>
      <c r="G2817" s="2" t="s">
        <v>10</v>
      </c>
    </row>
    <row r="2818" ht="14.25" customHeight="1">
      <c r="A2818" s="1" t="s">
        <v>2445</v>
      </c>
      <c r="B2818" s="1" t="s">
        <v>20</v>
      </c>
      <c r="C2818" s="2" t="s">
        <v>411</v>
      </c>
      <c r="D2818" s="2">
        <v>7.8</v>
      </c>
      <c r="E2818" s="2">
        <v>2011.0</v>
      </c>
      <c r="F2818" s="2" t="s">
        <v>10</v>
      </c>
      <c r="G2818" s="2" t="s">
        <v>10</v>
      </c>
    </row>
    <row r="2819" ht="14.25" customHeight="1">
      <c r="A2819" s="1" t="s">
        <v>2446</v>
      </c>
      <c r="B2819" s="1" t="s">
        <v>20</v>
      </c>
      <c r="C2819" s="2" t="s">
        <v>9</v>
      </c>
      <c r="D2819" s="2">
        <v>7.8</v>
      </c>
      <c r="E2819" s="2">
        <v>2011.0</v>
      </c>
      <c r="F2819" s="2" t="s">
        <v>10</v>
      </c>
      <c r="G2819" s="2" t="s">
        <v>10</v>
      </c>
    </row>
    <row r="2820" ht="14.25" customHeight="1">
      <c r="A2820" s="1" t="s">
        <v>2447</v>
      </c>
      <c r="B2820" s="1" t="s">
        <v>20</v>
      </c>
      <c r="C2820" s="2" t="s">
        <v>36</v>
      </c>
      <c r="D2820" s="2">
        <v>7.8</v>
      </c>
      <c r="E2820" s="2">
        <v>2002.0</v>
      </c>
      <c r="F2820" s="2" t="s">
        <v>10</v>
      </c>
      <c r="G2820" s="2" t="s">
        <v>10</v>
      </c>
    </row>
    <row r="2821" ht="14.25" customHeight="1">
      <c r="A2821" s="1" t="s">
        <v>2448</v>
      </c>
      <c r="B2821" s="1" t="s">
        <v>20</v>
      </c>
      <c r="C2821" s="2" t="s">
        <v>63</v>
      </c>
      <c r="D2821" s="2">
        <v>7.8</v>
      </c>
      <c r="E2821" s="2">
        <v>1967.0</v>
      </c>
      <c r="F2821" s="2" t="s">
        <v>10</v>
      </c>
      <c r="G2821" s="2" t="s">
        <v>10</v>
      </c>
    </row>
    <row r="2822" ht="14.25" customHeight="1">
      <c r="A2822" s="1" t="s">
        <v>2449</v>
      </c>
      <c r="B2822" s="1" t="s">
        <v>20</v>
      </c>
      <c r="C2822" s="2" t="s">
        <v>18</v>
      </c>
      <c r="D2822" s="2">
        <v>7.8</v>
      </c>
      <c r="E2822" s="2">
        <v>1955.0</v>
      </c>
      <c r="F2822" s="2" t="s">
        <v>10</v>
      </c>
      <c r="G2822" s="2" t="s">
        <v>10</v>
      </c>
    </row>
    <row r="2823" ht="14.25" customHeight="1">
      <c r="A2823" s="1" t="s">
        <v>2450</v>
      </c>
      <c r="B2823" s="1" t="s">
        <v>20</v>
      </c>
      <c r="C2823" s="2" t="s">
        <v>55</v>
      </c>
      <c r="D2823" s="2">
        <v>7.8</v>
      </c>
      <c r="E2823" s="2">
        <v>2003.0</v>
      </c>
      <c r="F2823" s="2" t="s">
        <v>10</v>
      </c>
      <c r="G2823" s="2" t="s">
        <v>10</v>
      </c>
    </row>
    <row r="2824" ht="14.25" customHeight="1">
      <c r="A2824" s="1" t="s">
        <v>2451</v>
      </c>
      <c r="B2824" s="1" t="s">
        <v>20</v>
      </c>
      <c r="C2824" s="2" t="s">
        <v>63</v>
      </c>
      <c r="D2824" s="2">
        <v>7.8</v>
      </c>
      <c r="E2824" s="2">
        <v>1973.0</v>
      </c>
      <c r="F2824" s="2" t="s">
        <v>10</v>
      </c>
      <c r="G2824" s="2" t="s">
        <v>10</v>
      </c>
    </row>
    <row r="2825" ht="14.25" customHeight="1">
      <c r="A2825" s="1" t="s">
        <v>2452</v>
      </c>
      <c r="B2825" s="1" t="s">
        <v>20</v>
      </c>
      <c r="C2825" s="2" t="s">
        <v>284</v>
      </c>
      <c r="D2825" s="2">
        <v>7.8</v>
      </c>
      <c r="E2825" s="2">
        <v>1972.0</v>
      </c>
      <c r="F2825" s="2" t="s">
        <v>10</v>
      </c>
      <c r="G2825" s="2" t="s">
        <v>10</v>
      </c>
    </row>
    <row r="2826" ht="14.25" customHeight="1">
      <c r="A2826" s="1" t="s">
        <v>1150</v>
      </c>
      <c r="B2826" s="1" t="s">
        <v>20</v>
      </c>
      <c r="C2826" s="2" t="s">
        <v>9</v>
      </c>
      <c r="D2826" s="2">
        <v>7.8</v>
      </c>
      <c r="E2826" s="2">
        <v>1973.0</v>
      </c>
      <c r="F2826" s="2" t="s">
        <v>10</v>
      </c>
      <c r="G2826" s="2" t="s">
        <v>10</v>
      </c>
    </row>
    <row r="2827" ht="14.25" customHeight="1">
      <c r="A2827" s="1" t="s">
        <v>2453</v>
      </c>
      <c r="B2827" s="1" t="s">
        <v>20</v>
      </c>
      <c r="C2827" s="2" t="s">
        <v>112</v>
      </c>
      <c r="D2827" s="2">
        <v>7.8</v>
      </c>
      <c r="E2827" s="2">
        <v>2015.0</v>
      </c>
      <c r="F2827" s="2" t="s">
        <v>10</v>
      </c>
      <c r="G2827" s="2" t="s">
        <v>10</v>
      </c>
    </row>
    <row r="2828" ht="14.25" customHeight="1">
      <c r="A2828" s="1" t="s">
        <v>2454</v>
      </c>
      <c r="B2828" s="1" t="s">
        <v>8</v>
      </c>
      <c r="C2828" s="2" t="s">
        <v>53</v>
      </c>
      <c r="D2828" s="2">
        <v>7.8</v>
      </c>
      <c r="E2828" s="2">
        <v>1990.0</v>
      </c>
      <c r="F2828" s="2" t="s">
        <v>10</v>
      </c>
      <c r="G2828" s="2" t="s">
        <v>10</v>
      </c>
    </row>
    <row r="2829" ht="14.25" customHeight="1">
      <c r="A2829" s="1" t="s">
        <v>2455</v>
      </c>
      <c r="B2829" s="1" t="s">
        <v>8</v>
      </c>
      <c r="C2829" s="2" t="s">
        <v>53</v>
      </c>
      <c r="D2829" s="2">
        <v>7.8</v>
      </c>
      <c r="E2829" s="2">
        <v>2015.0</v>
      </c>
      <c r="F2829" s="2" t="s">
        <v>10</v>
      </c>
      <c r="G2829" s="2" t="s">
        <v>10</v>
      </c>
    </row>
    <row r="2830" ht="14.25" customHeight="1">
      <c r="A2830" s="1" t="s">
        <v>2456</v>
      </c>
      <c r="B2830" s="1" t="s">
        <v>20</v>
      </c>
      <c r="C2830" s="2" t="s">
        <v>275</v>
      </c>
      <c r="D2830" s="2">
        <v>7.8</v>
      </c>
      <c r="E2830" s="2">
        <v>2021.0</v>
      </c>
      <c r="F2830" s="2" t="s">
        <v>10</v>
      </c>
      <c r="G2830" s="2" t="s">
        <v>10</v>
      </c>
    </row>
    <row r="2831" ht="14.25" customHeight="1">
      <c r="A2831" s="1" t="s">
        <v>2457</v>
      </c>
      <c r="B2831" s="1" t="s">
        <v>8</v>
      </c>
      <c r="C2831" s="2" t="s">
        <v>481</v>
      </c>
      <c r="D2831" s="2">
        <v>7.8</v>
      </c>
      <c r="E2831" s="2">
        <v>2019.0</v>
      </c>
      <c r="F2831" s="2">
        <v>2019.0</v>
      </c>
      <c r="G2831" s="2" t="s">
        <v>10</v>
      </c>
    </row>
    <row r="2832" ht="14.25" customHeight="1">
      <c r="A2832" s="1" t="s">
        <v>2458</v>
      </c>
      <c r="B2832" s="1" t="s">
        <v>8</v>
      </c>
      <c r="C2832" s="2" t="s">
        <v>147</v>
      </c>
      <c r="D2832" s="2">
        <v>7.8</v>
      </c>
      <c r="E2832" s="2">
        <v>2022.0</v>
      </c>
      <c r="F2832" s="2" t="s">
        <v>10</v>
      </c>
      <c r="G2832" s="2" t="s">
        <v>10</v>
      </c>
    </row>
    <row r="2833" ht="14.25" customHeight="1">
      <c r="A2833" s="1" t="s">
        <v>2459</v>
      </c>
      <c r="B2833" s="1" t="s">
        <v>8</v>
      </c>
      <c r="C2833" s="2" t="s">
        <v>1395</v>
      </c>
      <c r="D2833" s="2">
        <v>7.8</v>
      </c>
      <c r="E2833" s="2">
        <v>2011.0</v>
      </c>
      <c r="F2833" s="2" t="s">
        <v>10</v>
      </c>
      <c r="G2833" s="2" t="s">
        <v>10</v>
      </c>
    </row>
    <row r="2834" ht="14.25" customHeight="1">
      <c r="A2834" s="1" t="s">
        <v>2460</v>
      </c>
      <c r="B2834" s="1" t="s">
        <v>20</v>
      </c>
      <c r="C2834" s="2" t="s">
        <v>63</v>
      </c>
      <c r="D2834" s="2">
        <v>7.8</v>
      </c>
      <c r="E2834" s="2">
        <v>2021.0</v>
      </c>
      <c r="F2834" s="2">
        <v>2021.0</v>
      </c>
      <c r="G2834" s="2">
        <v>1510000.0</v>
      </c>
    </row>
    <row r="2835" ht="14.25" customHeight="1">
      <c r="A2835" s="1" t="s">
        <v>2460</v>
      </c>
      <c r="B2835" s="1" t="s">
        <v>20</v>
      </c>
      <c r="C2835" s="2" t="s">
        <v>63</v>
      </c>
      <c r="D2835" s="2">
        <v>7.8</v>
      </c>
      <c r="E2835" s="2">
        <v>2021.0</v>
      </c>
      <c r="F2835" s="2">
        <v>2021.0</v>
      </c>
      <c r="G2835" s="2">
        <v>2340000.0</v>
      </c>
    </row>
    <row r="2836" ht="14.25" customHeight="1">
      <c r="A2836" s="1" t="s">
        <v>2460</v>
      </c>
      <c r="B2836" s="1" t="s">
        <v>20</v>
      </c>
      <c r="C2836" s="2" t="s">
        <v>63</v>
      </c>
      <c r="D2836" s="2">
        <v>7.8</v>
      </c>
      <c r="E2836" s="2">
        <v>2021.0</v>
      </c>
      <c r="F2836" s="2">
        <v>2021.0</v>
      </c>
      <c r="G2836" s="2">
        <v>3630000.0</v>
      </c>
    </row>
    <row r="2837" ht="14.25" customHeight="1">
      <c r="A2837" s="1" t="s">
        <v>2460</v>
      </c>
      <c r="B2837" s="1" t="s">
        <v>20</v>
      </c>
      <c r="C2837" s="2" t="s">
        <v>63</v>
      </c>
      <c r="D2837" s="2">
        <v>7.8</v>
      </c>
      <c r="E2837" s="2">
        <v>2021.0</v>
      </c>
      <c r="F2837" s="2">
        <v>2021.0</v>
      </c>
      <c r="G2837" s="2">
        <v>5140000.0</v>
      </c>
    </row>
    <row r="2838" ht="14.25" customHeight="1">
      <c r="A2838" s="1" t="s">
        <v>2460</v>
      </c>
      <c r="B2838" s="1" t="s">
        <v>20</v>
      </c>
      <c r="C2838" s="2" t="s">
        <v>63</v>
      </c>
      <c r="D2838" s="2">
        <v>7.8</v>
      </c>
      <c r="E2838" s="2">
        <v>2021.0</v>
      </c>
      <c r="F2838" s="2">
        <v>2021.0</v>
      </c>
      <c r="G2838" s="2">
        <v>9210000.0</v>
      </c>
    </row>
    <row r="2839" ht="14.25" customHeight="1">
      <c r="A2839" s="1" t="s">
        <v>2461</v>
      </c>
      <c r="B2839" s="1" t="s">
        <v>8</v>
      </c>
      <c r="C2839" s="2" t="s">
        <v>34</v>
      </c>
      <c r="D2839" s="2">
        <v>7.8</v>
      </c>
      <c r="E2839" s="2">
        <v>2021.0</v>
      </c>
      <c r="F2839" s="2" t="s">
        <v>10</v>
      </c>
      <c r="G2839" s="2" t="s">
        <v>10</v>
      </c>
    </row>
    <row r="2840" ht="14.25" customHeight="1">
      <c r="A2840" s="1" t="s">
        <v>2462</v>
      </c>
      <c r="B2840" s="1" t="s">
        <v>20</v>
      </c>
      <c r="C2840" s="2" t="s">
        <v>25</v>
      </c>
      <c r="D2840" s="2">
        <v>7.8</v>
      </c>
      <c r="E2840" s="2">
        <v>1993.0</v>
      </c>
      <c r="F2840" s="2" t="s">
        <v>10</v>
      </c>
      <c r="G2840" s="2" t="s">
        <v>10</v>
      </c>
    </row>
    <row r="2841" ht="14.25" customHeight="1">
      <c r="A2841" s="1" t="s">
        <v>2463</v>
      </c>
      <c r="B2841" s="1" t="s">
        <v>8</v>
      </c>
      <c r="C2841" s="2" t="s">
        <v>530</v>
      </c>
      <c r="D2841" s="2">
        <v>7.8</v>
      </c>
      <c r="E2841" s="2">
        <v>2019.0</v>
      </c>
      <c r="F2841" s="2">
        <v>2021.0</v>
      </c>
      <c r="G2841" s="2">
        <v>8580000.0</v>
      </c>
    </row>
    <row r="2842" ht="14.25" customHeight="1">
      <c r="A2842" s="1" t="s">
        <v>2463</v>
      </c>
      <c r="B2842" s="1" t="s">
        <v>8</v>
      </c>
      <c r="C2842" s="2" t="s">
        <v>530</v>
      </c>
      <c r="D2842" s="2">
        <v>7.8</v>
      </c>
      <c r="E2842" s="2">
        <v>2019.0</v>
      </c>
      <c r="F2842" s="2">
        <v>2021.0</v>
      </c>
      <c r="G2842" s="2">
        <v>1.647E7</v>
      </c>
    </row>
    <row r="2843" ht="14.25" customHeight="1">
      <c r="A2843" s="1" t="s">
        <v>2464</v>
      </c>
      <c r="B2843" s="1" t="s">
        <v>8</v>
      </c>
      <c r="C2843" s="2" t="s">
        <v>845</v>
      </c>
      <c r="D2843" s="2">
        <v>7.8</v>
      </c>
      <c r="E2843" s="2">
        <v>2016.0</v>
      </c>
      <c r="F2843" s="2" t="s">
        <v>10</v>
      </c>
      <c r="G2843" s="2" t="s">
        <v>10</v>
      </c>
    </row>
    <row r="2844" ht="14.25" customHeight="1">
      <c r="A2844" s="1" t="s">
        <v>2465</v>
      </c>
      <c r="B2844" s="1" t="s">
        <v>8</v>
      </c>
      <c r="C2844" s="2" t="s">
        <v>118</v>
      </c>
      <c r="D2844" s="2">
        <v>7.8</v>
      </c>
      <c r="E2844" s="2">
        <v>2011.0</v>
      </c>
      <c r="F2844" s="2">
        <v>2012.0</v>
      </c>
      <c r="G2844" s="2" t="s">
        <v>10</v>
      </c>
    </row>
    <row r="2845" ht="14.25" customHeight="1">
      <c r="A2845" s="1" t="s">
        <v>2466</v>
      </c>
      <c r="B2845" s="1" t="s">
        <v>20</v>
      </c>
      <c r="C2845" s="2" t="s">
        <v>67</v>
      </c>
      <c r="D2845" s="2">
        <v>7.8</v>
      </c>
      <c r="E2845" s="2">
        <v>2012.0</v>
      </c>
      <c r="F2845" s="2" t="s">
        <v>10</v>
      </c>
      <c r="G2845" s="2" t="s">
        <v>10</v>
      </c>
    </row>
    <row r="2846" ht="14.25" customHeight="1">
      <c r="A2846" s="1" t="s">
        <v>2467</v>
      </c>
      <c r="B2846" s="1" t="s">
        <v>20</v>
      </c>
      <c r="C2846" s="2" t="s">
        <v>18</v>
      </c>
      <c r="D2846" s="2">
        <v>7.8</v>
      </c>
      <c r="E2846" s="2">
        <v>2022.0</v>
      </c>
      <c r="F2846" s="2">
        <v>2019.0</v>
      </c>
      <c r="G2846" s="2" t="s">
        <v>10</v>
      </c>
    </row>
    <row r="2847" ht="14.25" customHeight="1">
      <c r="A2847" s="1" t="s">
        <v>2468</v>
      </c>
      <c r="B2847" s="1" t="s">
        <v>8</v>
      </c>
      <c r="C2847" s="2" t="s">
        <v>40</v>
      </c>
      <c r="D2847" s="2">
        <v>7.8</v>
      </c>
      <c r="E2847" s="2">
        <v>2019.0</v>
      </c>
      <c r="F2847" s="2" t="s">
        <v>10</v>
      </c>
      <c r="G2847" s="2" t="s">
        <v>10</v>
      </c>
    </row>
    <row r="2848" ht="14.25" customHeight="1">
      <c r="A2848" s="1" t="s">
        <v>2469</v>
      </c>
      <c r="B2848" s="1" t="s">
        <v>20</v>
      </c>
      <c r="C2848" s="2" t="s">
        <v>742</v>
      </c>
      <c r="D2848" s="2">
        <v>7.8</v>
      </c>
      <c r="E2848" s="2">
        <v>1994.0</v>
      </c>
      <c r="F2848" s="2" t="s">
        <v>10</v>
      </c>
      <c r="G2848" s="2" t="s">
        <v>10</v>
      </c>
    </row>
    <row r="2849" ht="14.25" customHeight="1">
      <c r="A2849" s="1" t="s">
        <v>2470</v>
      </c>
      <c r="B2849" s="1" t="s">
        <v>8</v>
      </c>
      <c r="C2849" s="2" t="s">
        <v>53</v>
      </c>
      <c r="D2849" s="2">
        <v>7.8</v>
      </c>
      <c r="E2849" s="2">
        <v>2021.0</v>
      </c>
      <c r="F2849" s="2">
        <v>2021.0</v>
      </c>
      <c r="G2849" s="2" t="s">
        <v>10</v>
      </c>
    </row>
    <row r="2850" ht="14.25" customHeight="1">
      <c r="A2850" s="1" t="s">
        <v>2471</v>
      </c>
      <c r="B2850" s="1" t="s">
        <v>20</v>
      </c>
      <c r="C2850" s="2" t="s">
        <v>262</v>
      </c>
      <c r="D2850" s="2">
        <v>7.8</v>
      </c>
      <c r="E2850" s="2">
        <v>2013.0</v>
      </c>
      <c r="F2850" s="2" t="s">
        <v>10</v>
      </c>
      <c r="G2850" s="2" t="s">
        <v>10</v>
      </c>
    </row>
    <row r="2851" ht="14.25" customHeight="1">
      <c r="A2851" s="1" t="s">
        <v>2472</v>
      </c>
      <c r="B2851" s="1" t="s">
        <v>20</v>
      </c>
      <c r="C2851" s="2" t="s">
        <v>60</v>
      </c>
      <c r="D2851" s="2">
        <v>7.8</v>
      </c>
      <c r="E2851" s="2">
        <v>1944.0</v>
      </c>
      <c r="F2851" s="2" t="s">
        <v>10</v>
      </c>
      <c r="G2851" s="2" t="s">
        <v>10</v>
      </c>
    </row>
    <row r="2852" ht="14.25" customHeight="1">
      <c r="A2852" s="1" t="s">
        <v>2473</v>
      </c>
      <c r="B2852" s="1" t="s">
        <v>20</v>
      </c>
      <c r="C2852" s="2" t="s">
        <v>12</v>
      </c>
      <c r="D2852" s="2">
        <v>7.8</v>
      </c>
      <c r="E2852" s="2">
        <v>2011.0</v>
      </c>
      <c r="F2852" s="2">
        <v>2011.0</v>
      </c>
      <c r="G2852" s="2" t="s">
        <v>10</v>
      </c>
    </row>
    <row r="2853" ht="14.25" customHeight="1">
      <c r="A2853" s="1" t="s">
        <v>2474</v>
      </c>
      <c r="B2853" s="1" t="s">
        <v>8</v>
      </c>
      <c r="C2853" s="2" t="s">
        <v>18</v>
      </c>
      <c r="D2853" s="2">
        <v>7.8</v>
      </c>
      <c r="E2853" s="2">
        <v>2018.0</v>
      </c>
      <c r="F2853" s="2" t="s">
        <v>10</v>
      </c>
      <c r="G2853" s="2" t="s">
        <v>10</v>
      </c>
    </row>
    <row r="2854" ht="14.25" customHeight="1">
      <c r="A2854" s="1" t="s">
        <v>2475</v>
      </c>
      <c r="B2854" s="1" t="s">
        <v>20</v>
      </c>
      <c r="C2854" s="2" t="s">
        <v>154</v>
      </c>
      <c r="D2854" s="2">
        <v>7.8</v>
      </c>
      <c r="E2854" s="2">
        <v>1959.0</v>
      </c>
      <c r="F2854" s="2" t="s">
        <v>10</v>
      </c>
      <c r="G2854" s="2" t="s">
        <v>10</v>
      </c>
    </row>
    <row r="2855" ht="14.25" customHeight="1">
      <c r="A2855" s="1" t="s">
        <v>2476</v>
      </c>
      <c r="B2855" s="1" t="s">
        <v>8</v>
      </c>
      <c r="C2855" s="2" t="s">
        <v>32</v>
      </c>
      <c r="D2855" s="2">
        <v>7.8</v>
      </c>
      <c r="E2855" s="2">
        <v>2011.0</v>
      </c>
      <c r="F2855" s="2">
        <v>2017.0</v>
      </c>
      <c r="G2855" s="2" t="s">
        <v>10</v>
      </c>
    </row>
    <row r="2856" ht="14.25" customHeight="1">
      <c r="A2856" s="1" t="s">
        <v>2477</v>
      </c>
      <c r="B2856" s="1" t="s">
        <v>20</v>
      </c>
      <c r="C2856" s="2" t="s">
        <v>1170</v>
      </c>
      <c r="D2856" s="2">
        <v>7.8</v>
      </c>
      <c r="E2856" s="2">
        <v>1979.0</v>
      </c>
      <c r="F2856" s="2" t="s">
        <v>10</v>
      </c>
      <c r="G2856" s="2" t="s">
        <v>10</v>
      </c>
    </row>
    <row r="2857" ht="14.25" customHeight="1">
      <c r="A2857" s="1" t="s">
        <v>2478</v>
      </c>
      <c r="B2857" s="1" t="s">
        <v>8</v>
      </c>
      <c r="C2857" s="2" t="s">
        <v>1271</v>
      </c>
      <c r="D2857" s="2">
        <v>7.8</v>
      </c>
      <c r="E2857" s="2">
        <v>2024.0</v>
      </c>
      <c r="F2857" s="2" t="s">
        <v>10</v>
      </c>
      <c r="G2857" s="2" t="s">
        <v>10</v>
      </c>
    </row>
    <row r="2858" ht="14.25" customHeight="1">
      <c r="A2858" s="1" t="s">
        <v>2479</v>
      </c>
      <c r="B2858" s="1" t="s">
        <v>8</v>
      </c>
      <c r="C2858" s="2" t="s">
        <v>1037</v>
      </c>
      <c r="D2858" s="2">
        <v>7.8</v>
      </c>
      <c r="E2858" s="2">
        <v>2017.0</v>
      </c>
      <c r="F2858" s="2" t="s">
        <v>10</v>
      </c>
      <c r="G2858" s="2">
        <v>1.031E7</v>
      </c>
    </row>
    <row r="2859" ht="14.25" customHeight="1">
      <c r="A2859" s="1" t="s">
        <v>2480</v>
      </c>
      <c r="B2859" s="1" t="s">
        <v>20</v>
      </c>
      <c r="C2859" s="2" t="s">
        <v>18</v>
      </c>
      <c r="D2859" s="2">
        <v>7.8</v>
      </c>
      <c r="E2859" s="2">
        <v>1962.0</v>
      </c>
      <c r="F2859" s="2" t="s">
        <v>10</v>
      </c>
      <c r="G2859" s="2" t="s">
        <v>10</v>
      </c>
    </row>
    <row r="2860" ht="14.25" customHeight="1">
      <c r="A2860" s="1" t="s">
        <v>2481</v>
      </c>
      <c r="B2860" s="1" t="s">
        <v>8</v>
      </c>
      <c r="C2860" s="2" t="s">
        <v>69</v>
      </c>
      <c r="D2860" s="2">
        <v>7.8</v>
      </c>
      <c r="E2860" s="2">
        <v>2021.0</v>
      </c>
      <c r="F2860" s="2" t="s">
        <v>10</v>
      </c>
      <c r="G2860" s="2">
        <v>1.082E7</v>
      </c>
    </row>
    <row r="2861" ht="14.25" customHeight="1">
      <c r="A2861" s="1" t="s">
        <v>2481</v>
      </c>
      <c r="B2861" s="1" t="s">
        <v>8</v>
      </c>
      <c r="C2861" s="2" t="s">
        <v>69</v>
      </c>
      <c r="D2861" s="2">
        <v>7.8</v>
      </c>
      <c r="E2861" s="2">
        <v>2021.0</v>
      </c>
      <c r="F2861" s="2" t="s">
        <v>10</v>
      </c>
      <c r="G2861" s="2">
        <v>1.843E7</v>
      </c>
    </row>
    <row r="2862" ht="14.25" customHeight="1">
      <c r="A2862" s="1" t="s">
        <v>2481</v>
      </c>
      <c r="B2862" s="1" t="s">
        <v>8</v>
      </c>
      <c r="C2862" s="2" t="s">
        <v>69</v>
      </c>
      <c r="D2862" s="2">
        <v>7.8</v>
      </c>
      <c r="E2862" s="2">
        <v>2021.0</v>
      </c>
      <c r="F2862" s="2" t="s">
        <v>10</v>
      </c>
      <c r="G2862" s="2">
        <v>3.858E7</v>
      </c>
    </row>
    <row r="2863" ht="14.25" customHeight="1">
      <c r="A2863" s="1" t="s">
        <v>2481</v>
      </c>
      <c r="B2863" s="1" t="s">
        <v>8</v>
      </c>
      <c r="C2863" s="2" t="s">
        <v>69</v>
      </c>
      <c r="D2863" s="2">
        <v>7.8</v>
      </c>
      <c r="E2863" s="2">
        <v>2021.0</v>
      </c>
      <c r="F2863" s="2" t="s">
        <v>10</v>
      </c>
      <c r="G2863" s="2">
        <v>8.453E7</v>
      </c>
    </row>
    <row r="2864" ht="14.25" customHeight="1">
      <c r="A2864" s="1" t="s">
        <v>2481</v>
      </c>
      <c r="B2864" s="1" t="s">
        <v>8</v>
      </c>
      <c r="C2864" s="2" t="s">
        <v>69</v>
      </c>
      <c r="D2864" s="2">
        <v>7.8</v>
      </c>
      <c r="E2864" s="2">
        <v>2021.0</v>
      </c>
      <c r="F2864" s="2" t="s">
        <v>10</v>
      </c>
      <c r="G2864" s="2">
        <v>4.178E7</v>
      </c>
    </row>
    <row r="2865" ht="14.25" customHeight="1">
      <c r="A2865" s="1" t="s">
        <v>2482</v>
      </c>
      <c r="B2865" s="1" t="s">
        <v>20</v>
      </c>
      <c r="C2865" s="2" t="s">
        <v>512</v>
      </c>
      <c r="D2865" s="2">
        <v>7.8</v>
      </c>
      <c r="E2865" s="2">
        <v>1935.0</v>
      </c>
      <c r="F2865" s="2" t="s">
        <v>10</v>
      </c>
      <c r="G2865" s="2" t="s">
        <v>10</v>
      </c>
    </row>
    <row r="2866" ht="14.25" customHeight="1">
      <c r="A2866" s="1" t="s">
        <v>2483</v>
      </c>
      <c r="B2866" s="1" t="s">
        <v>20</v>
      </c>
      <c r="C2866" s="2" t="s">
        <v>53</v>
      </c>
      <c r="D2866" s="2">
        <v>7.8</v>
      </c>
      <c r="E2866" s="2">
        <v>1944.0</v>
      </c>
      <c r="F2866" s="2" t="s">
        <v>10</v>
      </c>
      <c r="G2866" s="2" t="s">
        <v>10</v>
      </c>
    </row>
    <row r="2867" ht="14.25" customHeight="1">
      <c r="A2867" s="1" t="s">
        <v>2484</v>
      </c>
      <c r="B2867" s="1" t="s">
        <v>20</v>
      </c>
      <c r="C2867" s="2" t="s">
        <v>217</v>
      </c>
      <c r="D2867" s="2">
        <v>7.8</v>
      </c>
      <c r="E2867" s="2">
        <v>1997.0</v>
      </c>
      <c r="F2867" s="2" t="s">
        <v>10</v>
      </c>
      <c r="G2867" s="2" t="s">
        <v>10</v>
      </c>
    </row>
    <row r="2868" ht="14.25" customHeight="1">
      <c r="A2868" s="1" t="s">
        <v>2485</v>
      </c>
      <c r="B2868" s="1" t="s">
        <v>20</v>
      </c>
      <c r="C2868" s="2" t="s">
        <v>63</v>
      </c>
      <c r="D2868" s="2">
        <v>7.8</v>
      </c>
      <c r="E2868" s="2">
        <v>2005.0</v>
      </c>
      <c r="F2868" s="2" t="s">
        <v>10</v>
      </c>
      <c r="G2868" s="2" t="s">
        <v>10</v>
      </c>
    </row>
    <row r="2869" ht="14.25" customHeight="1">
      <c r="A2869" s="1" t="s">
        <v>2486</v>
      </c>
      <c r="B2869" s="1" t="s">
        <v>20</v>
      </c>
      <c r="C2869" s="2" t="s">
        <v>597</v>
      </c>
      <c r="D2869" s="2">
        <v>7.8</v>
      </c>
      <c r="E2869" s="2">
        <v>2001.0</v>
      </c>
      <c r="F2869" s="2" t="s">
        <v>10</v>
      </c>
      <c r="G2869" s="2" t="s">
        <v>10</v>
      </c>
    </row>
    <row r="2870" ht="14.25" customHeight="1">
      <c r="A2870" s="1" t="s">
        <v>2487</v>
      </c>
      <c r="B2870" s="1" t="s">
        <v>8</v>
      </c>
      <c r="C2870" s="2" t="s">
        <v>55</v>
      </c>
      <c r="D2870" s="2">
        <v>7.8</v>
      </c>
      <c r="E2870" s="2">
        <v>1995.0</v>
      </c>
      <c r="F2870" s="2" t="s">
        <v>10</v>
      </c>
      <c r="G2870" s="2" t="s">
        <v>10</v>
      </c>
    </row>
    <row r="2871" ht="14.25" customHeight="1">
      <c r="A2871" s="1" t="s">
        <v>2488</v>
      </c>
      <c r="B2871" s="1" t="s">
        <v>20</v>
      </c>
      <c r="C2871" s="2" t="s">
        <v>253</v>
      </c>
      <c r="D2871" s="2">
        <v>7.8</v>
      </c>
      <c r="E2871" s="2">
        <v>2021.0</v>
      </c>
      <c r="F2871" s="2" t="s">
        <v>10</v>
      </c>
      <c r="G2871" s="2">
        <v>2510000.0</v>
      </c>
    </row>
    <row r="2872" ht="14.25" customHeight="1">
      <c r="A2872" s="1" t="s">
        <v>2488</v>
      </c>
      <c r="B2872" s="1" t="s">
        <v>20</v>
      </c>
      <c r="C2872" s="2" t="s">
        <v>253</v>
      </c>
      <c r="D2872" s="2">
        <v>7.8</v>
      </c>
      <c r="E2872" s="2">
        <v>2021.0</v>
      </c>
      <c r="F2872" s="2" t="s">
        <v>10</v>
      </c>
      <c r="G2872" s="2">
        <v>5080000.0</v>
      </c>
    </row>
    <row r="2873" ht="14.25" customHeight="1">
      <c r="A2873" s="1" t="s">
        <v>2488</v>
      </c>
      <c r="B2873" s="1" t="s">
        <v>20</v>
      </c>
      <c r="C2873" s="2" t="s">
        <v>253</v>
      </c>
      <c r="D2873" s="2">
        <v>7.8</v>
      </c>
      <c r="E2873" s="2">
        <v>2021.0</v>
      </c>
      <c r="F2873" s="2" t="s">
        <v>10</v>
      </c>
      <c r="G2873" s="2">
        <v>1.144E7</v>
      </c>
    </row>
    <row r="2874" ht="14.25" customHeight="1">
      <c r="A2874" s="1" t="s">
        <v>2488</v>
      </c>
      <c r="B2874" s="1" t="s">
        <v>20</v>
      </c>
      <c r="C2874" s="2" t="s">
        <v>253</v>
      </c>
      <c r="D2874" s="2">
        <v>7.8</v>
      </c>
      <c r="E2874" s="2">
        <v>2021.0</v>
      </c>
      <c r="F2874" s="2" t="s">
        <v>10</v>
      </c>
      <c r="G2874" s="2">
        <v>5990000.0</v>
      </c>
    </row>
    <row r="2875" ht="14.25" customHeight="1">
      <c r="A2875" s="1" t="s">
        <v>2489</v>
      </c>
      <c r="B2875" s="1" t="s">
        <v>20</v>
      </c>
      <c r="C2875" s="2" t="s">
        <v>63</v>
      </c>
      <c r="D2875" s="2">
        <v>7.8</v>
      </c>
      <c r="E2875" s="2">
        <v>2017.0</v>
      </c>
      <c r="F2875" s="2" t="s">
        <v>10</v>
      </c>
      <c r="G2875" s="2" t="s">
        <v>10</v>
      </c>
    </row>
    <row r="2876" ht="14.25" customHeight="1">
      <c r="A2876" s="1" t="s">
        <v>2490</v>
      </c>
      <c r="B2876" s="1" t="s">
        <v>20</v>
      </c>
      <c r="C2876" s="2" t="s">
        <v>833</v>
      </c>
      <c r="D2876" s="2">
        <v>7.8</v>
      </c>
      <c r="E2876" s="2">
        <v>2024.0</v>
      </c>
      <c r="F2876" s="2" t="s">
        <v>10</v>
      </c>
      <c r="G2876" s="2" t="s">
        <v>10</v>
      </c>
    </row>
    <row r="2877" ht="14.25" customHeight="1">
      <c r="A2877" s="1" t="s">
        <v>2491</v>
      </c>
      <c r="B2877" s="1" t="s">
        <v>20</v>
      </c>
      <c r="C2877" s="2" t="s">
        <v>207</v>
      </c>
      <c r="D2877" s="2">
        <v>7.8</v>
      </c>
      <c r="E2877" s="2">
        <v>1964.0</v>
      </c>
      <c r="F2877" s="2" t="s">
        <v>10</v>
      </c>
      <c r="G2877" s="2" t="s">
        <v>10</v>
      </c>
    </row>
    <row r="2878" ht="14.25" customHeight="1">
      <c r="A2878" s="1" t="s">
        <v>2492</v>
      </c>
      <c r="B2878" s="1" t="s">
        <v>8</v>
      </c>
      <c r="C2878" s="2" t="s">
        <v>203</v>
      </c>
      <c r="D2878" s="2">
        <v>7.8</v>
      </c>
      <c r="E2878" s="2">
        <v>2014.0</v>
      </c>
      <c r="F2878" s="2">
        <v>2014.0</v>
      </c>
      <c r="G2878" s="2" t="s">
        <v>10</v>
      </c>
    </row>
    <row r="2879" ht="14.25" customHeight="1">
      <c r="A2879" s="1" t="s">
        <v>267</v>
      </c>
      <c r="B2879" s="1" t="s">
        <v>20</v>
      </c>
      <c r="C2879" s="2" t="s">
        <v>299</v>
      </c>
      <c r="D2879" s="2">
        <v>7.8</v>
      </c>
      <c r="E2879" s="2">
        <v>2023.0</v>
      </c>
      <c r="F2879" s="2">
        <v>2021.0</v>
      </c>
      <c r="G2879" s="2" t="s">
        <v>10</v>
      </c>
    </row>
    <row r="2880" ht="14.25" customHeight="1">
      <c r="A2880" s="1" t="s">
        <v>2493</v>
      </c>
      <c r="B2880" s="1" t="s">
        <v>20</v>
      </c>
      <c r="C2880" s="2" t="s">
        <v>844</v>
      </c>
      <c r="D2880" s="2">
        <v>7.8</v>
      </c>
      <c r="E2880" s="2">
        <v>1950.0</v>
      </c>
      <c r="F2880" s="2" t="s">
        <v>10</v>
      </c>
      <c r="G2880" s="2" t="s">
        <v>10</v>
      </c>
    </row>
    <row r="2881" ht="14.25" customHeight="1">
      <c r="A2881" s="1" t="s">
        <v>2494</v>
      </c>
      <c r="B2881" s="1" t="s">
        <v>20</v>
      </c>
      <c r="C2881" s="2" t="s">
        <v>2495</v>
      </c>
      <c r="D2881" s="2">
        <v>7.8</v>
      </c>
      <c r="E2881" s="2">
        <v>2020.0</v>
      </c>
      <c r="F2881" s="2" t="s">
        <v>10</v>
      </c>
      <c r="G2881" s="2" t="s">
        <v>10</v>
      </c>
    </row>
    <row r="2882" ht="14.25" customHeight="1">
      <c r="A2882" s="1" t="s">
        <v>2496</v>
      </c>
      <c r="B2882" s="1" t="s">
        <v>8</v>
      </c>
      <c r="C2882" s="2" t="s">
        <v>249</v>
      </c>
      <c r="D2882" s="2">
        <v>7.8</v>
      </c>
      <c r="E2882" s="2">
        <v>2022.0</v>
      </c>
      <c r="F2882" s="2" t="s">
        <v>10</v>
      </c>
      <c r="G2882" s="2" t="s">
        <v>10</v>
      </c>
    </row>
    <row r="2883" ht="14.25" customHeight="1">
      <c r="A2883" s="1" t="s">
        <v>2497</v>
      </c>
      <c r="B2883" s="1" t="s">
        <v>8</v>
      </c>
      <c r="C2883" s="2" t="s">
        <v>792</v>
      </c>
      <c r="D2883" s="2">
        <v>7.8</v>
      </c>
      <c r="E2883" s="2">
        <v>2016.0</v>
      </c>
      <c r="F2883" s="2">
        <v>2018.0</v>
      </c>
      <c r="G2883" s="2" t="s">
        <v>10</v>
      </c>
    </row>
    <row r="2884" ht="14.25" customHeight="1">
      <c r="A2884" s="1" t="s">
        <v>2498</v>
      </c>
      <c r="B2884" s="1" t="s">
        <v>20</v>
      </c>
      <c r="C2884" s="2" t="s">
        <v>163</v>
      </c>
      <c r="D2884" s="2">
        <v>7.8</v>
      </c>
      <c r="E2884" s="2">
        <v>2016.0</v>
      </c>
      <c r="F2884" s="2">
        <v>2016.0</v>
      </c>
      <c r="G2884" s="2" t="s">
        <v>10</v>
      </c>
    </row>
    <row r="2885" ht="14.25" customHeight="1">
      <c r="A2885" s="1" t="s">
        <v>2499</v>
      </c>
      <c r="B2885" s="1" t="s">
        <v>20</v>
      </c>
      <c r="C2885" s="2" t="s">
        <v>452</v>
      </c>
      <c r="D2885" s="2">
        <v>7.8</v>
      </c>
      <c r="E2885" s="2">
        <v>2017.0</v>
      </c>
      <c r="F2885" s="2">
        <v>2017.0</v>
      </c>
      <c r="G2885" s="2" t="s">
        <v>10</v>
      </c>
    </row>
    <row r="2886" ht="14.25" customHeight="1">
      <c r="A2886" s="1" t="s">
        <v>2500</v>
      </c>
      <c r="B2886" s="1" t="s">
        <v>8</v>
      </c>
      <c r="C2886" s="2" t="s">
        <v>63</v>
      </c>
      <c r="D2886" s="2">
        <v>7.8</v>
      </c>
      <c r="E2886" s="2">
        <v>2009.0</v>
      </c>
      <c r="F2886" s="2">
        <v>2015.0</v>
      </c>
      <c r="G2886" s="2" t="s">
        <v>10</v>
      </c>
    </row>
    <row r="2887" ht="14.25" customHeight="1">
      <c r="A2887" s="1" t="s">
        <v>2501</v>
      </c>
      <c r="B2887" s="1" t="s">
        <v>8</v>
      </c>
      <c r="C2887" s="2" t="s">
        <v>32</v>
      </c>
      <c r="D2887" s="2">
        <v>7.8</v>
      </c>
      <c r="E2887" s="2">
        <v>2021.0</v>
      </c>
      <c r="F2887" s="2" t="s">
        <v>10</v>
      </c>
      <c r="G2887" s="2" t="s">
        <v>10</v>
      </c>
    </row>
    <row r="2888" ht="14.25" customHeight="1">
      <c r="A2888" s="1" t="s">
        <v>2502</v>
      </c>
      <c r="B2888" s="1" t="s">
        <v>8</v>
      </c>
      <c r="C2888" s="2" t="s">
        <v>53</v>
      </c>
      <c r="D2888" s="2">
        <v>7.8</v>
      </c>
      <c r="E2888" s="2">
        <v>2005.0</v>
      </c>
      <c r="F2888" s="2" t="s">
        <v>10</v>
      </c>
      <c r="G2888" s="2" t="s">
        <v>10</v>
      </c>
    </row>
    <row r="2889" ht="14.25" customHeight="1">
      <c r="A2889" s="1" t="s">
        <v>2503</v>
      </c>
      <c r="B2889" s="1" t="s">
        <v>8</v>
      </c>
      <c r="C2889" s="2" t="s">
        <v>25</v>
      </c>
      <c r="D2889" s="2">
        <v>7.8</v>
      </c>
      <c r="E2889" s="2">
        <v>2003.0</v>
      </c>
      <c r="F2889" s="2" t="s">
        <v>10</v>
      </c>
      <c r="G2889" s="2" t="s">
        <v>10</v>
      </c>
    </row>
    <row r="2890" ht="14.25" customHeight="1">
      <c r="A2890" s="1" t="s">
        <v>2504</v>
      </c>
      <c r="B2890" s="1" t="s">
        <v>8</v>
      </c>
      <c r="C2890" s="2" t="s">
        <v>32</v>
      </c>
      <c r="D2890" s="2">
        <v>7.8</v>
      </c>
      <c r="E2890" s="2">
        <v>2015.0</v>
      </c>
      <c r="F2890" s="2" t="s">
        <v>10</v>
      </c>
      <c r="G2890" s="2" t="s">
        <v>10</v>
      </c>
    </row>
    <row r="2891" ht="14.25" customHeight="1">
      <c r="A2891" s="1" t="s">
        <v>2505</v>
      </c>
      <c r="B2891" s="1" t="s">
        <v>8</v>
      </c>
      <c r="C2891" s="2" t="s">
        <v>530</v>
      </c>
      <c r="D2891" s="2">
        <v>7.8</v>
      </c>
      <c r="E2891" s="2">
        <v>2011.0</v>
      </c>
      <c r="F2891" s="2" t="s">
        <v>10</v>
      </c>
      <c r="G2891" s="2" t="s">
        <v>10</v>
      </c>
    </row>
    <row r="2892" ht="14.25" customHeight="1">
      <c r="A2892" s="1" t="s">
        <v>2506</v>
      </c>
      <c r="B2892" s="1" t="s">
        <v>20</v>
      </c>
      <c r="C2892" s="2" t="s">
        <v>18</v>
      </c>
      <c r="D2892" s="2">
        <v>7.8</v>
      </c>
      <c r="E2892" s="2">
        <v>2013.0</v>
      </c>
      <c r="F2892" s="2" t="s">
        <v>10</v>
      </c>
      <c r="G2892" s="2" t="s">
        <v>10</v>
      </c>
    </row>
    <row r="2893" ht="14.25" customHeight="1">
      <c r="A2893" s="1" t="s">
        <v>2507</v>
      </c>
      <c r="B2893" s="1" t="s">
        <v>8</v>
      </c>
      <c r="C2893" s="2" t="s">
        <v>55</v>
      </c>
      <c r="D2893" s="2">
        <v>7.8</v>
      </c>
      <c r="E2893" s="2">
        <v>1997.0</v>
      </c>
      <c r="F2893" s="2" t="s">
        <v>10</v>
      </c>
      <c r="G2893" s="2" t="s">
        <v>10</v>
      </c>
    </row>
    <row r="2894" ht="14.25" customHeight="1">
      <c r="A2894" s="1" t="s">
        <v>2508</v>
      </c>
      <c r="B2894" s="1" t="s">
        <v>20</v>
      </c>
      <c r="C2894" s="2" t="s">
        <v>187</v>
      </c>
      <c r="D2894" s="2">
        <v>7.8</v>
      </c>
      <c r="E2894" s="2">
        <v>1938.0</v>
      </c>
      <c r="F2894" s="2" t="s">
        <v>10</v>
      </c>
      <c r="G2894" s="2" t="s">
        <v>10</v>
      </c>
    </row>
    <row r="2895" ht="14.25" customHeight="1">
      <c r="A2895" s="1" t="s">
        <v>2509</v>
      </c>
      <c r="B2895" s="1" t="s">
        <v>20</v>
      </c>
      <c r="C2895" s="2" t="s">
        <v>361</v>
      </c>
      <c r="D2895" s="2">
        <v>7.8</v>
      </c>
      <c r="E2895" s="2">
        <v>1962.0</v>
      </c>
      <c r="F2895" s="2" t="s">
        <v>10</v>
      </c>
      <c r="G2895" s="2" t="s">
        <v>10</v>
      </c>
    </row>
    <row r="2896" ht="14.25" customHeight="1">
      <c r="A2896" s="1" t="s">
        <v>2510</v>
      </c>
      <c r="B2896" s="1" t="s">
        <v>20</v>
      </c>
      <c r="C2896" s="2" t="s">
        <v>212</v>
      </c>
      <c r="D2896" s="2">
        <v>7.8</v>
      </c>
      <c r="E2896" s="2">
        <v>2024.0</v>
      </c>
      <c r="F2896" s="2" t="s">
        <v>10</v>
      </c>
      <c r="G2896" s="2" t="s">
        <v>10</v>
      </c>
    </row>
    <row r="2897" ht="14.25" customHeight="1">
      <c r="A2897" s="1" t="s">
        <v>2511</v>
      </c>
      <c r="B2897" s="1" t="s">
        <v>8</v>
      </c>
      <c r="C2897" s="2" t="s">
        <v>1676</v>
      </c>
      <c r="D2897" s="2">
        <v>7.8</v>
      </c>
      <c r="E2897" s="2">
        <v>2004.0</v>
      </c>
      <c r="F2897" s="2">
        <v>2018.0</v>
      </c>
      <c r="G2897" s="2" t="s">
        <v>10</v>
      </c>
    </row>
    <row r="2898" ht="14.25" customHeight="1">
      <c r="A2898" s="1" t="s">
        <v>2512</v>
      </c>
      <c r="B2898" s="1" t="s">
        <v>8</v>
      </c>
      <c r="C2898" s="2" t="s">
        <v>53</v>
      </c>
      <c r="D2898" s="2">
        <v>7.8</v>
      </c>
      <c r="E2898" s="2">
        <v>2017.0</v>
      </c>
      <c r="F2898" s="2" t="s">
        <v>10</v>
      </c>
      <c r="G2898" s="2" t="s">
        <v>10</v>
      </c>
    </row>
    <row r="2899" ht="14.25" customHeight="1">
      <c r="A2899" s="1" t="s">
        <v>2513</v>
      </c>
      <c r="B2899" s="1" t="s">
        <v>8</v>
      </c>
      <c r="C2899" s="2" t="s">
        <v>299</v>
      </c>
      <c r="D2899" s="2">
        <v>7.8</v>
      </c>
      <c r="E2899" s="2">
        <v>2014.0</v>
      </c>
      <c r="F2899" s="2">
        <v>2019.0</v>
      </c>
      <c r="G2899" s="2" t="s">
        <v>10</v>
      </c>
    </row>
    <row r="2900" ht="14.25" customHeight="1">
      <c r="A2900" s="1" t="s">
        <v>2514</v>
      </c>
      <c r="B2900" s="1" t="s">
        <v>8</v>
      </c>
      <c r="C2900" s="2" t="s">
        <v>258</v>
      </c>
      <c r="D2900" s="2">
        <v>7.8</v>
      </c>
      <c r="E2900" s="2">
        <v>2021.0</v>
      </c>
      <c r="F2900" s="2" t="s">
        <v>10</v>
      </c>
      <c r="G2900" s="2" t="s">
        <v>10</v>
      </c>
    </row>
    <row r="2901" ht="14.25" customHeight="1">
      <c r="A2901" s="1" t="s">
        <v>2515</v>
      </c>
      <c r="B2901" s="1" t="s">
        <v>20</v>
      </c>
      <c r="C2901" s="2" t="s">
        <v>822</v>
      </c>
      <c r="D2901" s="2">
        <v>7.8</v>
      </c>
      <c r="E2901" s="2">
        <v>1946.0</v>
      </c>
      <c r="F2901" s="2" t="s">
        <v>10</v>
      </c>
      <c r="G2901" s="2" t="s">
        <v>10</v>
      </c>
    </row>
    <row r="2902" ht="14.25" customHeight="1">
      <c r="A2902" s="1" t="s">
        <v>2516</v>
      </c>
      <c r="B2902" s="1" t="s">
        <v>8</v>
      </c>
      <c r="C2902" s="2" t="s">
        <v>284</v>
      </c>
      <c r="D2902" s="2">
        <v>7.8</v>
      </c>
      <c r="E2902" s="2">
        <v>2008.0</v>
      </c>
      <c r="F2902" s="2" t="s">
        <v>10</v>
      </c>
      <c r="G2902" s="2" t="s">
        <v>10</v>
      </c>
    </row>
    <row r="2903" ht="14.25" customHeight="1">
      <c r="A2903" s="1" t="s">
        <v>2517</v>
      </c>
      <c r="B2903" s="1" t="s">
        <v>20</v>
      </c>
      <c r="C2903" s="2" t="s">
        <v>32</v>
      </c>
      <c r="D2903" s="2">
        <v>7.8</v>
      </c>
      <c r="E2903" s="2">
        <v>1967.0</v>
      </c>
      <c r="F2903" s="2" t="s">
        <v>10</v>
      </c>
      <c r="G2903" s="2" t="s">
        <v>10</v>
      </c>
    </row>
    <row r="2904" ht="14.25" customHeight="1">
      <c r="A2904" s="1" t="s">
        <v>2518</v>
      </c>
      <c r="B2904" s="1" t="s">
        <v>8</v>
      </c>
      <c r="C2904" s="2" t="s">
        <v>25</v>
      </c>
      <c r="D2904" s="2">
        <v>7.8</v>
      </c>
      <c r="E2904" s="2">
        <v>2020.0</v>
      </c>
      <c r="F2904" s="2" t="s">
        <v>10</v>
      </c>
      <c r="G2904" s="2" t="s">
        <v>10</v>
      </c>
    </row>
    <row r="2905" ht="14.25" customHeight="1">
      <c r="A2905" s="1" t="s">
        <v>2519</v>
      </c>
      <c r="B2905" s="1" t="s">
        <v>20</v>
      </c>
      <c r="C2905" s="2" t="s">
        <v>239</v>
      </c>
      <c r="D2905" s="2">
        <v>7.8</v>
      </c>
      <c r="E2905" s="2">
        <v>2004.0</v>
      </c>
      <c r="F2905" s="2">
        <v>2004.0</v>
      </c>
      <c r="G2905" s="2" t="s">
        <v>10</v>
      </c>
    </row>
    <row r="2906" ht="14.25" customHeight="1">
      <c r="A2906" s="1" t="s">
        <v>2520</v>
      </c>
      <c r="B2906" s="1" t="s">
        <v>8</v>
      </c>
      <c r="C2906" s="2" t="s">
        <v>1395</v>
      </c>
      <c r="D2906" s="2">
        <v>7.8</v>
      </c>
      <c r="E2906" s="2">
        <v>2013.0</v>
      </c>
      <c r="F2906" s="2" t="s">
        <v>10</v>
      </c>
      <c r="G2906" s="2" t="s">
        <v>10</v>
      </c>
    </row>
    <row r="2907" ht="14.25" customHeight="1">
      <c r="A2907" s="1" t="s">
        <v>2521</v>
      </c>
      <c r="B2907" s="1" t="s">
        <v>8</v>
      </c>
      <c r="C2907" s="2" t="s">
        <v>118</v>
      </c>
      <c r="D2907" s="2">
        <v>7.8</v>
      </c>
      <c r="E2907" s="2">
        <v>2015.0</v>
      </c>
      <c r="F2907" s="2" t="s">
        <v>10</v>
      </c>
      <c r="G2907" s="2" t="s">
        <v>10</v>
      </c>
    </row>
    <row r="2908" ht="14.25" customHeight="1">
      <c r="A2908" s="1" t="s">
        <v>2522</v>
      </c>
      <c r="B2908" s="1" t="s">
        <v>20</v>
      </c>
      <c r="C2908" s="2" t="s">
        <v>9</v>
      </c>
      <c r="D2908" s="2">
        <v>7.8</v>
      </c>
      <c r="E2908" s="2">
        <v>1997.0</v>
      </c>
      <c r="F2908" s="2">
        <v>2019.0</v>
      </c>
      <c r="G2908" s="2" t="s">
        <v>10</v>
      </c>
    </row>
    <row r="2909" ht="14.25" customHeight="1">
      <c r="A2909" s="1" t="s">
        <v>2523</v>
      </c>
      <c r="B2909" s="1" t="s">
        <v>20</v>
      </c>
      <c r="C2909" s="2" t="s">
        <v>187</v>
      </c>
      <c r="D2909" s="2">
        <v>7.8</v>
      </c>
      <c r="E2909" s="2">
        <v>1977.0</v>
      </c>
      <c r="F2909" s="2" t="s">
        <v>10</v>
      </c>
      <c r="G2909" s="2" t="s">
        <v>10</v>
      </c>
    </row>
    <row r="2910" ht="14.25" customHeight="1">
      <c r="A2910" s="1" t="s">
        <v>2524</v>
      </c>
      <c r="B2910" s="1" t="s">
        <v>20</v>
      </c>
      <c r="C2910" s="2" t="s">
        <v>825</v>
      </c>
      <c r="D2910" s="2">
        <v>7.8</v>
      </c>
      <c r="E2910" s="2">
        <v>2015.0</v>
      </c>
      <c r="F2910" s="2" t="s">
        <v>10</v>
      </c>
      <c r="G2910" s="2" t="s">
        <v>10</v>
      </c>
    </row>
    <row r="2911" ht="14.25" customHeight="1">
      <c r="A2911" s="1">
        <v>24.0</v>
      </c>
      <c r="B2911" s="1" t="s">
        <v>20</v>
      </c>
      <c r="C2911" s="2" t="s">
        <v>253</v>
      </c>
      <c r="D2911" s="2">
        <v>7.8</v>
      </c>
      <c r="E2911" s="2">
        <v>2016.0</v>
      </c>
      <c r="F2911" s="2" t="s">
        <v>10</v>
      </c>
      <c r="G2911" s="2" t="s">
        <v>10</v>
      </c>
    </row>
    <row r="2912" ht="14.25" customHeight="1">
      <c r="A2912" s="1" t="s">
        <v>2525</v>
      </c>
      <c r="B2912" s="1" t="s">
        <v>8</v>
      </c>
      <c r="C2912" s="2" t="s">
        <v>63</v>
      </c>
      <c r="D2912" s="2">
        <v>7.8</v>
      </c>
      <c r="E2912" s="2">
        <v>2017.0</v>
      </c>
      <c r="F2912" s="2" t="s">
        <v>10</v>
      </c>
      <c r="G2912" s="2" t="s">
        <v>10</v>
      </c>
    </row>
    <row r="2913" ht="14.25" customHeight="1">
      <c r="A2913" s="1" t="s">
        <v>2526</v>
      </c>
      <c r="B2913" s="1" t="s">
        <v>20</v>
      </c>
      <c r="C2913" s="2" t="s">
        <v>36</v>
      </c>
      <c r="D2913" s="2">
        <v>7.8</v>
      </c>
      <c r="E2913" s="2">
        <v>2007.0</v>
      </c>
      <c r="F2913" s="2" t="s">
        <v>10</v>
      </c>
      <c r="G2913" s="2" t="s">
        <v>10</v>
      </c>
    </row>
    <row r="2914" ht="14.25" customHeight="1">
      <c r="A2914" s="1" t="s">
        <v>2527</v>
      </c>
      <c r="B2914" s="1" t="s">
        <v>20</v>
      </c>
      <c r="C2914" s="2" t="s">
        <v>249</v>
      </c>
      <c r="D2914" s="2">
        <v>7.8</v>
      </c>
      <c r="E2914" s="2">
        <v>1963.0</v>
      </c>
      <c r="F2914" s="2" t="s">
        <v>10</v>
      </c>
      <c r="G2914" s="2" t="s">
        <v>10</v>
      </c>
    </row>
    <row r="2915" ht="14.25" customHeight="1">
      <c r="A2915" s="1" t="s">
        <v>2528</v>
      </c>
      <c r="B2915" s="1" t="s">
        <v>8</v>
      </c>
      <c r="C2915" s="2" t="s">
        <v>34</v>
      </c>
      <c r="D2915" s="2">
        <v>7.8</v>
      </c>
      <c r="E2915" s="2">
        <v>2014.0</v>
      </c>
      <c r="F2915" s="2" t="s">
        <v>10</v>
      </c>
      <c r="G2915" s="2" t="s">
        <v>10</v>
      </c>
    </row>
    <row r="2916" ht="14.25" customHeight="1">
      <c r="A2916" s="1" t="s">
        <v>2529</v>
      </c>
      <c r="B2916" s="1" t="s">
        <v>8</v>
      </c>
      <c r="C2916" s="2" t="s">
        <v>63</v>
      </c>
      <c r="D2916" s="2">
        <v>7.8</v>
      </c>
      <c r="E2916" s="2">
        <v>2017.0</v>
      </c>
      <c r="F2916" s="2">
        <v>2021.0</v>
      </c>
      <c r="G2916" s="2">
        <v>1.511E7</v>
      </c>
    </row>
    <row r="2917" ht="14.25" customHeight="1">
      <c r="A2917" s="1" t="s">
        <v>2529</v>
      </c>
      <c r="B2917" s="1" t="s">
        <v>8</v>
      </c>
      <c r="C2917" s="2" t="s">
        <v>63</v>
      </c>
      <c r="D2917" s="2">
        <v>7.8</v>
      </c>
      <c r="E2917" s="2">
        <v>2017.0</v>
      </c>
      <c r="F2917" s="2">
        <v>2021.0</v>
      </c>
      <c r="G2917" s="2">
        <v>1.819E7</v>
      </c>
    </row>
    <row r="2918" ht="14.25" customHeight="1">
      <c r="A2918" s="1" t="s">
        <v>2529</v>
      </c>
      <c r="B2918" s="1" t="s">
        <v>8</v>
      </c>
      <c r="C2918" s="2" t="s">
        <v>63</v>
      </c>
      <c r="D2918" s="2">
        <v>7.8</v>
      </c>
      <c r="E2918" s="2">
        <v>2017.0</v>
      </c>
      <c r="F2918" s="2">
        <v>2021.0</v>
      </c>
      <c r="G2918" s="2">
        <v>1.274E7</v>
      </c>
    </row>
    <row r="2919" ht="14.25" customHeight="1">
      <c r="A2919" s="1" t="s">
        <v>2529</v>
      </c>
      <c r="B2919" s="1" t="s">
        <v>8</v>
      </c>
      <c r="C2919" s="2" t="s">
        <v>63</v>
      </c>
      <c r="D2919" s="2">
        <v>7.8</v>
      </c>
      <c r="E2919" s="2">
        <v>2017.0</v>
      </c>
      <c r="F2919" s="2">
        <v>2021.0</v>
      </c>
      <c r="G2919" s="2">
        <v>1.919E7</v>
      </c>
    </row>
    <row r="2920" ht="14.25" customHeight="1">
      <c r="A2920" s="1" t="s">
        <v>2530</v>
      </c>
      <c r="B2920" s="1" t="s">
        <v>8</v>
      </c>
      <c r="C2920" s="2" t="s">
        <v>63</v>
      </c>
      <c r="D2920" s="2">
        <v>7.8</v>
      </c>
      <c r="E2920" s="2">
        <v>2014.0</v>
      </c>
      <c r="F2920" s="2" t="s">
        <v>10</v>
      </c>
      <c r="G2920" s="2" t="s">
        <v>10</v>
      </c>
    </row>
    <row r="2921" ht="14.25" customHeight="1">
      <c r="A2921" s="1" t="s">
        <v>2531</v>
      </c>
      <c r="B2921" s="1" t="s">
        <v>20</v>
      </c>
      <c r="C2921" s="2" t="s">
        <v>187</v>
      </c>
      <c r="D2921" s="2">
        <v>7.8</v>
      </c>
      <c r="E2921" s="2">
        <v>1994.0</v>
      </c>
      <c r="F2921" s="2" t="s">
        <v>10</v>
      </c>
      <c r="G2921" s="2" t="s">
        <v>10</v>
      </c>
    </row>
    <row r="2922" ht="14.25" customHeight="1">
      <c r="A2922" s="1" t="s">
        <v>2532</v>
      </c>
      <c r="B2922" s="1" t="s">
        <v>20</v>
      </c>
      <c r="C2922" s="2" t="s">
        <v>187</v>
      </c>
      <c r="D2922" s="2">
        <v>7.8</v>
      </c>
      <c r="E2922" s="2">
        <v>1936.0</v>
      </c>
      <c r="F2922" s="2" t="s">
        <v>10</v>
      </c>
      <c r="G2922" s="2" t="s">
        <v>10</v>
      </c>
    </row>
    <row r="2923" ht="14.25" customHeight="1">
      <c r="A2923" s="1" t="s">
        <v>2533</v>
      </c>
      <c r="B2923" s="1" t="s">
        <v>8</v>
      </c>
      <c r="C2923" s="2" t="s">
        <v>32</v>
      </c>
      <c r="D2923" s="2">
        <v>7.8</v>
      </c>
      <c r="E2923" s="2">
        <v>2011.0</v>
      </c>
      <c r="F2923" s="2">
        <v>2018.0</v>
      </c>
      <c r="G2923" s="2" t="s">
        <v>10</v>
      </c>
    </row>
    <row r="2924" ht="14.25" customHeight="1">
      <c r="A2924" s="1" t="s">
        <v>2534</v>
      </c>
      <c r="B2924" s="1" t="s">
        <v>20</v>
      </c>
      <c r="C2924" s="2" t="s">
        <v>611</v>
      </c>
      <c r="D2924" s="2">
        <v>7.8</v>
      </c>
      <c r="E2924" s="2">
        <v>2024.0</v>
      </c>
      <c r="F2924" s="2" t="s">
        <v>10</v>
      </c>
      <c r="G2924" s="2" t="s">
        <v>10</v>
      </c>
    </row>
    <row r="2925" ht="14.25" customHeight="1">
      <c r="A2925" s="1" t="s">
        <v>2535</v>
      </c>
      <c r="B2925" s="1" t="s">
        <v>20</v>
      </c>
      <c r="C2925" s="2" t="s">
        <v>118</v>
      </c>
      <c r="D2925" s="2">
        <v>7.8</v>
      </c>
      <c r="E2925" s="2">
        <v>1939.0</v>
      </c>
      <c r="F2925" s="2" t="s">
        <v>10</v>
      </c>
      <c r="G2925" s="2" t="s">
        <v>10</v>
      </c>
    </row>
    <row r="2926" ht="14.25" customHeight="1">
      <c r="A2926" s="1" t="s">
        <v>2536</v>
      </c>
      <c r="B2926" s="1" t="s">
        <v>20</v>
      </c>
      <c r="C2926" s="2" t="s">
        <v>32</v>
      </c>
      <c r="D2926" s="2">
        <v>7.8</v>
      </c>
      <c r="E2926" s="2">
        <v>1961.0</v>
      </c>
      <c r="F2926" s="2" t="s">
        <v>10</v>
      </c>
      <c r="G2926" s="2" t="s">
        <v>10</v>
      </c>
    </row>
    <row r="2927" ht="14.25" customHeight="1">
      <c r="A2927" s="1" t="s">
        <v>2537</v>
      </c>
      <c r="B2927" s="1" t="s">
        <v>20</v>
      </c>
      <c r="C2927" s="2" t="s">
        <v>945</v>
      </c>
      <c r="D2927" s="2">
        <v>7.8</v>
      </c>
      <c r="E2927" s="2">
        <v>2024.0</v>
      </c>
      <c r="F2927" s="2" t="s">
        <v>10</v>
      </c>
      <c r="G2927" s="2" t="s">
        <v>10</v>
      </c>
    </row>
    <row r="2928" ht="14.25" customHeight="1">
      <c r="A2928" s="1" t="s">
        <v>2538</v>
      </c>
      <c r="B2928" s="1" t="s">
        <v>8</v>
      </c>
      <c r="C2928" s="2" t="s">
        <v>80</v>
      </c>
      <c r="D2928" s="2">
        <v>7.8</v>
      </c>
      <c r="E2928" s="2">
        <v>2016.0</v>
      </c>
      <c r="F2928" s="2" t="s">
        <v>10</v>
      </c>
      <c r="G2928" s="2" t="s">
        <v>10</v>
      </c>
    </row>
    <row r="2929" ht="14.25" customHeight="1">
      <c r="A2929" s="1" t="s">
        <v>2539</v>
      </c>
      <c r="B2929" s="1" t="s">
        <v>20</v>
      </c>
      <c r="C2929" s="2" t="s">
        <v>597</v>
      </c>
      <c r="D2929" s="2">
        <v>7.8</v>
      </c>
      <c r="E2929" s="2">
        <v>2011.0</v>
      </c>
      <c r="F2929" s="2" t="s">
        <v>10</v>
      </c>
      <c r="G2929" s="2" t="s">
        <v>10</v>
      </c>
    </row>
    <row r="2930" ht="14.25" customHeight="1">
      <c r="A2930" s="1" t="s">
        <v>2540</v>
      </c>
      <c r="B2930" s="1" t="s">
        <v>20</v>
      </c>
      <c r="C2930" s="2" t="s">
        <v>55</v>
      </c>
      <c r="D2930" s="2">
        <v>7.8</v>
      </c>
      <c r="E2930" s="2">
        <v>2012.0</v>
      </c>
      <c r="F2930" s="2" t="s">
        <v>10</v>
      </c>
      <c r="G2930" s="2" t="s">
        <v>10</v>
      </c>
    </row>
    <row r="2931" ht="14.25" customHeight="1">
      <c r="A2931" s="1" t="s">
        <v>2541</v>
      </c>
      <c r="B2931" s="1" t="s">
        <v>20</v>
      </c>
      <c r="C2931" s="2" t="s">
        <v>18</v>
      </c>
      <c r="D2931" s="2">
        <v>7.8</v>
      </c>
      <c r="E2931" s="2">
        <v>1987.0</v>
      </c>
      <c r="F2931" s="2" t="s">
        <v>10</v>
      </c>
      <c r="G2931" s="2" t="s">
        <v>10</v>
      </c>
    </row>
    <row r="2932" ht="14.25" customHeight="1">
      <c r="A2932" s="1" t="s">
        <v>2542</v>
      </c>
      <c r="B2932" s="1" t="s">
        <v>20</v>
      </c>
      <c r="C2932" s="2" t="s">
        <v>524</v>
      </c>
      <c r="D2932" s="2">
        <v>7.8</v>
      </c>
      <c r="E2932" s="2">
        <v>2018.0</v>
      </c>
      <c r="F2932" s="2">
        <v>2018.0</v>
      </c>
      <c r="G2932" s="2" t="s">
        <v>10</v>
      </c>
    </row>
    <row r="2933" ht="14.25" customHeight="1">
      <c r="A2933" s="1" t="s">
        <v>2543</v>
      </c>
      <c r="B2933" s="1" t="s">
        <v>8</v>
      </c>
      <c r="C2933" s="2" t="s">
        <v>154</v>
      </c>
      <c r="D2933" s="2">
        <v>7.8</v>
      </c>
      <c r="E2933" s="2">
        <v>2017.0</v>
      </c>
      <c r="F2933" s="2" t="s">
        <v>10</v>
      </c>
      <c r="G2933" s="2" t="s">
        <v>10</v>
      </c>
    </row>
    <row r="2934" ht="14.25" customHeight="1">
      <c r="A2934" s="1" t="s">
        <v>2544</v>
      </c>
      <c r="B2934" s="1" t="s">
        <v>8</v>
      </c>
      <c r="C2934" s="2" t="s">
        <v>686</v>
      </c>
      <c r="D2934" s="2">
        <v>7.8</v>
      </c>
      <c r="E2934" s="2">
        <v>2012.0</v>
      </c>
      <c r="F2934" s="2">
        <v>2021.0</v>
      </c>
      <c r="G2934" s="2" t="s">
        <v>10</v>
      </c>
    </row>
    <row r="2935" ht="14.25" customHeight="1">
      <c r="A2935" s="1" t="s">
        <v>2545</v>
      </c>
      <c r="B2935" s="1" t="s">
        <v>8</v>
      </c>
      <c r="C2935" s="2" t="s">
        <v>768</v>
      </c>
      <c r="D2935" s="2">
        <v>7.8</v>
      </c>
      <c r="E2935" s="2">
        <v>2015.0</v>
      </c>
      <c r="F2935" s="2" t="s">
        <v>10</v>
      </c>
      <c r="G2935" s="2" t="s">
        <v>10</v>
      </c>
    </row>
    <row r="2936" ht="14.25" customHeight="1">
      <c r="A2936" s="1" t="s">
        <v>2546</v>
      </c>
      <c r="B2936" s="1" t="s">
        <v>20</v>
      </c>
      <c r="C2936" s="2" t="s">
        <v>18</v>
      </c>
      <c r="D2936" s="2">
        <v>7.8</v>
      </c>
      <c r="E2936" s="2">
        <v>1969.0</v>
      </c>
      <c r="F2936" s="2" t="s">
        <v>10</v>
      </c>
      <c r="G2936" s="2" t="s">
        <v>10</v>
      </c>
    </row>
    <row r="2937" ht="14.25" customHeight="1">
      <c r="A2937" s="1" t="s">
        <v>2547</v>
      </c>
      <c r="B2937" s="1" t="s">
        <v>20</v>
      </c>
      <c r="C2937" s="2" t="s">
        <v>284</v>
      </c>
      <c r="D2937" s="2">
        <v>7.8</v>
      </c>
      <c r="E2937" s="2">
        <v>1947.0</v>
      </c>
      <c r="F2937" s="2" t="s">
        <v>10</v>
      </c>
      <c r="G2937" s="2" t="s">
        <v>10</v>
      </c>
    </row>
    <row r="2938" ht="14.25" customHeight="1">
      <c r="A2938" s="1" t="s">
        <v>2548</v>
      </c>
      <c r="B2938" s="1" t="s">
        <v>20</v>
      </c>
      <c r="C2938" s="2" t="s">
        <v>591</v>
      </c>
      <c r="D2938" s="2">
        <v>7.8</v>
      </c>
      <c r="E2938" s="2">
        <v>1973.0</v>
      </c>
      <c r="F2938" s="2" t="s">
        <v>10</v>
      </c>
      <c r="G2938" s="2" t="s">
        <v>10</v>
      </c>
    </row>
    <row r="2939" ht="14.25" customHeight="1">
      <c r="A2939" s="1" t="s">
        <v>2549</v>
      </c>
      <c r="B2939" s="1" t="s">
        <v>8</v>
      </c>
      <c r="C2939" s="2" t="s">
        <v>231</v>
      </c>
      <c r="D2939" s="2">
        <v>7.8</v>
      </c>
      <c r="E2939" s="2">
        <v>2002.0</v>
      </c>
      <c r="F2939" s="2">
        <v>2018.0</v>
      </c>
      <c r="G2939" s="2" t="s">
        <v>10</v>
      </c>
    </row>
    <row r="2940" ht="14.25" customHeight="1">
      <c r="A2940" s="1" t="s">
        <v>2550</v>
      </c>
      <c r="B2940" s="1" t="s">
        <v>8</v>
      </c>
      <c r="C2940" s="2" t="s">
        <v>40</v>
      </c>
      <c r="D2940" s="2">
        <v>7.8</v>
      </c>
      <c r="E2940" s="2">
        <v>2017.0</v>
      </c>
      <c r="F2940" s="2">
        <v>2018.0</v>
      </c>
      <c r="G2940" s="2" t="s">
        <v>10</v>
      </c>
    </row>
    <row r="2941" ht="14.25" customHeight="1">
      <c r="A2941" s="1" t="s">
        <v>137</v>
      </c>
      <c r="B2941" s="1" t="s">
        <v>8</v>
      </c>
      <c r="C2941" s="2" t="s">
        <v>9</v>
      </c>
      <c r="D2941" s="2">
        <v>7.8</v>
      </c>
      <c r="E2941" s="2">
        <v>2019.0</v>
      </c>
      <c r="F2941" s="2">
        <v>2020.0</v>
      </c>
      <c r="G2941" s="2">
        <v>1.683E7</v>
      </c>
    </row>
    <row r="2942" ht="14.25" customHeight="1">
      <c r="A2942" s="1" t="s">
        <v>137</v>
      </c>
      <c r="B2942" s="1" t="s">
        <v>8</v>
      </c>
      <c r="C2942" s="2" t="s">
        <v>9</v>
      </c>
      <c r="D2942" s="2">
        <v>7.8</v>
      </c>
      <c r="E2942" s="2">
        <v>2019.0</v>
      </c>
      <c r="F2942" s="2">
        <v>2020.0</v>
      </c>
      <c r="G2942" s="2">
        <v>1.207E7</v>
      </c>
    </row>
    <row r="2943" ht="14.25" customHeight="1">
      <c r="A2943" s="1" t="s">
        <v>2551</v>
      </c>
      <c r="B2943" s="1" t="s">
        <v>20</v>
      </c>
      <c r="C2943" s="2" t="s">
        <v>63</v>
      </c>
      <c r="D2943" s="2">
        <v>7.8</v>
      </c>
      <c r="E2943" s="2">
        <v>1953.0</v>
      </c>
      <c r="F2943" s="2" t="s">
        <v>10</v>
      </c>
      <c r="G2943" s="2" t="s">
        <v>10</v>
      </c>
    </row>
    <row r="2944" ht="14.25" customHeight="1">
      <c r="A2944" s="1" t="s">
        <v>2552</v>
      </c>
      <c r="B2944" s="1" t="s">
        <v>8</v>
      </c>
      <c r="C2944" s="2" t="s">
        <v>32</v>
      </c>
      <c r="D2944" s="2">
        <v>7.8</v>
      </c>
      <c r="E2944" s="2">
        <v>2017.0</v>
      </c>
      <c r="F2944" s="2" t="s">
        <v>10</v>
      </c>
      <c r="G2944" s="2" t="s">
        <v>10</v>
      </c>
    </row>
    <row r="2945" ht="14.25" customHeight="1">
      <c r="A2945" s="1" t="s">
        <v>2553</v>
      </c>
      <c r="B2945" s="1" t="s">
        <v>8</v>
      </c>
      <c r="C2945" s="2" t="s">
        <v>63</v>
      </c>
      <c r="D2945" s="2">
        <v>7.8</v>
      </c>
      <c r="E2945" s="2">
        <v>2018.0</v>
      </c>
      <c r="F2945" s="2">
        <v>2020.0</v>
      </c>
      <c r="G2945" s="2">
        <v>1.736E7</v>
      </c>
    </row>
    <row r="2946" ht="14.25" customHeight="1">
      <c r="A2946" s="1" t="s">
        <v>2553</v>
      </c>
      <c r="B2946" s="1" t="s">
        <v>8</v>
      </c>
      <c r="C2946" s="2" t="s">
        <v>63</v>
      </c>
      <c r="D2946" s="2">
        <v>7.8</v>
      </c>
      <c r="E2946" s="2">
        <v>2018.0</v>
      </c>
      <c r="F2946" s="2">
        <v>2020.0</v>
      </c>
      <c r="G2946" s="2">
        <v>6.352E7</v>
      </c>
    </row>
    <row r="2947" ht="14.25" customHeight="1">
      <c r="A2947" s="1" t="s">
        <v>2554</v>
      </c>
      <c r="B2947" s="1" t="s">
        <v>20</v>
      </c>
      <c r="C2947" s="2" t="s">
        <v>130</v>
      </c>
      <c r="D2947" s="2">
        <v>7.8</v>
      </c>
      <c r="E2947" s="2">
        <v>1999.0</v>
      </c>
      <c r="F2947" s="2" t="s">
        <v>10</v>
      </c>
      <c r="G2947" s="2" t="s">
        <v>10</v>
      </c>
    </row>
    <row r="2948" ht="14.25" customHeight="1">
      <c r="A2948" s="1" t="s">
        <v>2555</v>
      </c>
      <c r="B2948" s="1" t="s">
        <v>8</v>
      </c>
      <c r="C2948" s="2" t="s">
        <v>25</v>
      </c>
      <c r="D2948" s="2">
        <v>7.8</v>
      </c>
      <c r="E2948" s="2">
        <v>2014.0</v>
      </c>
      <c r="F2948" s="2" t="s">
        <v>10</v>
      </c>
      <c r="G2948" s="2" t="s">
        <v>10</v>
      </c>
    </row>
    <row r="2949" ht="14.25" customHeight="1">
      <c r="A2949" s="1" t="s">
        <v>2556</v>
      </c>
      <c r="B2949" s="1" t="s">
        <v>8</v>
      </c>
      <c r="C2949" s="2" t="s">
        <v>63</v>
      </c>
      <c r="D2949" s="2">
        <v>7.8</v>
      </c>
      <c r="E2949" s="2">
        <v>2011.0</v>
      </c>
      <c r="F2949" s="2" t="s">
        <v>10</v>
      </c>
      <c r="G2949" s="2" t="s">
        <v>10</v>
      </c>
    </row>
    <row r="2950" ht="14.25" customHeight="1">
      <c r="A2950" s="1" t="s">
        <v>2557</v>
      </c>
      <c r="B2950" s="1" t="s">
        <v>20</v>
      </c>
      <c r="C2950" s="2" t="s">
        <v>2558</v>
      </c>
      <c r="D2950" s="2">
        <v>7.8</v>
      </c>
      <c r="E2950" s="2">
        <v>1964.0</v>
      </c>
      <c r="F2950" s="2" t="s">
        <v>10</v>
      </c>
      <c r="G2950" s="2" t="s">
        <v>10</v>
      </c>
    </row>
    <row r="2951" ht="14.25" customHeight="1">
      <c r="A2951" s="1" t="s">
        <v>2559</v>
      </c>
      <c r="B2951" s="1" t="s">
        <v>20</v>
      </c>
      <c r="C2951" s="2" t="s">
        <v>40</v>
      </c>
      <c r="D2951" s="2">
        <v>7.8</v>
      </c>
      <c r="E2951" s="2">
        <v>1962.0</v>
      </c>
      <c r="F2951" s="2" t="s">
        <v>10</v>
      </c>
      <c r="G2951" s="2" t="s">
        <v>10</v>
      </c>
    </row>
    <row r="2952" ht="14.25" customHeight="1">
      <c r="A2952" s="1" t="s">
        <v>2560</v>
      </c>
      <c r="B2952" s="1" t="s">
        <v>20</v>
      </c>
      <c r="C2952" s="2" t="s">
        <v>530</v>
      </c>
      <c r="D2952" s="2">
        <v>7.8</v>
      </c>
      <c r="E2952" s="2">
        <v>1947.0</v>
      </c>
      <c r="F2952" s="2" t="s">
        <v>10</v>
      </c>
      <c r="G2952" s="2" t="s">
        <v>10</v>
      </c>
    </row>
    <row r="2953" ht="14.25" customHeight="1">
      <c r="A2953" s="1" t="s">
        <v>2561</v>
      </c>
      <c r="B2953" s="1" t="s">
        <v>20</v>
      </c>
      <c r="C2953" s="2" t="s">
        <v>69</v>
      </c>
      <c r="D2953" s="2">
        <v>7.8</v>
      </c>
      <c r="E2953" s="2">
        <v>2019.0</v>
      </c>
      <c r="F2953" s="2" t="s">
        <v>10</v>
      </c>
      <c r="G2953" s="2" t="s">
        <v>10</v>
      </c>
    </row>
    <row r="2954" ht="14.25" customHeight="1">
      <c r="A2954" s="1" t="s">
        <v>2562</v>
      </c>
      <c r="B2954" s="1" t="s">
        <v>20</v>
      </c>
      <c r="C2954" s="2" t="s">
        <v>53</v>
      </c>
      <c r="D2954" s="2">
        <v>7.8</v>
      </c>
      <c r="E2954" s="2">
        <v>1949.0</v>
      </c>
      <c r="F2954" s="2" t="s">
        <v>10</v>
      </c>
      <c r="G2954" s="2" t="s">
        <v>10</v>
      </c>
    </row>
    <row r="2955" ht="14.25" customHeight="1">
      <c r="A2955" s="1" t="s">
        <v>2563</v>
      </c>
      <c r="B2955" s="1" t="s">
        <v>20</v>
      </c>
      <c r="C2955" s="2" t="s">
        <v>154</v>
      </c>
      <c r="D2955" s="2">
        <v>7.8</v>
      </c>
      <c r="E2955" s="2">
        <v>1961.0</v>
      </c>
      <c r="F2955" s="2" t="s">
        <v>10</v>
      </c>
      <c r="G2955" s="2" t="s">
        <v>10</v>
      </c>
    </row>
    <row r="2956" ht="14.25" customHeight="1">
      <c r="A2956" s="1" t="s">
        <v>2564</v>
      </c>
      <c r="B2956" s="1" t="s">
        <v>20</v>
      </c>
      <c r="C2956" s="2" t="s">
        <v>184</v>
      </c>
      <c r="D2956" s="2">
        <v>7.8</v>
      </c>
      <c r="E2956" s="2">
        <v>1971.0</v>
      </c>
      <c r="F2956" s="2" t="s">
        <v>10</v>
      </c>
      <c r="G2956" s="2" t="s">
        <v>10</v>
      </c>
    </row>
    <row r="2957" ht="14.25" customHeight="1">
      <c r="A2957" s="1" t="s">
        <v>2565</v>
      </c>
      <c r="B2957" s="1" t="s">
        <v>8</v>
      </c>
      <c r="C2957" s="2" t="s">
        <v>25</v>
      </c>
      <c r="D2957" s="2">
        <v>7.8</v>
      </c>
      <c r="E2957" s="2">
        <v>2019.0</v>
      </c>
      <c r="F2957" s="2" t="s">
        <v>10</v>
      </c>
      <c r="G2957" s="2" t="s">
        <v>10</v>
      </c>
    </row>
    <row r="2958" ht="14.25" customHeight="1">
      <c r="A2958" s="1" t="s">
        <v>2566</v>
      </c>
      <c r="B2958" s="1" t="s">
        <v>8</v>
      </c>
      <c r="C2958" s="2" t="s">
        <v>69</v>
      </c>
      <c r="D2958" s="2">
        <v>7.8</v>
      </c>
      <c r="E2958" s="2">
        <v>2008.0</v>
      </c>
      <c r="F2958" s="2" t="s">
        <v>10</v>
      </c>
      <c r="G2958" s="2" t="s">
        <v>10</v>
      </c>
    </row>
    <row r="2959" ht="14.25" customHeight="1">
      <c r="A2959" s="1" t="s">
        <v>2567</v>
      </c>
      <c r="B2959" s="1" t="s">
        <v>20</v>
      </c>
      <c r="C2959" s="2" t="s">
        <v>18</v>
      </c>
      <c r="D2959" s="2">
        <v>7.8</v>
      </c>
      <c r="E2959" s="2">
        <v>1959.0</v>
      </c>
      <c r="F2959" s="2" t="s">
        <v>10</v>
      </c>
      <c r="G2959" s="2" t="s">
        <v>10</v>
      </c>
    </row>
    <row r="2960" ht="14.25" customHeight="1">
      <c r="A2960" s="1" t="s">
        <v>2568</v>
      </c>
      <c r="B2960" s="1" t="s">
        <v>8</v>
      </c>
      <c r="C2960" s="2" t="s">
        <v>69</v>
      </c>
      <c r="D2960" s="2">
        <v>7.8</v>
      </c>
      <c r="E2960" s="2">
        <v>2019.0</v>
      </c>
      <c r="F2960" s="2" t="s">
        <v>10</v>
      </c>
      <c r="G2960" s="2" t="s">
        <v>10</v>
      </c>
    </row>
    <row r="2961" ht="14.25" customHeight="1">
      <c r="A2961" s="1" t="s">
        <v>2569</v>
      </c>
      <c r="B2961" s="1" t="s">
        <v>20</v>
      </c>
      <c r="C2961" s="2" t="s">
        <v>69</v>
      </c>
      <c r="D2961" s="2">
        <v>7.8</v>
      </c>
      <c r="E2961" s="2">
        <v>2003.0</v>
      </c>
      <c r="F2961" s="2">
        <v>2003.0</v>
      </c>
      <c r="G2961" s="2" t="s">
        <v>10</v>
      </c>
    </row>
    <row r="2962" ht="14.25" customHeight="1">
      <c r="A2962" s="1" t="s">
        <v>2570</v>
      </c>
      <c r="B2962" s="1" t="s">
        <v>20</v>
      </c>
      <c r="C2962" s="2" t="s">
        <v>611</v>
      </c>
      <c r="D2962" s="2">
        <v>7.8</v>
      </c>
      <c r="E2962" s="2">
        <v>2001.0</v>
      </c>
      <c r="F2962" s="2" t="s">
        <v>10</v>
      </c>
      <c r="G2962" s="2" t="s">
        <v>10</v>
      </c>
    </row>
    <row r="2963" ht="14.25" customHeight="1">
      <c r="A2963" s="1" t="s">
        <v>2571</v>
      </c>
      <c r="B2963" s="1" t="s">
        <v>20</v>
      </c>
      <c r="C2963" s="2" t="s">
        <v>299</v>
      </c>
      <c r="D2963" s="2">
        <v>7.8</v>
      </c>
      <c r="E2963" s="2">
        <v>1964.0</v>
      </c>
      <c r="F2963" s="2" t="s">
        <v>10</v>
      </c>
      <c r="G2963" s="2" t="s">
        <v>10</v>
      </c>
    </row>
    <row r="2964" ht="14.25" customHeight="1">
      <c r="A2964" s="1" t="s">
        <v>2572</v>
      </c>
      <c r="B2964" s="1" t="s">
        <v>8</v>
      </c>
      <c r="C2964" s="2" t="s">
        <v>151</v>
      </c>
      <c r="D2964" s="2">
        <v>7.8</v>
      </c>
      <c r="E2964" s="2">
        <v>1983.0</v>
      </c>
      <c r="F2964" s="2" t="s">
        <v>10</v>
      </c>
      <c r="G2964" s="2" t="s">
        <v>10</v>
      </c>
    </row>
    <row r="2965" ht="14.25" customHeight="1">
      <c r="A2965" s="1" t="s">
        <v>2573</v>
      </c>
      <c r="B2965" s="1" t="s">
        <v>8</v>
      </c>
      <c r="C2965" s="2" t="s">
        <v>154</v>
      </c>
      <c r="D2965" s="2">
        <v>7.8</v>
      </c>
      <c r="E2965" s="2">
        <v>2015.0</v>
      </c>
      <c r="F2965" s="2" t="s">
        <v>10</v>
      </c>
      <c r="G2965" s="2" t="s">
        <v>10</v>
      </c>
    </row>
    <row r="2966" ht="14.25" customHeight="1">
      <c r="A2966" s="1" t="s">
        <v>2574</v>
      </c>
      <c r="B2966" s="1" t="s">
        <v>20</v>
      </c>
      <c r="C2966" s="2" t="s">
        <v>32</v>
      </c>
      <c r="D2966" s="2">
        <v>7.8</v>
      </c>
      <c r="E2966" s="2">
        <v>1974.0</v>
      </c>
      <c r="F2966" s="2" t="s">
        <v>10</v>
      </c>
      <c r="G2966" s="2" t="s">
        <v>10</v>
      </c>
    </row>
    <row r="2967" ht="14.25" customHeight="1">
      <c r="A2967" s="1" t="s">
        <v>2575</v>
      </c>
      <c r="B2967" s="1" t="s">
        <v>8</v>
      </c>
      <c r="C2967" s="2" t="s">
        <v>53</v>
      </c>
      <c r="D2967" s="2">
        <v>7.8</v>
      </c>
      <c r="E2967" s="2">
        <v>2019.0</v>
      </c>
      <c r="F2967" s="2" t="s">
        <v>10</v>
      </c>
      <c r="G2967" s="2" t="s">
        <v>10</v>
      </c>
    </row>
    <row r="2968" ht="14.25" customHeight="1">
      <c r="A2968" s="1" t="s">
        <v>2576</v>
      </c>
      <c r="B2968" s="1" t="s">
        <v>20</v>
      </c>
      <c r="C2968" s="2" t="s">
        <v>63</v>
      </c>
      <c r="D2968" s="2">
        <v>7.8</v>
      </c>
      <c r="E2968" s="2">
        <v>2015.0</v>
      </c>
      <c r="F2968" s="2" t="s">
        <v>10</v>
      </c>
      <c r="G2968" s="2" t="s">
        <v>10</v>
      </c>
    </row>
    <row r="2969" ht="14.25" customHeight="1">
      <c r="A2969" s="1" t="s">
        <v>2577</v>
      </c>
      <c r="B2969" s="1" t="s">
        <v>8</v>
      </c>
      <c r="C2969" s="2" t="s">
        <v>2342</v>
      </c>
      <c r="D2969" s="2">
        <v>7.8</v>
      </c>
      <c r="E2969" s="2">
        <v>1964.0</v>
      </c>
      <c r="F2969" s="2" t="s">
        <v>10</v>
      </c>
      <c r="G2969" s="2" t="s">
        <v>10</v>
      </c>
    </row>
    <row r="2970" ht="14.25" customHeight="1">
      <c r="A2970" s="1" t="s">
        <v>2578</v>
      </c>
      <c r="B2970" s="1" t="s">
        <v>8</v>
      </c>
      <c r="C2970" s="2" t="s">
        <v>1375</v>
      </c>
      <c r="D2970" s="2">
        <v>7.8</v>
      </c>
      <c r="E2970" s="2">
        <v>2022.0</v>
      </c>
      <c r="F2970" s="2" t="s">
        <v>10</v>
      </c>
      <c r="G2970" s="2">
        <v>9990000.0</v>
      </c>
    </row>
    <row r="2971" ht="14.25" customHeight="1">
      <c r="A2971" s="1" t="s">
        <v>2578</v>
      </c>
      <c r="B2971" s="1" t="s">
        <v>8</v>
      </c>
      <c r="C2971" s="2" t="s">
        <v>1375</v>
      </c>
      <c r="D2971" s="2">
        <v>7.8</v>
      </c>
      <c r="E2971" s="2">
        <v>2022.0</v>
      </c>
      <c r="F2971" s="2" t="s">
        <v>10</v>
      </c>
      <c r="G2971" s="2">
        <v>1.509E7</v>
      </c>
    </row>
    <row r="2972" ht="14.25" customHeight="1">
      <c r="A2972" s="1" t="s">
        <v>2578</v>
      </c>
      <c r="B2972" s="1" t="s">
        <v>8</v>
      </c>
      <c r="C2972" s="2" t="s">
        <v>1375</v>
      </c>
      <c r="D2972" s="2">
        <v>7.8</v>
      </c>
      <c r="E2972" s="2">
        <v>2022.0</v>
      </c>
      <c r="F2972" s="2" t="s">
        <v>10</v>
      </c>
      <c r="G2972" s="2">
        <v>2.808E7</v>
      </c>
    </row>
    <row r="2973" ht="14.25" customHeight="1">
      <c r="A2973" s="1" t="s">
        <v>2578</v>
      </c>
      <c r="B2973" s="1" t="s">
        <v>8</v>
      </c>
      <c r="C2973" s="2" t="s">
        <v>1375</v>
      </c>
      <c r="D2973" s="2">
        <v>7.8</v>
      </c>
      <c r="E2973" s="2">
        <v>2022.0</v>
      </c>
      <c r="F2973" s="2" t="s">
        <v>10</v>
      </c>
      <c r="G2973" s="2">
        <v>5.943E7</v>
      </c>
    </row>
    <row r="2974" ht="14.25" customHeight="1">
      <c r="A2974" s="1" t="s">
        <v>2578</v>
      </c>
      <c r="B2974" s="1" t="s">
        <v>8</v>
      </c>
      <c r="C2974" s="2" t="s">
        <v>1375</v>
      </c>
      <c r="D2974" s="2">
        <v>7.8</v>
      </c>
      <c r="E2974" s="2">
        <v>2022.0</v>
      </c>
      <c r="F2974" s="2" t="s">
        <v>10</v>
      </c>
      <c r="G2974" s="2">
        <v>4.721E7</v>
      </c>
    </row>
    <row r="2975" ht="14.25" customHeight="1">
      <c r="A2975" s="1" t="s">
        <v>2579</v>
      </c>
      <c r="B2975" s="1" t="s">
        <v>20</v>
      </c>
      <c r="C2975" s="2" t="s">
        <v>63</v>
      </c>
      <c r="D2975" s="2">
        <v>7.8</v>
      </c>
      <c r="E2975" s="2">
        <v>2012.0</v>
      </c>
      <c r="F2975" s="2" t="s">
        <v>10</v>
      </c>
      <c r="G2975" s="2" t="s">
        <v>10</v>
      </c>
    </row>
    <row r="2976" ht="14.25" customHeight="1">
      <c r="A2976" s="1" t="s">
        <v>2580</v>
      </c>
      <c r="B2976" s="1" t="s">
        <v>8</v>
      </c>
      <c r="C2976" s="2" t="s">
        <v>305</v>
      </c>
      <c r="D2976" s="2">
        <v>7.8</v>
      </c>
      <c r="E2976" s="2">
        <v>1996.0</v>
      </c>
      <c r="F2976" s="2" t="s">
        <v>10</v>
      </c>
      <c r="G2976" s="2" t="s">
        <v>10</v>
      </c>
    </row>
    <row r="2977" ht="14.25" customHeight="1">
      <c r="A2977" s="1" t="s">
        <v>2581</v>
      </c>
      <c r="B2977" s="1" t="s">
        <v>8</v>
      </c>
      <c r="C2977" s="2" t="s">
        <v>527</v>
      </c>
      <c r="D2977" s="2">
        <v>7.8</v>
      </c>
      <c r="E2977" s="2">
        <v>2024.0</v>
      </c>
      <c r="F2977" s="2" t="s">
        <v>10</v>
      </c>
      <c r="G2977" s="2" t="s">
        <v>10</v>
      </c>
    </row>
    <row r="2978" ht="14.25" customHeight="1">
      <c r="A2978" s="1" t="s">
        <v>2582</v>
      </c>
      <c r="B2978" s="1" t="s">
        <v>8</v>
      </c>
      <c r="C2978" s="2" t="s">
        <v>53</v>
      </c>
      <c r="D2978" s="2">
        <v>7.8</v>
      </c>
      <c r="E2978" s="2">
        <v>1993.0</v>
      </c>
      <c r="F2978" s="2" t="s">
        <v>10</v>
      </c>
      <c r="G2978" s="2" t="s">
        <v>10</v>
      </c>
    </row>
    <row r="2979" ht="14.25" customHeight="1">
      <c r="A2979" s="1" t="s">
        <v>2583</v>
      </c>
      <c r="B2979" s="1" t="s">
        <v>8</v>
      </c>
      <c r="C2979" s="2" t="s">
        <v>53</v>
      </c>
      <c r="D2979" s="2">
        <v>7.8</v>
      </c>
      <c r="E2979" s="2">
        <v>2008.0</v>
      </c>
      <c r="F2979" s="2" t="s">
        <v>10</v>
      </c>
      <c r="G2979" s="2" t="s">
        <v>10</v>
      </c>
    </row>
    <row r="2980" ht="14.25" customHeight="1">
      <c r="A2980" s="1" t="s">
        <v>2584</v>
      </c>
      <c r="B2980" s="1" t="s">
        <v>20</v>
      </c>
      <c r="C2980" s="2" t="s">
        <v>154</v>
      </c>
      <c r="D2980" s="2">
        <v>7.8</v>
      </c>
      <c r="E2980" s="2">
        <v>1952.0</v>
      </c>
      <c r="F2980" s="2" t="s">
        <v>10</v>
      </c>
      <c r="G2980" s="2" t="s">
        <v>10</v>
      </c>
    </row>
    <row r="2981" ht="14.25" customHeight="1">
      <c r="A2981" s="1" t="s">
        <v>2585</v>
      </c>
      <c r="B2981" s="1" t="s">
        <v>20</v>
      </c>
      <c r="C2981" s="2" t="s">
        <v>63</v>
      </c>
      <c r="D2981" s="2">
        <v>7.8</v>
      </c>
      <c r="E2981" s="2">
        <v>2001.0</v>
      </c>
      <c r="F2981" s="2" t="s">
        <v>10</v>
      </c>
      <c r="G2981" s="2" t="s">
        <v>10</v>
      </c>
    </row>
    <row r="2982" ht="14.25" customHeight="1">
      <c r="A2982" s="1" t="s">
        <v>2586</v>
      </c>
      <c r="B2982" s="1" t="s">
        <v>20</v>
      </c>
      <c r="C2982" s="2" t="s">
        <v>118</v>
      </c>
      <c r="D2982" s="2">
        <v>7.8</v>
      </c>
      <c r="E2982" s="2">
        <v>2024.0</v>
      </c>
      <c r="F2982" s="2" t="s">
        <v>10</v>
      </c>
      <c r="G2982" s="2" t="s">
        <v>10</v>
      </c>
    </row>
    <row r="2983" ht="14.25" customHeight="1">
      <c r="A2983" s="1" t="s">
        <v>2587</v>
      </c>
      <c r="B2983" s="1" t="s">
        <v>8</v>
      </c>
      <c r="C2983" s="2" t="s">
        <v>55</v>
      </c>
      <c r="D2983" s="2">
        <v>7.8</v>
      </c>
      <c r="E2983" s="2">
        <v>2008.0</v>
      </c>
      <c r="F2983" s="2" t="s">
        <v>10</v>
      </c>
      <c r="G2983" s="2" t="s">
        <v>10</v>
      </c>
    </row>
    <row r="2984" ht="14.25" customHeight="1">
      <c r="A2984" s="1" t="s">
        <v>2588</v>
      </c>
      <c r="B2984" s="1" t="s">
        <v>20</v>
      </c>
      <c r="C2984" s="2" t="s">
        <v>184</v>
      </c>
      <c r="D2984" s="2">
        <v>7.8</v>
      </c>
      <c r="E2984" s="2">
        <v>1994.0</v>
      </c>
      <c r="F2984" s="2" t="s">
        <v>10</v>
      </c>
      <c r="G2984" s="2" t="s">
        <v>10</v>
      </c>
    </row>
    <row r="2985" ht="14.25" customHeight="1">
      <c r="A2985" s="1" t="s">
        <v>2589</v>
      </c>
      <c r="B2985" s="1" t="s">
        <v>8</v>
      </c>
      <c r="C2985" s="2" t="s">
        <v>69</v>
      </c>
      <c r="D2985" s="2">
        <v>7.8</v>
      </c>
      <c r="E2985" s="2">
        <v>2012.0</v>
      </c>
      <c r="F2985" s="2" t="s">
        <v>10</v>
      </c>
      <c r="G2985" s="2" t="s">
        <v>10</v>
      </c>
    </row>
    <row r="2986" ht="14.25" customHeight="1">
      <c r="A2986" s="1" t="s">
        <v>2590</v>
      </c>
      <c r="B2986" s="1" t="s">
        <v>20</v>
      </c>
      <c r="C2986" s="2" t="s">
        <v>253</v>
      </c>
      <c r="D2986" s="2">
        <v>7.8</v>
      </c>
      <c r="E2986" s="2">
        <v>1928.0</v>
      </c>
      <c r="F2986" s="2" t="s">
        <v>10</v>
      </c>
      <c r="G2986" s="2" t="s">
        <v>10</v>
      </c>
    </row>
    <row r="2987" ht="14.25" customHeight="1">
      <c r="A2987" s="1" t="s">
        <v>2591</v>
      </c>
      <c r="B2987" s="1" t="s">
        <v>20</v>
      </c>
      <c r="C2987" s="2" t="s">
        <v>2592</v>
      </c>
      <c r="D2987" s="2">
        <v>7.8</v>
      </c>
      <c r="E2987" s="2">
        <v>2003.0</v>
      </c>
      <c r="F2987" s="2" t="s">
        <v>10</v>
      </c>
      <c r="G2987" s="2" t="s">
        <v>10</v>
      </c>
    </row>
    <row r="2988" ht="14.25" customHeight="1">
      <c r="A2988" s="1" t="s">
        <v>2593</v>
      </c>
      <c r="B2988" s="1" t="s">
        <v>8</v>
      </c>
      <c r="C2988" s="2" t="s">
        <v>55</v>
      </c>
      <c r="D2988" s="2">
        <v>7.8</v>
      </c>
      <c r="E2988" s="2">
        <v>2016.0</v>
      </c>
      <c r="F2988" s="2" t="s">
        <v>10</v>
      </c>
      <c r="G2988" s="2" t="s">
        <v>10</v>
      </c>
    </row>
    <row r="2989" ht="14.25" customHeight="1">
      <c r="A2989" s="1" t="s">
        <v>2594</v>
      </c>
      <c r="B2989" s="1" t="s">
        <v>20</v>
      </c>
      <c r="C2989" s="2" t="s">
        <v>584</v>
      </c>
      <c r="D2989" s="2">
        <v>7.8</v>
      </c>
      <c r="E2989" s="2">
        <v>2014.0</v>
      </c>
      <c r="F2989" s="2" t="s">
        <v>10</v>
      </c>
      <c r="G2989" s="2" t="s">
        <v>10</v>
      </c>
    </row>
    <row r="2990" ht="14.25" customHeight="1">
      <c r="A2990" s="1" t="s">
        <v>2595</v>
      </c>
      <c r="B2990" s="1" t="s">
        <v>8</v>
      </c>
      <c r="C2990" s="2" t="s">
        <v>55</v>
      </c>
      <c r="D2990" s="2">
        <v>7.8</v>
      </c>
      <c r="E2990" s="2">
        <v>2011.0</v>
      </c>
      <c r="F2990" s="2" t="s">
        <v>10</v>
      </c>
      <c r="G2990" s="2" t="s">
        <v>10</v>
      </c>
    </row>
    <row r="2991" ht="14.25" customHeight="1">
      <c r="A2991" s="1" t="s">
        <v>2596</v>
      </c>
      <c r="B2991" s="1" t="s">
        <v>20</v>
      </c>
      <c r="C2991" s="2" t="s">
        <v>80</v>
      </c>
      <c r="D2991" s="2">
        <v>7.8</v>
      </c>
      <c r="E2991" s="2">
        <v>1964.0</v>
      </c>
      <c r="F2991" s="2" t="s">
        <v>10</v>
      </c>
      <c r="G2991" s="2" t="s">
        <v>10</v>
      </c>
    </row>
    <row r="2992" ht="14.25" customHeight="1">
      <c r="A2992" s="1" t="s">
        <v>2597</v>
      </c>
      <c r="B2992" s="1" t="s">
        <v>20</v>
      </c>
      <c r="C2992" s="2" t="s">
        <v>63</v>
      </c>
      <c r="D2992" s="2">
        <v>7.8</v>
      </c>
      <c r="E2992" s="2">
        <v>2005.0</v>
      </c>
      <c r="F2992" s="2">
        <v>2005.0</v>
      </c>
      <c r="G2992" s="2" t="s">
        <v>10</v>
      </c>
    </row>
    <row r="2993" ht="14.25" customHeight="1">
      <c r="A2993" s="1" t="s">
        <v>2598</v>
      </c>
      <c r="B2993" s="1" t="s">
        <v>20</v>
      </c>
      <c r="C2993" s="2" t="s">
        <v>461</v>
      </c>
      <c r="D2993" s="2">
        <v>7.8</v>
      </c>
      <c r="E2993" s="2">
        <v>1994.0</v>
      </c>
      <c r="F2993" s="2" t="s">
        <v>10</v>
      </c>
      <c r="G2993" s="2" t="s">
        <v>10</v>
      </c>
    </row>
    <row r="2994" ht="14.25" customHeight="1">
      <c r="A2994" s="1" t="s">
        <v>2599</v>
      </c>
      <c r="B2994" s="1" t="s">
        <v>20</v>
      </c>
      <c r="C2994" s="2" t="s">
        <v>2600</v>
      </c>
      <c r="D2994" s="2">
        <v>7.8</v>
      </c>
      <c r="E2994" s="2">
        <v>1982.0</v>
      </c>
      <c r="F2994" s="2">
        <v>1982.0</v>
      </c>
      <c r="G2994" s="2" t="s">
        <v>10</v>
      </c>
    </row>
    <row r="2995" ht="14.25" customHeight="1">
      <c r="A2995" s="1" t="s">
        <v>2601</v>
      </c>
      <c r="B2995" s="1" t="s">
        <v>8</v>
      </c>
      <c r="C2995" s="2" t="s">
        <v>53</v>
      </c>
      <c r="D2995" s="2">
        <v>7.8</v>
      </c>
      <c r="E2995" s="2">
        <v>2013.0</v>
      </c>
      <c r="F2995" s="2">
        <v>2017.0</v>
      </c>
      <c r="G2995" s="2" t="s">
        <v>10</v>
      </c>
    </row>
    <row r="2996" ht="14.25" customHeight="1">
      <c r="A2996" s="1" t="s">
        <v>2602</v>
      </c>
      <c r="B2996" s="1" t="s">
        <v>8</v>
      </c>
      <c r="C2996" s="2" t="s">
        <v>2603</v>
      </c>
      <c r="D2996" s="2">
        <v>7.8</v>
      </c>
      <c r="E2996" s="2">
        <v>2001.0</v>
      </c>
      <c r="F2996" s="2" t="s">
        <v>10</v>
      </c>
      <c r="G2996" s="2" t="s">
        <v>10</v>
      </c>
    </row>
    <row r="2997" ht="14.25" customHeight="1">
      <c r="A2997" s="1" t="s">
        <v>2604</v>
      </c>
      <c r="B2997" s="1" t="s">
        <v>20</v>
      </c>
      <c r="C2997" s="2" t="s">
        <v>184</v>
      </c>
      <c r="D2997" s="2">
        <v>7.8</v>
      </c>
      <c r="E2997" s="2">
        <v>1965.0</v>
      </c>
      <c r="F2997" s="2" t="s">
        <v>10</v>
      </c>
      <c r="G2997" s="2" t="s">
        <v>10</v>
      </c>
    </row>
    <row r="2998" ht="14.25" customHeight="1">
      <c r="A2998" s="1" t="s">
        <v>2605</v>
      </c>
      <c r="B2998" s="1" t="s">
        <v>20</v>
      </c>
      <c r="C2998" s="2" t="s">
        <v>311</v>
      </c>
      <c r="D2998" s="2">
        <v>7.8</v>
      </c>
      <c r="E2998" s="2">
        <v>2024.0</v>
      </c>
      <c r="F2998" s="2" t="s">
        <v>10</v>
      </c>
      <c r="G2998" s="2" t="s">
        <v>10</v>
      </c>
    </row>
    <row r="2999" ht="14.25" customHeight="1">
      <c r="A2999" s="1" t="s">
        <v>2606</v>
      </c>
      <c r="B2999" s="1" t="s">
        <v>8</v>
      </c>
      <c r="C2999" s="2" t="s">
        <v>530</v>
      </c>
      <c r="D2999" s="2">
        <v>7.8</v>
      </c>
      <c r="E2999" s="2">
        <v>2017.0</v>
      </c>
      <c r="F2999" s="2">
        <v>2017.0</v>
      </c>
      <c r="G2999" s="2" t="s">
        <v>10</v>
      </c>
    </row>
    <row r="3000" ht="14.25" customHeight="1">
      <c r="A3000" s="1" t="s">
        <v>2607</v>
      </c>
      <c r="B3000" s="1" t="s">
        <v>20</v>
      </c>
      <c r="C3000" s="2" t="s">
        <v>566</v>
      </c>
      <c r="D3000" s="2">
        <v>7.8</v>
      </c>
      <c r="E3000" s="2">
        <v>2008.0</v>
      </c>
      <c r="F3000" s="2" t="s">
        <v>10</v>
      </c>
      <c r="G3000" s="2" t="s">
        <v>10</v>
      </c>
    </row>
    <row r="3001" ht="14.25" customHeight="1">
      <c r="A3001" s="1" t="s">
        <v>2608</v>
      </c>
      <c r="B3001" s="1" t="s">
        <v>8</v>
      </c>
      <c r="C3001" s="2" t="s">
        <v>2306</v>
      </c>
      <c r="D3001" s="2">
        <v>7.8</v>
      </c>
      <c r="E3001" s="2">
        <v>2020.0</v>
      </c>
      <c r="F3001" s="2" t="s">
        <v>10</v>
      </c>
      <c r="G3001" s="2" t="s">
        <v>10</v>
      </c>
    </row>
    <row r="3002" ht="14.25" customHeight="1">
      <c r="A3002" s="1" t="s">
        <v>2609</v>
      </c>
      <c r="B3002" s="1" t="s">
        <v>20</v>
      </c>
      <c r="C3002" s="2" t="s">
        <v>18</v>
      </c>
      <c r="D3002" s="2">
        <v>7.8</v>
      </c>
      <c r="E3002" s="2">
        <v>2019.0</v>
      </c>
      <c r="F3002" s="2">
        <v>2020.0</v>
      </c>
      <c r="G3002" s="2" t="s">
        <v>10</v>
      </c>
    </row>
    <row r="3003" ht="14.25" customHeight="1">
      <c r="A3003" s="1" t="s">
        <v>2610</v>
      </c>
      <c r="B3003" s="1" t="s">
        <v>8</v>
      </c>
      <c r="C3003" s="2" t="s">
        <v>134</v>
      </c>
      <c r="D3003" s="2">
        <v>7.8</v>
      </c>
      <c r="E3003" s="2">
        <v>2009.0</v>
      </c>
      <c r="F3003" s="2" t="s">
        <v>10</v>
      </c>
      <c r="G3003" s="2" t="s">
        <v>10</v>
      </c>
    </row>
    <row r="3004" ht="14.25" customHeight="1">
      <c r="A3004" s="1" t="s">
        <v>2611</v>
      </c>
      <c r="B3004" s="1" t="s">
        <v>8</v>
      </c>
      <c r="C3004" s="2" t="s">
        <v>187</v>
      </c>
      <c r="D3004" s="2">
        <v>7.8</v>
      </c>
      <c r="E3004" s="2">
        <v>2009.0</v>
      </c>
      <c r="F3004" s="2">
        <v>2009.0</v>
      </c>
      <c r="G3004" s="2" t="s">
        <v>10</v>
      </c>
    </row>
    <row r="3005" ht="14.25" customHeight="1">
      <c r="A3005" s="1" t="s">
        <v>2612</v>
      </c>
      <c r="B3005" s="1" t="s">
        <v>8</v>
      </c>
      <c r="C3005" s="2" t="s">
        <v>25</v>
      </c>
      <c r="D3005" s="2">
        <v>7.8</v>
      </c>
      <c r="E3005" s="2">
        <v>2008.0</v>
      </c>
      <c r="F3005" s="2">
        <v>2008.0</v>
      </c>
      <c r="G3005" s="2" t="s">
        <v>10</v>
      </c>
    </row>
    <row r="3006" ht="14.25" customHeight="1">
      <c r="A3006" s="1" t="s">
        <v>2613</v>
      </c>
      <c r="B3006" s="1" t="s">
        <v>20</v>
      </c>
      <c r="C3006" s="2" t="s">
        <v>187</v>
      </c>
      <c r="D3006" s="2">
        <v>7.8</v>
      </c>
      <c r="E3006" s="2">
        <v>1969.0</v>
      </c>
      <c r="F3006" s="2" t="s">
        <v>10</v>
      </c>
      <c r="G3006" s="2" t="s">
        <v>10</v>
      </c>
    </row>
    <row r="3007" ht="14.25" customHeight="1">
      <c r="A3007" s="1" t="s">
        <v>2614</v>
      </c>
      <c r="B3007" s="1" t="s">
        <v>20</v>
      </c>
      <c r="C3007" s="2" t="s">
        <v>112</v>
      </c>
      <c r="D3007" s="2">
        <v>7.8</v>
      </c>
      <c r="E3007" s="2">
        <v>1980.0</v>
      </c>
      <c r="F3007" s="2" t="s">
        <v>10</v>
      </c>
      <c r="G3007" s="2" t="s">
        <v>10</v>
      </c>
    </row>
    <row r="3008" ht="14.25" customHeight="1">
      <c r="A3008" s="1" t="s">
        <v>2615</v>
      </c>
      <c r="B3008" s="1" t="s">
        <v>8</v>
      </c>
      <c r="C3008" s="2" t="s">
        <v>122</v>
      </c>
      <c r="D3008" s="2">
        <v>7.8</v>
      </c>
      <c r="E3008" s="2">
        <v>2014.0</v>
      </c>
      <c r="F3008" s="2" t="s">
        <v>10</v>
      </c>
      <c r="G3008" s="2" t="s">
        <v>10</v>
      </c>
    </row>
    <row r="3009" ht="14.25" customHeight="1">
      <c r="A3009" s="1" t="s">
        <v>2616</v>
      </c>
      <c r="B3009" s="1" t="s">
        <v>20</v>
      </c>
      <c r="C3009" s="2" t="s">
        <v>18</v>
      </c>
      <c r="D3009" s="2">
        <v>7.8</v>
      </c>
      <c r="E3009" s="2">
        <v>1963.0</v>
      </c>
      <c r="F3009" s="2" t="s">
        <v>10</v>
      </c>
      <c r="G3009" s="2" t="s">
        <v>10</v>
      </c>
    </row>
    <row r="3010" ht="14.25" customHeight="1">
      <c r="A3010" s="1" t="s">
        <v>2617</v>
      </c>
      <c r="B3010" s="1" t="s">
        <v>20</v>
      </c>
      <c r="C3010" s="2" t="s">
        <v>18</v>
      </c>
      <c r="D3010" s="2">
        <v>7.8</v>
      </c>
      <c r="E3010" s="2">
        <v>1962.0</v>
      </c>
      <c r="F3010" s="2" t="s">
        <v>10</v>
      </c>
      <c r="G3010" s="2" t="s">
        <v>10</v>
      </c>
    </row>
    <row r="3011" ht="14.25" customHeight="1">
      <c r="A3011" s="1" t="s">
        <v>2618</v>
      </c>
      <c r="B3011" s="1" t="s">
        <v>20</v>
      </c>
      <c r="C3011" s="2" t="s">
        <v>1187</v>
      </c>
      <c r="D3011" s="2">
        <v>7.8</v>
      </c>
      <c r="E3011" s="2">
        <v>1955.0</v>
      </c>
      <c r="F3011" s="2" t="s">
        <v>10</v>
      </c>
      <c r="G3011" s="2" t="s">
        <v>10</v>
      </c>
    </row>
    <row r="3012" ht="14.25" customHeight="1">
      <c r="A3012" s="1" t="s">
        <v>2619</v>
      </c>
      <c r="B3012" s="1" t="s">
        <v>20</v>
      </c>
      <c r="C3012" s="2" t="s">
        <v>18</v>
      </c>
      <c r="D3012" s="2">
        <v>7.8</v>
      </c>
      <c r="E3012" s="2">
        <v>1948.0</v>
      </c>
      <c r="F3012" s="2" t="s">
        <v>10</v>
      </c>
      <c r="G3012" s="2" t="s">
        <v>10</v>
      </c>
    </row>
    <row r="3013" ht="14.25" customHeight="1">
      <c r="A3013" s="1" t="s">
        <v>2620</v>
      </c>
      <c r="B3013" s="1" t="s">
        <v>20</v>
      </c>
      <c r="C3013" s="2" t="s">
        <v>18</v>
      </c>
      <c r="D3013" s="2">
        <v>7.8</v>
      </c>
      <c r="E3013" s="2">
        <v>1948.0</v>
      </c>
      <c r="F3013" s="2" t="s">
        <v>10</v>
      </c>
      <c r="G3013" s="2" t="s">
        <v>10</v>
      </c>
    </row>
    <row r="3014" ht="14.25" customHeight="1">
      <c r="A3014" s="1" t="s">
        <v>2621</v>
      </c>
      <c r="B3014" s="1" t="s">
        <v>20</v>
      </c>
      <c r="C3014" s="2" t="s">
        <v>1531</v>
      </c>
      <c r="D3014" s="2">
        <v>7.8</v>
      </c>
      <c r="E3014" s="2">
        <v>2016.0</v>
      </c>
      <c r="F3014" s="2" t="s">
        <v>10</v>
      </c>
      <c r="G3014" s="2" t="s">
        <v>10</v>
      </c>
    </row>
    <row r="3015" ht="14.25" customHeight="1">
      <c r="A3015" s="1" t="s">
        <v>2622</v>
      </c>
      <c r="B3015" s="1" t="s">
        <v>8</v>
      </c>
      <c r="C3015" s="2" t="s">
        <v>18</v>
      </c>
      <c r="D3015" s="2">
        <v>7.8</v>
      </c>
      <c r="E3015" s="2">
        <v>2023.0</v>
      </c>
      <c r="F3015" s="2" t="s">
        <v>10</v>
      </c>
      <c r="G3015" s="2" t="s">
        <v>10</v>
      </c>
    </row>
    <row r="3016" ht="14.25" customHeight="1">
      <c r="A3016" s="1" t="s">
        <v>2623</v>
      </c>
      <c r="B3016" s="1" t="s">
        <v>20</v>
      </c>
      <c r="C3016" s="2" t="s">
        <v>844</v>
      </c>
      <c r="D3016" s="2">
        <v>7.8</v>
      </c>
      <c r="E3016" s="2">
        <v>1936.0</v>
      </c>
      <c r="F3016" s="2" t="s">
        <v>10</v>
      </c>
      <c r="G3016" s="2" t="s">
        <v>10</v>
      </c>
    </row>
    <row r="3017" ht="14.25" customHeight="1">
      <c r="A3017" s="1" t="s">
        <v>2624</v>
      </c>
      <c r="B3017" s="1" t="s">
        <v>20</v>
      </c>
      <c r="C3017" s="2" t="s">
        <v>18</v>
      </c>
      <c r="D3017" s="2">
        <v>7.8</v>
      </c>
      <c r="E3017" s="2">
        <v>2010.0</v>
      </c>
      <c r="F3017" s="2" t="s">
        <v>10</v>
      </c>
      <c r="G3017" s="2" t="s">
        <v>10</v>
      </c>
    </row>
    <row r="3018" ht="14.25" customHeight="1">
      <c r="A3018" s="1" t="s">
        <v>2625</v>
      </c>
      <c r="B3018" s="1" t="s">
        <v>20</v>
      </c>
      <c r="C3018" s="2" t="s">
        <v>18</v>
      </c>
      <c r="D3018" s="2">
        <v>7.8</v>
      </c>
      <c r="E3018" s="2">
        <v>1974.0</v>
      </c>
      <c r="F3018" s="2" t="s">
        <v>10</v>
      </c>
      <c r="G3018" s="2" t="s">
        <v>10</v>
      </c>
    </row>
    <row r="3019" ht="14.25" customHeight="1">
      <c r="A3019" s="1" t="s">
        <v>2626</v>
      </c>
      <c r="B3019" s="1" t="s">
        <v>20</v>
      </c>
      <c r="C3019" s="2" t="s">
        <v>419</v>
      </c>
      <c r="D3019" s="2">
        <v>7.8</v>
      </c>
      <c r="E3019" s="2">
        <v>2017.0</v>
      </c>
      <c r="F3019" s="2" t="s">
        <v>10</v>
      </c>
      <c r="G3019" s="2" t="s">
        <v>10</v>
      </c>
    </row>
    <row r="3020" ht="14.25" customHeight="1">
      <c r="A3020" s="1" t="s">
        <v>2627</v>
      </c>
      <c r="B3020" s="1" t="s">
        <v>8</v>
      </c>
      <c r="C3020" s="2" t="s">
        <v>25</v>
      </c>
      <c r="D3020" s="2">
        <v>7.8</v>
      </c>
      <c r="E3020" s="2">
        <v>2000.0</v>
      </c>
      <c r="F3020" s="2" t="s">
        <v>10</v>
      </c>
      <c r="G3020" s="2" t="s">
        <v>10</v>
      </c>
    </row>
    <row r="3021" ht="14.25" customHeight="1">
      <c r="A3021" s="1" t="s">
        <v>2628</v>
      </c>
      <c r="B3021" s="1" t="s">
        <v>8</v>
      </c>
      <c r="C3021" s="2" t="s">
        <v>25</v>
      </c>
      <c r="D3021" s="2">
        <v>7.8</v>
      </c>
      <c r="E3021" s="2">
        <v>2020.0</v>
      </c>
      <c r="F3021" s="2" t="s">
        <v>10</v>
      </c>
      <c r="G3021" s="2" t="s">
        <v>10</v>
      </c>
    </row>
    <row r="3022" ht="14.25" customHeight="1">
      <c r="A3022" s="1" t="s">
        <v>2629</v>
      </c>
      <c r="B3022" s="1" t="s">
        <v>20</v>
      </c>
      <c r="C3022" s="2" t="s">
        <v>282</v>
      </c>
      <c r="D3022" s="2">
        <v>7.8</v>
      </c>
      <c r="E3022" s="2">
        <v>2013.0</v>
      </c>
      <c r="F3022" s="2" t="s">
        <v>10</v>
      </c>
      <c r="G3022" s="2" t="s">
        <v>10</v>
      </c>
    </row>
    <row r="3023" ht="14.25" customHeight="1">
      <c r="A3023" s="1" t="s">
        <v>2630</v>
      </c>
      <c r="B3023" s="1" t="s">
        <v>20</v>
      </c>
      <c r="C3023" s="2" t="s">
        <v>2631</v>
      </c>
      <c r="D3023" s="2">
        <v>7.8</v>
      </c>
      <c r="E3023" s="2">
        <v>1970.0</v>
      </c>
      <c r="F3023" s="2">
        <v>2013.0</v>
      </c>
      <c r="G3023" s="2" t="s">
        <v>10</v>
      </c>
    </row>
    <row r="3024" ht="14.25" customHeight="1">
      <c r="A3024" s="1" t="s">
        <v>2632</v>
      </c>
      <c r="B3024" s="1" t="s">
        <v>8</v>
      </c>
      <c r="C3024" s="2" t="s">
        <v>140</v>
      </c>
      <c r="D3024" s="2">
        <v>7.8</v>
      </c>
      <c r="E3024" s="2">
        <v>2013.0</v>
      </c>
      <c r="F3024" s="2" t="s">
        <v>10</v>
      </c>
      <c r="G3024" s="2" t="s">
        <v>10</v>
      </c>
    </row>
    <row r="3025" ht="14.25" customHeight="1">
      <c r="A3025" s="1" t="s">
        <v>2633</v>
      </c>
      <c r="B3025" s="1" t="s">
        <v>20</v>
      </c>
      <c r="C3025" s="2" t="s">
        <v>132</v>
      </c>
      <c r="D3025" s="2">
        <v>7.8</v>
      </c>
      <c r="E3025" s="2">
        <v>2016.0</v>
      </c>
      <c r="F3025" s="2">
        <v>2016.0</v>
      </c>
      <c r="G3025" s="2" t="s">
        <v>10</v>
      </c>
    </row>
    <row r="3026" ht="14.25" customHeight="1">
      <c r="A3026" s="1" t="s">
        <v>2634</v>
      </c>
      <c r="B3026" s="1" t="s">
        <v>20</v>
      </c>
      <c r="C3026" s="2" t="s">
        <v>653</v>
      </c>
      <c r="D3026" s="2">
        <v>7.8</v>
      </c>
      <c r="E3026" s="2">
        <v>2016.0</v>
      </c>
      <c r="F3026" s="2" t="s">
        <v>10</v>
      </c>
      <c r="G3026" s="2" t="s">
        <v>10</v>
      </c>
    </row>
    <row r="3027" ht="14.25" customHeight="1">
      <c r="A3027" s="1" t="s">
        <v>2635</v>
      </c>
      <c r="B3027" s="1" t="s">
        <v>8</v>
      </c>
      <c r="C3027" s="2" t="s">
        <v>181</v>
      </c>
      <c r="D3027" s="2">
        <v>7.8</v>
      </c>
      <c r="E3027" s="2">
        <v>1965.0</v>
      </c>
      <c r="F3027" s="2" t="s">
        <v>10</v>
      </c>
      <c r="G3027" s="2" t="s">
        <v>10</v>
      </c>
    </row>
    <row r="3028" ht="14.25" customHeight="1">
      <c r="A3028" s="1" t="s">
        <v>2636</v>
      </c>
      <c r="B3028" s="1" t="s">
        <v>8</v>
      </c>
      <c r="C3028" s="2" t="s">
        <v>192</v>
      </c>
      <c r="D3028" s="2">
        <v>7.8</v>
      </c>
      <c r="E3028" s="2">
        <v>2016.0</v>
      </c>
      <c r="F3028" s="2" t="s">
        <v>10</v>
      </c>
      <c r="G3028" s="2" t="s">
        <v>10</v>
      </c>
    </row>
    <row r="3029" ht="14.25" customHeight="1">
      <c r="A3029" s="1" t="s">
        <v>2637</v>
      </c>
      <c r="B3029" s="1" t="s">
        <v>20</v>
      </c>
      <c r="C3029" s="2" t="s">
        <v>9</v>
      </c>
      <c r="D3029" s="2">
        <v>7.8</v>
      </c>
      <c r="E3029" s="2">
        <v>2018.0</v>
      </c>
      <c r="F3029" s="2" t="s">
        <v>10</v>
      </c>
      <c r="G3029" s="2" t="s">
        <v>10</v>
      </c>
    </row>
    <row r="3030" ht="14.25" customHeight="1">
      <c r="A3030" s="1" t="s">
        <v>2638</v>
      </c>
      <c r="B3030" s="1" t="s">
        <v>20</v>
      </c>
      <c r="C3030" s="2" t="s">
        <v>63</v>
      </c>
      <c r="D3030" s="2">
        <v>7.8</v>
      </c>
      <c r="E3030" s="2">
        <v>2006.0</v>
      </c>
      <c r="F3030" s="2">
        <v>2018.0</v>
      </c>
      <c r="G3030" s="2" t="s">
        <v>10</v>
      </c>
    </row>
    <row r="3031" ht="14.25" customHeight="1">
      <c r="A3031" s="1" t="s">
        <v>2639</v>
      </c>
      <c r="B3031" s="1" t="s">
        <v>20</v>
      </c>
      <c r="C3031" s="2" t="s">
        <v>154</v>
      </c>
      <c r="D3031" s="2">
        <v>7.8</v>
      </c>
      <c r="E3031" s="2">
        <v>1939.0</v>
      </c>
      <c r="F3031" s="2" t="s">
        <v>10</v>
      </c>
      <c r="G3031" s="2" t="s">
        <v>10</v>
      </c>
    </row>
    <row r="3032" ht="14.25" customHeight="1">
      <c r="A3032" s="1" t="s">
        <v>2640</v>
      </c>
      <c r="B3032" s="1" t="s">
        <v>20</v>
      </c>
      <c r="C3032" s="2" t="s">
        <v>1271</v>
      </c>
      <c r="D3032" s="2">
        <v>7.8</v>
      </c>
      <c r="E3032" s="2">
        <v>2024.0</v>
      </c>
      <c r="F3032" s="2" t="s">
        <v>10</v>
      </c>
      <c r="G3032" s="2" t="s">
        <v>10</v>
      </c>
    </row>
    <row r="3033" ht="14.25" customHeight="1">
      <c r="A3033" s="1" t="s">
        <v>2641</v>
      </c>
      <c r="B3033" s="1" t="s">
        <v>20</v>
      </c>
      <c r="C3033" s="2" t="s">
        <v>584</v>
      </c>
      <c r="D3033" s="2">
        <v>7.8</v>
      </c>
      <c r="E3033" s="2">
        <v>1999.0</v>
      </c>
      <c r="F3033" s="2" t="s">
        <v>10</v>
      </c>
      <c r="G3033" s="2" t="s">
        <v>10</v>
      </c>
    </row>
    <row r="3034" ht="14.25" customHeight="1">
      <c r="A3034" s="1" t="s">
        <v>2642</v>
      </c>
      <c r="B3034" s="1" t="s">
        <v>8</v>
      </c>
      <c r="C3034" s="2" t="s">
        <v>25</v>
      </c>
      <c r="D3034" s="2">
        <v>7.8</v>
      </c>
      <c r="E3034" s="2">
        <v>2010.0</v>
      </c>
      <c r="F3034" s="2" t="s">
        <v>10</v>
      </c>
      <c r="G3034" s="2" t="s">
        <v>10</v>
      </c>
    </row>
    <row r="3035" ht="14.25" customHeight="1">
      <c r="A3035" s="1" t="s">
        <v>2643</v>
      </c>
      <c r="B3035" s="1" t="s">
        <v>20</v>
      </c>
      <c r="C3035" s="2" t="s">
        <v>1025</v>
      </c>
      <c r="D3035" s="2">
        <v>7.8</v>
      </c>
      <c r="E3035" s="2">
        <v>2018.0</v>
      </c>
      <c r="F3035" s="2" t="s">
        <v>10</v>
      </c>
      <c r="G3035" s="2" t="s">
        <v>10</v>
      </c>
    </row>
    <row r="3036" ht="14.25" customHeight="1">
      <c r="A3036" s="1" t="s">
        <v>2644</v>
      </c>
      <c r="B3036" s="1" t="s">
        <v>20</v>
      </c>
      <c r="C3036" s="2" t="s">
        <v>25</v>
      </c>
      <c r="D3036" s="2">
        <v>7.8</v>
      </c>
      <c r="E3036" s="2">
        <v>2013.0</v>
      </c>
      <c r="F3036" s="2">
        <v>2013.0</v>
      </c>
      <c r="G3036" s="2" t="s">
        <v>10</v>
      </c>
    </row>
    <row r="3037" ht="14.25" customHeight="1">
      <c r="A3037" s="1" t="s">
        <v>2645</v>
      </c>
      <c r="B3037" s="1" t="s">
        <v>8</v>
      </c>
      <c r="C3037" s="2" t="s">
        <v>44</v>
      </c>
      <c r="D3037" s="2">
        <v>7.8</v>
      </c>
      <c r="E3037" s="2">
        <v>2021.0</v>
      </c>
      <c r="F3037" s="2">
        <v>2019.0</v>
      </c>
      <c r="G3037" s="2">
        <v>7860000.0</v>
      </c>
    </row>
    <row r="3038" ht="14.25" customHeight="1">
      <c r="A3038" s="1" t="s">
        <v>2646</v>
      </c>
      <c r="B3038" s="1" t="s">
        <v>8</v>
      </c>
      <c r="C3038" s="2" t="s">
        <v>53</v>
      </c>
      <c r="D3038" s="2">
        <v>7.8</v>
      </c>
      <c r="E3038" s="2">
        <v>2017.0</v>
      </c>
      <c r="F3038" s="2" t="s">
        <v>10</v>
      </c>
      <c r="G3038" s="2" t="s">
        <v>10</v>
      </c>
    </row>
    <row r="3039" ht="14.25" customHeight="1">
      <c r="A3039" s="1" t="s">
        <v>2647</v>
      </c>
      <c r="B3039" s="1" t="s">
        <v>20</v>
      </c>
      <c r="C3039" s="2" t="s">
        <v>118</v>
      </c>
      <c r="D3039" s="2">
        <v>7.8</v>
      </c>
      <c r="E3039" s="2">
        <v>1925.0</v>
      </c>
      <c r="F3039" s="2" t="s">
        <v>10</v>
      </c>
      <c r="G3039" s="2" t="s">
        <v>10</v>
      </c>
    </row>
    <row r="3040" ht="14.25" customHeight="1">
      <c r="A3040" s="1" t="s">
        <v>2648</v>
      </c>
      <c r="B3040" s="1" t="s">
        <v>8</v>
      </c>
      <c r="C3040" s="2" t="s">
        <v>584</v>
      </c>
      <c r="D3040" s="2">
        <v>7.8</v>
      </c>
      <c r="E3040" s="2">
        <v>2019.0</v>
      </c>
      <c r="F3040" s="2">
        <v>2019.0</v>
      </c>
      <c r="G3040" s="2" t="s">
        <v>10</v>
      </c>
    </row>
    <row r="3041" ht="14.25" customHeight="1">
      <c r="A3041" s="1" t="s">
        <v>2649</v>
      </c>
      <c r="B3041" s="1" t="s">
        <v>20</v>
      </c>
      <c r="C3041" s="2" t="s">
        <v>299</v>
      </c>
      <c r="D3041" s="2">
        <v>7.8</v>
      </c>
      <c r="E3041" s="2">
        <v>2023.0</v>
      </c>
      <c r="F3041" s="2" t="s">
        <v>10</v>
      </c>
      <c r="G3041" s="2" t="s">
        <v>10</v>
      </c>
    </row>
    <row r="3042" ht="14.25" customHeight="1">
      <c r="A3042" s="1" t="s">
        <v>2650</v>
      </c>
      <c r="B3042" s="1" t="s">
        <v>8</v>
      </c>
      <c r="C3042" s="2" t="s">
        <v>55</v>
      </c>
      <c r="D3042" s="2">
        <v>7.8</v>
      </c>
      <c r="E3042" s="2">
        <v>1994.0</v>
      </c>
      <c r="F3042" s="2">
        <v>1997.0</v>
      </c>
      <c r="G3042" s="2" t="s">
        <v>10</v>
      </c>
    </row>
    <row r="3043" ht="14.25" customHeight="1">
      <c r="A3043" s="1" t="s">
        <v>2651</v>
      </c>
      <c r="B3043" s="1" t="s">
        <v>8</v>
      </c>
      <c r="C3043" s="2" t="s">
        <v>1905</v>
      </c>
      <c r="D3043" s="2">
        <v>7.8</v>
      </c>
      <c r="E3043" s="2">
        <v>2021.0</v>
      </c>
      <c r="F3043" s="2" t="s">
        <v>10</v>
      </c>
      <c r="G3043" s="2">
        <v>1.082E7</v>
      </c>
    </row>
    <row r="3044" ht="14.25" customHeight="1">
      <c r="A3044" s="1" t="s">
        <v>2651</v>
      </c>
      <c r="B3044" s="1" t="s">
        <v>8</v>
      </c>
      <c r="C3044" s="2" t="s">
        <v>1905</v>
      </c>
      <c r="D3044" s="2">
        <v>7.8</v>
      </c>
      <c r="E3044" s="2">
        <v>2021.0</v>
      </c>
      <c r="F3044" s="2" t="s">
        <v>10</v>
      </c>
      <c r="G3044" s="2">
        <v>1.094E7</v>
      </c>
    </row>
    <row r="3045" ht="14.25" customHeight="1">
      <c r="A3045" s="1" t="s">
        <v>2652</v>
      </c>
      <c r="B3045" s="1" t="s">
        <v>20</v>
      </c>
      <c r="C3045" s="2" t="s">
        <v>67</v>
      </c>
      <c r="D3045" s="2">
        <v>7.8</v>
      </c>
      <c r="E3045" s="2">
        <v>1959.0</v>
      </c>
      <c r="F3045" s="2" t="s">
        <v>10</v>
      </c>
      <c r="G3045" s="2" t="s">
        <v>10</v>
      </c>
    </row>
    <row r="3046" ht="14.25" customHeight="1">
      <c r="A3046" s="1" t="s">
        <v>2653</v>
      </c>
      <c r="B3046" s="1" t="s">
        <v>8</v>
      </c>
      <c r="C3046" s="2" t="s">
        <v>18</v>
      </c>
      <c r="D3046" s="2">
        <v>7.8</v>
      </c>
      <c r="E3046" s="2">
        <v>2015.0</v>
      </c>
      <c r="F3046" s="2" t="s">
        <v>10</v>
      </c>
      <c r="G3046" s="2" t="s">
        <v>10</v>
      </c>
    </row>
    <row r="3047" ht="14.25" customHeight="1">
      <c r="A3047" s="1" t="s">
        <v>2654</v>
      </c>
      <c r="B3047" s="1" t="s">
        <v>20</v>
      </c>
      <c r="C3047" s="2" t="s">
        <v>36</v>
      </c>
      <c r="D3047" s="2">
        <v>7.8</v>
      </c>
      <c r="E3047" s="2">
        <v>2021.0</v>
      </c>
      <c r="F3047" s="2" t="s">
        <v>10</v>
      </c>
      <c r="G3047" s="2" t="s">
        <v>10</v>
      </c>
    </row>
    <row r="3048" ht="14.25" customHeight="1">
      <c r="A3048" s="1" t="s">
        <v>2655</v>
      </c>
      <c r="B3048" s="1" t="s">
        <v>8</v>
      </c>
      <c r="C3048" s="2" t="s">
        <v>32</v>
      </c>
      <c r="D3048" s="2">
        <v>7.8</v>
      </c>
      <c r="E3048" s="2">
        <v>2019.0</v>
      </c>
      <c r="F3048" s="2" t="s">
        <v>10</v>
      </c>
      <c r="G3048" s="2" t="s">
        <v>10</v>
      </c>
    </row>
    <row r="3049" ht="14.25" customHeight="1">
      <c r="A3049" s="1" t="s">
        <v>2656</v>
      </c>
      <c r="B3049" s="1" t="s">
        <v>20</v>
      </c>
      <c r="C3049" s="2" t="s">
        <v>481</v>
      </c>
      <c r="D3049" s="2">
        <v>7.8</v>
      </c>
      <c r="E3049" s="2">
        <v>1943.0</v>
      </c>
      <c r="F3049" s="2" t="s">
        <v>10</v>
      </c>
      <c r="G3049" s="2" t="s">
        <v>10</v>
      </c>
    </row>
    <row r="3050" ht="14.25" customHeight="1">
      <c r="A3050" s="1" t="s">
        <v>2657</v>
      </c>
      <c r="B3050" s="1" t="s">
        <v>8</v>
      </c>
      <c r="C3050" s="2" t="s">
        <v>433</v>
      </c>
      <c r="D3050" s="2">
        <v>7.8</v>
      </c>
      <c r="E3050" s="2">
        <v>2015.0</v>
      </c>
      <c r="F3050" s="2" t="s">
        <v>10</v>
      </c>
      <c r="G3050" s="2" t="s">
        <v>10</v>
      </c>
    </row>
    <row r="3051" ht="14.25" customHeight="1">
      <c r="A3051" s="1" t="s">
        <v>2658</v>
      </c>
      <c r="B3051" s="1" t="s">
        <v>20</v>
      </c>
      <c r="C3051" s="2" t="s">
        <v>217</v>
      </c>
      <c r="D3051" s="2">
        <v>7.8</v>
      </c>
      <c r="E3051" s="2">
        <v>2010.0</v>
      </c>
      <c r="F3051" s="2" t="s">
        <v>10</v>
      </c>
      <c r="G3051" s="2" t="s">
        <v>10</v>
      </c>
    </row>
    <row r="3052" ht="14.25" customHeight="1">
      <c r="A3052" s="1" t="s">
        <v>2659</v>
      </c>
      <c r="B3052" s="1" t="s">
        <v>20</v>
      </c>
      <c r="C3052" s="2" t="s">
        <v>284</v>
      </c>
      <c r="D3052" s="2">
        <v>7.8</v>
      </c>
      <c r="E3052" s="2">
        <v>1965.0</v>
      </c>
      <c r="F3052" s="2" t="s">
        <v>10</v>
      </c>
      <c r="G3052" s="2" t="s">
        <v>10</v>
      </c>
    </row>
    <row r="3053" ht="14.25" customHeight="1">
      <c r="A3053" s="1" t="s">
        <v>2660</v>
      </c>
      <c r="B3053" s="1" t="s">
        <v>8</v>
      </c>
      <c r="C3053" s="2" t="s">
        <v>2661</v>
      </c>
      <c r="D3053" s="2">
        <v>7.8</v>
      </c>
      <c r="E3053" s="2">
        <v>2006.0</v>
      </c>
      <c r="F3053" s="2" t="s">
        <v>10</v>
      </c>
      <c r="G3053" s="2" t="s">
        <v>10</v>
      </c>
    </row>
    <row r="3054" ht="14.25" customHeight="1">
      <c r="A3054" s="1" t="s">
        <v>2662</v>
      </c>
      <c r="B3054" s="1" t="s">
        <v>8</v>
      </c>
      <c r="C3054" s="2" t="s">
        <v>32</v>
      </c>
      <c r="D3054" s="2">
        <v>7.8</v>
      </c>
      <c r="E3054" s="2">
        <v>2006.0</v>
      </c>
      <c r="F3054" s="2" t="s">
        <v>10</v>
      </c>
      <c r="G3054" s="2" t="s">
        <v>10</v>
      </c>
    </row>
    <row r="3055" ht="14.25" customHeight="1">
      <c r="A3055" s="1" t="s">
        <v>2663</v>
      </c>
      <c r="B3055" s="1" t="s">
        <v>20</v>
      </c>
      <c r="C3055" s="2" t="s">
        <v>18</v>
      </c>
      <c r="D3055" s="2">
        <v>7.8</v>
      </c>
      <c r="E3055" s="2">
        <v>1963.0</v>
      </c>
      <c r="F3055" s="2" t="s">
        <v>10</v>
      </c>
      <c r="G3055" s="2" t="s">
        <v>10</v>
      </c>
    </row>
    <row r="3056" ht="14.25" customHeight="1">
      <c r="A3056" s="1" t="s">
        <v>2664</v>
      </c>
      <c r="B3056" s="1" t="s">
        <v>8</v>
      </c>
      <c r="C3056" s="2" t="s">
        <v>203</v>
      </c>
      <c r="D3056" s="2">
        <v>7.8</v>
      </c>
      <c r="E3056" s="2">
        <v>2016.0</v>
      </c>
      <c r="F3056" s="2" t="s">
        <v>10</v>
      </c>
      <c r="G3056" s="2" t="s">
        <v>10</v>
      </c>
    </row>
    <row r="3057" ht="14.25" customHeight="1">
      <c r="A3057" s="1" t="s">
        <v>2665</v>
      </c>
      <c r="B3057" s="1" t="s">
        <v>20</v>
      </c>
      <c r="C3057" s="2" t="s">
        <v>18</v>
      </c>
      <c r="D3057" s="2">
        <v>7.8</v>
      </c>
      <c r="E3057" s="2">
        <v>1962.0</v>
      </c>
      <c r="F3057" s="2" t="s">
        <v>10</v>
      </c>
      <c r="G3057" s="2" t="s">
        <v>10</v>
      </c>
    </row>
    <row r="3058" ht="14.25" customHeight="1">
      <c r="A3058" s="1" t="s">
        <v>2666</v>
      </c>
      <c r="B3058" s="1" t="s">
        <v>20</v>
      </c>
      <c r="C3058" s="2" t="s">
        <v>12</v>
      </c>
      <c r="D3058" s="2">
        <v>7.8</v>
      </c>
      <c r="E3058" s="2">
        <v>2023.0</v>
      </c>
      <c r="F3058" s="2" t="s">
        <v>10</v>
      </c>
      <c r="G3058" s="2">
        <v>7900000.0</v>
      </c>
    </row>
    <row r="3059" ht="14.25" customHeight="1">
      <c r="A3059" s="1" t="s">
        <v>2666</v>
      </c>
      <c r="B3059" s="1" t="s">
        <v>20</v>
      </c>
      <c r="C3059" s="2" t="s">
        <v>12</v>
      </c>
      <c r="D3059" s="2">
        <v>7.8</v>
      </c>
      <c r="E3059" s="2">
        <v>2023.0</v>
      </c>
      <c r="F3059" s="2" t="s">
        <v>10</v>
      </c>
      <c r="G3059" s="3">
        <v>1.6E7</v>
      </c>
    </row>
    <row r="3060" ht="14.25" customHeight="1">
      <c r="A3060" s="1" t="s">
        <v>2667</v>
      </c>
      <c r="B3060" s="1" t="s">
        <v>20</v>
      </c>
      <c r="C3060" s="2" t="s">
        <v>154</v>
      </c>
      <c r="D3060" s="2">
        <v>7.8</v>
      </c>
      <c r="E3060" s="2">
        <v>2002.0</v>
      </c>
      <c r="F3060" s="2" t="s">
        <v>10</v>
      </c>
      <c r="G3060" s="2" t="s">
        <v>10</v>
      </c>
    </row>
    <row r="3061" ht="14.25" customHeight="1">
      <c r="A3061" s="1" t="s">
        <v>2668</v>
      </c>
      <c r="B3061" s="1" t="s">
        <v>8</v>
      </c>
      <c r="C3061" s="2" t="s">
        <v>18</v>
      </c>
      <c r="D3061" s="2">
        <v>7.8</v>
      </c>
      <c r="E3061" s="2">
        <v>2023.0</v>
      </c>
      <c r="F3061" s="2" t="s">
        <v>10</v>
      </c>
      <c r="G3061" s="2" t="s">
        <v>10</v>
      </c>
    </row>
    <row r="3062" ht="14.25" customHeight="1">
      <c r="A3062" s="1" t="s">
        <v>2669</v>
      </c>
      <c r="B3062" s="1" t="s">
        <v>20</v>
      </c>
      <c r="C3062" s="2" t="s">
        <v>18</v>
      </c>
      <c r="D3062" s="2">
        <v>7.8</v>
      </c>
      <c r="E3062" s="2">
        <v>2005.0</v>
      </c>
      <c r="F3062" s="2" t="s">
        <v>10</v>
      </c>
      <c r="G3062" s="2" t="s">
        <v>10</v>
      </c>
    </row>
    <row r="3063" ht="14.25" customHeight="1">
      <c r="A3063" s="1" t="s">
        <v>2670</v>
      </c>
      <c r="B3063" s="1" t="s">
        <v>20</v>
      </c>
      <c r="C3063" s="2" t="s">
        <v>25</v>
      </c>
      <c r="D3063" s="2">
        <v>7.8</v>
      </c>
      <c r="E3063" s="2">
        <v>2019.0</v>
      </c>
      <c r="F3063" s="2" t="s">
        <v>10</v>
      </c>
      <c r="G3063" s="2" t="s">
        <v>10</v>
      </c>
    </row>
    <row r="3064" ht="14.25" customHeight="1">
      <c r="A3064" s="1" t="s">
        <v>2671</v>
      </c>
      <c r="B3064" s="1" t="s">
        <v>8</v>
      </c>
      <c r="C3064" s="2" t="s">
        <v>1336</v>
      </c>
      <c r="D3064" s="2">
        <v>7.8</v>
      </c>
      <c r="E3064" s="2">
        <v>2016.0</v>
      </c>
      <c r="F3064" s="2">
        <v>2016.0</v>
      </c>
      <c r="G3064" s="2" t="s">
        <v>10</v>
      </c>
    </row>
    <row r="3065" ht="14.25" customHeight="1">
      <c r="A3065" s="1" t="s">
        <v>2672</v>
      </c>
      <c r="B3065" s="1" t="s">
        <v>8</v>
      </c>
      <c r="C3065" s="2" t="s">
        <v>55</v>
      </c>
      <c r="D3065" s="2">
        <v>7.8</v>
      </c>
      <c r="E3065" s="2">
        <v>1975.0</v>
      </c>
      <c r="F3065" s="2" t="s">
        <v>10</v>
      </c>
      <c r="G3065" s="2" t="s">
        <v>10</v>
      </c>
    </row>
    <row r="3066" ht="14.25" customHeight="1">
      <c r="A3066" s="1" t="s">
        <v>2673</v>
      </c>
      <c r="B3066" s="1" t="s">
        <v>20</v>
      </c>
      <c r="C3066" s="2" t="s">
        <v>2197</v>
      </c>
      <c r="D3066" s="2">
        <v>7.8</v>
      </c>
      <c r="E3066" s="2">
        <v>1949.0</v>
      </c>
      <c r="F3066" s="2" t="s">
        <v>10</v>
      </c>
      <c r="G3066" s="2" t="s">
        <v>10</v>
      </c>
    </row>
    <row r="3067" ht="14.25" customHeight="1">
      <c r="A3067" s="1" t="s">
        <v>2674</v>
      </c>
      <c r="B3067" s="1" t="s">
        <v>8</v>
      </c>
      <c r="C3067" s="2" t="s">
        <v>25</v>
      </c>
      <c r="D3067" s="2">
        <v>7.8</v>
      </c>
      <c r="E3067" s="2">
        <v>1994.0</v>
      </c>
      <c r="F3067" s="2" t="s">
        <v>10</v>
      </c>
      <c r="G3067" s="2" t="s">
        <v>10</v>
      </c>
    </row>
    <row r="3068" ht="14.25" customHeight="1">
      <c r="A3068" s="1" t="s">
        <v>2675</v>
      </c>
      <c r="B3068" s="1" t="s">
        <v>8</v>
      </c>
      <c r="C3068" s="2" t="s">
        <v>69</v>
      </c>
      <c r="D3068" s="2">
        <v>7.8</v>
      </c>
      <c r="E3068" s="2">
        <v>2022.0</v>
      </c>
      <c r="F3068" s="2" t="s">
        <v>10</v>
      </c>
      <c r="G3068" s="2" t="s">
        <v>10</v>
      </c>
    </row>
    <row r="3069" ht="14.25" customHeight="1">
      <c r="A3069" s="1" t="s">
        <v>2676</v>
      </c>
      <c r="B3069" s="1" t="s">
        <v>8</v>
      </c>
      <c r="C3069" s="2" t="s">
        <v>25</v>
      </c>
      <c r="D3069" s="2">
        <v>7.8</v>
      </c>
      <c r="E3069" s="2">
        <v>2021.0</v>
      </c>
      <c r="F3069" s="2" t="s">
        <v>10</v>
      </c>
      <c r="G3069" s="2" t="s">
        <v>10</v>
      </c>
    </row>
    <row r="3070" ht="14.25" customHeight="1">
      <c r="A3070" s="1" t="s">
        <v>2677</v>
      </c>
      <c r="B3070" s="1" t="s">
        <v>20</v>
      </c>
      <c r="C3070" s="2" t="s">
        <v>2678</v>
      </c>
      <c r="D3070" s="2">
        <v>7.8</v>
      </c>
      <c r="E3070" s="2">
        <v>2013.0</v>
      </c>
      <c r="F3070" s="2" t="s">
        <v>10</v>
      </c>
      <c r="G3070" s="2" t="s">
        <v>10</v>
      </c>
    </row>
    <row r="3071" ht="14.25" customHeight="1">
      <c r="A3071" s="1" t="s">
        <v>2679</v>
      </c>
      <c r="B3071" s="1" t="s">
        <v>20</v>
      </c>
      <c r="C3071" s="2" t="s">
        <v>253</v>
      </c>
      <c r="D3071" s="2">
        <v>7.8</v>
      </c>
      <c r="E3071" s="2">
        <v>1957.0</v>
      </c>
      <c r="F3071" s="2" t="s">
        <v>10</v>
      </c>
      <c r="G3071" s="2" t="s">
        <v>10</v>
      </c>
    </row>
    <row r="3072" ht="14.25" customHeight="1">
      <c r="A3072" s="1" t="s">
        <v>2680</v>
      </c>
      <c r="B3072" s="1" t="s">
        <v>20</v>
      </c>
      <c r="C3072" s="2" t="s">
        <v>151</v>
      </c>
      <c r="D3072" s="2">
        <v>7.7</v>
      </c>
      <c r="E3072" s="2">
        <v>2014.0</v>
      </c>
      <c r="F3072" s="2" t="s">
        <v>10</v>
      </c>
      <c r="G3072" s="2" t="s">
        <v>10</v>
      </c>
    </row>
    <row r="3073" ht="14.25" customHeight="1">
      <c r="A3073" s="1" t="s">
        <v>2681</v>
      </c>
      <c r="B3073" s="1" t="s">
        <v>20</v>
      </c>
      <c r="C3073" s="2" t="s">
        <v>719</v>
      </c>
      <c r="D3073" s="2">
        <v>7.7</v>
      </c>
      <c r="E3073" s="2">
        <v>2001.0</v>
      </c>
      <c r="F3073" s="2" t="s">
        <v>10</v>
      </c>
      <c r="G3073" s="2">
        <v>4790000.0</v>
      </c>
    </row>
    <row r="3074" ht="14.25" customHeight="1">
      <c r="A3074" s="1" t="s">
        <v>2682</v>
      </c>
      <c r="B3074" s="1" t="s">
        <v>20</v>
      </c>
      <c r="C3074" s="2" t="s">
        <v>639</v>
      </c>
      <c r="D3074" s="2">
        <v>7.7</v>
      </c>
      <c r="E3074" s="2">
        <v>2013.0</v>
      </c>
      <c r="F3074" s="2" t="s">
        <v>10</v>
      </c>
      <c r="G3074" s="2" t="s">
        <v>10</v>
      </c>
    </row>
    <row r="3075" ht="14.25" customHeight="1">
      <c r="A3075" s="1" t="s">
        <v>2683</v>
      </c>
      <c r="B3075" s="1" t="s">
        <v>20</v>
      </c>
      <c r="C3075" s="2" t="s">
        <v>32</v>
      </c>
      <c r="D3075" s="2">
        <v>7.7</v>
      </c>
      <c r="E3075" s="2">
        <v>2009.0</v>
      </c>
      <c r="F3075" s="2" t="s">
        <v>10</v>
      </c>
      <c r="G3075" s="2" t="s">
        <v>10</v>
      </c>
    </row>
    <row r="3076" ht="14.25" customHeight="1">
      <c r="A3076" s="1" t="s">
        <v>2684</v>
      </c>
      <c r="B3076" s="1" t="s">
        <v>20</v>
      </c>
      <c r="C3076" s="2" t="s">
        <v>187</v>
      </c>
      <c r="D3076" s="2">
        <v>7.7</v>
      </c>
      <c r="E3076" s="2">
        <v>2012.0</v>
      </c>
      <c r="F3076" s="2">
        <v>2012.0</v>
      </c>
      <c r="G3076" s="2" t="s">
        <v>10</v>
      </c>
    </row>
    <row r="3077" ht="14.25" customHeight="1">
      <c r="A3077" s="1" t="s">
        <v>2685</v>
      </c>
      <c r="B3077" s="1" t="s">
        <v>20</v>
      </c>
      <c r="C3077" s="2" t="s">
        <v>210</v>
      </c>
      <c r="D3077" s="2">
        <v>7.7</v>
      </c>
      <c r="E3077" s="2">
        <v>2011.0</v>
      </c>
      <c r="F3077" s="2" t="s">
        <v>10</v>
      </c>
      <c r="G3077" s="2" t="s">
        <v>10</v>
      </c>
    </row>
    <row r="3078" ht="14.25" customHeight="1">
      <c r="A3078" s="1" t="s">
        <v>2686</v>
      </c>
      <c r="B3078" s="1" t="s">
        <v>20</v>
      </c>
      <c r="C3078" s="2" t="s">
        <v>845</v>
      </c>
      <c r="D3078" s="2">
        <v>7.7</v>
      </c>
      <c r="E3078" s="2">
        <v>2014.0</v>
      </c>
      <c r="F3078" s="2" t="s">
        <v>10</v>
      </c>
      <c r="G3078" s="2" t="s">
        <v>10</v>
      </c>
    </row>
    <row r="3079" ht="14.25" customHeight="1">
      <c r="A3079" s="1" t="s">
        <v>2687</v>
      </c>
      <c r="B3079" s="1" t="s">
        <v>20</v>
      </c>
      <c r="C3079" s="2" t="s">
        <v>719</v>
      </c>
      <c r="D3079" s="2">
        <v>7.7</v>
      </c>
      <c r="E3079" s="2">
        <v>2005.0</v>
      </c>
      <c r="F3079" s="2" t="s">
        <v>10</v>
      </c>
      <c r="G3079" s="2" t="s">
        <v>10</v>
      </c>
    </row>
    <row r="3080" ht="14.25" customHeight="1">
      <c r="A3080" s="1" t="s">
        <v>2688</v>
      </c>
      <c r="B3080" s="1" t="s">
        <v>20</v>
      </c>
      <c r="C3080" s="2" t="s">
        <v>63</v>
      </c>
      <c r="D3080" s="2">
        <v>7.7</v>
      </c>
      <c r="E3080" s="2">
        <v>2014.0</v>
      </c>
      <c r="F3080" s="2" t="s">
        <v>10</v>
      </c>
      <c r="G3080" s="2" t="s">
        <v>10</v>
      </c>
    </row>
    <row r="3081" ht="14.25" customHeight="1">
      <c r="A3081" s="1" t="s">
        <v>2689</v>
      </c>
      <c r="B3081" s="1" t="s">
        <v>20</v>
      </c>
      <c r="C3081" s="2" t="s">
        <v>305</v>
      </c>
      <c r="D3081" s="2">
        <v>7.7</v>
      </c>
      <c r="E3081" s="2">
        <v>1990.0</v>
      </c>
      <c r="F3081" s="2" t="s">
        <v>10</v>
      </c>
      <c r="G3081" s="2" t="s">
        <v>10</v>
      </c>
    </row>
    <row r="3082" ht="14.25" customHeight="1">
      <c r="A3082" s="1" t="s">
        <v>2549</v>
      </c>
      <c r="B3082" s="1" t="s">
        <v>20</v>
      </c>
      <c r="C3082" s="2" t="s">
        <v>291</v>
      </c>
      <c r="D3082" s="2">
        <v>7.7</v>
      </c>
      <c r="E3082" s="2">
        <v>2008.0</v>
      </c>
      <c r="F3082" s="2">
        <v>2018.0</v>
      </c>
      <c r="G3082" s="2" t="s">
        <v>10</v>
      </c>
    </row>
    <row r="3083" ht="14.25" customHeight="1">
      <c r="A3083" s="1" t="s">
        <v>2690</v>
      </c>
      <c r="B3083" s="1" t="s">
        <v>20</v>
      </c>
      <c r="C3083" s="2" t="s">
        <v>80</v>
      </c>
      <c r="D3083" s="2">
        <v>7.7</v>
      </c>
      <c r="E3083" s="2">
        <v>2012.0</v>
      </c>
      <c r="F3083" s="2" t="s">
        <v>10</v>
      </c>
      <c r="G3083" s="2" t="s">
        <v>10</v>
      </c>
    </row>
    <row r="3084" ht="14.25" customHeight="1">
      <c r="A3084" s="1" t="s">
        <v>2691</v>
      </c>
      <c r="B3084" s="1" t="s">
        <v>20</v>
      </c>
      <c r="C3084" s="2" t="s">
        <v>792</v>
      </c>
      <c r="D3084" s="2">
        <v>7.7</v>
      </c>
      <c r="E3084" s="2">
        <v>2001.0</v>
      </c>
      <c r="F3084" s="2">
        <v>1960.0</v>
      </c>
      <c r="G3084" s="2" t="s">
        <v>10</v>
      </c>
    </row>
    <row r="3085" ht="14.25" customHeight="1">
      <c r="A3085" s="1" t="s">
        <v>2692</v>
      </c>
      <c r="B3085" s="1" t="s">
        <v>20</v>
      </c>
      <c r="C3085" s="2" t="s">
        <v>53</v>
      </c>
      <c r="D3085" s="2">
        <v>7.7</v>
      </c>
      <c r="E3085" s="2">
        <v>2007.0</v>
      </c>
      <c r="F3085" s="2">
        <v>2007.0</v>
      </c>
      <c r="G3085" s="2" t="s">
        <v>10</v>
      </c>
    </row>
    <row r="3086" ht="14.25" customHeight="1">
      <c r="A3086" s="1" t="s">
        <v>2693</v>
      </c>
      <c r="B3086" s="1" t="s">
        <v>20</v>
      </c>
      <c r="C3086" s="2" t="s">
        <v>719</v>
      </c>
      <c r="D3086" s="2">
        <v>7.7</v>
      </c>
      <c r="E3086" s="2">
        <v>2010.0</v>
      </c>
      <c r="F3086" s="2" t="s">
        <v>10</v>
      </c>
      <c r="G3086" s="2" t="s">
        <v>10</v>
      </c>
    </row>
    <row r="3087" ht="14.25" customHeight="1">
      <c r="A3087" s="1" t="s">
        <v>2694</v>
      </c>
      <c r="B3087" s="1" t="s">
        <v>20</v>
      </c>
      <c r="C3087" s="2" t="s">
        <v>639</v>
      </c>
      <c r="D3087" s="2">
        <v>7.7</v>
      </c>
      <c r="E3087" s="2">
        <v>2014.0</v>
      </c>
      <c r="F3087" s="2">
        <v>2015.0</v>
      </c>
      <c r="G3087" s="2" t="s">
        <v>10</v>
      </c>
    </row>
    <row r="3088" ht="14.25" customHeight="1">
      <c r="A3088" s="1" t="s">
        <v>2695</v>
      </c>
      <c r="B3088" s="1" t="s">
        <v>20</v>
      </c>
      <c r="C3088" s="2" t="s">
        <v>187</v>
      </c>
      <c r="D3088" s="2">
        <v>7.7</v>
      </c>
      <c r="E3088" s="2">
        <v>2009.0</v>
      </c>
      <c r="F3088" s="2" t="s">
        <v>10</v>
      </c>
      <c r="G3088" s="2" t="s">
        <v>10</v>
      </c>
    </row>
    <row r="3089" ht="14.25" customHeight="1">
      <c r="A3089" s="1" t="s">
        <v>2696</v>
      </c>
      <c r="B3089" s="1" t="s">
        <v>20</v>
      </c>
      <c r="C3089" s="2" t="s">
        <v>55</v>
      </c>
      <c r="D3089" s="2">
        <v>7.7</v>
      </c>
      <c r="E3089" s="2">
        <v>2010.0</v>
      </c>
      <c r="F3089" s="2" t="s">
        <v>10</v>
      </c>
      <c r="G3089" s="2" t="s">
        <v>10</v>
      </c>
    </row>
    <row r="3090" ht="14.25" customHeight="1">
      <c r="A3090" s="1" t="s">
        <v>2697</v>
      </c>
      <c r="B3090" s="1" t="s">
        <v>20</v>
      </c>
      <c r="C3090" s="2" t="s">
        <v>63</v>
      </c>
      <c r="D3090" s="2">
        <v>7.7</v>
      </c>
      <c r="E3090" s="2">
        <v>2003.0</v>
      </c>
      <c r="F3090" s="2" t="s">
        <v>10</v>
      </c>
      <c r="G3090" s="2" t="s">
        <v>10</v>
      </c>
    </row>
    <row r="3091" ht="14.25" customHeight="1">
      <c r="A3091" s="1" t="s">
        <v>2698</v>
      </c>
      <c r="B3091" s="1" t="s">
        <v>20</v>
      </c>
      <c r="C3091" s="2" t="s">
        <v>151</v>
      </c>
      <c r="D3091" s="2">
        <v>7.7</v>
      </c>
      <c r="E3091" s="2">
        <v>2013.0</v>
      </c>
      <c r="F3091" s="2" t="s">
        <v>10</v>
      </c>
      <c r="G3091" s="2" t="s">
        <v>10</v>
      </c>
    </row>
    <row r="3092" ht="14.25" customHeight="1">
      <c r="A3092" s="1" t="s">
        <v>2699</v>
      </c>
      <c r="B3092" s="1" t="s">
        <v>20</v>
      </c>
      <c r="C3092" s="2" t="s">
        <v>1025</v>
      </c>
      <c r="D3092" s="2">
        <v>7.7</v>
      </c>
      <c r="E3092" s="2">
        <v>2004.0</v>
      </c>
      <c r="F3092" s="2" t="s">
        <v>10</v>
      </c>
      <c r="G3092" s="2" t="s">
        <v>10</v>
      </c>
    </row>
    <row r="3093" ht="14.25" customHeight="1">
      <c r="A3093" s="1" t="s">
        <v>2700</v>
      </c>
      <c r="B3093" s="1" t="s">
        <v>20</v>
      </c>
      <c r="C3093" s="2" t="s">
        <v>69</v>
      </c>
      <c r="D3093" s="2">
        <v>7.7</v>
      </c>
      <c r="E3093" s="2">
        <v>2015.0</v>
      </c>
      <c r="F3093" s="2" t="s">
        <v>10</v>
      </c>
      <c r="G3093" s="2" t="s">
        <v>10</v>
      </c>
    </row>
    <row r="3094" ht="14.25" customHeight="1">
      <c r="A3094" s="1" t="s">
        <v>2701</v>
      </c>
      <c r="B3094" s="1" t="s">
        <v>20</v>
      </c>
      <c r="C3094" s="2" t="s">
        <v>1240</v>
      </c>
      <c r="D3094" s="2">
        <v>7.7</v>
      </c>
      <c r="E3094" s="2">
        <v>2014.0</v>
      </c>
      <c r="F3094" s="2">
        <v>2014.0</v>
      </c>
      <c r="G3094" s="2" t="s">
        <v>10</v>
      </c>
    </row>
    <row r="3095" ht="14.25" customHeight="1">
      <c r="A3095" s="1" t="s">
        <v>2702</v>
      </c>
      <c r="B3095" s="1" t="s">
        <v>20</v>
      </c>
      <c r="C3095" s="2" t="s">
        <v>55</v>
      </c>
      <c r="D3095" s="2">
        <v>7.7</v>
      </c>
      <c r="E3095" s="2">
        <v>2012.0</v>
      </c>
      <c r="F3095" s="2" t="s">
        <v>10</v>
      </c>
      <c r="G3095" s="2" t="s">
        <v>10</v>
      </c>
    </row>
    <row r="3096" ht="14.25" customHeight="1">
      <c r="A3096" s="1" t="s">
        <v>2703</v>
      </c>
      <c r="B3096" s="1" t="s">
        <v>20</v>
      </c>
      <c r="C3096" s="2" t="s">
        <v>9</v>
      </c>
      <c r="D3096" s="2">
        <v>7.7</v>
      </c>
      <c r="E3096" s="2">
        <v>2004.0</v>
      </c>
      <c r="F3096" s="2">
        <v>2004.0</v>
      </c>
      <c r="G3096" s="2" t="s">
        <v>10</v>
      </c>
    </row>
    <row r="3097" ht="14.25" customHeight="1">
      <c r="A3097" s="1" t="s">
        <v>2704</v>
      </c>
      <c r="B3097" s="1" t="s">
        <v>20</v>
      </c>
      <c r="C3097" s="2" t="s">
        <v>468</v>
      </c>
      <c r="D3097" s="2">
        <v>7.7</v>
      </c>
      <c r="E3097" s="2">
        <v>1997.0</v>
      </c>
      <c r="F3097" s="2">
        <v>1997.0</v>
      </c>
      <c r="G3097" s="2" t="s">
        <v>10</v>
      </c>
    </row>
    <row r="3098" ht="14.25" customHeight="1">
      <c r="A3098" s="1" t="s">
        <v>2113</v>
      </c>
      <c r="B3098" s="1" t="s">
        <v>20</v>
      </c>
      <c r="C3098" s="2" t="s">
        <v>14</v>
      </c>
      <c r="D3098" s="2">
        <v>7.7</v>
      </c>
      <c r="E3098" s="2">
        <v>2001.0</v>
      </c>
      <c r="F3098" s="2">
        <v>2001.0</v>
      </c>
      <c r="G3098" s="2" t="s">
        <v>10</v>
      </c>
    </row>
    <row r="3099" ht="14.25" customHeight="1">
      <c r="A3099" s="1" t="s">
        <v>2705</v>
      </c>
      <c r="B3099" s="1" t="s">
        <v>20</v>
      </c>
      <c r="C3099" s="2" t="s">
        <v>154</v>
      </c>
      <c r="D3099" s="2">
        <v>7.7</v>
      </c>
      <c r="E3099" s="2">
        <v>2014.0</v>
      </c>
      <c r="F3099" s="2" t="s">
        <v>10</v>
      </c>
      <c r="G3099" s="2" t="s">
        <v>10</v>
      </c>
    </row>
    <row r="3100" ht="14.25" customHeight="1">
      <c r="A3100" s="1" t="s">
        <v>2706</v>
      </c>
      <c r="B3100" s="1" t="s">
        <v>20</v>
      </c>
      <c r="C3100" s="2" t="s">
        <v>9</v>
      </c>
      <c r="D3100" s="2">
        <v>7.7</v>
      </c>
      <c r="E3100" s="2">
        <v>2004.0</v>
      </c>
      <c r="F3100" s="2" t="s">
        <v>10</v>
      </c>
      <c r="G3100" s="2">
        <v>9400000.0</v>
      </c>
    </row>
    <row r="3101" ht="14.25" customHeight="1">
      <c r="A3101" s="1" t="s">
        <v>2706</v>
      </c>
      <c r="B3101" s="1" t="s">
        <v>20</v>
      </c>
      <c r="C3101" s="2" t="s">
        <v>9</v>
      </c>
      <c r="D3101" s="2">
        <v>7.7</v>
      </c>
      <c r="E3101" s="2">
        <v>2004.0</v>
      </c>
      <c r="F3101" s="2" t="s">
        <v>10</v>
      </c>
      <c r="G3101" s="2">
        <v>4960000.0</v>
      </c>
    </row>
    <row r="3102" ht="14.25" customHeight="1">
      <c r="A3102" s="1" t="s">
        <v>2706</v>
      </c>
      <c r="B3102" s="1" t="s">
        <v>20</v>
      </c>
      <c r="C3102" s="2" t="s">
        <v>9</v>
      </c>
      <c r="D3102" s="2">
        <v>7.7</v>
      </c>
      <c r="E3102" s="2">
        <v>2004.0</v>
      </c>
      <c r="F3102" s="2" t="s">
        <v>10</v>
      </c>
      <c r="G3102" s="2">
        <v>1.259E7</v>
      </c>
    </row>
    <row r="3103" ht="14.25" customHeight="1">
      <c r="A3103" s="1" t="s">
        <v>2706</v>
      </c>
      <c r="B3103" s="1" t="s">
        <v>20</v>
      </c>
      <c r="C3103" s="2" t="s">
        <v>9</v>
      </c>
      <c r="D3103" s="2">
        <v>7.7</v>
      </c>
      <c r="E3103" s="2">
        <v>2004.0</v>
      </c>
      <c r="F3103" s="2" t="s">
        <v>10</v>
      </c>
      <c r="G3103" s="2">
        <v>1.616E7</v>
      </c>
    </row>
    <row r="3104" ht="14.25" customHeight="1">
      <c r="A3104" s="1" t="s">
        <v>2707</v>
      </c>
      <c r="B3104" s="1" t="s">
        <v>20</v>
      </c>
      <c r="C3104" s="2" t="s">
        <v>25</v>
      </c>
      <c r="D3104" s="2">
        <v>7.7</v>
      </c>
      <c r="E3104" s="2">
        <v>2014.0</v>
      </c>
      <c r="F3104" s="2" t="s">
        <v>10</v>
      </c>
      <c r="G3104" s="2" t="s">
        <v>10</v>
      </c>
    </row>
    <row r="3105" ht="14.25" customHeight="1">
      <c r="A3105" s="1" t="s">
        <v>2708</v>
      </c>
      <c r="B3105" s="1" t="s">
        <v>20</v>
      </c>
      <c r="C3105" s="2" t="s">
        <v>154</v>
      </c>
      <c r="D3105" s="2">
        <v>7.7</v>
      </c>
      <c r="E3105" s="2">
        <v>2005.0</v>
      </c>
      <c r="F3105" s="2" t="s">
        <v>10</v>
      </c>
      <c r="G3105" s="2" t="s">
        <v>10</v>
      </c>
    </row>
    <row r="3106" ht="14.25" customHeight="1">
      <c r="A3106" s="1" t="s">
        <v>2709</v>
      </c>
      <c r="B3106" s="1" t="s">
        <v>20</v>
      </c>
      <c r="C3106" s="2" t="s">
        <v>1622</v>
      </c>
      <c r="D3106" s="2">
        <v>7.7</v>
      </c>
      <c r="E3106" s="2">
        <v>2018.0</v>
      </c>
      <c r="F3106" s="2" t="s">
        <v>10</v>
      </c>
      <c r="G3106" s="2">
        <v>6360000.0</v>
      </c>
    </row>
    <row r="3107" ht="14.25" customHeight="1">
      <c r="A3107" s="1" t="s">
        <v>2709</v>
      </c>
      <c r="B3107" s="1" t="s">
        <v>20</v>
      </c>
      <c r="C3107" s="2" t="s">
        <v>1622</v>
      </c>
      <c r="D3107" s="2">
        <v>7.7</v>
      </c>
      <c r="E3107" s="2">
        <v>2018.0</v>
      </c>
      <c r="F3107" s="2" t="s">
        <v>10</v>
      </c>
      <c r="G3107" s="2">
        <v>5940000.0</v>
      </c>
    </row>
    <row r="3108" ht="14.25" customHeight="1">
      <c r="A3108" s="1" t="s">
        <v>2710</v>
      </c>
      <c r="B3108" s="1" t="s">
        <v>8</v>
      </c>
      <c r="C3108" s="2" t="s">
        <v>92</v>
      </c>
      <c r="D3108" s="2">
        <v>7.7</v>
      </c>
      <c r="E3108" s="2">
        <v>2009.0</v>
      </c>
      <c r="F3108" s="2">
        <v>2016.0</v>
      </c>
      <c r="G3108" s="2" t="s">
        <v>10</v>
      </c>
    </row>
    <row r="3109" ht="14.25" customHeight="1">
      <c r="A3109" s="1" t="s">
        <v>2711</v>
      </c>
      <c r="B3109" s="1" t="s">
        <v>20</v>
      </c>
      <c r="C3109" s="2" t="s">
        <v>284</v>
      </c>
      <c r="D3109" s="2">
        <v>7.7</v>
      </c>
      <c r="E3109" s="2">
        <v>1999.0</v>
      </c>
      <c r="F3109" s="2" t="s">
        <v>10</v>
      </c>
      <c r="G3109" s="2" t="s">
        <v>10</v>
      </c>
    </row>
    <row r="3110" ht="14.25" customHeight="1">
      <c r="A3110" s="1" t="s">
        <v>2712</v>
      </c>
      <c r="B3110" s="1" t="s">
        <v>20</v>
      </c>
      <c r="C3110" s="2" t="s">
        <v>40</v>
      </c>
      <c r="D3110" s="2">
        <v>7.7</v>
      </c>
      <c r="E3110" s="2">
        <v>1997.0</v>
      </c>
      <c r="F3110" s="2">
        <v>1997.0</v>
      </c>
      <c r="G3110" s="2" t="s">
        <v>10</v>
      </c>
    </row>
    <row r="3111" ht="14.25" customHeight="1">
      <c r="A3111" s="1" t="s">
        <v>2713</v>
      </c>
      <c r="B3111" s="1" t="s">
        <v>20</v>
      </c>
      <c r="C3111" s="2" t="s">
        <v>530</v>
      </c>
      <c r="D3111" s="2">
        <v>7.7</v>
      </c>
      <c r="E3111" s="2">
        <v>2000.0</v>
      </c>
      <c r="F3111" s="2" t="s">
        <v>10</v>
      </c>
      <c r="G3111" s="2" t="s">
        <v>10</v>
      </c>
    </row>
    <row r="3112" ht="14.25" customHeight="1">
      <c r="A3112" s="1" t="s">
        <v>2714</v>
      </c>
      <c r="B3112" s="1" t="s">
        <v>20</v>
      </c>
      <c r="C3112" s="2" t="s">
        <v>639</v>
      </c>
      <c r="D3112" s="2">
        <v>7.7</v>
      </c>
      <c r="E3112" s="2">
        <v>1997.0</v>
      </c>
      <c r="F3112" s="2" t="s">
        <v>10</v>
      </c>
      <c r="G3112" s="2" t="s">
        <v>10</v>
      </c>
    </row>
    <row r="3113" ht="14.25" customHeight="1">
      <c r="A3113" s="1" t="s">
        <v>2715</v>
      </c>
      <c r="B3113" s="1" t="s">
        <v>20</v>
      </c>
      <c r="C3113" s="2" t="s">
        <v>9</v>
      </c>
      <c r="D3113" s="2">
        <v>7.7</v>
      </c>
      <c r="E3113" s="2">
        <v>2006.0</v>
      </c>
      <c r="F3113" s="2" t="s">
        <v>10</v>
      </c>
      <c r="G3113" s="2" t="s">
        <v>10</v>
      </c>
    </row>
    <row r="3114" ht="14.25" customHeight="1">
      <c r="A3114" s="1" t="s">
        <v>2716</v>
      </c>
      <c r="B3114" s="1" t="s">
        <v>20</v>
      </c>
      <c r="C3114" s="2" t="s">
        <v>55</v>
      </c>
      <c r="D3114" s="2">
        <v>7.7</v>
      </c>
      <c r="E3114" s="2">
        <v>1998.0</v>
      </c>
      <c r="F3114" s="2" t="s">
        <v>10</v>
      </c>
      <c r="G3114" s="2" t="s">
        <v>10</v>
      </c>
    </row>
    <row r="3115" ht="14.25" customHeight="1">
      <c r="A3115" s="1" t="s">
        <v>2717</v>
      </c>
      <c r="B3115" s="1" t="s">
        <v>20</v>
      </c>
      <c r="C3115" s="2" t="s">
        <v>187</v>
      </c>
      <c r="D3115" s="2">
        <v>7.7</v>
      </c>
      <c r="E3115" s="2">
        <v>1997.0</v>
      </c>
      <c r="F3115" s="2">
        <v>1997.0</v>
      </c>
      <c r="G3115" s="2" t="s">
        <v>10</v>
      </c>
    </row>
    <row r="3116" ht="14.25" customHeight="1">
      <c r="A3116" s="1" t="s">
        <v>2718</v>
      </c>
      <c r="B3116" s="1" t="s">
        <v>20</v>
      </c>
      <c r="C3116" s="2" t="s">
        <v>349</v>
      </c>
      <c r="D3116" s="2">
        <v>7.7</v>
      </c>
      <c r="E3116" s="2">
        <v>1995.0</v>
      </c>
      <c r="F3116" s="2" t="s">
        <v>10</v>
      </c>
      <c r="G3116" s="2" t="s">
        <v>10</v>
      </c>
    </row>
    <row r="3117" ht="14.25" customHeight="1">
      <c r="A3117" s="1" t="s">
        <v>2719</v>
      </c>
      <c r="B3117" s="1" t="s">
        <v>20</v>
      </c>
      <c r="C3117" s="2" t="s">
        <v>2363</v>
      </c>
      <c r="D3117" s="2">
        <v>7.7</v>
      </c>
      <c r="E3117" s="2">
        <v>1978.0</v>
      </c>
      <c r="F3117" s="2" t="s">
        <v>10</v>
      </c>
      <c r="G3117" s="2" t="s">
        <v>10</v>
      </c>
    </row>
    <row r="3118" ht="14.25" customHeight="1">
      <c r="A3118" s="1" t="s">
        <v>2720</v>
      </c>
      <c r="B3118" s="1" t="s">
        <v>8</v>
      </c>
      <c r="C3118" s="2" t="s">
        <v>192</v>
      </c>
      <c r="D3118" s="2">
        <v>7.7</v>
      </c>
      <c r="E3118" s="2">
        <v>2018.0</v>
      </c>
      <c r="F3118" s="2">
        <v>2019.0</v>
      </c>
      <c r="G3118" s="2">
        <v>1.189E7</v>
      </c>
    </row>
    <row r="3119" ht="14.25" customHeight="1">
      <c r="A3119" s="1" t="s">
        <v>2720</v>
      </c>
      <c r="B3119" s="1" t="s">
        <v>8</v>
      </c>
      <c r="C3119" s="2" t="s">
        <v>192</v>
      </c>
      <c r="D3119" s="2">
        <v>7.7</v>
      </c>
      <c r="E3119" s="2">
        <v>2018.0</v>
      </c>
      <c r="F3119" s="2">
        <v>2019.0</v>
      </c>
      <c r="G3119" s="2">
        <v>1.822E7</v>
      </c>
    </row>
    <row r="3120" ht="14.25" customHeight="1">
      <c r="A3120" s="1" t="s">
        <v>2720</v>
      </c>
      <c r="B3120" s="1" t="s">
        <v>8</v>
      </c>
      <c r="C3120" s="2" t="s">
        <v>192</v>
      </c>
      <c r="D3120" s="2">
        <v>7.7</v>
      </c>
      <c r="E3120" s="2">
        <v>2018.0</v>
      </c>
      <c r="F3120" s="2">
        <v>2019.0</v>
      </c>
      <c r="G3120" s="2">
        <v>3.023E7</v>
      </c>
    </row>
    <row r="3121" ht="14.25" customHeight="1">
      <c r="A3121" s="1" t="s">
        <v>2720</v>
      </c>
      <c r="B3121" s="1" t="s">
        <v>8</v>
      </c>
      <c r="C3121" s="2" t="s">
        <v>192</v>
      </c>
      <c r="D3121" s="2">
        <v>7.7</v>
      </c>
      <c r="E3121" s="2">
        <v>2018.0</v>
      </c>
      <c r="F3121" s="2">
        <v>2019.0</v>
      </c>
      <c r="G3121" s="2">
        <v>6.406E7</v>
      </c>
    </row>
    <row r="3122" ht="14.25" customHeight="1">
      <c r="A3122" s="1" t="s">
        <v>2720</v>
      </c>
      <c r="B3122" s="1" t="s">
        <v>8</v>
      </c>
      <c r="C3122" s="2" t="s">
        <v>192</v>
      </c>
      <c r="D3122" s="2">
        <v>7.7</v>
      </c>
      <c r="E3122" s="2">
        <v>2018.0</v>
      </c>
      <c r="F3122" s="2">
        <v>2019.0</v>
      </c>
      <c r="G3122" s="2">
        <v>7.581E7</v>
      </c>
    </row>
    <row r="3123" ht="14.25" customHeight="1">
      <c r="A3123" s="1" t="s">
        <v>2720</v>
      </c>
      <c r="B3123" s="1" t="s">
        <v>8</v>
      </c>
      <c r="C3123" s="2" t="s">
        <v>192</v>
      </c>
      <c r="D3123" s="2">
        <v>7.7</v>
      </c>
      <c r="E3123" s="2">
        <v>2018.0</v>
      </c>
      <c r="F3123" s="2">
        <v>2019.0</v>
      </c>
      <c r="G3123" s="2">
        <v>2.775E7</v>
      </c>
    </row>
    <row r="3124" ht="14.25" customHeight="1">
      <c r="A3124" s="1" t="s">
        <v>2720</v>
      </c>
      <c r="B3124" s="1" t="s">
        <v>8</v>
      </c>
      <c r="C3124" s="2" t="s">
        <v>192</v>
      </c>
      <c r="D3124" s="2">
        <v>7.7</v>
      </c>
      <c r="E3124" s="2">
        <v>2018.0</v>
      </c>
      <c r="F3124" s="2">
        <v>2019.0</v>
      </c>
      <c r="G3124" s="2">
        <v>2.24E7</v>
      </c>
    </row>
    <row r="3125" ht="14.25" customHeight="1">
      <c r="A3125" s="1" t="s">
        <v>2720</v>
      </c>
      <c r="B3125" s="1" t="s">
        <v>8</v>
      </c>
      <c r="C3125" s="2" t="s">
        <v>192</v>
      </c>
      <c r="D3125" s="2">
        <v>7.7</v>
      </c>
      <c r="E3125" s="2">
        <v>2018.0</v>
      </c>
      <c r="F3125" s="2">
        <v>2019.0</v>
      </c>
      <c r="G3125" s="2">
        <v>1.562E7</v>
      </c>
    </row>
    <row r="3126" ht="14.25" customHeight="1">
      <c r="A3126" s="1" t="s">
        <v>2720</v>
      </c>
      <c r="B3126" s="1" t="s">
        <v>8</v>
      </c>
      <c r="C3126" s="2" t="s">
        <v>192</v>
      </c>
      <c r="D3126" s="2">
        <v>7.7</v>
      </c>
      <c r="E3126" s="2">
        <v>2018.0</v>
      </c>
      <c r="F3126" s="2">
        <v>2019.0</v>
      </c>
      <c r="G3126" s="2">
        <v>1.512E7</v>
      </c>
    </row>
    <row r="3127" ht="14.25" customHeight="1">
      <c r="A3127" s="1" t="s">
        <v>2720</v>
      </c>
      <c r="B3127" s="1" t="s">
        <v>8</v>
      </c>
      <c r="C3127" s="2" t="s">
        <v>192</v>
      </c>
      <c r="D3127" s="2">
        <v>7.7</v>
      </c>
      <c r="E3127" s="2">
        <v>2018.0</v>
      </c>
      <c r="F3127" s="2">
        <v>2019.0</v>
      </c>
      <c r="G3127" s="2">
        <v>9.207E7</v>
      </c>
    </row>
    <row r="3128" ht="14.25" customHeight="1">
      <c r="A3128" s="1" t="s">
        <v>2720</v>
      </c>
      <c r="B3128" s="1" t="s">
        <v>8</v>
      </c>
      <c r="C3128" s="2" t="s">
        <v>192</v>
      </c>
      <c r="D3128" s="2">
        <v>7.7</v>
      </c>
      <c r="E3128" s="2">
        <v>2018.0</v>
      </c>
      <c r="F3128" s="2">
        <v>2019.0</v>
      </c>
      <c r="G3128" s="2">
        <v>1.924E7</v>
      </c>
    </row>
    <row r="3129" ht="14.25" customHeight="1">
      <c r="A3129" s="1" t="s">
        <v>2720</v>
      </c>
      <c r="B3129" s="1" t="s">
        <v>8</v>
      </c>
      <c r="C3129" s="2" t="s">
        <v>192</v>
      </c>
      <c r="D3129" s="2">
        <v>7.7</v>
      </c>
      <c r="E3129" s="2">
        <v>2018.0</v>
      </c>
      <c r="F3129" s="2">
        <v>2019.0</v>
      </c>
      <c r="G3129" s="2">
        <v>1.144E7</v>
      </c>
    </row>
    <row r="3130" ht="14.25" customHeight="1">
      <c r="A3130" s="1" t="s">
        <v>2720</v>
      </c>
      <c r="B3130" s="1" t="s">
        <v>8</v>
      </c>
      <c r="C3130" s="2" t="s">
        <v>192</v>
      </c>
      <c r="D3130" s="2">
        <v>7.7</v>
      </c>
      <c r="E3130" s="2">
        <v>2018.0</v>
      </c>
      <c r="F3130" s="2">
        <v>2019.0</v>
      </c>
      <c r="G3130" s="2">
        <v>1.249E7</v>
      </c>
    </row>
    <row r="3131" ht="14.25" customHeight="1">
      <c r="A3131" s="1" t="s">
        <v>2720</v>
      </c>
      <c r="B3131" s="1" t="s">
        <v>8</v>
      </c>
      <c r="C3131" s="2" t="s">
        <v>192</v>
      </c>
      <c r="D3131" s="2">
        <v>7.7</v>
      </c>
      <c r="E3131" s="2">
        <v>2018.0</v>
      </c>
      <c r="F3131" s="2">
        <v>2019.0</v>
      </c>
      <c r="G3131" s="2">
        <v>1.707E7</v>
      </c>
    </row>
    <row r="3132" ht="14.25" customHeight="1">
      <c r="A3132" s="1" t="s">
        <v>2720</v>
      </c>
      <c r="B3132" s="1" t="s">
        <v>8</v>
      </c>
      <c r="C3132" s="2" t="s">
        <v>192</v>
      </c>
      <c r="D3132" s="2">
        <v>7.7</v>
      </c>
      <c r="E3132" s="2">
        <v>2018.0</v>
      </c>
      <c r="F3132" s="2">
        <v>2019.0</v>
      </c>
      <c r="G3132" s="2">
        <v>2.346E7</v>
      </c>
    </row>
    <row r="3133" ht="14.25" customHeight="1">
      <c r="A3133" s="1" t="s">
        <v>2720</v>
      </c>
      <c r="B3133" s="1" t="s">
        <v>8</v>
      </c>
      <c r="C3133" s="2" t="s">
        <v>192</v>
      </c>
      <c r="D3133" s="2">
        <v>7.7</v>
      </c>
      <c r="E3133" s="2">
        <v>2018.0</v>
      </c>
      <c r="F3133" s="2">
        <v>2019.0</v>
      </c>
      <c r="G3133" s="2">
        <v>1.167E7</v>
      </c>
    </row>
    <row r="3134" ht="14.25" customHeight="1">
      <c r="A3134" s="1" t="s">
        <v>2720</v>
      </c>
      <c r="B3134" s="1" t="s">
        <v>8</v>
      </c>
      <c r="C3134" s="2" t="s">
        <v>192</v>
      </c>
      <c r="D3134" s="2">
        <v>7.7</v>
      </c>
      <c r="E3134" s="2">
        <v>2018.0</v>
      </c>
      <c r="F3134" s="2">
        <v>2019.0</v>
      </c>
      <c r="G3134" s="2">
        <v>3.372E7</v>
      </c>
    </row>
    <row r="3135" ht="14.25" customHeight="1">
      <c r="A3135" s="1" t="s">
        <v>2720</v>
      </c>
      <c r="B3135" s="1" t="s">
        <v>8</v>
      </c>
      <c r="C3135" s="2" t="s">
        <v>192</v>
      </c>
      <c r="D3135" s="2">
        <v>7.7</v>
      </c>
      <c r="E3135" s="2">
        <v>2018.0</v>
      </c>
      <c r="F3135" s="2">
        <v>2019.0</v>
      </c>
      <c r="G3135" s="2">
        <v>1.552E7</v>
      </c>
    </row>
    <row r="3136" ht="14.25" customHeight="1">
      <c r="A3136" s="1" t="s">
        <v>2720</v>
      </c>
      <c r="B3136" s="1" t="s">
        <v>8</v>
      </c>
      <c r="C3136" s="2" t="s">
        <v>192</v>
      </c>
      <c r="D3136" s="2">
        <v>7.7</v>
      </c>
      <c r="E3136" s="2">
        <v>2018.0</v>
      </c>
      <c r="F3136" s="2">
        <v>2019.0</v>
      </c>
      <c r="G3136" s="2">
        <v>1.457E7</v>
      </c>
    </row>
    <row r="3137" ht="14.25" customHeight="1">
      <c r="A3137" s="1" t="s">
        <v>2720</v>
      </c>
      <c r="B3137" s="1" t="s">
        <v>8</v>
      </c>
      <c r="C3137" s="2" t="s">
        <v>192</v>
      </c>
      <c r="D3137" s="2">
        <v>7.7</v>
      </c>
      <c r="E3137" s="2">
        <v>2018.0</v>
      </c>
      <c r="F3137" s="2">
        <v>2019.0</v>
      </c>
      <c r="G3137" s="2">
        <v>5.259E7</v>
      </c>
    </row>
    <row r="3138" ht="14.25" customHeight="1">
      <c r="A3138" s="1" t="s">
        <v>2720</v>
      </c>
      <c r="B3138" s="1" t="s">
        <v>8</v>
      </c>
      <c r="C3138" s="2" t="s">
        <v>192</v>
      </c>
      <c r="D3138" s="2">
        <v>7.7</v>
      </c>
      <c r="E3138" s="2">
        <v>2018.0</v>
      </c>
      <c r="F3138" s="2">
        <v>2019.0</v>
      </c>
      <c r="G3138" s="2">
        <v>2.166E7</v>
      </c>
    </row>
    <row r="3139" ht="14.25" customHeight="1">
      <c r="A3139" s="1" t="s">
        <v>2720</v>
      </c>
      <c r="B3139" s="1" t="s">
        <v>8</v>
      </c>
      <c r="C3139" s="2" t="s">
        <v>192</v>
      </c>
      <c r="D3139" s="2">
        <v>7.7</v>
      </c>
      <c r="E3139" s="2">
        <v>2018.0</v>
      </c>
      <c r="F3139" s="2">
        <v>2019.0</v>
      </c>
      <c r="G3139" s="2">
        <v>2.091E7</v>
      </c>
    </row>
    <row r="3140" ht="14.25" customHeight="1">
      <c r="A3140" s="1" t="s">
        <v>2720</v>
      </c>
      <c r="B3140" s="1" t="s">
        <v>8</v>
      </c>
      <c r="C3140" s="2" t="s">
        <v>192</v>
      </c>
      <c r="D3140" s="2">
        <v>7.7</v>
      </c>
      <c r="E3140" s="2">
        <v>2018.0</v>
      </c>
      <c r="F3140" s="2">
        <v>2019.0</v>
      </c>
      <c r="G3140" s="2">
        <v>8.279E7</v>
      </c>
    </row>
    <row r="3141" ht="14.25" customHeight="1">
      <c r="A3141" s="1" t="s">
        <v>2720</v>
      </c>
      <c r="B3141" s="1" t="s">
        <v>8</v>
      </c>
      <c r="C3141" s="2" t="s">
        <v>192</v>
      </c>
      <c r="D3141" s="2">
        <v>7.7</v>
      </c>
      <c r="E3141" s="2">
        <v>2018.0</v>
      </c>
      <c r="F3141" s="2">
        <v>2019.0</v>
      </c>
      <c r="G3141" s="2">
        <v>2.988E7</v>
      </c>
    </row>
    <row r="3142" ht="14.25" customHeight="1">
      <c r="A3142" s="1" t="s">
        <v>2720</v>
      </c>
      <c r="B3142" s="1" t="s">
        <v>8</v>
      </c>
      <c r="C3142" s="2" t="s">
        <v>192</v>
      </c>
      <c r="D3142" s="2">
        <v>7.7</v>
      </c>
      <c r="E3142" s="2">
        <v>2018.0</v>
      </c>
      <c r="F3142" s="2">
        <v>2019.0</v>
      </c>
      <c r="G3142" s="2">
        <v>2.805E7</v>
      </c>
    </row>
    <row r="3143" ht="14.25" customHeight="1">
      <c r="A3143" s="1" t="s">
        <v>2720</v>
      </c>
      <c r="B3143" s="1" t="s">
        <v>8</v>
      </c>
      <c r="C3143" s="2" t="s">
        <v>192</v>
      </c>
      <c r="D3143" s="2">
        <v>7.7</v>
      </c>
      <c r="E3143" s="2">
        <v>2018.0</v>
      </c>
      <c r="F3143" s="2">
        <v>2019.0</v>
      </c>
      <c r="G3143" s="3">
        <v>1.79E8</v>
      </c>
    </row>
    <row r="3144" ht="14.25" customHeight="1">
      <c r="A3144" s="1" t="s">
        <v>2720</v>
      </c>
      <c r="B3144" s="1" t="s">
        <v>8</v>
      </c>
      <c r="C3144" s="2" t="s">
        <v>192</v>
      </c>
      <c r="D3144" s="2">
        <v>7.7</v>
      </c>
      <c r="E3144" s="2">
        <v>2018.0</v>
      </c>
      <c r="F3144" s="2">
        <v>2019.0</v>
      </c>
      <c r="G3144" s="2">
        <v>4.481E7</v>
      </c>
    </row>
    <row r="3145" ht="14.25" customHeight="1">
      <c r="A3145" s="1" t="s">
        <v>2720</v>
      </c>
      <c r="B3145" s="1" t="s">
        <v>8</v>
      </c>
      <c r="C3145" s="2" t="s">
        <v>192</v>
      </c>
      <c r="D3145" s="2">
        <v>7.7</v>
      </c>
      <c r="E3145" s="2">
        <v>2018.0</v>
      </c>
      <c r="F3145" s="2">
        <v>2019.0</v>
      </c>
      <c r="G3145" s="2">
        <v>3.312E7</v>
      </c>
    </row>
    <row r="3146" ht="14.25" customHeight="1">
      <c r="A3146" s="1" t="s">
        <v>2720</v>
      </c>
      <c r="B3146" s="1" t="s">
        <v>8</v>
      </c>
      <c r="C3146" s="2" t="s">
        <v>192</v>
      </c>
      <c r="D3146" s="2">
        <v>7.7</v>
      </c>
      <c r="E3146" s="2">
        <v>2018.0</v>
      </c>
      <c r="F3146" s="2">
        <v>2019.0</v>
      </c>
      <c r="G3146" s="2">
        <v>1.3312E8</v>
      </c>
    </row>
    <row r="3147" ht="14.25" customHeight="1">
      <c r="A3147" s="1" t="s">
        <v>2720</v>
      </c>
      <c r="B3147" s="1" t="s">
        <v>8</v>
      </c>
      <c r="C3147" s="2" t="s">
        <v>192</v>
      </c>
      <c r="D3147" s="2">
        <v>7.7</v>
      </c>
      <c r="E3147" s="2">
        <v>2018.0</v>
      </c>
      <c r="F3147" s="2">
        <v>2019.0</v>
      </c>
      <c r="G3147" s="2">
        <v>2.305E7</v>
      </c>
    </row>
    <row r="3148" ht="14.25" customHeight="1">
      <c r="A3148" s="1" t="s">
        <v>2721</v>
      </c>
      <c r="B3148" s="1" t="s">
        <v>20</v>
      </c>
      <c r="C3148" s="2" t="s">
        <v>1187</v>
      </c>
      <c r="D3148" s="2">
        <v>7.7</v>
      </c>
      <c r="E3148" s="2">
        <v>1985.0</v>
      </c>
      <c r="F3148" s="2" t="s">
        <v>10</v>
      </c>
      <c r="G3148" s="2" t="s">
        <v>10</v>
      </c>
    </row>
    <row r="3149" ht="14.25" customHeight="1">
      <c r="A3149" s="1" t="s">
        <v>2722</v>
      </c>
      <c r="B3149" s="1" t="s">
        <v>20</v>
      </c>
      <c r="C3149" s="2" t="s">
        <v>299</v>
      </c>
      <c r="D3149" s="2">
        <v>7.7</v>
      </c>
      <c r="E3149" s="2">
        <v>1992.0</v>
      </c>
      <c r="F3149" s="2" t="s">
        <v>10</v>
      </c>
      <c r="G3149" s="2" t="s">
        <v>10</v>
      </c>
    </row>
    <row r="3150" ht="14.25" customHeight="1">
      <c r="A3150" s="1" t="s">
        <v>2723</v>
      </c>
      <c r="B3150" s="1" t="s">
        <v>20</v>
      </c>
      <c r="C3150" s="2" t="s">
        <v>53</v>
      </c>
      <c r="D3150" s="2">
        <v>7.7</v>
      </c>
      <c r="E3150" s="2">
        <v>2017.0</v>
      </c>
      <c r="F3150" s="2">
        <v>2017.0</v>
      </c>
      <c r="G3150" s="2" t="s">
        <v>10</v>
      </c>
    </row>
    <row r="3151" ht="14.25" customHeight="1">
      <c r="A3151" s="1" t="s">
        <v>2724</v>
      </c>
      <c r="B3151" s="1" t="s">
        <v>20</v>
      </c>
      <c r="C3151" s="2" t="s">
        <v>9</v>
      </c>
      <c r="D3151" s="2">
        <v>7.7</v>
      </c>
      <c r="E3151" s="2">
        <v>2002.0</v>
      </c>
      <c r="F3151" s="2" t="s">
        <v>10</v>
      </c>
      <c r="G3151" s="2" t="s">
        <v>10</v>
      </c>
    </row>
    <row r="3152" ht="14.25" customHeight="1">
      <c r="A3152" s="1" t="s">
        <v>2725</v>
      </c>
      <c r="B3152" s="1" t="s">
        <v>20</v>
      </c>
      <c r="C3152" s="2" t="s">
        <v>1622</v>
      </c>
      <c r="D3152" s="2">
        <v>7.7</v>
      </c>
      <c r="E3152" s="2">
        <v>1982.0</v>
      </c>
      <c r="F3152" s="2" t="s">
        <v>10</v>
      </c>
      <c r="G3152" s="2" t="s">
        <v>10</v>
      </c>
    </row>
    <row r="3153" ht="14.25" customHeight="1">
      <c r="A3153" s="1" t="s">
        <v>2726</v>
      </c>
      <c r="B3153" s="1" t="s">
        <v>20</v>
      </c>
      <c r="C3153" s="2" t="s">
        <v>1622</v>
      </c>
      <c r="D3153" s="2">
        <v>7.7</v>
      </c>
      <c r="E3153" s="2">
        <v>2023.0</v>
      </c>
      <c r="F3153" s="2" t="s">
        <v>10</v>
      </c>
      <c r="G3153" s="2" t="s">
        <v>10</v>
      </c>
    </row>
    <row r="3154" ht="14.25" customHeight="1">
      <c r="A3154" s="1" t="s">
        <v>2727</v>
      </c>
      <c r="B3154" s="1" t="s">
        <v>20</v>
      </c>
      <c r="C3154" s="2" t="s">
        <v>63</v>
      </c>
      <c r="D3154" s="2">
        <v>7.7</v>
      </c>
      <c r="E3154" s="2">
        <v>2022.0</v>
      </c>
      <c r="F3154" s="2" t="s">
        <v>10</v>
      </c>
      <c r="G3154" s="2" t="s">
        <v>10</v>
      </c>
    </row>
    <row r="3155" ht="14.25" customHeight="1">
      <c r="A3155" s="1" t="s">
        <v>2728</v>
      </c>
      <c r="B3155" s="1" t="s">
        <v>20</v>
      </c>
      <c r="C3155" s="2" t="s">
        <v>32</v>
      </c>
      <c r="D3155" s="2">
        <v>7.7</v>
      </c>
      <c r="E3155" s="2">
        <v>1980.0</v>
      </c>
      <c r="F3155" s="2" t="s">
        <v>10</v>
      </c>
      <c r="G3155" s="2" t="s">
        <v>10</v>
      </c>
    </row>
    <row r="3156" ht="14.25" customHeight="1">
      <c r="A3156" s="1" t="s">
        <v>2729</v>
      </c>
      <c r="B3156" s="1" t="s">
        <v>20</v>
      </c>
      <c r="C3156" s="2" t="s">
        <v>40</v>
      </c>
      <c r="D3156" s="2">
        <v>7.7</v>
      </c>
      <c r="E3156" s="2">
        <v>2008.0</v>
      </c>
      <c r="F3156" s="2" t="s">
        <v>10</v>
      </c>
      <c r="G3156" s="2" t="s">
        <v>10</v>
      </c>
    </row>
    <row r="3157" ht="14.25" customHeight="1">
      <c r="A3157" s="1" t="s">
        <v>2730</v>
      </c>
      <c r="B3157" s="1" t="s">
        <v>20</v>
      </c>
      <c r="C3157" s="2" t="s">
        <v>18</v>
      </c>
      <c r="D3157" s="2">
        <v>7.7</v>
      </c>
      <c r="E3157" s="2">
        <v>1993.0</v>
      </c>
      <c r="F3157" s="2">
        <v>1993.0</v>
      </c>
      <c r="G3157" s="2" t="s">
        <v>10</v>
      </c>
    </row>
    <row r="3158" ht="14.25" customHeight="1">
      <c r="A3158" s="1" t="s">
        <v>2731</v>
      </c>
      <c r="B3158" s="1" t="s">
        <v>20</v>
      </c>
      <c r="C3158" s="2" t="s">
        <v>18</v>
      </c>
      <c r="D3158" s="2">
        <v>7.7</v>
      </c>
      <c r="E3158" s="2">
        <v>1993.0</v>
      </c>
      <c r="F3158" s="2">
        <v>1993.0</v>
      </c>
      <c r="G3158" s="2" t="s">
        <v>10</v>
      </c>
    </row>
    <row r="3159" ht="14.25" customHeight="1">
      <c r="A3159" s="1" t="s">
        <v>2732</v>
      </c>
      <c r="B3159" s="1" t="s">
        <v>20</v>
      </c>
      <c r="C3159" s="2" t="s">
        <v>184</v>
      </c>
      <c r="D3159" s="2">
        <v>7.7</v>
      </c>
      <c r="E3159" s="2">
        <v>2008.0</v>
      </c>
      <c r="F3159" s="2">
        <v>2008.0</v>
      </c>
      <c r="G3159" s="2" t="s">
        <v>10</v>
      </c>
    </row>
    <row r="3160" ht="14.25" customHeight="1">
      <c r="A3160" s="1" t="s">
        <v>2733</v>
      </c>
      <c r="B3160" s="1" t="s">
        <v>20</v>
      </c>
      <c r="C3160" s="2" t="s">
        <v>53</v>
      </c>
      <c r="D3160" s="2">
        <v>7.7</v>
      </c>
      <c r="E3160" s="2">
        <v>1996.0</v>
      </c>
      <c r="F3160" s="2">
        <v>1996.0</v>
      </c>
      <c r="G3160" s="2" t="s">
        <v>10</v>
      </c>
    </row>
    <row r="3161" ht="14.25" customHeight="1">
      <c r="A3161" s="1" t="s">
        <v>2734</v>
      </c>
      <c r="B3161" s="1" t="s">
        <v>20</v>
      </c>
      <c r="C3161" s="2" t="s">
        <v>187</v>
      </c>
      <c r="D3161" s="2">
        <v>7.7</v>
      </c>
      <c r="E3161" s="2">
        <v>1989.0</v>
      </c>
      <c r="F3161" s="2" t="s">
        <v>10</v>
      </c>
      <c r="G3161" s="2" t="s">
        <v>10</v>
      </c>
    </row>
    <row r="3162" ht="14.25" customHeight="1">
      <c r="A3162" s="1" t="s">
        <v>2735</v>
      </c>
      <c r="B3162" s="1" t="s">
        <v>20</v>
      </c>
      <c r="C3162" s="2" t="s">
        <v>1474</v>
      </c>
      <c r="D3162" s="2">
        <v>7.7</v>
      </c>
      <c r="E3162" s="2">
        <v>2009.0</v>
      </c>
      <c r="F3162" s="2" t="s">
        <v>10</v>
      </c>
      <c r="G3162" s="2" t="s">
        <v>10</v>
      </c>
    </row>
    <row r="3163" ht="14.25" customHeight="1">
      <c r="A3163" s="1" t="s">
        <v>2736</v>
      </c>
      <c r="B3163" s="1" t="s">
        <v>8</v>
      </c>
      <c r="C3163" s="2" t="s">
        <v>2737</v>
      </c>
      <c r="D3163" s="2">
        <v>7.7</v>
      </c>
      <c r="E3163" s="2">
        <v>2011.0</v>
      </c>
      <c r="F3163" s="2">
        <v>2019.0</v>
      </c>
      <c r="G3163" s="2" t="s">
        <v>10</v>
      </c>
    </row>
    <row r="3164" ht="14.25" customHeight="1">
      <c r="A3164" s="1" t="s">
        <v>2738</v>
      </c>
      <c r="B3164" s="1" t="s">
        <v>20</v>
      </c>
      <c r="C3164" s="2" t="s">
        <v>32</v>
      </c>
      <c r="D3164" s="2">
        <v>7.7</v>
      </c>
      <c r="E3164" s="2">
        <v>1994.0</v>
      </c>
      <c r="F3164" s="2" t="s">
        <v>10</v>
      </c>
      <c r="G3164" s="2" t="s">
        <v>10</v>
      </c>
    </row>
    <row r="3165" ht="14.25" customHeight="1">
      <c r="A3165" s="1" t="s">
        <v>2739</v>
      </c>
      <c r="B3165" s="1" t="s">
        <v>20</v>
      </c>
      <c r="C3165" s="2" t="s">
        <v>55</v>
      </c>
      <c r="D3165" s="2">
        <v>7.7</v>
      </c>
      <c r="E3165" s="2">
        <v>1988.0</v>
      </c>
      <c r="F3165" s="2" t="s">
        <v>10</v>
      </c>
      <c r="G3165" s="2" t="s">
        <v>10</v>
      </c>
    </row>
    <row r="3166" ht="14.25" customHeight="1">
      <c r="A3166" s="1" t="s">
        <v>2740</v>
      </c>
      <c r="B3166" s="1" t="s">
        <v>20</v>
      </c>
      <c r="C3166" s="2" t="s">
        <v>53</v>
      </c>
      <c r="D3166" s="2">
        <v>7.7</v>
      </c>
      <c r="E3166" s="2">
        <v>1986.0</v>
      </c>
      <c r="F3166" s="2" t="s">
        <v>10</v>
      </c>
      <c r="G3166" s="2" t="s">
        <v>10</v>
      </c>
    </row>
    <row r="3167" ht="14.25" customHeight="1">
      <c r="A3167" s="1" t="s">
        <v>2741</v>
      </c>
      <c r="B3167" s="1" t="s">
        <v>20</v>
      </c>
      <c r="C3167" s="2" t="s">
        <v>987</v>
      </c>
      <c r="D3167" s="2">
        <v>7.7</v>
      </c>
      <c r="E3167" s="2">
        <v>1999.0</v>
      </c>
      <c r="F3167" s="2" t="s">
        <v>10</v>
      </c>
      <c r="G3167" s="2" t="s">
        <v>10</v>
      </c>
    </row>
    <row r="3168" ht="14.25" customHeight="1">
      <c r="A3168" s="1" t="s">
        <v>2742</v>
      </c>
      <c r="B3168" s="1" t="s">
        <v>20</v>
      </c>
      <c r="C3168" s="2" t="s">
        <v>1316</v>
      </c>
      <c r="D3168" s="2">
        <v>7.7</v>
      </c>
      <c r="E3168" s="2">
        <v>2004.0</v>
      </c>
      <c r="F3168" s="2" t="s">
        <v>10</v>
      </c>
      <c r="G3168" s="2" t="s">
        <v>10</v>
      </c>
    </row>
    <row r="3169" ht="14.25" customHeight="1">
      <c r="A3169" s="1" t="s">
        <v>2743</v>
      </c>
      <c r="B3169" s="1" t="s">
        <v>20</v>
      </c>
      <c r="C3169" s="2" t="s">
        <v>1622</v>
      </c>
      <c r="D3169" s="2">
        <v>7.7</v>
      </c>
      <c r="E3169" s="2">
        <v>1964.0</v>
      </c>
      <c r="F3169" s="2" t="s">
        <v>10</v>
      </c>
      <c r="G3169" s="2" t="s">
        <v>10</v>
      </c>
    </row>
    <row r="3170" ht="14.25" customHeight="1">
      <c r="A3170" s="1" t="s">
        <v>2744</v>
      </c>
      <c r="B3170" s="1" t="s">
        <v>20</v>
      </c>
      <c r="C3170" s="2" t="s">
        <v>63</v>
      </c>
      <c r="D3170" s="2">
        <v>7.7</v>
      </c>
      <c r="E3170" s="2">
        <v>2002.0</v>
      </c>
      <c r="F3170" s="2" t="s">
        <v>10</v>
      </c>
      <c r="G3170" s="2" t="s">
        <v>10</v>
      </c>
    </row>
    <row r="3171" ht="14.25" customHeight="1">
      <c r="A3171" s="1" t="s">
        <v>2745</v>
      </c>
      <c r="B3171" s="1" t="s">
        <v>20</v>
      </c>
      <c r="C3171" s="2" t="s">
        <v>18</v>
      </c>
      <c r="D3171" s="2">
        <v>7.7</v>
      </c>
      <c r="E3171" s="2">
        <v>2020.0</v>
      </c>
      <c r="F3171" s="2" t="s">
        <v>10</v>
      </c>
      <c r="G3171" s="2" t="s">
        <v>10</v>
      </c>
    </row>
    <row r="3172" ht="14.25" customHeight="1">
      <c r="A3172" s="1" t="s">
        <v>2746</v>
      </c>
      <c r="B3172" s="1" t="s">
        <v>20</v>
      </c>
      <c r="C3172" s="2" t="s">
        <v>22</v>
      </c>
      <c r="D3172" s="2">
        <v>7.7</v>
      </c>
      <c r="E3172" s="2">
        <v>2020.0</v>
      </c>
      <c r="F3172" s="2">
        <v>2020.0</v>
      </c>
      <c r="G3172" s="2" t="s">
        <v>10</v>
      </c>
    </row>
    <row r="3173" ht="14.25" customHeight="1">
      <c r="A3173" s="1" t="s">
        <v>2747</v>
      </c>
      <c r="B3173" s="1" t="s">
        <v>20</v>
      </c>
      <c r="C3173" s="2" t="s">
        <v>766</v>
      </c>
      <c r="D3173" s="2">
        <v>7.7</v>
      </c>
      <c r="E3173" s="2">
        <v>1987.0</v>
      </c>
      <c r="F3173" s="2" t="s">
        <v>10</v>
      </c>
      <c r="G3173" s="2" t="s">
        <v>10</v>
      </c>
    </row>
    <row r="3174" ht="14.25" customHeight="1">
      <c r="A3174" s="1" t="s">
        <v>2748</v>
      </c>
      <c r="B3174" s="1" t="s">
        <v>8</v>
      </c>
      <c r="C3174" s="2" t="s">
        <v>92</v>
      </c>
      <c r="D3174" s="2">
        <v>7.7</v>
      </c>
      <c r="E3174" s="2">
        <v>2022.0</v>
      </c>
      <c r="F3174" s="2" t="s">
        <v>10</v>
      </c>
      <c r="G3174" s="2">
        <v>1.222E7</v>
      </c>
    </row>
    <row r="3175" ht="14.25" customHeight="1">
      <c r="A3175" s="1" t="s">
        <v>2748</v>
      </c>
      <c r="B3175" s="1" t="s">
        <v>8</v>
      </c>
      <c r="C3175" s="2" t="s">
        <v>92</v>
      </c>
      <c r="D3175" s="2">
        <v>7.7</v>
      </c>
      <c r="E3175" s="2">
        <v>2022.0</v>
      </c>
      <c r="F3175" s="2" t="s">
        <v>10</v>
      </c>
      <c r="G3175" s="2">
        <v>1.959E7</v>
      </c>
    </row>
    <row r="3176" ht="14.25" customHeight="1">
      <c r="A3176" s="1" t="s">
        <v>2748</v>
      </c>
      <c r="B3176" s="1" t="s">
        <v>8</v>
      </c>
      <c r="C3176" s="2" t="s">
        <v>92</v>
      </c>
      <c r="D3176" s="2">
        <v>7.7</v>
      </c>
      <c r="E3176" s="2">
        <v>2022.0</v>
      </c>
      <c r="F3176" s="2" t="s">
        <v>10</v>
      </c>
      <c r="G3176" s="2">
        <v>3.332E7</v>
      </c>
    </row>
    <row r="3177" ht="14.25" customHeight="1">
      <c r="A3177" s="1" t="s">
        <v>2748</v>
      </c>
      <c r="B3177" s="1" t="s">
        <v>8</v>
      </c>
      <c r="C3177" s="2" t="s">
        <v>92</v>
      </c>
      <c r="D3177" s="2">
        <v>7.7</v>
      </c>
      <c r="E3177" s="2">
        <v>2022.0</v>
      </c>
      <c r="F3177" s="2" t="s">
        <v>10</v>
      </c>
      <c r="G3177" s="2">
        <v>5.379E7</v>
      </c>
    </row>
    <row r="3178" ht="14.25" customHeight="1">
      <c r="A3178" s="1" t="s">
        <v>2748</v>
      </c>
      <c r="B3178" s="1" t="s">
        <v>8</v>
      </c>
      <c r="C3178" s="2" t="s">
        <v>92</v>
      </c>
      <c r="D3178" s="2">
        <v>7.7</v>
      </c>
      <c r="E3178" s="2">
        <v>2022.0</v>
      </c>
      <c r="F3178" s="2" t="s">
        <v>10</v>
      </c>
      <c r="G3178" s="2">
        <v>7.724E7</v>
      </c>
    </row>
    <row r="3179" ht="14.25" customHeight="1">
      <c r="A3179" s="1" t="s">
        <v>2748</v>
      </c>
      <c r="B3179" s="1" t="s">
        <v>8</v>
      </c>
      <c r="C3179" s="2" t="s">
        <v>92</v>
      </c>
      <c r="D3179" s="2">
        <v>7.7</v>
      </c>
      <c r="E3179" s="2">
        <v>2022.0</v>
      </c>
      <c r="F3179" s="2" t="s">
        <v>10</v>
      </c>
      <c r="G3179" s="2">
        <v>1.275E8</v>
      </c>
    </row>
    <row r="3180" ht="14.25" customHeight="1">
      <c r="A3180" s="1" t="s">
        <v>2748</v>
      </c>
      <c r="B3180" s="1" t="s">
        <v>8</v>
      </c>
      <c r="C3180" s="2" t="s">
        <v>92</v>
      </c>
      <c r="D3180" s="2">
        <v>7.7</v>
      </c>
      <c r="E3180" s="2">
        <v>2022.0</v>
      </c>
      <c r="F3180" s="2" t="s">
        <v>10</v>
      </c>
      <c r="G3180" s="2">
        <v>6.948E7</v>
      </c>
    </row>
    <row r="3181" ht="14.25" customHeight="1">
      <c r="A3181" s="1" t="s">
        <v>2749</v>
      </c>
      <c r="B3181" s="1" t="s">
        <v>20</v>
      </c>
      <c r="C3181" s="2" t="s">
        <v>291</v>
      </c>
      <c r="D3181" s="2">
        <v>7.7</v>
      </c>
      <c r="E3181" s="2">
        <v>1971.0</v>
      </c>
      <c r="F3181" s="2" t="s">
        <v>10</v>
      </c>
      <c r="G3181" s="2" t="s">
        <v>10</v>
      </c>
    </row>
    <row r="3182" ht="14.25" customHeight="1">
      <c r="A3182" s="1" t="s">
        <v>2750</v>
      </c>
      <c r="B3182" s="1" t="s">
        <v>20</v>
      </c>
      <c r="C3182" s="2" t="s">
        <v>18</v>
      </c>
      <c r="D3182" s="2">
        <v>7.7</v>
      </c>
      <c r="E3182" s="2">
        <v>2018.0</v>
      </c>
      <c r="F3182" s="2">
        <v>2018.0</v>
      </c>
      <c r="G3182" s="2" t="s">
        <v>10</v>
      </c>
    </row>
    <row r="3183" ht="14.25" customHeight="1">
      <c r="A3183" s="1" t="s">
        <v>2751</v>
      </c>
      <c r="B3183" s="1" t="s">
        <v>8</v>
      </c>
      <c r="C3183" s="2" t="s">
        <v>287</v>
      </c>
      <c r="D3183" s="2">
        <v>7.7</v>
      </c>
      <c r="E3183" s="2">
        <v>2011.0</v>
      </c>
      <c r="F3183" s="2" t="s">
        <v>10</v>
      </c>
      <c r="G3183" s="2" t="s">
        <v>10</v>
      </c>
    </row>
    <row r="3184" ht="14.25" customHeight="1">
      <c r="A3184" s="1" t="s">
        <v>2752</v>
      </c>
      <c r="B3184" s="1" t="s">
        <v>20</v>
      </c>
      <c r="C3184" s="2" t="s">
        <v>154</v>
      </c>
      <c r="D3184" s="2">
        <v>7.7</v>
      </c>
      <c r="E3184" s="2">
        <v>2013.0</v>
      </c>
      <c r="F3184" s="2" t="s">
        <v>10</v>
      </c>
      <c r="G3184" s="2" t="s">
        <v>10</v>
      </c>
    </row>
    <row r="3185" ht="14.25" customHeight="1">
      <c r="A3185" s="1" t="s">
        <v>2753</v>
      </c>
      <c r="B3185" s="1" t="s">
        <v>20</v>
      </c>
      <c r="C3185" s="2" t="s">
        <v>9</v>
      </c>
      <c r="D3185" s="2">
        <v>7.7</v>
      </c>
      <c r="E3185" s="2">
        <v>2023.0</v>
      </c>
      <c r="F3185" s="2" t="s">
        <v>10</v>
      </c>
      <c r="G3185" s="2" t="s">
        <v>10</v>
      </c>
    </row>
    <row r="3186" ht="14.25" customHeight="1">
      <c r="A3186" s="1" t="s">
        <v>2754</v>
      </c>
      <c r="B3186" s="1" t="s">
        <v>20</v>
      </c>
      <c r="C3186" s="2" t="s">
        <v>311</v>
      </c>
      <c r="D3186" s="2">
        <v>7.7</v>
      </c>
      <c r="E3186" s="2">
        <v>2004.0</v>
      </c>
      <c r="F3186" s="2">
        <v>2021.0</v>
      </c>
      <c r="G3186" s="2" t="s">
        <v>10</v>
      </c>
    </row>
    <row r="3187" ht="14.25" customHeight="1">
      <c r="A3187" s="1" t="s">
        <v>2755</v>
      </c>
      <c r="B3187" s="1" t="s">
        <v>20</v>
      </c>
      <c r="C3187" s="2" t="s">
        <v>34</v>
      </c>
      <c r="D3187" s="2">
        <v>7.7</v>
      </c>
      <c r="E3187" s="2">
        <v>2023.0</v>
      </c>
      <c r="F3187" s="2" t="s">
        <v>10</v>
      </c>
      <c r="G3187" s="2" t="s">
        <v>10</v>
      </c>
    </row>
    <row r="3188" ht="14.25" customHeight="1">
      <c r="A3188" s="1" t="s">
        <v>2756</v>
      </c>
      <c r="B3188" s="1" t="s">
        <v>8</v>
      </c>
      <c r="C3188" s="2" t="s">
        <v>169</v>
      </c>
      <c r="D3188" s="2">
        <v>7.7</v>
      </c>
      <c r="E3188" s="2">
        <v>2024.0</v>
      </c>
      <c r="F3188" s="2" t="s">
        <v>10</v>
      </c>
      <c r="G3188" s="2" t="s">
        <v>10</v>
      </c>
    </row>
    <row r="3189" ht="14.25" customHeight="1">
      <c r="A3189" s="1" t="s">
        <v>2757</v>
      </c>
      <c r="B3189" s="1" t="s">
        <v>20</v>
      </c>
      <c r="C3189" s="2" t="s">
        <v>2758</v>
      </c>
      <c r="D3189" s="2">
        <v>7.7</v>
      </c>
      <c r="E3189" s="2">
        <v>1974.0</v>
      </c>
      <c r="F3189" s="2" t="s">
        <v>10</v>
      </c>
      <c r="G3189" s="2" t="s">
        <v>10</v>
      </c>
    </row>
    <row r="3190" ht="14.25" customHeight="1">
      <c r="A3190" s="1" t="s">
        <v>2759</v>
      </c>
      <c r="B3190" s="1" t="s">
        <v>20</v>
      </c>
      <c r="C3190" s="2" t="s">
        <v>452</v>
      </c>
      <c r="D3190" s="2">
        <v>7.7</v>
      </c>
      <c r="E3190" s="2">
        <v>2019.0</v>
      </c>
      <c r="F3190" s="2" t="s">
        <v>10</v>
      </c>
      <c r="G3190" s="2" t="s">
        <v>10</v>
      </c>
    </row>
    <row r="3191" ht="14.25" customHeight="1">
      <c r="A3191" s="1" t="s">
        <v>2760</v>
      </c>
      <c r="B3191" s="1" t="s">
        <v>20</v>
      </c>
      <c r="C3191" s="2" t="s">
        <v>187</v>
      </c>
      <c r="D3191" s="2">
        <v>7.7</v>
      </c>
      <c r="E3191" s="2">
        <v>2003.0</v>
      </c>
      <c r="F3191" s="2" t="s">
        <v>10</v>
      </c>
      <c r="G3191" s="2" t="s">
        <v>10</v>
      </c>
    </row>
    <row r="3192" ht="14.25" customHeight="1">
      <c r="A3192" s="1" t="s">
        <v>2761</v>
      </c>
      <c r="B3192" s="1" t="s">
        <v>20</v>
      </c>
      <c r="C3192" s="2" t="s">
        <v>588</v>
      </c>
      <c r="D3192" s="2">
        <v>7.7</v>
      </c>
      <c r="E3192" s="2">
        <v>2004.0</v>
      </c>
      <c r="F3192" s="2">
        <v>2004.0</v>
      </c>
      <c r="G3192" s="2">
        <v>1800000.0</v>
      </c>
    </row>
    <row r="3193" ht="14.25" customHeight="1">
      <c r="A3193" s="1" t="s">
        <v>2761</v>
      </c>
      <c r="B3193" s="1" t="s">
        <v>20</v>
      </c>
      <c r="C3193" s="2" t="s">
        <v>588</v>
      </c>
      <c r="D3193" s="2">
        <v>7.7</v>
      </c>
      <c r="E3193" s="2">
        <v>2004.0</v>
      </c>
      <c r="F3193" s="2">
        <v>2004.0</v>
      </c>
      <c r="G3193" s="2">
        <v>3250000.0</v>
      </c>
    </row>
    <row r="3194" ht="14.25" customHeight="1">
      <c r="A3194" s="1" t="s">
        <v>2762</v>
      </c>
      <c r="B3194" s="1" t="s">
        <v>8</v>
      </c>
      <c r="C3194" s="2" t="s">
        <v>92</v>
      </c>
      <c r="D3194" s="2">
        <v>7.7</v>
      </c>
      <c r="E3194" s="2">
        <v>2021.0</v>
      </c>
      <c r="F3194" s="2">
        <v>2021.0</v>
      </c>
      <c r="G3194" s="2">
        <v>2.094E7</v>
      </c>
    </row>
    <row r="3195" ht="14.25" customHeight="1">
      <c r="A3195" s="1" t="s">
        <v>2762</v>
      </c>
      <c r="B3195" s="1" t="s">
        <v>8</v>
      </c>
      <c r="C3195" s="2" t="s">
        <v>92</v>
      </c>
      <c r="D3195" s="2">
        <v>7.7</v>
      </c>
      <c r="E3195" s="2">
        <v>2021.0</v>
      </c>
      <c r="F3195" s="2">
        <v>2021.0</v>
      </c>
      <c r="G3195" s="2">
        <v>2.902E7</v>
      </c>
    </row>
    <row r="3196" ht="14.25" customHeight="1">
      <c r="A3196" s="1" t="s">
        <v>2762</v>
      </c>
      <c r="B3196" s="1" t="s">
        <v>8</v>
      </c>
      <c r="C3196" s="2" t="s">
        <v>92</v>
      </c>
      <c r="D3196" s="2">
        <v>7.7</v>
      </c>
      <c r="E3196" s="2">
        <v>2021.0</v>
      </c>
      <c r="F3196" s="2">
        <v>2021.0</v>
      </c>
      <c r="G3196" s="2">
        <v>5.912E7</v>
      </c>
    </row>
    <row r="3197" ht="14.25" customHeight="1">
      <c r="A3197" s="1" t="s">
        <v>2762</v>
      </c>
      <c r="B3197" s="1" t="s">
        <v>8</v>
      </c>
      <c r="C3197" s="2" t="s">
        <v>92</v>
      </c>
      <c r="D3197" s="2">
        <v>7.7</v>
      </c>
      <c r="E3197" s="2">
        <v>2021.0</v>
      </c>
      <c r="F3197" s="2">
        <v>2021.0</v>
      </c>
      <c r="G3197" s="2">
        <v>3.32E7</v>
      </c>
    </row>
    <row r="3198" ht="14.25" customHeight="1">
      <c r="A3198" s="1" t="s">
        <v>2763</v>
      </c>
      <c r="B3198" s="1" t="s">
        <v>20</v>
      </c>
      <c r="C3198" s="2" t="s">
        <v>34</v>
      </c>
      <c r="D3198" s="2">
        <v>7.7</v>
      </c>
      <c r="E3198" s="2">
        <v>2002.0</v>
      </c>
      <c r="F3198" s="2" t="s">
        <v>10</v>
      </c>
      <c r="G3198" s="2" t="s">
        <v>10</v>
      </c>
    </row>
    <row r="3199" ht="14.25" customHeight="1">
      <c r="A3199" s="1" t="s">
        <v>2764</v>
      </c>
      <c r="B3199" s="1" t="s">
        <v>20</v>
      </c>
      <c r="C3199" s="2" t="s">
        <v>452</v>
      </c>
      <c r="D3199" s="2">
        <v>7.7</v>
      </c>
      <c r="E3199" s="2">
        <v>2000.0</v>
      </c>
      <c r="F3199" s="2">
        <v>2000.0</v>
      </c>
      <c r="G3199" s="2" t="s">
        <v>10</v>
      </c>
    </row>
    <row r="3200" ht="14.25" customHeight="1">
      <c r="A3200" s="1" t="s">
        <v>2765</v>
      </c>
      <c r="B3200" s="1" t="s">
        <v>20</v>
      </c>
      <c r="C3200" s="2" t="s">
        <v>9</v>
      </c>
      <c r="D3200" s="2">
        <v>7.7</v>
      </c>
      <c r="E3200" s="2">
        <v>1990.0</v>
      </c>
      <c r="F3200" s="2" t="s">
        <v>10</v>
      </c>
      <c r="G3200" s="2" t="s">
        <v>10</v>
      </c>
    </row>
    <row r="3201" ht="14.25" customHeight="1">
      <c r="A3201" s="1" t="s">
        <v>2766</v>
      </c>
      <c r="B3201" s="1" t="s">
        <v>20</v>
      </c>
      <c r="C3201" s="2" t="s">
        <v>25</v>
      </c>
      <c r="D3201" s="2">
        <v>7.7</v>
      </c>
      <c r="E3201" s="2">
        <v>2016.0</v>
      </c>
      <c r="F3201" s="2" t="s">
        <v>10</v>
      </c>
      <c r="G3201" s="2" t="s">
        <v>10</v>
      </c>
    </row>
    <row r="3202" ht="14.25" customHeight="1">
      <c r="A3202" s="1" t="s">
        <v>2767</v>
      </c>
      <c r="B3202" s="1" t="s">
        <v>20</v>
      </c>
      <c r="C3202" s="2" t="s">
        <v>63</v>
      </c>
      <c r="D3202" s="2">
        <v>7.7</v>
      </c>
      <c r="E3202" s="2">
        <v>2015.0</v>
      </c>
      <c r="F3202" s="2" t="s">
        <v>10</v>
      </c>
      <c r="G3202" s="2" t="s">
        <v>10</v>
      </c>
    </row>
    <row r="3203" ht="14.25" customHeight="1">
      <c r="A3203" s="1" t="s">
        <v>2768</v>
      </c>
      <c r="B3203" s="1" t="s">
        <v>20</v>
      </c>
      <c r="C3203" s="2" t="s">
        <v>69</v>
      </c>
      <c r="D3203" s="2">
        <v>7.7</v>
      </c>
      <c r="E3203" s="2">
        <v>1971.0</v>
      </c>
      <c r="F3203" s="2" t="s">
        <v>10</v>
      </c>
      <c r="G3203" s="2" t="s">
        <v>10</v>
      </c>
    </row>
    <row r="3204" ht="14.25" customHeight="1">
      <c r="A3204" s="1" t="s">
        <v>2769</v>
      </c>
      <c r="B3204" s="1" t="s">
        <v>20</v>
      </c>
      <c r="C3204" s="2" t="s">
        <v>40</v>
      </c>
      <c r="D3204" s="2">
        <v>7.7</v>
      </c>
      <c r="E3204" s="2">
        <v>1973.0</v>
      </c>
      <c r="F3204" s="2" t="s">
        <v>10</v>
      </c>
      <c r="G3204" s="2" t="s">
        <v>10</v>
      </c>
    </row>
    <row r="3205" ht="14.25" customHeight="1">
      <c r="A3205" s="1" t="s">
        <v>2770</v>
      </c>
      <c r="B3205" s="1" t="s">
        <v>20</v>
      </c>
      <c r="C3205" s="2" t="s">
        <v>184</v>
      </c>
      <c r="D3205" s="2">
        <v>7.7</v>
      </c>
      <c r="E3205" s="2">
        <v>1987.0</v>
      </c>
      <c r="F3205" s="2" t="s">
        <v>10</v>
      </c>
      <c r="G3205" s="2" t="s">
        <v>10</v>
      </c>
    </row>
    <row r="3206" ht="14.25" customHeight="1">
      <c r="A3206" s="1" t="s">
        <v>2771</v>
      </c>
      <c r="B3206" s="1" t="s">
        <v>20</v>
      </c>
      <c r="C3206" s="2" t="s">
        <v>151</v>
      </c>
      <c r="D3206" s="2">
        <v>7.7</v>
      </c>
      <c r="E3206" s="2">
        <v>1982.0</v>
      </c>
      <c r="F3206" s="2" t="s">
        <v>10</v>
      </c>
      <c r="G3206" s="2" t="s">
        <v>10</v>
      </c>
    </row>
    <row r="3207" ht="14.25" customHeight="1">
      <c r="A3207" s="1" t="s">
        <v>2772</v>
      </c>
      <c r="B3207" s="1" t="s">
        <v>20</v>
      </c>
      <c r="C3207" s="2" t="s">
        <v>18</v>
      </c>
      <c r="D3207" s="2">
        <v>7.7</v>
      </c>
      <c r="E3207" s="2">
        <v>2001.0</v>
      </c>
      <c r="F3207" s="2" t="s">
        <v>10</v>
      </c>
      <c r="G3207" s="2" t="s">
        <v>10</v>
      </c>
    </row>
    <row r="3208" ht="14.25" customHeight="1">
      <c r="A3208" s="1" t="s">
        <v>2773</v>
      </c>
      <c r="B3208" s="1" t="s">
        <v>20</v>
      </c>
      <c r="C3208" s="2" t="s">
        <v>36</v>
      </c>
      <c r="D3208" s="2">
        <v>7.7</v>
      </c>
      <c r="E3208" s="2">
        <v>2006.0</v>
      </c>
      <c r="F3208" s="2" t="s">
        <v>10</v>
      </c>
      <c r="G3208" s="2" t="s">
        <v>10</v>
      </c>
    </row>
    <row r="3209" ht="14.25" customHeight="1">
      <c r="A3209" s="1" t="s">
        <v>2774</v>
      </c>
      <c r="B3209" s="1" t="s">
        <v>20</v>
      </c>
      <c r="C3209" s="2" t="s">
        <v>154</v>
      </c>
      <c r="D3209" s="2">
        <v>7.7</v>
      </c>
      <c r="E3209" s="2">
        <v>1995.0</v>
      </c>
      <c r="F3209" s="2" t="s">
        <v>10</v>
      </c>
      <c r="G3209" s="2" t="s">
        <v>10</v>
      </c>
    </row>
    <row r="3210" ht="14.25" customHeight="1">
      <c r="A3210" s="1" t="s">
        <v>2775</v>
      </c>
      <c r="B3210" s="1" t="s">
        <v>20</v>
      </c>
      <c r="C3210" s="2" t="s">
        <v>468</v>
      </c>
      <c r="D3210" s="2">
        <v>7.7</v>
      </c>
      <c r="E3210" s="2">
        <v>1974.0</v>
      </c>
      <c r="F3210" s="2" t="s">
        <v>10</v>
      </c>
      <c r="G3210" s="2" t="s">
        <v>10</v>
      </c>
    </row>
    <row r="3211" ht="14.25" customHeight="1">
      <c r="A3211" s="1" t="s">
        <v>2776</v>
      </c>
      <c r="B3211" s="1" t="s">
        <v>20</v>
      </c>
      <c r="C3211" s="2" t="s">
        <v>18</v>
      </c>
      <c r="D3211" s="2">
        <v>7.7</v>
      </c>
      <c r="E3211" s="2">
        <v>2013.0</v>
      </c>
      <c r="F3211" s="2" t="s">
        <v>10</v>
      </c>
      <c r="G3211" s="2" t="s">
        <v>10</v>
      </c>
    </row>
    <row r="3212" ht="14.25" customHeight="1">
      <c r="A3212" s="1" t="s">
        <v>2777</v>
      </c>
      <c r="B3212" s="1" t="s">
        <v>8</v>
      </c>
      <c r="C3212" s="2" t="s">
        <v>32</v>
      </c>
      <c r="D3212" s="2">
        <v>7.7</v>
      </c>
      <c r="E3212" s="2">
        <v>2017.0</v>
      </c>
      <c r="F3212" s="2" t="s">
        <v>10</v>
      </c>
      <c r="G3212" s="2">
        <v>1.16E7</v>
      </c>
    </row>
    <row r="3213" ht="14.25" customHeight="1">
      <c r="A3213" s="1" t="s">
        <v>2777</v>
      </c>
      <c r="B3213" s="1" t="s">
        <v>8</v>
      </c>
      <c r="C3213" s="2" t="s">
        <v>32</v>
      </c>
      <c r="D3213" s="2">
        <v>7.7</v>
      </c>
      <c r="E3213" s="2">
        <v>2017.0</v>
      </c>
      <c r="F3213" s="2" t="s">
        <v>10</v>
      </c>
      <c r="G3213" s="2">
        <v>1.39E7</v>
      </c>
    </row>
    <row r="3214" ht="14.25" customHeight="1">
      <c r="A3214" s="1" t="s">
        <v>2777</v>
      </c>
      <c r="B3214" s="1" t="s">
        <v>8</v>
      </c>
      <c r="C3214" s="2" t="s">
        <v>32</v>
      </c>
      <c r="D3214" s="2">
        <v>7.7</v>
      </c>
      <c r="E3214" s="2">
        <v>2017.0</v>
      </c>
      <c r="F3214" s="2" t="s">
        <v>10</v>
      </c>
      <c r="G3214" s="2">
        <v>1.03E7</v>
      </c>
    </row>
    <row r="3215" ht="14.25" customHeight="1">
      <c r="A3215" s="1" t="s">
        <v>2777</v>
      </c>
      <c r="B3215" s="1" t="s">
        <v>8</v>
      </c>
      <c r="C3215" s="2" t="s">
        <v>32</v>
      </c>
      <c r="D3215" s="2">
        <v>7.7</v>
      </c>
      <c r="E3215" s="2">
        <v>2017.0</v>
      </c>
      <c r="F3215" s="2" t="s">
        <v>10</v>
      </c>
      <c r="G3215" s="2">
        <v>1.93E7</v>
      </c>
    </row>
    <row r="3216" ht="14.25" customHeight="1">
      <c r="A3216" s="1" t="s">
        <v>2777</v>
      </c>
      <c r="B3216" s="1" t="s">
        <v>8</v>
      </c>
      <c r="C3216" s="2" t="s">
        <v>32</v>
      </c>
      <c r="D3216" s="2">
        <v>7.7</v>
      </c>
      <c r="E3216" s="2">
        <v>2017.0</v>
      </c>
      <c r="F3216" s="2" t="s">
        <v>10</v>
      </c>
      <c r="G3216" s="2">
        <v>1.21E7</v>
      </c>
    </row>
    <row r="3217" ht="14.25" customHeight="1">
      <c r="A3217" s="1" t="s">
        <v>2777</v>
      </c>
      <c r="B3217" s="1" t="s">
        <v>8</v>
      </c>
      <c r="C3217" s="2" t="s">
        <v>32</v>
      </c>
      <c r="D3217" s="2">
        <v>7.7</v>
      </c>
      <c r="E3217" s="2">
        <v>2017.0</v>
      </c>
      <c r="F3217" s="2" t="s">
        <v>10</v>
      </c>
      <c r="G3217" s="3">
        <v>1.5E7</v>
      </c>
    </row>
    <row r="3218" ht="14.25" customHeight="1">
      <c r="A3218" s="1" t="s">
        <v>2778</v>
      </c>
      <c r="B3218" s="1" t="s">
        <v>20</v>
      </c>
      <c r="C3218" s="2" t="s">
        <v>1142</v>
      </c>
      <c r="D3218" s="2">
        <v>7.7</v>
      </c>
      <c r="E3218" s="2">
        <v>1967.0</v>
      </c>
      <c r="F3218" s="2">
        <v>1967.0</v>
      </c>
      <c r="G3218" s="2" t="s">
        <v>10</v>
      </c>
    </row>
    <row r="3219" ht="14.25" customHeight="1">
      <c r="A3219" s="1" t="s">
        <v>2779</v>
      </c>
      <c r="B3219" s="1" t="s">
        <v>20</v>
      </c>
      <c r="C3219" s="2" t="s">
        <v>468</v>
      </c>
      <c r="D3219" s="2">
        <v>7.7</v>
      </c>
      <c r="E3219" s="2">
        <v>1986.0</v>
      </c>
      <c r="F3219" s="2" t="s">
        <v>10</v>
      </c>
      <c r="G3219" s="2" t="s">
        <v>10</v>
      </c>
    </row>
    <row r="3220" ht="14.25" customHeight="1">
      <c r="A3220" s="1" t="s">
        <v>2780</v>
      </c>
      <c r="B3220" s="1" t="s">
        <v>20</v>
      </c>
      <c r="C3220" s="2" t="s">
        <v>53</v>
      </c>
      <c r="D3220" s="2">
        <v>7.7</v>
      </c>
      <c r="E3220" s="2">
        <v>1992.0</v>
      </c>
      <c r="F3220" s="2" t="s">
        <v>10</v>
      </c>
      <c r="G3220" s="2" t="s">
        <v>10</v>
      </c>
    </row>
    <row r="3221" ht="14.25" customHeight="1">
      <c r="A3221" s="1" t="s">
        <v>2781</v>
      </c>
      <c r="B3221" s="1" t="s">
        <v>8</v>
      </c>
      <c r="C3221" s="2" t="s">
        <v>845</v>
      </c>
      <c r="D3221" s="2">
        <v>7.7</v>
      </c>
      <c r="E3221" s="2">
        <v>2023.0</v>
      </c>
      <c r="F3221" s="2" t="s">
        <v>10</v>
      </c>
      <c r="G3221" s="2" t="s">
        <v>10</v>
      </c>
    </row>
    <row r="3222" ht="14.25" customHeight="1">
      <c r="A3222" s="1" t="s">
        <v>2782</v>
      </c>
      <c r="B3222" s="1" t="s">
        <v>20</v>
      </c>
      <c r="C3222" s="2" t="s">
        <v>80</v>
      </c>
      <c r="D3222" s="2">
        <v>7.7</v>
      </c>
      <c r="E3222" s="2">
        <v>1987.0</v>
      </c>
      <c r="F3222" s="2" t="s">
        <v>10</v>
      </c>
      <c r="G3222" s="2" t="s">
        <v>10</v>
      </c>
    </row>
    <row r="3223" ht="14.25" customHeight="1">
      <c r="A3223" s="1" t="s">
        <v>2783</v>
      </c>
      <c r="B3223" s="1" t="s">
        <v>8</v>
      </c>
      <c r="C3223" s="2" t="s">
        <v>1395</v>
      </c>
      <c r="D3223" s="2">
        <v>7.7</v>
      </c>
      <c r="E3223" s="2">
        <v>2019.0</v>
      </c>
      <c r="F3223" s="2">
        <v>2019.0</v>
      </c>
      <c r="G3223" s="2" t="s">
        <v>10</v>
      </c>
    </row>
    <row r="3224" ht="14.25" customHeight="1">
      <c r="A3224" s="1" t="s">
        <v>2784</v>
      </c>
      <c r="B3224" s="1" t="s">
        <v>20</v>
      </c>
      <c r="C3224" s="2" t="s">
        <v>55</v>
      </c>
      <c r="D3224" s="2">
        <v>7.7</v>
      </c>
      <c r="E3224" s="2">
        <v>1992.0</v>
      </c>
      <c r="F3224" s="2" t="s">
        <v>10</v>
      </c>
      <c r="G3224" s="2" t="s">
        <v>10</v>
      </c>
    </row>
    <row r="3225" ht="14.25" customHeight="1">
      <c r="A3225" s="1" t="s">
        <v>2785</v>
      </c>
      <c r="B3225" s="1" t="s">
        <v>20</v>
      </c>
      <c r="C3225" s="2" t="s">
        <v>1637</v>
      </c>
      <c r="D3225" s="2">
        <v>7.7</v>
      </c>
      <c r="E3225" s="2">
        <v>1940.0</v>
      </c>
      <c r="F3225" s="2" t="s">
        <v>10</v>
      </c>
      <c r="G3225" s="2" t="s">
        <v>10</v>
      </c>
    </row>
    <row r="3226" ht="14.25" customHeight="1">
      <c r="A3226" s="1" t="s">
        <v>2786</v>
      </c>
      <c r="B3226" s="1" t="s">
        <v>20</v>
      </c>
      <c r="C3226" s="2" t="s">
        <v>187</v>
      </c>
      <c r="D3226" s="2">
        <v>7.7</v>
      </c>
      <c r="E3226" s="2">
        <v>2021.0</v>
      </c>
      <c r="F3226" s="2" t="s">
        <v>10</v>
      </c>
      <c r="G3226" s="2" t="s">
        <v>10</v>
      </c>
    </row>
    <row r="3227" ht="14.25" customHeight="1">
      <c r="A3227" s="1" t="s">
        <v>2787</v>
      </c>
      <c r="B3227" s="1" t="s">
        <v>20</v>
      </c>
      <c r="C3227" s="2" t="s">
        <v>825</v>
      </c>
      <c r="D3227" s="2">
        <v>7.7</v>
      </c>
      <c r="E3227" s="2">
        <v>2004.0</v>
      </c>
      <c r="F3227" s="2" t="s">
        <v>10</v>
      </c>
      <c r="G3227" s="2" t="s">
        <v>10</v>
      </c>
    </row>
    <row r="3228" ht="14.25" customHeight="1">
      <c r="A3228" s="1" t="s">
        <v>2788</v>
      </c>
      <c r="B3228" s="1" t="s">
        <v>20</v>
      </c>
      <c r="C3228" s="2" t="s">
        <v>34</v>
      </c>
      <c r="D3228" s="2">
        <v>7.7</v>
      </c>
      <c r="E3228" s="2">
        <v>1960.0</v>
      </c>
      <c r="F3228" s="2" t="s">
        <v>10</v>
      </c>
      <c r="G3228" s="2" t="s">
        <v>10</v>
      </c>
    </row>
    <row r="3229" ht="14.25" customHeight="1">
      <c r="A3229" s="1" t="s">
        <v>2789</v>
      </c>
      <c r="B3229" s="1" t="s">
        <v>20</v>
      </c>
      <c r="C3229" s="2" t="s">
        <v>80</v>
      </c>
      <c r="D3229" s="2">
        <v>7.7</v>
      </c>
      <c r="E3229" s="2">
        <v>1992.0</v>
      </c>
      <c r="F3229" s="2" t="s">
        <v>10</v>
      </c>
      <c r="G3229" s="2" t="s">
        <v>10</v>
      </c>
    </row>
    <row r="3230" ht="14.25" customHeight="1">
      <c r="A3230" s="1" t="s">
        <v>2790</v>
      </c>
      <c r="B3230" s="1" t="s">
        <v>8</v>
      </c>
      <c r="C3230" s="2" t="s">
        <v>476</v>
      </c>
      <c r="D3230" s="2">
        <v>7.7</v>
      </c>
      <c r="E3230" s="2">
        <v>2020.0</v>
      </c>
      <c r="F3230" s="2">
        <v>2020.0</v>
      </c>
      <c r="G3230" s="2">
        <v>1.568E7</v>
      </c>
    </row>
    <row r="3231" ht="14.25" customHeight="1">
      <c r="A3231" s="1" t="s">
        <v>2790</v>
      </c>
      <c r="B3231" s="1" t="s">
        <v>8</v>
      </c>
      <c r="C3231" s="2" t="s">
        <v>476</v>
      </c>
      <c r="D3231" s="2">
        <v>7.7</v>
      </c>
      <c r="E3231" s="2">
        <v>2020.0</v>
      </c>
      <c r="F3231" s="2">
        <v>2020.0</v>
      </c>
      <c r="G3231" s="2">
        <v>2.322E7</v>
      </c>
    </row>
    <row r="3232" ht="14.25" customHeight="1">
      <c r="A3232" s="1" t="s">
        <v>2790</v>
      </c>
      <c r="B3232" s="1" t="s">
        <v>8</v>
      </c>
      <c r="C3232" s="2" t="s">
        <v>476</v>
      </c>
      <c r="D3232" s="2">
        <v>7.7</v>
      </c>
      <c r="E3232" s="2">
        <v>2020.0</v>
      </c>
      <c r="F3232" s="2">
        <v>2020.0</v>
      </c>
      <c r="G3232" s="2">
        <v>4.184E7</v>
      </c>
    </row>
    <row r="3233" ht="14.25" customHeight="1">
      <c r="A3233" s="1" t="s">
        <v>2790</v>
      </c>
      <c r="B3233" s="1" t="s">
        <v>8</v>
      </c>
      <c r="C3233" s="2" t="s">
        <v>476</v>
      </c>
      <c r="D3233" s="2">
        <v>7.7</v>
      </c>
      <c r="E3233" s="2">
        <v>2020.0</v>
      </c>
      <c r="F3233" s="2">
        <v>2020.0</v>
      </c>
      <c r="G3233" s="2">
        <v>1.913E7</v>
      </c>
    </row>
    <row r="3234" ht="14.25" customHeight="1">
      <c r="A3234" s="1" t="s">
        <v>2790</v>
      </c>
      <c r="B3234" s="1" t="s">
        <v>8</v>
      </c>
      <c r="C3234" s="2" t="s">
        <v>476</v>
      </c>
      <c r="D3234" s="2">
        <v>7.7</v>
      </c>
      <c r="E3234" s="2">
        <v>2020.0</v>
      </c>
      <c r="F3234" s="2">
        <v>2020.0</v>
      </c>
      <c r="G3234" s="2">
        <v>7.43E7</v>
      </c>
    </row>
    <row r="3235" ht="14.25" customHeight="1">
      <c r="A3235" s="1" t="s">
        <v>2790</v>
      </c>
      <c r="B3235" s="1" t="s">
        <v>8</v>
      </c>
      <c r="C3235" s="2" t="s">
        <v>476</v>
      </c>
      <c r="D3235" s="2">
        <v>7.7</v>
      </c>
      <c r="E3235" s="2">
        <v>2020.0</v>
      </c>
      <c r="F3235" s="2">
        <v>2020.0</v>
      </c>
      <c r="G3235" s="2">
        <v>3.022E7</v>
      </c>
    </row>
    <row r="3236" ht="14.25" customHeight="1">
      <c r="A3236" s="1" t="s">
        <v>2790</v>
      </c>
      <c r="B3236" s="1" t="s">
        <v>8</v>
      </c>
      <c r="C3236" s="2" t="s">
        <v>476</v>
      </c>
      <c r="D3236" s="2">
        <v>7.7</v>
      </c>
      <c r="E3236" s="2">
        <v>2020.0</v>
      </c>
      <c r="F3236" s="2">
        <v>2020.0</v>
      </c>
      <c r="G3236" s="2">
        <v>6.119E7</v>
      </c>
    </row>
    <row r="3237" ht="14.25" customHeight="1">
      <c r="A3237" s="1" t="s">
        <v>2790</v>
      </c>
      <c r="B3237" s="1" t="s">
        <v>8</v>
      </c>
      <c r="C3237" s="2" t="s">
        <v>476</v>
      </c>
      <c r="D3237" s="2">
        <v>7.7</v>
      </c>
      <c r="E3237" s="2">
        <v>2020.0</v>
      </c>
      <c r="F3237" s="2">
        <v>2020.0</v>
      </c>
      <c r="G3237" s="2">
        <v>1.866E7</v>
      </c>
    </row>
    <row r="3238" ht="14.25" customHeight="1">
      <c r="A3238" s="1" t="s">
        <v>2790</v>
      </c>
      <c r="B3238" s="1" t="s">
        <v>8</v>
      </c>
      <c r="C3238" s="2" t="s">
        <v>476</v>
      </c>
      <c r="D3238" s="2">
        <v>7.7</v>
      </c>
      <c r="E3238" s="2">
        <v>2020.0</v>
      </c>
      <c r="F3238" s="2">
        <v>2020.0</v>
      </c>
      <c r="G3238" s="2">
        <v>8700000.0</v>
      </c>
    </row>
    <row r="3239" ht="14.25" customHeight="1">
      <c r="A3239" s="1" t="s">
        <v>2790</v>
      </c>
      <c r="B3239" s="1" t="s">
        <v>8</v>
      </c>
      <c r="C3239" s="2" t="s">
        <v>476</v>
      </c>
      <c r="D3239" s="2">
        <v>7.7</v>
      </c>
      <c r="E3239" s="2">
        <v>2020.0</v>
      </c>
      <c r="F3239" s="2">
        <v>2020.0</v>
      </c>
      <c r="G3239" s="2">
        <v>1.631E7</v>
      </c>
    </row>
    <row r="3240" ht="14.25" customHeight="1">
      <c r="A3240" s="1" t="s">
        <v>2790</v>
      </c>
      <c r="B3240" s="1" t="s">
        <v>8</v>
      </c>
      <c r="C3240" s="2" t="s">
        <v>476</v>
      </c>
      <c r="D3240" s="2">
        <v>7.7</v>
      </c>
      <c r="E3240" s="2">
        <v>2020.0</v>
      </c>
      <c r="F3240" s="2">
        <v>2020.0</v>
      </c>
      <c r="G3240" s="2">
        <v>2.222E7</v>
      </c>
    </row>
    <row r="3241" ht="14.25" customHeight="1">
      <c r="A3241" s="1" t="s">
        <v>2790</v>
      </c>
      <c r="B3241" s="1" t="s">
        <v>8</v>
      </c>
      <c r="C3241" s="2" t="s">
        <v>476</v>
      </c>
      <c r="D3241" s="2">
        <v>7.7</v>
      </c>
      <c r="E3241" s="2">
        <v>2020.0</v>
      </c>
      <c r="F3241" s="2">
        <v>2020.0</v>
      </c>
      <c r="G3241" s="2">
        <v>2.628E7</v>
      </c>
    </row>
    <row r="3242" ht="14.25" customHeight="1">
      <c r="A3242" s="1" t="s">
        <v>2790</v>
      </c>
      <c r="B3242" s="1" t="s">
        <v>8</v>
      </c>
      <c r="C3242" s="2" t="s">
        <v>476</v>
      </c>
      <c r="D3242" s="2">
        <v>7.7</v>
      </c>
      <c r="E3242" s="2">
        <v>2020.0</v>
      </c>
      <c r="F3242" s="2">
        <v>2020.0</v>
      </c>
      <c r="G3242" s="2">
        <v>1.089E7</v>
      </c>
    </row>
    <row r="3243" ht="14.25" customHeight="1">
      <c r="A3243" s="1" t="s">
        <v>2791</v>
      </c>
      <c r="B3243" s="1" t="s">
        <v>20</v>
      </c>
      <c r="C3243" s="2" t="s">
        <v>1761</v>
      </c>
      <c r="D3243" s="2">
        <v>7.7</v>
      </c>
      <c r="E3243" s="2">
        <v>1964.0</v>
      </c>
      <c r="F3243" s="2">
        <v>1964.0</v>
      </c>
      <c r="G3243" s="2" t="s">
        <v>10</v>
      </c>
    </row>
    <row r="3244" ht="14.25" customHeight="1">
      <c r="A3244" s="1" t="s">
        <v>2792</v>
      </c>
      <c r="B3244" s="1" t="s">
        <v>20</v>
      </c>
      <c r="C3244" s="2" t="s">
        <v>18</v>
      </c>
      <c r="D3244" s="2">
        <v>7.7</v>
      </c>
      <c r="E3244" s="2">
        <v>2011.0</v>
      </c>
      <c r="F3244" s="2" t="s">
        <v>10</v>
      </c>
      <c r="G3244" s="2" t="s">
        <v>10</v>
      </c>
    </row>
    <row r="3245" ht="14.25" customHeight="1">
      <c r="A3245" s="1" t="s">
        <v>2793</v>
      </c>
      <c r="B3245" s="1" t="s">
        <v>20</v>
      </c>
      <c r="C3245" s="2" t="s">
        <v>597</v>
      </c>
      <c r="D3245" s="2">
        <v>7.7</v>
      </c>
      <c r="E3245" s="2">
        <v>2006.0</v>
      </c>
      <c r="F3245" s="2">
        <v>2018.0</v>
      </c>
      <c r="G3245" s="2" t="s">
        <v>10</v>
      </c>
    </row>
    <row r="3246" ht="14.25" customHeight="1">
      <c r="A3246" s="1" t="s">
        <v>2794</v>
      </c>
      <c r="B3246" s="1" t="s">
        <v>20</v>
      </c>
      <c r="C3246" s="2" t="s">
        <v>187</v>
      </c>
      <c r="D3246" s="2">
        <v>7.7</v>
      </c>
      <c r="E3246" s="2">
        <v>2010.0</v>
      </c>
      <c r="F3246" s="2">
        <v>2010.0</v>
      </c>
      <c r="G3246" s="2" t="s">
        <v>10</v>
      </c>
    </row>
    <row r="3247" ht="14.25" customHeight="1">
      <c r="A3247" s="1" t="s">
        <v>2795</v>
      </c>
      <c r="B3247" s="1" t="s">
        <v>20</v>
      </c>
      <c r="C3247" s="2" t="s">
        <v>18</v>
      </c>
      <c r="D3247" s="2">
        <v>7.7</v>
      </c>
      <c r="E3247" s="2">
        <v>2013.0</v>
      </c>
      <c r="F3247" s="2" t="s">
        <v>10</v>
      </c>
      <c r="G3247" s="2" t="s">
        <v>10</v>
      </c>
    </row>
    <row r="3248" ht="14.25" customHeight="1">
      <c r="A3248" s="1" t="s">
        <v>2796</v>
      </c>
      <c r="B3248" s="1" t="s">
        <v>20</v>
      </c>
      <c r="C3248" s="2" t="s">
        <v>18</v>
      </c>
      <c r="D3248" s="2">
        <v>7.7</v>
      </c>
      <c r="E3248" s="2">
        <v>1985.0</v>
      </c>
      <c r="F3248" s="2" t="s">
        <v>10</v>
      </c>
      <c r="G3248" s="2" t="s">
        <v>10</v>
      </c>
    </row>
    <row r="3249" ht="14.25" customHeight="1">
      <c r="A3249" s="1" t="s">
        <v>2797</v>
      </c>
      <c r="B3249" s="1" t="s">
        <v>20</v>
      </c>
      <c r="C3249" s="2" t="s">
        <v>299</v>
      </c>
      <c r="D3249" s="2">
        <v>7.7</v>
      </c>
      <c r="E3249" s="2">
        <v>2001.0</v>
      </c>
      <c r="F3249" s="2" t="s">
        <v>10</v>
      </c>
      <c r="G3249" s="2" t="s">
        <v>10</v>
      </c>
    </row>
    <row r="3250" ht="14.25" customHeight="1">
      <c r="A3250" s="1" t="s">
        <v>2798</v>
      </c>
      <c r="B3250" s="1" t="s">
        <v>8</v>
      </c>
      <c r="C3250" s="2" t="s">
        <v>53</v>
      </c>
      <c r="D3250" s="2">
        <v>7.7</v>
      </c>
      <c r="E3250" s="2">
        <v>2000.0</v>
      </c>
      <c r="F3250" s="2" t="s">
        <v>10</v>
      </c>
      <c r="G3250" s="2" t="s">
        <v>10</v>
      </c>
    </row>
    <row r="3251" ht="14.25" customHeight="1">
      <c r="A3251" s="1" t="s">
        <v>2799</v>
      </c>
      <c r="B3251" s="1" t="s">
        <v>20</v>
      </c>
      <c r="C3251" s="2" t="s">
        <v>36</v>
      </c>
      <c r="D3251" s="2">
        <v>7.7</v>
      </c>
      <c r="E3251" s="2">
        <v>1960.0</v>
      </c>
      <c r="F3251" s="2" t="s">
        <v>10</v>
      </c>
      <c r="G3251" s="2" t="s">
        <v>10</v>
      </c>
    </row>
    <row r="3252" ht="14.25" customHeight="1">
      <c r="A3252" s="1" t="s">
        <v>2800</v>
      </c>
      <c r="B3252" s="1" t="s">
        <v>20</v>
      </c>
      <c r="C3252" s="2" t="s">
        <v>184</v>
      </c>
      <c r="D3252" s="2">
        <v>7.7</v>
      </c>
      <c r="E3252" s="2">
        <v>2015.0</v>
      </c>
      <c r="F3252" s="2">
        <v>2015.0</v>
      </c>
      <c r="G3252" s="2" t="s">
        <v>10</v>
      </c>
    </row>
    <row r="3253" ht="14.25" customHeight="1">
      <c r="A3253" s="1" t="s">
        <v>2801</v>
      </c>
      <c r="B3253" s="1" t="s">
        <v>20</v>
      </c>
      <c r="C3253" s="2" t="s">
        <v>838</v>
      </c>
      <c r="D3253" s="2">
        <v>7.7</v>
      </c>
      <c r="E3253" s="2">
        <v>1951.0</v>
      </c>
      <c r="F3253" s="2" t="s">
        <v>10</v>
      </c>
      <c r="G3253" s="2" t="s">
        <v>10</v>
      </c>
    </row>
    <row r="3254" ht="14.25" customHeight="1">
      <c r="A3254" s="1" t="s">
        <v>2802</v>
      </c>
      <c r="B3254" s="1" t="s">
        <v>20</v>
      </c>
      <c r="C3254" s="2" t="s">
        <v>18</v>
      </c>
      <c r="D3254" s="2">
        <v>7.7</v>
      </c>
      <c r="E3254" s="2">
        <v>1991.0</v>
      </c>
      <c r="F3254" s="2" t="s">
        <v>10</v>
      </c>
      <c r="G3254" s="2" t="s">
        <v>10</v>
      </c>
    </row>
    <row r="3255" ht="14.25" customHeight="1">
      <c r="A3255" s="1" t="s">
        <v>2803</v>
      </c>
      <c r="B3255" s="1" t="s">
        <v>20</v>
      </c>
      <c r="C3255" s="2" t="s">
        <v>1897</v>
      </c>
      <c r="D3255" s="2">
        <v>7.7</v>
      </c>
      <c r="E3255" s="2">
        <v>1951.0</v>
      </c>
      <c r="F3255" s="2" t="s">
        <v>10</v>
      </c>
      <c r="G3255" s="2" t="s">
        <v>10</v>
      </c>
    </row>
    <row r="3256" ht="14.25" customHeight="1">
      <c r="A3256" s="1" t="s">
        <v>2804</v>
      </c>
      <c r="B3256" s="1" t="s">
        <v>8</v>
      </c>
      <c r="C3256" s="2" t="s">
        <v>325</v>
      </c>
      <c r="D3256" s="2">
        <v>7.7</v>
      </c>
      <c r="E3256" s="2">
        <v>2019.0</v>
      </c>
      <c r="F3256" s="2" t="s">
        <v>10</v>
      </c>
      <c r="G3256" s="2" t="s">
        <v>10</v>
      </c>
    </row>
    <row r="3257" ht="14.25" customHeight="1">
      <c r="A3257" s="1" t="s">
        <v>2805</v>
      </c>
      <c r="B3257" s="1" t="s">
        <v>20</v>
      </c>
      <c r="C3257" s="2" t="s">
        <v>863</v>
      </c>
      <c r="D3257" s="2">
        <v>7.7</v>
      </c>
      <c r="E3257" s="2">
        <v>2006.0</v>
      </c>
      <c r="F3257" s="2" t="s">
        <v>10</v>
      </c>
      <c r="G3257" s="2" t="s">
        <v>10</v>
      </c>
    </row>
    <row r="3258" ht="14.25" customHeight="1">
      <c r="A3258" s="1" t="s">
        <v>2806</v>
      </c>
      <c r="B3258" s="1" t="s">
        <v>8</v>
      </c>
      <c r="C3258" s="2" t="s">
        <v>299</v>
      </c>
      <c r="D3258" s="2">
        <v>7.7</v>
      </c>
      <c r="E3258" s="2">
        <v>2012.0</v>
      </c>
      <c r="F3258" s="2">
        <v>2018.0</v>
      </c>
      <c r="G3258" s="2" t="s">
        <v>10</v>
      </c>
    </row>
    <row r="3259" ht="14.25" customHeight="1">
      <c r="A3259" s="1" t="s">
        <v>2807</v>
      </c>
      <c r="B3259" s="1" t="s">
        <v>20</v>
      </c>
      <c r="C3259" s="2" t="s">
        <v>2808</v>
      </c>
      <c r="D3259" s="2">
        <v>7.7</v>
      </c>
      <c r="E3259" s="2">
        <v>1967.0</v>
      </c>
      <c r="F3259" s="2" t="s">
        <v>10</v>
      </c>
      <c r="G3259" s="2" t="s">
        <v>10</v>
      </c>
    </row>
    <row r="3260" ht="14.25" customHeight="1">
      <c r="A3260" s="1" t="s">
        <v>2809</v>
      </c>
      <c r="B3260" s="1" t="s">
        <v>20</v>
      </c>
      <c r="C3260" s="2" t="s">
        <v>69</v>
      </c>
      <c r="D3260" s="2">
        <v>7.7</v>
      </c>
      <c r="E3260" s="2">
        <v>1973.0</v>
      </c>
      <c r="F3260" s="2" t="s">
        <v>10</v>
      </c>
      <c r="G3260" s="2" t="s">
        <v>10</v>
      </c>
    </row>
    <row r="3261" ht="14.25" customHeight="1">
      <c r="A3261" s="1" t="s">
        <v>2810</v>
      </c>
      <c r="B3261" s="1" t="s">
        <v>20</v>
      </c>
      <c r="C3261" s="2" t="s">
        <v>611</v>
      </c>
      <c r="D3261" s="2">
        <v>7.7</v>
      </c>
      <c r="E3261" s="2">
        <v>2010.0</v>
      </c>
      <c r="F3261" s="2" t="s">
        <v>10</v>
      </c>
      <c r="G3261" s="2" t="s">
        <v>10</v>
      </c>
    </row>
    <row r="3262" ht="14.25" customHeight="1">
      <c r="A3262" s="1" t="s">
        <v>2651</v>
      </c>
      <c r="B3262" s="1" t="s">
        <v>20</v>
      </c>
      <c r="C3262" s="2" t="s">
        <v>63</v>
      </c>
      <c r="D3262" s="2">
        <v>7.7</v>
      </c>
      <c r="E3262" s="2">
        <v>1998.0</v>
      </c>
      <c r="F3262" s="2" t="s">
        <v>10</v>
      </c>
      <c r="G3262" s="2">
        <v>1.082E7</v>
      </c>
    </row>
    <row r="3263" ht="14.25" customHeight="1">
      <c r="A3263" s="1" t="s">
        <v>2651</v>
      </c>
      <c r="B3263" s="1" t="s">
        <v>20</v>
      </c>
      <c r="C3263" s="2" t="s">
        <v>63</v>
      </c>
      <c r="D3263" s="2">
        <v>7.7</v>
      </c>
      <c r="E3263" s="2">
        <v>1998.0</v>
      </c>
      <c r="F3263" s="2" t="s">
        <v>10</v>
      </c>
      <c r="G3263" s="2">
        <v>1.094E7</v>
      </c>
    </row>
    <row r="3264" ht="14.25" customHeight="1">
      <c r="A3264" s="1" t="s">
        <v>2811</v>
      </c>
      <c r="B3264" s="1" t="s">
        <v>8</v>
      </c>
      <c r="C3264" s="2" t="s">
        <v>34</v>
      </c>
      <c r="D3264" s="2">
        <v>7.7</v>
      </c>
      <c r="E3264" s="2">
        <v>2021.0</v>
      </c>
      <c r="F3264" s="2">
        <v>2021.0</v>
      </c>
      <c r="G3264" s="2">
        <v>1.666E7</v>
      </c>
    </row>
    <row r="3265" ht="14.25" customHeight="1">
      <c r="A3265" s="1" t="s">
        <v>2811</v>
      </c>
      <c r="B3265" s="1" t="s">
        <v>8</v>
      </c>
      <c r="C3265" s="2" t="s">
        <v>34</v>
      </c>
      <c r="D3265" s="2">
        <v>7.7</v>
      </c>
      <c r="E3265" s="2">
        <v>2021.0</v>
      </c>
      <c r="F3265" s="2">
        <v>2021.0</v>
      </c>
      <c r="G3265" s="2">
        <v>2.761E7</v>
      </c>
    </row>
    <row r="3266" ht="14.25" customHeight="1">
      <c r="A3266" s="1" t="s">
        <v>2811</v>
      </c>
      <c r="B3266" s="1" t="s">
        <v>8</v>
      </c>
      <c r="C3266" s="2" t="s">
        <v>34</v>
      </c>
      <c r="D3266" s="2">
        <v>7.7</v>
      </c>
      <c r="E3266" s="2">
        <v>2021.0</v>
      </c>
      <c r="F3266" s="2">
        <v>2021.0</v>
      </c>
      <c r="G3266" s="2">
        <v>1.101E7</v>
      </c>
    </row>
    <row r="3267" ht="14.25" customHeight="1">
      <c r="A3267" s="1" t="s">
        <v>2811</v>
      </c>
      <c r="B3267" s="1" t="s">
        <v>8</v>
      </c>
      <c r="C3267" s="2" t="s">
        <v>34</v>
      </c>
      <c r="D3267" s="2">
        <v>7.7</v>
      </c>
      <c r="E3267" s="2">
        <v>2021.0</v>
      </c>
      <c r="F3267" s="2">
        <v>2021.0</v>
      </c>
      <c r="G3267" s="2">
        <v>6.047E7</v>
      </c>
    </row>
    <row r="3268" ht="14.25" customHeight="1">
      <c r="A3268" s="1" t="s">
        <v>2811</v>
      </c>
      <c r="B3268" s="1" t="s">
        <v>8</v>
      </c>
      <c r="C3268" s="2" t="s">
        <v>34</v>
      </c>
      <c r="D3268" s="2">
        <v>7.7</v>
      </c>
      <c r="E3268" s="2">
        <v>2021.0</v>
      </c>
      <c r="F3268" s="2">
        <v>2021.0</v>
      </c>
      <c r="G3268" s="2">
        <v>2.518E7</v>
      </c>
    </row>
    <row r="3269" ht="14.25" customHeight="1">
      <c r="A3269" s="1" t="s">
        <v>2811</v>
      </c>
      <c r="B3269" s="1" t="s">
        <v>8</v>
      </c>
      <c r="C3269" s="2" t="s">
        <v>34</v>
      </c>
      <c r="D3269" s="2">
        <v>7.7</v>
      </c>
      <c r="E3269" s="2">
        <v>2021.0</v>
      </c>
      <c r="F3269" s="2">
        <v>2021.0</v>
      </c>
      <c r="G3269" s="2">
        <v>4.834E7</v>
      </c>
    </row>
    <row r="3270" ht="14.25" customHeight="1">
      <c r="A3270" s="1" t="s">
        <v>2811</v>
      </c>
      <c r="B3270" s="1" t="s">
        <v>8</v>
      </c>
      <c r="C3270" s="2" t="s">
        <v>34</v>
      </c>
      <c r="D3270" s="2">
        <v>7.7</v>
      </c>
      <c r="E3270" s="2">
        <v>2021.0</v>
      </c>
      <c r="F3270" s="2">
        <v>2021.0</v>
      </c>
      <c r="G3270" s="2">
        <v>1.923E7</v>
      </c>
    </row>
    <row r="3271" ht="14.25" customHeight="1">
      <c r="A3271" s="1" t="s">
        <v>2811</v>
      </c>
      <c r="B3271" s="1" t="s">
        <v>8</v>
      </c>
      <c r="C3271" s="2" t="s">
        <v>34</v>
      </c>
      <c r="D3271" s="2">
        <v>7.7</v>
      </c>
      <c r="E3271" s="2">
        <v>2021.0</v>
      </c>
      <c r="F3271" s="2">
        <v>2021.0</v>
      </c>
      <c r="G3271" s="2">
        <v>1.31E7</v>
      </c>
    </row>
    <row r="3272" ht="14.25" customHeight="1">
      <c r="A3272" s="1" t="s">
        <v>2811</v>
      </c>
      <c r="B3272" s="1" t="s">
        <v>8</v>
      </c>
      <c r="C3272" s="2" t="s">
        <v>34</v>
      </c>
      <c r="D3272" s="2">
        <v>7.7</v>
      </c>
      <c r="E3272" s="2">
        <v>2021.0</v>
      </c>
      <c r="F3272" s="2">
        <v>2021.0</v>
      </c>
      <c r="G3272" s="2">
        <v>2.135E7</v>
      </c>
    </row>
    <row r="3273" ht="14.25" customHeight="1">
      <c r="A3273" s="1" t="s">
        <v>2812</v>
      </c>
      <c r="B3273" s="1" t="s">
        <v>20</v>
      </c>
      <c r="C3273" s="2" t="s">
        <v>231</v>
      </c>
      <c r="D3273" s="2">
        <v>7.7</v>
      </c>
      <c r="E3273" s="2">
        <v>1997.0</v>
      </c>
      <c r="F3273" s="2">
        <v>2021.0</v>
      </c>
      <c r="G3273" s="2">
        <v>8220000.0</v>
      </c>
    </row>
    <row r="3274" ht="14.25" customHeight="1">
      <c r="A3274" s="1" t="s">
        <v>2813</v>
      </c>
      <c r="B3274" s="1" t="s">
        <v>20</v>
      </c>
      <c r="C3274" s="2" t="s">
        <v>53</v>
      </c>
      <c r="D3274" s="2">
        <v>7.7</v>
      </c>
      <c r="E3274" s="2">
        <v>2009.0</v>
      </c>
      <c r="F3274" s="2">
        <v>2020.0</v>
      </c>
      <c r="G3274" s="2" t="s">
        <v>10</v>
      </c>
    </row>
    <row r="3275" ht="14.25" customHeight="1">
      <c r="A3275" s="1" t="s">
        <v>2814</v>
      </c>
      <c r="B3275" s="1" t="s">
        <v>20</v>
      </c>
      <c r="C3275" s="2" t="s">
        <v>63</v>
      </c>
      <c r="D3275" s="2">
        <v>7.7</v>
      </c>
      <c r="E3275" s="2">
        <v>2016.0</v>
      </c>
      <c r="F3275" s="2" t="s">
        <v>10</v>
      </c>
      <c r="G3275" s="2" t="s">
        <v>10</v>
      </c>
    </row>
    <row r="3276" ht="14.25" customHeight="1">
      <c r="A3276" s="1" t="s">
        <v>2815</v>
      </c>
      <c r="B3276" s="1" t="s">
        <v>20</v>
      </c>
      <c r="C3276" s="2" t="s">
        <v>55</v>
      </c>
      <c r="D3276" s="2">
        <v>7.7</v>
      </c>
      <c r="E3276" s="2">
        <v>2006.0</v>
      </c>
      <c r="F3276" s="2" t="s">
        <v>10</v>
      </c>
      <c r="G3276" s="2" t="s">
        <v>10</v>
      </c>
    </row>
    <row r="3277" ht="14.25" customHeight="1">
      <c r="A3277" s="1" t="s">
        <v>2816</v>
      </c>
      <c r="B3277" s="1" t="s">
        <v>20</v>
      </c>
      <c r="C3277" s="2" t="s">
        <v>187</v>
      </c>
      <c r="D3277" s="2">
        <v>7.7</v>
      </c>
      <c r="E3277" s="2">
        <v>2015.0</v>
      </c>
      <c r="F3277" s="2" t="s">
        <v>10</v>
      </c>
      <c r="G3277" s="2" t="s">
        <v>10</v>
      </c>
    </row>
    <row r="3278" ht="14.25" customHeight="1">
      <c r="A3278" s="1" t="s">
        <v>2817</v>
      </c>
      <c r="B3278" s="1" t="s">
        <v>8</v>
      </c>
      <c r="C3278" s="2" t="s">
        <v>258</v>
      </c>
      <c r="D3278" s="2">
        <v>7.7</v>
      </c>
      <c r="E3278" s="2">
        <v>2014.0</v>
      </c>
      <c r="F3278" s="2" t="s">
        <v>10</v>
      </c>
      <c r="G3278" s="2" t="s">
        <v>10</v>
      </c>
    </row>
    <row r="3279" ht="14.25" customHeight="1">
      <c r="A3279" s="1" t="s">
        <v>2818</v>
      </c>
      <c r="B3279" s="1" t="s">
        <v>8</v>
      </c>
      <c r="C3279" s="2" t="s">
        <v>60</v>
      </c>
      <c r="D3279" s="2">
        <v>7.7</v>
      </c>
      <c r="E3279" s="2">
        <v>2017.0</v>
      </c>
      <c r="F3279" s="2">
        <v>2019.0</v>
      </c>
      <c r="G3279" s="2" t="s">
        <v>10</v>
      </c>
    </row>
    <row r="3280" ht="14.25" customHeight="1">
      <c r="A3280" s="1" t="s">
        <v>2819</v>
      </c>
      <c r="B3280" s="1" t="s">
        <v>20</v>
      </c>
      <c r="C3280" s="2" t="s">
        <v>597</v>
      </c>
      <c r="D3280" s="2">
        <v>7.7</v>
      </c>
      <c r="E3280" s="2">
        <v>2001.0</v>
      </c>
      <c r="F3280" s="2" t="s">
        <v>10</v>
      </c>
      <c r="G3280" s="2" t="s">
        <v>10</v>
      </c>
    </row>
    <row r="3281" ht="14.25" customHeight="1">
      <c r="A3281" s="1" t="s">
        <v>2820</v>
      </c>
      <c r="B3281" s="1" t="s">
        <v>20</v>
      </c>
      <c r="C3281" s="2" t="s">
        <v>63</v>
      </c>
      <c r="D3281" s="2">
        <v>7.7</v>
      </c>
      <c r="E3281" s="2">
        <v>1991.0</v>
      </c>
      <c r="F3281" s="2">
        <v>2020.0</v>
      </c>
      <c r="G3281" s="2" t="s">
        <v>10</v>
      </c>
    </row>
    <row r="3282" ht="14.25" customHeight="1">
      <c r="A3282" s="1" t="s">
        <v>2821</v>
      </c>
      <c r="B3282" s="1" t="s">
        <v>8</v>
      </c>
      <c r="C3282" s="2" t="s">
        <v>53</v>
      </c>
      <c r="D3282" s="2">
        <v>7.7</v>
      </c>
      <c r="E3282" s="2">
        <v>2024.0</v>
      </c>
      <c r="F3282" s="2" t="s">
        <v>10</v>
      </c>
      <c r="G3282" s="2" t="s">
        <v>10</v>
      </c>
    </row>
    <row r="3283" ht="14.25" customHeight="1">
      <c r="A3283" s="1" t="s">
        <v>2822</v>
      </c>
      <c r="B3283" s="1" t="s">
        <v>20</v>
      </c>
      <c r="C3283" s="2" t="s">
        <v>299</v>
      </c>
      <c r="D3283" s="2">
        <v>7.7</v>
      </c>
      <c r="E3283" s="2">
        <v>2016.0</v>
      </c>
      <c r="F3283" s="2" t="s">
        <v>10</v>
      </c>
      <c r="G3283" s="2" t="s">
        <v>10</v>
      </c>
    </row>
    <row r="3284" ht="14.25" customHeight="1">
      <c r="A3284" s="1" t="s">
        <v>2823</v>
      </c>
      <c r="B3284" s="1" t="s">
        <v>20</v>
      </c>
      <c r="C3284" s="2" t="s">
        <v>154</v>
      </c>
      <c r="D3284" s="2">
        <v>7.7</v>
      </c>
      <c r="E3284" s="2">
        <v>1978.0</v>
      </c>
      <c r="F3284" s="2" t="s">
        <v>10</v>
      </c>
      <c r="G3284" s="2" t="s">
        <v>10</v>
      </c>
    </row>
    <row r="3285" ht="14.25" customHeight="1">
      <c r="A3285" s="1" t="s">
        <v>2824</v>
      </c>
      <c r="B3285" s="1" t="s">
        <v>20</v>
      </c>
      <c r="C3285" s="2" t="s">
        <v>2152</v>
      </c>
      <c r="D3285" s="2">
        <v>7.7</v>
      </c>
      <c r="E3285" s="2">
        <v>1933.0</v>
      </c>
      <c r="F3285" s="2" t="s">
        <v>10</v>
      </c>
      <c r="G3285" s="2" t="s">
        <v>10</v>
      </c>
    </row>
    <row r="3286" ht="14.25" customHeight="1">
      <c r="A3286" s="1" t="s">
        <v>2825</v>
      </c>
      <c r="B3286" s="1" t="s">
        <v>8</v>
      </c>
      <c r="C3286" s="2" t="s">
        <v>530</v>
      </c>
      <c r="D3286" s="2">
        <v>7.7</v>
      </c>
      <c r="E3286" s="2">
        <v>2018.0</v>
      </c>
      <c r="F3286" s="2">
        <v>2020.0</v>
      </c>
      <c r="G3286" s="2">
        <v>1.749E7</v>
      </c>
    </row>
    <row r="3287" ht="14.25" customHeight="1">
      <c r="A3287" s="1" t="s">
        <v>2825</v>
      </c>
      <c r="B3287" s="1" t="s">
        <v>8</v>
      </c>
      <c r="C3287" s="2" t="s">
        <v>530</v>
      </c>
      <c r="D3287" s="2">
        <v>7.7</v>
      </c>
      <c r="E3287" s="2">
        <v>2018.0</v>
      </c>
      <c r="F3287" s="2">
        <v>2020.0</v>
      </c>
      <c r="G3287" s="2">
        <v>2.45E7</v>
      </c>
    </row>
    <row r="3288" ht="14.25" customHeight="1">
      <c r="A3288" s="1" t="s">
        <v>2825</v>
      </c>
      <c r="B3288" s="1" t="s">
        <v>8</v>
      </c>
      <c r="C3288" s="2" t="s">
        <v>530</v>
      </c>
      <c r="D3288" s="2">
        <v>7.7</v>
      </c>
      <c r="E3288" s="2">
        <v>2018.0</v>
      </c>
      <c r="F3288" s="2">
        <v>2020.0</v>
      </c>
      <c r="G3288" s="2">
        <v>1.292E7</v>
      </c>
    </row>
    <row r="3289" ht="14.25" customHeight="1">
      <c r="A3289" s="1" t="s">
        <v>2825</v>
      </c>
      <c r="B3289" s="1" t="s">
        <v>8</v>
      </c>
      <c r="C3289" s="2" t="s">
        <v>530</v>
      </c>
      <c r="D3289" s="2">
        <v>7.7</v>
      </c>
      <c r="E3289" s="2">
        <v>2018.0</v>
      </c>
      <c r="F3289" s="2">
        <v>2020.0</v>
      </c>
      <c r="G3289" s="2">
        <v>1.931E7</v>
      </c>
    </row>
    <row r="3290" ht="14.25" customHeight="1">
      <c r="A3290" s="1" t="s">
        <v>2825</v>
      </c>
      <c r="B3290" s="1" t="s">
        <v>8</v>
      </c>
      <c r="C3290" s="2" t="s">
        <v>530</v>
      </c>
      <c r="D3290" s="2">
        <v>7.7</v>
      </c>
      <c r="E3290" s="2">
        <v>2018.0</v>
      </c>
      <c r="F3290" s="2">
        <v>2020.0</v>
      </c>
      <c r="G3290" s="2">
        <v>3.175E7</v>
      </c>
    </row>
    <row r="3291" ht="14.25" customHeight="1">
      <c r="A3291" s="1" t="s">
        <v>2825</v>
      </c>
      <c r="B3291" s="1" t="s">
        <v>8</v>
      </c>
      <c r="C3291" s="2" t="s">
        <v>530</v>
      </c>
      <c r="D3291" s="2">
        <v>7.7</v>
      </c>
      <c r="E3291" s="2">
        <v>2018.0</v>
      </c>
      <c r="F3291" s="2">
        <v>2020.0</v>
      </c>
      <c r="G3291" s="2">
        <v>3.758E7</v>
      </c>
    </row>
    <row r="3292" ht="14.25" customHeight="1">
      <c r="A3292" s="1" t="s">
        <v>2825</v>
      </c>
      <c r="B3292" s="1" t="s">
        <v>8</v>
      </c>
      <c r="C3292" s="2" t="s">
        <v>530</v>
      </c>
      <c r="D3292" s="2">
        <v>7.7</v>
      </c>
      <c r="E3292" s="2">
        <v>2018.0</v>
      </c>
      <c r="F3292" s="2">
        <v>2020.0</v>
      </c>
      <c r="G3292" s="2">
        <v>9590000.0</v>
      </c>
    </row>
    <row r="3293" ht="14.25" customHeight="1">
      <c r="A3293" s="1" t="s">
        <v>2826</v>
      </c>
      <c r="B3293" s="1" t="s">
        <v>8</v>
      </c>
      <c r="C3293" s="2" t="s">
        <v>53</v>
      </c>
      <c r="D3293" s="2">
        <v>7.7</v>
      </c>
      <c r="E3293" s="2">
        <v>2018.0</v>
      </c>
      <c r="F3293" s="2" t="s">
        <v>10</v>
      </c>
      <c r="G3293" s="2" t="s">
        <v>10</v>
      </c>
    </row>
    <row r="3294" ht="14.25" customHeight="1">
      <c r="A3294" s="1" t="s">
        <v>2827</v>
      </c>
      <c r="B3294" s="1" t="s">
        <v>8</v>
      </c>
      <c r="C3294" s="2" t="s">
        <v>845</v>
      </c>
      <c r="D3294" s="2">
        <v>7.7</v>
      </c>
      <c r="E3294" s="2">
        <v>2019.0</v>
      </c>
      <c r="F3294" s="2" t="s">
        <v>10</v>
      </c>
      <c r="G3294" s="2" t="s">
        <v>10</v>
      </c>
    </row>
    <row r="3295" ht="14.25" customHeight="1">
      <c r="A3295" s="1" t="s">
        <v>2828</v>
      </c>
      <c r="B3295" s="1" t="s">
        <v>20</v>
      </c>
      <c r="C3295" s="2" t="s">
        <v>14</v>
      </c>
      <c r="D3295" s="2">
        <v>7.7</v>
      </c>
      <c r="E3295" s="2">
        <v>1962.0</v>
      </c>
      <c r="F3295" s="2" t="s">
        <v>10</v>
      </c>
      <c r="G3295" s="2" t="s">
        <v>10</v>
      </c>
    </row>
    <row r="3296" ht="14.25" customHeight="1">
      <c r="A3296" s="1" t="s">
        <v>2829</v>
      </c>
      <c r="B3296" s="1" t="s">
        <v>8</v>
      </c>
      <c r="C3296" s="2" t="s">
        <v>18</v>
      </c>
      <c r="D3296" s="2">
        <v>7.7</v>
      </c>
      <c r="E3296" s="2">
        <v>2003.0</v>
      </c>
      <c r="F3296" s="2" t="s">
        <v>10</v>
      </c>
      <c r="G3296" s="2" t="s">
        <v>10</v>
      </c>
    </row>
    <row r="3297" ht="14.25" customHeight="1">
      <c r="A3297" s="1" t="s">
        <v>2830</v>
      </c>
      <c r="B3297" s="1" t="s">
        <v>20</v>
      </c>
      <c r="C3297" s="2" t="s">
        <v>142</v>
      </c>
      <c r="D3297" s="2">
        <v>7.7</v>
      </c>
      <c r="E3297" s="2">
        <v>2008.0</v>
      </c>
      <c r="F3297" s="2" t="s">
        <v>10</v>
      </c>
      <c r="G3297" s="2" t="s">
        <v>10</v>
      </c>
    </row>
    <row r="3298" ht="14.25" customHeight="1">
      <c r="A3298" s="1" t="s">
        <v>2831</v>
      </c>
      <c r="B3298" s="1" t="s">
        <v>20</v>
      </c>
      <c r="C3298" s="2" t="s">
        <v>616</v>
      </c>
      <c r="D3298" s="2">
        <v>7.7</v>
      </c>
      <c r="E3298" s="2">
        <v>1938.0</v>
      </c>
      <c r="F3298" s="2" t="s">
        <v>10</v>
      </c>
      <c r="G3298" s="2" t="s">
        <v>10</v>
      </c>
    </row>
    <row r="3299" ht="14.25" customHeight="1">
      <c r="A3299" s="1" t="s">
        <v>2832</v>
      </c>
      <c r="B3299" s="1" t="s">
        <v>20</v>
      </c>
      <c r="C3299" s="2" t="s">
        <v>18</v>
      </c>
      <c r="D3299" s="2">
        <v>7.7</v>
      </c>
      <c r="E3299" s="2">
        <v>1980.0</v>
      </c>
      <c r="F3299" s="2">
        <v>2016.0</v>
      </c>
      <c r="G3299" s="2" t="s">
        <v>10</v>
      </c>
    </row>
    <row r="3300" ht="14.25" customHeight="1">
      <c r="A3300" s="1" t="s">
        <v>2833</v>
      </c>
      <c r="B3300" s="1" t="s">
        <v>8</v>
      </c>
      <c r="C3300" s="2" t="s">
        <v>611</v>
      </c>
      <c r="D3300" s="2">
        <v>7.7</v>
      </c>
      <c r="E3300" s="2">
        <v>2023.0</v>
      </c>
      <c r="F3300" s="2" t="s">
        <v>10</v>
      </c>
      <c r="G3300" s="2" t="s">
        <v>10</v>
      </c>
    </row>
    <row r="3301" ht="14.25" customHeight="1">
      <c r="A3301" s="1" t="s">
        <v>2834</v>
      </c>
      <c r="B3301" s="1" t="s">
        <v>20</v>
      </c>
      <c r="C3301" s="2" t="s">
        <v>55</v>
      </c>
      <c r="D3301" s="2">
        <v>7.7</v>
      </c>
      <c r="E3301" s="2">
        <v>2003.0</v>
      </c>
      <c r="F3301" s="2" t="s">
        <v>10</v>
      </c>
      <c r="G3301" s="2" t="s">
        <v>10</v>
      </c>
    </row>
    <row r="3302" ht="14.25" customHeight="1">
      <c r="A3302" s="1" t="s">
        <v>2835</v>
      </c>
      <c r="B3302" s="1" t="s">
        <v>8</v>
      </c>
      <c r="C3302" s="2" t="s">
        <v>187</v>
      </c>
      <c r="D3302" s="2">
        <v>7.7</v>
      </c>
      <c r="E3302" s="2">
        <v>2011.0</v>
      </c>
      <c r="F3302" s="2">
        <v>2014.0</v>
      </c>
      <c r="G3302" s="2" t="s">
        <v>10</v>
      </c>
    </row>
    <row r="3303" ht="14.25" customHeight="1">
      <c r="A3303" s="1" t="s">
        <v>2836</v>
      </c>
      <c r="B3303" s="1" t="s">
        <v>8</v>
      </c>
      <c r="C3303" s="2" t="s">
        <v>468</v>
      </c>
      <c r="D3303" s="2">
        <v>7.7</v>
      </c>
      <c r="E3303" s="2">
        <v>2020.0</v>
      </c>
      <c r="F3303" s="2" t="s">
        <v>10</v>
      </c>
      <c r="G3303" s="2" t="s">
        <v>10</v>
      </c>
    </row>
    <row r="3304" ht="14.25" customHeight="1">
      <c r="A3304" s="1" t="s">
        <v>2837</v>
      </c>
      <c r="B3304" s="1" t="s">
        <v>8</v>
      </c>
      <c r="C3304" s="2" t="s">
        <v>53</v>
      </c>
      <c r="D3304" s="2">
        <v>7.7</v>
      </c>
      <c r="E3304" s="2">
        <v>2021.0</v>
      </c>
      <c r="F3304" s="2" t="s">
        <v>10</v>
      </c>
      <c r="G3304" s="2">
        <v>8910000.0</v>
      </c>
    </row>
    <row r="3305" ht="14.25" customHeight="1">
      <c r="A3305" s="1" t="s">
        <v>2837</v>
      </c>
      <c r="B3305" s="1" t="s">
        <v>8</v>
      </c>
      <c r="C3305" s="2" t="s">
        <v>53</v>
      </c>
      <c r="D3305" s="2">
        <v>7.7</v>
      </c>
      <c r="E3305" s="2">
        <v>2021.0</v>
      </c>
      <c r="F3305" s="2" t="s">
        <v>10</v>
      </c>
      <c r="G3305" s="2">
        <v>1.29E7</v>
      </c>
    </row>
    <row r="3306" ht="14.25" customHeight="1">
      <c r="A3306" s="1" t="s">
        <v>2837</v>
      </c>
      <c r="B3306" s="1" t="s">
        <v>8</v>
      </c>
      <c r="C3306" s="2" t="s">
        <v>53</v>
      </c>
      <c r="D3306" s="2">
        <v>7.7</v>
      </c>
      <c r="E3306" s="2">
        <v>2021.0</v>
      </c>
      <c r="F3306" s="2" t="s">
        <v>10</v>
      </c>
      <c r="G3306" s="2">
        <v>2.072E7</v>
      </c>
    </row>
    <row r="3307" ht="14.25" customHeight="1">
      <c r="A3307" s="1" t="s">
        <v>2837</v>
      </c>
      <c r="B3307" s="1" t="s">
        <v>8</v>
      </c>
      <c r="C3307" s="2" t="s">
        <v>53</v>
      </c>
      <c r="D3307" s="2">
        <v>7.7</v>
      </c>
      <c r="E3307" s="2">
        <v>2021.0</v>
      </c>
      <c r="F3307" s="2" t="s">
        <v>10</v>
      </c>
      <c r="G3307" s="2">
        <v>3.03E7</v>
      </c>
    </row>
    <row r="3308" ht="14.25" customHeight="1">
      <c r="A3308" s="1" t="s">
        <v>2837</v>
      </c>
      <c r="B3308" s="1" t="s">
        <v>8</v>
      </c>
      <c r="C3308" s="2" t="s">
        <v>53</v>
      </c>
      <c r="D3308" s="2">
        <v>7.7</v>
      </c>
      <c r="E3308" s="2">
        <v>2021.0</v>
      </c>
      <c r="F3308" s="2" t="s">
        <v>10</v>
      </c>
      <c r="G3308" s="2">
        <v>3.138E7</v>
      </c>
    </row>
    <row r="3309" ht="14.25" customHeight="1">
      <c r="A3309" s="1" t="s">
        <v>2838</v>
      </c>
      <c r="B3309" s="1" t="s">
        <v>20</v>
      </c>
      <c r="C3309" s="2" t="s">
        <v>1982</v>
      </c>
      <c r="D3309" s="2">
        <v>7.7</v>
      </c>
      <c r="E3309" s="2">
        <v>1956.0</v>
      </c>
      <c r="F3309" s="2" t="s">
        <v>10</v>
      </c>
      <c r="G3309" s="2" t="s">
        <v>10</v>
      </c>
    </row>
    <row r="3310" ht="14.25" customHeight="1">
      <c r="A3310" s="1" t="s">
        <v>2839</v>
      </c>
      <c r="B3310" s="1" t="s">
        <v>20</v>
      </c>
      <c r="C3310" s="2" t="s">
        <v>433</v>
      </c>
      <c r="D3310" s="2">
        <v>7.7</v>
      </c>
      <c r="E3310" s="2">
        <v>1985.0</v>
      </c>
      <c r="F3310" s="2" t="s">
        <v>10</v>
      </c>
      <c r="G3310" s="2" t="s">
        <v>10</v>
      </c>
    </row>
    <row r="3311" ht="14.25" customHeight="1">
      <c r="A3311" s="1" t="s">
        <v>2840</v>
      </c>
      <c r="B3311" s="1" t="s">
        <v>20</v>
      </c>
      <c r="C3311" s="2" t="s">
        <v>530</v>
      </c>
      <c r="D3311" s="2">
        <v>7.7</v>
      </c>
      <c r="E3311" s="2">
        <v>2005.0</v>
      </c>
      <c r="F3311" s="2" t="s">
        <v>10</v>
      </c>
      <c r="G3311" s="2" t="s">
        <v>10</v>
      </c>
    </row>
    <row r="3312" ht="14.25" customHeight="1">
      <c r="A3312" s="1" t="s">
        <v>2841</v>
      </c>
      <c r="B3312" s="1" t="s">
        <v>8</v>
      </c>
      <c r="C3312" s="2" t="s">
        <v>305</v>
      </c>
      <c r="D3312" s="2">
        <v>7.7</v>
      </c>
      <c r="E3312" s="2">
        <v>2009.0</v>
      </c>
      <c r="F3312" s="2" t="s">
        <v>10</v>
      </c>
      <c r="G3312" s="2" t="s">
        <v>10</v>
      </c>
    </row>
    <row r="3313" ht="14.25" customHeight="1">
      <c r="A3313" s="1" t="s">
        <v>2842</v>
      </c>
      <c r="B3313" s="1" t="s">
        <v>20</v>
      </c>
      <c r="C3313" s="2" t="s">
        <v>291</v>
      </c>
      <c r="D3313" s="2">
        <v>7.7</v>
      </c>
      <c r="E3313" s="2">
        <v>1992.0</v>
      </c>
      <c r="F3313" s="2" t="s">
        <v>10</v>
      </c>
      <c r="G3313" s="2" t="s">
        <v>10</v>
      </c>
    </row>
    <row r="3314" ht="14.25" customHeight="1">
      <c r="A3314" s="1" t="s">
        <v>2843</v>
      </c>
      <c r="B3314" s="1" t="s">
        <v>8</v>
      </c>
      <c r="C3314" s="2" t="s">
        <v>69</v>
      </c>
      <c r="D3314" s="2">
        <v>7.7</v>
      </c>
      <c r="E3314" s="2">
        <v>2010.0</v>
      </c>
      <c r="F3314" s="2" t="s">
        <v>10</v>
      </c>
      <c r="G3314" s="2" t="s">
        <v>10</v>
      </c>
    </row>
    <row r="3315" ht="14.25" customHeight="1">
      <c r="A3315" s="1" t="s">
        <v>2844</v>
      </c>
      <c r="B3315" s="1" t="s">
        <v>20</v>
      </c>
      <c r="C3315" s="2" t="s">
        <v>1709</v>
      </c>
      <c r="D3315" s="2">
        <v>7.7</v>
      </c>
      <c r="E3315" s="2">
        <v>1991.0</v>
      </c>
      <c r="F3315" s="2" t="s">
        <v>10</v>
      </c>
      <c r="G3315" s="2" t="s">
        <v>10</v>
      </c>
    </row>
    <row r="3316" ht="14.25" customHeight="1">
      <c r="A3316" s="1" t="s">
        <v>2845</v>
      </c>
      <c r="B3316" s="1" t="s">
        <v>20</v>
      </c>
      <c r="C3316" s="2" t="s">
        <v>613</v>
      </c>
      <c r="D3316" s="2">
        <v>7.7</v>
      </c>
      <c r="E3316" s="2">
        <v>1975.0</v>
      </c>
      <c r="F3316" s="2" t="s">
        <v>10</v>
      </c>
      <c r="G3316" s="2" t="s">
        <v>10</v>
      </c>
    </row>
    <row r="3317" ht="14.25" customHeight="1">
      <c r="A3317" s="1" t="s">
        <v>2846</v>
      </c>
      <c r="B3317" s="1" t="s">
        <v>8</v>
      </c>
      <c r="C3317" s="2" t="s">
        <v>639</v>
      </c>
      <c r="D3317" s="2">
        <v>7.7</v>
      </c>
      <c r="E3317" s="2">
        <v>2024.0</v>
      </c>
      <c r="F3317" s="2">
        <v>2017.0</v>
      </c>
      <c r="G3317" s="2" t="s">
        <v>10</v>
      </c>
    </row>
    <row r="3318" ht="14.25" customHeight="1">
      <c r="A3318" s="1" t="s">
        <v>2847</v>
      </c>
      <c r="B3318" s="1" t="s">
        <v>8</v>
      </c>
      <c r="C3318" s="2" t="s">
        <v>231</v>
      </c>
      <c r="D3318" s="2">
        <v>7.7</v>
      </c>
      <c r="E3318" s="2">
        <v>2009.0</v>
      </c>
      <c r="F3318" s="2" t="s">
        <v>10</v>
      </c>
      <c r="G3318" s="2" t="s">
        <v>10</v>
      </c>
    </row>
    <row r="3319" ht="14.25" customHeight="1">
      <c r="A3319" s="1" t="s">
        <v>2848</v>
      </c>
      <c r="B3319" s="1" t="s">
        <v>20</v>
      </c>
      <c r="C3319" s="2" t="s">
        <v>69</v>
      </c>
      <c r="D3319" s="2">
        <v>7.7</v>
      </c>
      <c r="E3319" s="2">
        <v>1989.0</v>
      </c>
      <c r="F3319" s="2">
        <v>2017.0</v>
      </c>
      <c r="G3319" s="2">
        <v>7100000.0</v>
      </c>
    </row>
    <row r="3320" ht="14.25" customHeight="1">
      <c r="A3320" s="1" t="s">
        <v>2848</v>
      </c>
      <c r="B3320" s="1" t="s">
        <v>20</v>
      </c>
      <c r="C3320" s="2" t="s">
        <v>69</v>
      </c>
      <c r="D3320" s="2">
        <v>7.7</v>
      </c>
      <c r="E3320" s="2">
        <v>1989.0</v>
      </c>
      <c r="F3320" s="2">
        <v>2017.0</v>
      </c>
      <c r="G3320" s="2">
        <v>1.75E7</v>
      </c>
    </row>
    <row r="3321" ht="14.25" customHeight="1">
      <c r="A3321" s="1" t="s">
        <v>2848</v>
      </c>
      <c r="B3321" s="1" t="s">
        <v>20</v>
      </c>
      <c r="C3321" s="2" t="s">
        <v>69</v>
      </c>
      <c r="D3321" s="2">
        <v>7.7</v>
      </c>
      <c r="E3321" s="2">
        <v>1989.0</v>
      </c>
      <c r="F3321" s="2">
        <v>2017.0</v>
      </c>
      <c r="G3321" s="2">
        <v>4.45E7</v>
      </c>
    </row>
    <row r="3322" ht="14.25" customHeight="1">
      <c r="A3322" s="1" t="s">
        <v>2848</v>
      </c>
      <c r="B3322" s="1" t="s">
        <v>20</v>
      </c>
      <c r="C3322" s="2" t="s">
        <v>69</v>
      </c>
      <c r="D3322" s="2">
        <v>7.7</v>
      </c>
      <c r="E3322" s="2">
        <v>1989.0</v>
      </c>
      <c r="F3322" s="2">
        <v>2017.0</v>
      </c>
      <c r="G3322" s="2">
        <v>5.57E7</v>
      </c>
    </row>
    <row r="3323" ht="14.25" customHeight="1">
      <c r="A3323" s="1" t="s">
        <v>2849</v>
      </c>
      <c r="B3323" s="1" t="s">
        <v>20</v>
      </c>
      <c r="C3323" s="2" t="s">
        <v>222</v>
      </c>
      <c r="D3323" s="2">
        <v>7.7</v>
      </c>
      <c r="E3323" s="2">
        <v>2013.0</v>
      </c>
      <c r="F3323" s="2" t="s">
        <v>10</v>
      </c>
      <c r="G3323" s="2" t="s">
        <v>10</v>
      </c>
    </row>
    <row r="3324" ht="14.25" customHeight="1">
      <c r="A3324" s="1" t="s">
        <v>2850</v>
      </c>
      <c r="B3324" s="1" t="s">
        <v>8</v>
      </c>
      <c r="C3324" s="2" t="s">
        <v>53</v>
      </c>
      <c r="D3324" s="2">
        <v>7.7</v>
      </c>
      <c r="E3324" s="2">
        <v>2010.0</v>
      </c>
      <c r="F3324" s="2" t="s">
        <v>10</v>
      </c>
      <c r="G3324" s="2" t="s">
        <v>10</v>
      </c>
    </row>
    <row r="3325" ht="14.25" customHeight="1">
      <c r="A3325" s="1" t="s">
        <v>1628</v>
      </c>
      <c r="B3325" s="1" t="s">
        <v>8</v>
      </c>
      <c r="C3325" s="2" t="s">
        <v>822</v>
      </c>
      <c r="D3325" s="2">
        <v>7.7</v>
      </c>
      <c r="E3325" s="2">
        <v>2015.0</v>
      </c>
      <c r="F3325" s="2" t="s">
        <v>10</v>
      </c>
      <c r="G3325" s="2" t="s">
        <v>10</v>
      </c>
    </row>
    <row r="3326" ht="14.25" customHeight="1">
      <c r="A3326" s="1" t="s">
        <v>2851</v>
      </c>
      <c r="B3326" s="1" t="s">
        <v>20</v>
      </c>
      <c r="C3326" s="2" t="s">
        <v>78</v>
      </c>
      <c r="D3326" s="2">
        <v>7.7</v>
      </c>
      <c r="E3326" s="2">
        <v>1973.0</v>
      </c>
      <c r="F3326" s="2" t="s">
        <v>10</v>
      </c>
      <c r="G3326" s="2" t="s">
        <v>10</v>
      </c>
    </row>
    <row r="3327" ht="14.25" customHeight="1">
      <c r="A3327" s="1" t="s">
        <v>2852</v>
      </c>
      <c r="B3327" s="1" t="s">
        <v>20</v>
      </c>
      <c r="C3327" s="2" t="s">
        <v>616</v>
      </c>
      <c r="D3327" s="2">
        <v>7.7</v>
      </c>
      <c r="E3327" s="2">
        <v>1988.0</v>
      </c>
      <c r="F3327" s="2" t="s">
        <v>10</v>
      </c>
      <c r="G3327" s="2">
        <v>7030000.0</v>
      </c>
    </row>
    <row r="3328" ht="14.25" customHeight="1">
      <c r="A3328" s="1" t="s">
        <v>2853</v>
      </c>
      <c r="B3328" s="1" t="s">
        <v>20</v>
      </c>
      <c r="C3328" s="2" t="s">
        <v>18</v>
      </c>
      <c r="D3328" s="2">
        <v>7.7</v>
      </c>
      <c r="E3328" s="2">
        <v>1982.0</v>
      </c>
      <c r="F3328" s="2" t="s">
        <v>10</v>
      </c>
      <c r="G3328" s="2" t="s">
        <v>10</v>
      </c>
    </row>
    <row r="3329" ht="14.25" customHeight="1">
      <c r="A3329" s="1" t="s">
        <v>2854</v>
      </c>
      <c r="B3329" s="1" t="s">
        <v>8</v>
      </c>
      <c r="C3329" s="2" t="s">
        <v>55</v>
      </c>
      <c r="D3329" s="2">
        <v>7.7</v>
      </c>
      <c r="E3329" s="2">
        <v>2001.0</v>
      </c>
      <c r="F3329" s="2" t="s">
        <v>10</v>
      </c>
      <c r="G3329" s="2" t="s">
        <v>10</v>
      </c>
    </row>
    <row r="3330" ht="14.25" customHeight="1">
      <c r="A3330" s="1" t="s">
        <v>2855</v>
      </c>
      <c r="B3330" s="1" t="s">
        <v>20</v>
      </c>
      <c r="C3330" s="2" t="s">
        <v>118</v>
      </c>
      <c r="D3330" s="2">
        <v>7.7</v>
      </c>
      <c r="E3330" s="2">
        <v>2012.0</v>
      </c>
      <c r="F3330" s="2" t="s">
        <v>10</v>
      </c>
      <c r="G3330" s="2" t="s">
        <v>10</v>
      </c>
    </row>
    <row r="3331" ht="14.25" customHeight="1">
      <c r="A3331" s="1" t="s">
        <v>2856</v>
      </c>
      <c r="B3331" s="1" t="s">
        <v>20</v>
      </c>
      <c r="C3331" s="2" t="s">
        <v>63</v>
      </c>
      <c r="D3331" s="2">
        <v>7.7</v>
      </c>
      <c r="E3331" s="2">
        <v>1993.0</v>
      </c>
      <c r="F3331" s="2">
        <v>2017.0</v>
      </c>
      <c r="G3331" s="2" t="s">
        <v>10</v>
      </c>
    </row>
    <row r="3332" ht="14.25" customHeight="1">
      <c r="A3332" s="1" t="s">
        <v>2857</v>
      </c>
      <c r="B3332" s="1" t="s">
        <v>20</v>
      </c>
      <c r="C3332" s="2" t="s">
        <v>154</v>
      </c>
      <c r="D3332" s="2">
        <v>7.7</v>
      </c>
      <c r="E3332" s="2">
        <v>1962.0</v>
      </c>
      <c r="F3332" s="2" t="s">
        <v>10</v>
      </c>
      <c r="G3332" s="2" t="s">
        <v>10</v>
      </c>
    </row>
    <row r="3333" ht="14.25" customHeight="1">
      <c r="A3333" s="1" t="s">
        <v>2858</v>
      </c>
      <c r="B3333" s="1" t="s">
        <v>20</v>
      </c>
      <c r="C3333" s="2" t="s">
        <v>69</v>
      </c>
      <c r="D3333" s="2">
        <v>7.7</v>
      </c>
      <c r="E3333" s="2">
        <v>1948.0</v>
      </c>
      <c r="F3333" s="2" t="s">
        <v>10</v>
      </c>
      <c r="G3333" s="2" t="s">
        <v>10</v>
      </c>
    </row>
    <row r="3334" ht="14.25" customHeight="1">
      <c r="A3334" s="1" t="s">
        <v>2859</v>
      </c>
      <c r="B3334" s="1" t="s">
        <v>20</v>
      </c>
      <c r="C3334" s="2" t="s">
        <v>18</v>
      </c>
      <c r="D3334" s="2">
        <v>7.7</v>
      </c>
      <c r="E3334" s="2">
        <v>2002.0</v>
      </c>
      <c r="F3334" s="2" t="s">
        <v>10</v>
      </c>
      <c r="G3334" s="2" t="s">
        <v>10</v>
      </c>
    </row>
    <row r="3335" ht="14.25" customHeight="1">
      <c r="A3335" s="1" t="s">
        <v>2860</v>
      </c>
      <c r="B3335" s="1" t="s">
        <v>8</v>
      </c>
      <c r="C3335" s="2" t="s">
        <v>305</v>
      </c>
      <c r="D3335" s="2">
        <v>7.7</v>
      </c>
      <c r="E3335" s="2">
        <v>2004.0</v>
      </c>
      <c r="F3335" s="2" t="s">
        <v>10</v>
      </c>
      <c r="G3335" s="2" t="s">
        <v>10</v>
      </c>
    </row>
    <row r="3336" ht="14.25" customHeight="1">
      <c r="A3336" s="1" t="s">
        <v>2861</v>
      </c>
      <c r="B3336" s="1" t="s">
        <v>8</v>
      </c>
      <c r="C3336" s="2" t="s">
        <v>507</v>
      </c>
      <c r="D3336" s="2">
        <v>7.7</v>
      </c>
      <c r="E3336" s="2">
        <v>2006.0</v>
      </c>
      <c r="F3336" s="2" t="s">
        <v>10</v>
      </c>
      <c r="G3336" s="2" t="s">
        <v>10</v>
      </c>
    </row>
    <row r="3337" ht="14.25" customHeight="1">
      <c r="A3337" s="1" t="s">
        <v>2862</v>
      </c>
      <c r="B3337" s="1" t="s">
        <v>20</v>
      </c>
      <c r="C3337" s="2" t="s">
        <v>411</v>
      </c>
      <c r="D3337" s="2">
        <v>7.7</v>
      </c>
      <c r="E3337" s="2">
        <v>2012.0</v>
      </c>
      <c r="F3337" s="2" t="s">
        <v>10</v>
      </c>
      <c r="G3337" s="2" t="s">
        <v>10</v>
      </c>
    </row>
    <row r="3338" ht="14.25" customHeight="1">
      <c r="A3338" s="1" t="s">
        <v>2863</v>
      </c>
      <c r="B3338" s="1" t="s">
        <v>20</v>
      </c>
      <c r="C3338" s="2" t="s">
        <v>112</v>
      </c>
      <c r="D3338" s="2">
        <v>7.7</v>
      </c>
      <c r="E3338" s="2">
        <v>1964.0</v>
      </c>
      <c r="F3338" s="2" t="s">
        <v>10</v>
      </c>
      <c r="G3338" s="2" t="s">
        <v>10</v>
      </c>
    </row>
    <row r="3339" ht="14.25" customHeight="1">
      <c r="A3339" s="1" t="s">
        <v>2864</v>
      </c>
      <c r="B3339" s="1" t="s">
        <v>20</v>
      </c>
      <c r="C3339" s="2" t="s">
        <v>187</v>
      </c>
      <c r="D3339" s="2">
        <v>7.7</v>
      </c>
      <c r="E3339" s="2">
        <v>1952.0</v>
      </c>
      <c r="F3339" s="2" t="s">
        <v>10</v>
      </c>
      <c r="G3339" s="2" t="s">
        <v>10</v>
      </c>
    </row>
    <row r="3340" ht="14.25" customHeight="1">
      <c r="A3340" s="1" t="s">
        <v>2865</v>
      </c>
      <c r="B3340" s="1" t="s">
        <v>20</v>
      </c>
      <c r="C3340" s="2" t="s">
        <v>299</v>
      </c>
      <c r="D3340" s="2">
        <v>7.7</v>
      </c>
      <c r="E3340" s="2">
        <v>2010.0</v>
      </c>
      <c r="F3340" s="2" t="s">
        <v>10</v>
      </c>
      <c r="G3340" s="2" t="s">
        <v>10</v>
      </c>
    </row>
    <row r="3341" ht="14.25" customHeight="1">
      <c r="A3341" s="1" t="s">
        <v>2457</v>
      </c>
      <c r="B3341" s="1" t="s">
        <v>20</v>
      </c>
      <c r="C3341" s="2" t="s">
        <v>18</v>
      </c>
      <c r="D3341" s="2">
        <v>7.7</v>
      </c>
      <c r="E3341" s="2">
        <v>2003.0</v>
      </c>
      <c r="F3341" s="2">
        <v>2019.0</v>
      </c>
      <c r="G3341" s="2" t="s">
        <v>10</v>
      </c>
    </row>
    <row r="3342" ht="14.25" customHeight="1">
      <c r="A3342" s="1" t="s">
        <v>2866</v>
      </c>
      <c r="B3342" s="1" t="s">
        <v>20</v>
      </c>
      <c r="C3342" s="2" t="s">
        <v>18</v>
      </c>
      <c r="D3342" s="2">
        <v>7.7</v>
      </c>
      <c r="E3342" s="2">
        <v>1996.0</v>
      </c>
      <c r="F3342" s="2" t="s">
        <v>10</v>
      </c>
      <c r="G3342" s="2" t="s">
        <v>10</v>
      </c>
    </row>
    <row r="3343" ht="14.25" customHeight="1">
      <c r="A3343" s="1" t="s">
        <v>2867</v>
      </c>
      <c r="B3343" s="1" t="s">
        <v>8</v>
      </c>
      <c r="C3343" s="2" t="s">
        <v>25</v>
      </c>
      <c r="D3343" s="2">
        <v>7.7</v>
      </c>
      <c r="E3343" s="2">
        <v>2014.0</v>
      </c>
      <c r="F3343" s="2">
        <v>2021.0</v>
      </c>
      <c r="G3343" s="2">
        <v>1.342E7</v>
      </c>
    </row>
    <row r="3344" ht="14.25" customHeight="1">
      <c r="A3344" s="1" t="s">
        <v>2867</v>
      </c>
      <c r="B3344" s="1" t="s">
        <v>8</v>
      </c>
      <c r="C3344" s="2" t="s">
        <v>25</v>
      </c>
      <c r="D3344" s="2">
        <v>7.7</v>
      </c>
      <c r="E3344" s="2">
        <v>2014.0</v>
      </c>
      <c r="F3344" s="2">
        <v>2021.0</v>
      </c>
      <c r="G3344" s="2">
        <v>1.402E7</v>
      </c>
    </row>
    <row r="3345" ht="14.25" customHeight="1">
      <c r="A3345" s="1" t="s">
        <v>2867</v>
      </c>
      <c r="B3345" s="1" t="s">
        <v>8</v>
      </c>
      <c r="C3345" s="2" t="s">
        <v>25</v>
      </c>
      <c r="D3345" s="2">
        <v>7.7</v>
      </c>
      <c r="E3345" s="2">
        <v>2014.0</v>
      </c>
      <c r="F3345" s="2">
        <v>2021.0</v>
      </c>
      <c r="G3345" s="2">
        <v>1.011E7</v>
      </c>
    </row>
    <row r="3346" ht="14.25" customHeight="1">
      <c r="A3346" s="1" t="s">
        <v>2867</v>
      </c>
      <c r="B3346" s="1" t="s">
        <v>8</v>
      </c>
      <c r="C3346" s="2" t="s">
        <v>25</v>
      </c>
      <c r="D3346" s="2">
        <v>7.7</v>
      </c>
      <c r="E3346" s="2">
        <v>2014.0</v>
      </c>
      <c r="F3346" s="2">
        <v>2021.0</v>
      </c>
      <c r="G3346" s="2">
        <v>3.324E7</v>
      </c>
    </row>
    <row r="3347" ht="14.25" customHeight="1">
      <c r="A3347" s="1" t="s">
        <v>2868</v>
      </c>
      <c r="B3347" s="1" t="s">
        <v>20</v>
      </c>
      <c r="C3347" s="2" t="s">
        <v>18</v>
      </c>
      <c r="D3347" s="2">
        <v>7.7</v>
      </c>
      <c r="E3347" s="2">
        <v>1997.0</v>
      </c>
      <c r="F3347" s="2" t="s">
        <v>10</v>
      </c>
      <c r="G3347" s="2" t="s">
        <v>10</v>
      </c>
    </row>
    <row r="3348" ht="14.25" customHeight="1">
      <c r="A3348" s="1" t="s">
        <v>2869</v>
      </c>
      <c r="B3348" s="1" t="s">
        <v>20</v>
      </c>
      <c r="C3348" s="2" t="s">
        <v>1095</v>
      </c>
      <c r="D3348" s="2">
        <v>7.7</v>
      </c>
      <c r="E3348" s="2">
        <v>1973.0</v>
      </c>
      <c r="F3348" s="2" t="s">
        <v>10</v>
      </c>
      <c r="G3348" s="2" t="s">
        <v>10</v>
      </c>
    </row>
    <row r="3349" ht="14.25" customHeight="1">
      <c r="A3349" s="1" t="s">
        <v>2870</v>
      </c>
      <c r="B3349" s="1" t="s">
        <v>8</v>
      </c>
      <c r="C3349" s="2" t="s">
        <v>154</v>
      </c>
      <c r="D3349" s="2">
        <v>7.7</v>
      </c>
      <c r="E3349" s="2">
        <v>2021.0</v>
      </c>
      <c r="F3349" s="2">
        <v>2021.0</v>
      </c>
      <c r="G3349" s="2">
        <v>1.18E7</v>
      </c>
    </row>
    <row r="3350" ht="14.25" customHeight="1">
      <c r="A3350" s="1" t="s">
        <v>2870</v>
      </c>
      <c r="B3350" s="1" t="s">
        <v>8</v>
      </c>
      <c r="C3350" s="2" t="s">
        <v>154</v>
      </c>
      <c r="D3350" s="2">
        <v>7.7</v>
      </c>
      <c r="E3350" s="2">
        <v>2021.0</v>
      </c>
      <c r="F3350" s="2">
        <v>2021.0</v>
      </c>
      <c r="G3350" s="2">
        <v>1.611E7</v>
      </c>
    </row>
    <row r="3351" ht="14.25" customHeight="1">
      <c r="A3351" s="1" t="s">
        <v>2870</v>
      </c>
      <c r="B3351" s="1" t="s">
        <v>8</v>
      </c>
      <c r="C3351" s="2" t="s">
        <v>154</v>
      </c>
      <c r="D3351" s="2">
        <v>7.7</v>
      </c>
      <c r="E3351" s="2">
        <v>2021.0</v>
      </c>
      <c r="F3351" s="2">
        <v>2021.0</v>
      </c>
      <c r="G3351" s="2">
        <v>2.314E7</v>
      </c>
    </row>
    <row r="3352" ht="14.25" customHeight="1">
      <c r="A3352" s="1" t="s">
        <v>2870</v>
      </c>
      <c r="B3352" s="1" t="s">
        <v>8</v>
      </c>
      <c r="C3352" s="2" t="s">
        <v>154</v>
      </c>
      <c r="D3352" s="2">
        <v>7.7</v>
      </c>
      <c r="E3352" s="2">
        <v>2021.0</v>
      </c>
      <c r="F3352" s="2">
        <v>2021.0</v>
      </c>
      <c r="G3352" s="2">
        <v>3.19E7</v>
      </c>
    </row>
    <row r="3353" ht="14.25" customHeight="1">
      <c r="A3353" s="1" t="s">
        <v>2870</v>
      </c>
      <c r="B3353" s="1" t="s">
        <v>8</v>
      </c>
      <c r="C3353" s="2" t="s">
        <v>154</v>
      </c>
      <c r="D3353" s="2">
        <v>7.7</v>
      </c>
      <c r="E3353" s="2">
        <v>2021.0</v>
      </c>
      <c r="F3353" s="2">
        <v>2021.0</v>
      </c>
      <c r="G3353" s="2">
        <v>5.432E7</v>
      </c>
    </row>
    <row r="3354" ht="14.25" customHeight="1">
      <c r="A3354" s="1" t="s">
        <v>2870</v>
      </c>
      <c r="B3354" s="1" t="s">
        <v>8</v>
      </c>
      <c r="C3354" s="2" t="s">
        <v>154</v>
      </c>
      <c r="D3354" s="2">
        <v>7.7</v>
      </c>
      <c r="E3354" s="2">
        <v>2021.0</v>
      </c>
      <c r="F3354" s="2">
        <v>2021.0</v>
      </c>
      <c r="G3354" s="2">
        <v>1.65E7</v>
      </c>
    </row>
    <row r="3355" ht="14.25" customHeight="1">
      <c r="A3355" s="1" t="s">
        <v>2870</v>
      </c>
      <c r="B3355" s="1" t="s">
        <v>8</v>
      </c>
      <c r="C3355" s="2" t="s">
        <v>154</v>
      </c>
      <c r="D3355" s="2">
        <v>7.7</v>
      </c>
      <c r="E3355" s="2">
        <v>2021.0</v>
      </c>
      <c r="F3355" s="2">
        <v>2021.0</v>
      </c>
      <c r="G3355" s="2">
        <v>4.349E7</v>
      </c>
    </row>
    <row r="3356" ht="14.25" customHeight="1">
      <c r="A3356" s="1" t="s">
        <v>2870</v>
      </c>
      <c r="B3356" s="1" t="s">
        <v>8</v>
      </c>
      <c r="C3356" s="2" t="s">
        <v>154</v>
      </c>
      <c r="D3356" s="2">
        <v>7.7</v>
      </c>
      <c r="E3356" s="2">
        <v>2021.0</v>
      </c>
      <c r="F3356" s="2">
        <v>2021.0</v>
      </c>
      <c r="G3356" s="2">
        <v>1.277E7</v>
      </c>
    </row>
    <row r="3357" ht="14.25" customHeight="1">
      <c r="A3357" s="1" t="s">
        <v>2870</v>
      </c>
      <c r="B3357" s="1" t="s">
        <v>8</v>
      </c>
      <c r="C3357" s="2" t="s">
        <v>154</v>
      </c>
      <c r="D3357" s="2">
        <v>7.7</v>
      </c>
      <c r="E3357" s="2">
        <v>2021.0</v>
      </c>
      <c r="F3357" s="2">
        <v>2021.0</v>
      </c>
      <c r="G3357" s="2">
        <v>1.42E7</v>
      </c>
    </row>
    <row r="3358" ht="14.25" customHeight="1">
      <c r="A3358" s="1" t="s">
        <v>2870</v>
      </c>
      <c r="B3358" s="1" t="s">
        <v>8</v>
      </c>
      <c r="C3358" s="2" t="s">
        <v>154</v>
      </c>
      <c r="D3358" s="2">
        <v>7.7</v>
      </c>
      <c r="E3358" s="2">
        <v>2021.0</v>
      </c>
      <c r="F3358" s="2">
        <v>2021.0</v>
      </c>
      <c r="G3358" s="2">
        <v>2.657E7</v>
      </c>
    </row>
    <row r="3359" ht="14.25" customHeight="1">
      <c r="A3359" s="1" t="s">
        <v>2870</v>
      </c>
      <c r="B3359" s="1" t="s">
        <v>8</v>
      </c>
      <c r="C3359" s="2" t="s">
        <v>154</v>
      </c>
      <c r="D3359" s="2">
        <v>7.7</v>
      </c>
      <c r="E3359" s="2">
        <v>2021.0</v>
      </c>
      <c r="F3359" s="2">
        <v>2021.0</v>
      </c>
      <c r="G3359" s="2">
        <v>1.066E7</v>
      </c>
    </row>
    <row r="3360" ht="14.25" customHeight="1">
      <c r="A3360" s="1" t="s">
        <v>2870</v>
      </c>
      <c r="B3360" s="1" t="s">
        <v>8</v>
      </c>
      <c r="C3360" s="2" t="s">
        <v>154</v>
      </c>
      <c r="D3360" s="2">
        <v>7.7</v>
      </c>
      <c r="E3360" s="2">
        <v>2021.0</v>
      </c>
      <c r="F3360" s="2">
        <v>2021.0</v>
      </c>
      <c r="G3360" s="2">
        <v>5.035E7</v>
      </c>
    </row>
    <row r="3361" ht="14.25" customHeight="1">
      <c r="A3361" s="1" t="s">
        <v>2870</v>
      </c>
      <c r="B3361" s="1" t="s">
        <v>8</v>
      </c>
      <c r="C3361" s="2" t="s">
        <v>154</v>
      </c>
      <c r="D3361" s="2">
        <v>7.7</v>
      </c>
      <c r="E3361" s="2">
        <v>2021.0</v>
      </c>
      <c r="F3361" s="2">
        <v>2021.0</v>
      </c>
      <c r="G3361" s="2">
        <v>2.094E7</v>
      </c>
    </row>
    <row r="3362" ht="14.25" customHeight="1">
      <c r="A3362" s="1" t="s">
        <v>2870</v>
      </c>
      <c r="B3362" s="1" t="s">
        <v>8</v>
      </c>
      <c r="C3362" s="2" t="s">
        <v>154</v>
      </c>
      <c r="D3362" s="2">
        <v>7.7</v>
      </c>
      <c r="E3362" s="2">
        <v>2021.0</v>
      </c>
      <c r="F3362" s="2">
        <v>2021.0</v>
      </c>
      <c r="G3362" s="2">
        <v>2.901E7</v>
      </c>
    </row>
    <row r="3363" ht="14.25" customHeight="1">
      <c r="A3363" s="1" t="s">
        <v>2871</v>
      </c>
      <c r="B3363" s="1" t="s">
        <v>20</v>
      </c>
      <c r="C3363" s="2" t="s">
        <v>80</v>
      </c>
      <c r="D3363" s="2">
        <v>7.7</v>
      </c>
      <c r="E3363" s="2">
        <v>1966.0</v>
      </c>
      <c r="F3363" s="2" t="s">
        <v>10</v>
      </c>
      <c r="G3363" s="2" t="s">
        <v>10</v>
      </c>
    </row>
    <row r="3364" ht="14.25" customHeight="1">
      <c r="A3364" s="1" t="s">
        <v>2872</v>
      </c>
      <c r="B3364" s="1" t="s">
        <v>20</v>
      </c>
      <c r="C3364" s="2" t="s">
        <v>361</v>
      </c>
      <c r="D3364" s="2">
        <v>7.7</v>
      </c>
      <c r="E3364" s="2">
        <v>2001.0</v>
      </c>
      <c r="F3364" s="2" t="s">
        <v>10</v>
      </c>
      <c r="G3364" s="2" t="s">
        <v>10</v>
      </c>
    </row>
    <row r="3365" ht="14.25" customHeight="1">
      <c r="A3365" s="1" t="s">
        <v>2873</v>
      </c>
      <c r="B3365" s="1" t="s">
        <v>20</v>
      </c>
      <c r="C3365" s="2" t="s">
        <v>18</v>
      </c>
      <c r="D3365" s="2">
        <v>7.7</v>
      </c>
      <c r="E3365" s="2">
        <v>2006.0</v>
      </c>
      <c r="F3365" s="2" t="s">
        <v>10</v>
      </c>
      <c r="G3365" s="2" t="s">
        <v>10</v>
      </c>
    </row>
    <row r="3366" ht="14.25" customHeight="1">
      <c r="A3366" s="1" t="s">
        <v>2874</v>
      </c>
      <c r="B3366" s="1" t="s">
        <v>8</v>
      </c>
      <c r="C3366" s="2" t="s">
        <v>40</v>
      </c>
      <c r="D3366" s="2">
        <v>7.7</v>
      </c>
      <c r="E3366" s="2">
        <v>2023.0</v>
      </c>
      <c r="F3366" s="2" t="s">
        <v>10</v>
      </c>
      <c r="G3366" s="2" t="s">
        <v>10</v>
      </c>
    </row>
    <row r="3367" ht="14.25" customHeight="1">
      <c r="A3367" s="1" t="s">
        <v>2875</v>
      </c>
      <c r="B3367" s="1" t="s">
        <v>20</v>
      </c>
      <c r="C3367" s="2" t="s">
        <v>611</v>
      </c>
      <c r="D3367" s="2">
        <v>7.7</v>
      </c>
      <c r="E3367" s="2">
        <v>2000.0</v>
      </c>
      <c r="F3367" s="2" t="s">
        <v>10</v>
      </c>
      <c r="G3367" s="2" t="s">
        <v>10</v>
      </c>
    </row>
    <row r="3368" ht="14.25" customHeight="1">
      <c r="A3368" s="1" t="s">
        <v>2876</v>
      </c>
      <c r="B3368" s="1" t="s">
        <v>20</v>
      </c>
      <c r="C3368" s="2" t="s">
        <v>154</v>
      </c>
      <c r="D3368" s="2">
        <v>7.7</v>
      </c>
      <c r="E3368" s="2">
        <v>1997.0</v>
      </c>
      <c r="F3368" s="2" t="s">
        <v>10</v>
      </c>
      <c r="G3368" s="2" t="s">
        <v>10</v>
      </c>
    </row>
    <row r="3369" ht="14.25" customHeight="1">
      <c r="A3369" s="1" t="s">
        <v>2877</v>
      </c>
      <c r="B3369" s="1" t="s">
        <v>20</v>
      </c>
      <c r="C3369" s="2" t="s">
        <v>249</v>
      </c>
      <c r="D3369" s="2">
        <v>7.7</v>
      </c>
      <c r="E3369" s="2">
        <v>1948.0</v>
      </c>
      <c r="F3369" s="2" t="s">
        <v>10</v>
      </c>
      <c r="G3369" s="2" t="s">
        <v>10</v>
      </c>
    </row>
    <row r="3370" ht="14.25" customHeight="1">
      <c r="A3370" s="1" t="s">
        <v>2878</v>
      </c>
      <c r="B3370" s="1" t="s">
        <v>20</v>
      </c>
      <c r="C3370" s="2" t="s">
        <v>1567</v>
      </c>
      <c r="D3370" s="2">
        <v>7.7</v>
      </c>
      <c r="E3370" s="2">
        <v>1967.0</v>
      </c>
      <c r="F3370" s="2" t="s">
        <v>10</v>
      </c>
      <c r="G3370" s="2" t="s">
        <v>10</v>
      </c>
    </row>
    <row r="3371" ht="14.25" customHeight="1">
      <c r="A3371" s="1" t="s">
        <v>2879</v>
      </c>
      <c r="B3371" s="1" t="s">
        <v>20</v>
      </c>
      <c r="C3371" s="2" t="s">
        <v>611</v>
      </c>
      <c r="D3371" s="2">
        <v>7.7</v>
      </c>
      <c r="E3371" s="2">
        <v>2018.0</v>
      </c>
      <c r="F3371" s="2" t="s">
        <v>10</v>
      </c>
      <c r="G3371" s="2" t="s">
        <v>10</v>
      </c>
    </row>
    <row r="3372" ht="14.25" customHeight="1">
      <c r="A3372" s="1" t="s">
        <v>2880</v>
      </c>
      <c r="B3372" s="1" t="s">
        <v>20</v>
      </c>
      <c r="C3372" s="2" t="s">
        <v>18</v>
      </c>
      <c r="D3372" s="2">
        <v>7.7</v>
      </c>
      <c r="E3372" s="2">
        <v>2007.0</v>
      </c>
      <c r="F3372" s="2" t="s">
        <v>10</v>
      </c>
      <c r="G3372" s="2" t="s">
        <v>10</v>
      </c>
    </row>
    <row r="3373" ht="14.25" customHeight="1">
      <c r="A3373" s="1" t="s">
        <v>2881</v>
      </c>
      <c r="B3373" s="1" t="s">
        <v>20</v>
      </c>
      <c r="C3373" s="2" t="s">
        <v>621</v>
      </c>
      <c r="D3373" s="2">
        <v>7.7</v>
      </c>
      <c r="E3373" s="2">
        <v>1961.0</v>
      </c>
      <c r="F3373" s="2">
        <v>2018.0</v>
      </c>
      <c r="G3373" s="2" t="s">
        <v>10</v>
      </c>
    </row>
    <row r="3374" ht="14.25" customHeight="1">
      <c r="A3374" s="1" t="s">
        <v>2882</v>
      </c>
      <c r="B3374" s="1" t="s">
        <v>20</v>
      </c>
      <c r="C3374" s="2" t="s">
        <v>192</v>
      </c>
      <c r="D3374" s="2">
        <v>7.7</v>
      </c>
      <c r="E3374" s="2">
        <v>1997.0</v>
      </c>
      <c r="F3374" s="2">
        <v>2017.0</v>
      </c>
      <c r="G3374" s="2" t="s">
        <v>10</v>
      </c>
    </row>
    <row r="3375" ht="14.25" customHeight="1">
      <c r="A3375" s="1" t="s">
        <v>2883</v>
      </c>
      <c r="B3375" s="1" t="s">
        <v>20</v>
      </c>
      <c r="C3375" s="2" t="s">
        <v>1060</v>
      </c>
      <c r="D3375" s="2">
        <v>7.7</v>
      </c>
      <c r="E3375" s="2">
        <v>1960.0</v>
      </c>
      <c r="F3375" s="2" t="s">
        <v>10</v>
      </c>
      <c r="G3375" s="2" t="s">
        <v>10</v>
      </c>
    </row>
    <row r="3376" ht="14.25" customHeight="1">
      <c r="A3376" s="1" t="s">
        <v>2884</v>
      </c>
      <c r="B3376" s="1" t="s">
        <v>8</v>
      </c>
      <c r="C3376" s="2" t="s">
        <v>142</v>
      </c>
      <c r="D3376" s="2">
        <v>7.7</v>
      </c>
      <c r="E3376" s="2">
        <v>2019.0</v>
      </c>
      <c r="F3376" s="2">
        <v>2019.0</v>
      </c>
      <c r="G3376" s="2" t="s">
        <v>10</v>
      </c>
    </row>
    <row r="3377" ht="14.25" customHeight="1">
      <c r="A3377" s="1" t="s">
        <v>2885</v>
      </c>
      <c r="B3377" s="1" t="s">
        <v>20</v>
      </c>
      <c r="C3377" s="2" t="s">
        <v>25</v>
      </c>
      <c r="D3377" s="2">
        <v>7.7</v>
      </c>
      <c r="E3377" s="2">
        <v>2018.0</v>
      </c>
      <c r="F3377" s="2" t="s">
        <v>10</v>
      </c>
      <c r="G3377" s="2" t="s">
        <v>10</v>
      </c>
    </row>
    <row r="3378" ht="14.25" customHeight="1">
      <c r="A3378" s="1" t="s">
        <v>1106</v>
      </c>
      <c r="B3378" s="1" t="s">
        <v>8</v>
      </c>
      <c r="C3378" s="2" t="s">
        <v>55</v>
      </c>
      <c r="D3378" s="2">
        <v>7.7</v>
      </c>
      <c r="E3378" s="2">
        <v>2021.0</v>
      </c>
      <c r="F3378" s="2" t="s">
        <v>10</v>
      </c>
      <c r="G3378" s="2">
        <v>2.124E7</v>
      </c>
    </row>
    <row r="3379" ht="14.25" customHeight="1">
      <c r="A3379" s="1" t="s">
        <v>2886</v>
      </c>
      <c r="B3379" s="1" t="s">
        <v>20</v>
      </c>
      <c r="C3379" s="2" t="s">
        <v>299</v>
      </c>
      <c r="D3379" s="2">
        <v>7.7</v>
      </c>
      <c r="E3379" s="2">
        <v>1962.0</v>
      </c>
      <c r="F3379" s="2" t="s">
        <v>10</v>
      </c>
      <c r="G3379" s="2" t="s">
        <v>10</v>
      </c>
    </row>
    <row r="3380" ht="14.25" customHeight="1">
      <c r="A3380" s="1" t="s">
        <v>2887</v>
      </c>
      <c r="B3380" s="1" t="s">
        <v>8</v>
      </c>
      <c r="C3380" s="2" t="s">
        <v>32</v>
      </c>
      <c r="D3380" s="2">
        <v>7.7</v>
      </c>
      <c r="E3380" s="2">
        <v>2020.0</v>
      </c>
      <c r="F3380" s="2" t="s">
        <v>10</v>
      </c>
      <c r="G3380" s="2" t="s">
        <v>10</v>
      </c>
    </row>
    <row r="3381" ht="14.25" customHeight="1">
      <c r="A3381" s="1" t="s">
        <v>2888</v>
      </c>
      <c r="B3381" s="1" t="s">
        <v>20</v>
      </c>
      <c r="C3381" s="2" t="s">
        <v>36</v>
      </c>
      <c r="D3381" s="2">
        <v>7.7</v>
      </c>
      <c r="E3381" s="2">
        <v>2016.0</v>
      </c>
      <c r="F3381" s="2">
        <v>2016.0</v>
      </c>
      <c r="G3381" s="2" t="s">
        <v>10</v>
      </c>
    </row>
    <row r="3382" ht="14.25" customHeight="1">
      <c r="A3382" s="1" t="s">
        <v>2889</v>
      </c>
      <c r="B3382" s="1" t="s">
        <v>8</v>
      </c>
      <c r="C3382" s="2" t="s">
        <v>1375</v>
      </c>
      <c r="D3382" s="2">
        <v>7.7</v>
      </c>
      <c r="E3382" s="2">
        <v>2013.0</v>
      </c>
      <c r="F3382" s="2" t="s">
        <v>10</v>
      </c>
      <c r="G3382" s="2" t="s">
        <v>10</v>
      </c>
    </row>
    <row r="3383" ht="14.25" customHeight="1">
      <c r="A3383" s="1" t="s">
        <v>2890</v>
      </c>
      <c r="B3383" s="1" t="s">
        <v>20</v>
      </c>
      <c r="C3383" s="2" t="s">
        <v>53</v>
      </c>
      <c r="D3383" s="2">
        <v>7.7</v>
      </c>
      <c r="E3383" s="2">
        <v>2019.0</v>
      </c>
      <c r="F3383" s="2">
        <v>2019.0</v>
      </c>
      <c r="G3383" s="2" t="s">
        <v>10</v>
      </c>
    </row>
    <row r="3384" ht="14.25" customHeight="1">
      <c r="A3384" s="1" t="s">
        <v>2891</v>
      </c>
      <c r="B3384" s="1" t="s">
        <v>20</v>
      </c>
      <c r="C3384" s="2" t="s">
        <v>1378</v>
      </c>
      <c r="D3384" s="2">
        <v>7.7</v>
      </c>
      <c r="E3384" s="2">
        <v>2021.0</v>
      </c>
      <c r="F3384" s="2" t="s">
        <v>10</v>
      </c>
      <c r="G3384" s="2">
        <v>1.217E7</v>
      </c>
    </row>
    <row r="3385" ht="14.25" customHeight="1">
      <c r="A3385" s="1" t="s">
        <v>799</v>
      </c>
      <c r="B3385" s="1" t="s">
        <v>20</v>
      </c>
      <c r="C3385" s="2" t="s">
        <v>69</v>
      </c>
      <c r="D3385" s="2">
        <v>7.7</v>
      </c>
      <c r="E3385" s="2">
        <v>1932.0</v>
      </c>
      <c r="F3385" s="2" t="s">
        <v>10</v>
      </c>
      <c r="G3385" s="2" t="s">
        <v>10</v>
      </c>
    </row>
    <row r="3386" ht="14.25" customHeight="1">
      <c r="A3386" s="1" t="s">
        <v>2892</v>
      </c>
      <c r="B3386" s="1" t="s">
        <v>20</v>
      </c>
      <c r="C3386" s="2" t="s">
        <v>584</v>
      </c>
      <c r="D3386" s="2">
        <v>7.7</v>
      </c>
      <c r="E3386" s="2">
        <v>2022.0</v>
      </c>
      <c r="F3386" s="2" t="s">
        <v>10</v>
      </c>
      <c r="G3386" s="2" t="s">
        <v>10</v>
      </c>
    </row>
    <row r="3387" ht="14.25" customHeight="1">
      <c r="A3387" s="1" t="s">
        <v>2893</v>
      </c>
      <c r="B3387" s="1" t="s">
        <v>20</v>
      </c>
      <c r="C3387" s="2" t="s">
        <v>184</v>
      </c>
      <c r="D3387" s="2">
        <v>7.7</v>
      </c>
      <c r="E3387" s="2">
        <v>1954.0</v>
      </c>
      <c r="F3387" s="2" t="s">
        <v>10</v>
      </c>
      <c r="G3387" s="2" t="s">
        <v>10</v>
      </c>
    </row>
    <row r="3388" ht="14.25" customHeight="1">
      <c r="A3388" s="1" t="s">
        <v>2894</v>
      </c>
      <c r="B3388" s="1" t="s">
        <v>20</v>
      </c>
      <c r="C3388" s="2" t="s">
        <v>591</v>
      </c>
      <c r="D3388" s="2">
        <v>7.7</v>
      </c>
      <c r="E3388" s="2">
        <v>1990.0</v>
      </c>
      <c r="F3388" s="2" t="s">
        <v>10</v>
      </c>
      <c r="G3388" s="2" t="s">
        <v>10</v>
      </c>
    </row>
    <row r="3389" ht="14.25" customHeight="1">
      <c r="A3389" s="1" t="s">
        <v>2895</v>
      </c>
      <c r="B3389" s="1" t="s">
        <v>20</v>
      </c>
      <c r="C3389" s="2" t="s">
        <v>1058</v>
      </c>
      <c r="D3389" s="2">
        <v>7.7</v>
      </c>
      <c r="E3389" s="2">
        <v>1977.0</v>
      </c>
      <c r="F3389" s="2" t="s">
        <v>10</v>
      </c>
      <c r="G3389" s="2" t="s">
        <v>10</v>
      </c>
    </row>
    <row r="3390" ht="14.25" customHeight="1">
      <c r="A3390" s="1" t="s">
        <v>2896</v>
      </c>
      <c r="B3390" s="1" t="s">
        <v>8</v>
      </c>
      <c r="C3390" s="2" t="s">
        <v>154</v>
      </c>
      <c r="D3390" s="2">
        <v>7.7</v>
      </c>
      <c r="E3390" s="2">
        <v>2004.0</v>
      </c>
      <c r="F3390" s="2">
        <v>2009.0</v>
      </c>
      <c r="G3390" s="2" t="s">
        <v>10</v>
      </c>
    </row>
    <row r="3391" ht="14.25" customHeight="1">
      <c r="A3391" s="1" t="s">
        <v>2897</v>
      </c>
      <c r="B3391" s="1" t="s">
        <v>20</v>
      </c>
      <c r="C3391" s="2" t="s">
        <v>530</v>
      </c>
      <c r="D3391" s="2">
        <v>7.7</v>
      </c>
      <c r="E3391" s="2">
        <v>2016.0</v>
      </c>
      <c r="F3391" s="2">
        <v>2016.0</v>
      </c>
      <c r="G3391" s="2" t="s">
        <v>10</v>
      </c>
    </row>
    <row r="3392" ht="14.25" customHeight="1">
      <c r="A3392" s="1" t="s">
        <v>2898</v>
      </c>
      <c r="B3392" s="1" t="s">
        <v>20</v>
      </c>
      <c r="C3392" s="2" t="s">
        <v>710</v>
      </c>
      <c r="D3392" s="2">
        <v>7.7</v>
      </c>
      <c r="E3392" s="2">
        <v>2017.0</v>
      </c>
      <c r="F3392" s="2">
        <v>2017.0</v>
      </c>
      <c r="G3392" s="2" t="s">
        <v>10</v>
      </c>
    </row>
    <row r="3393" ht="14.25" customHeight="1">
      <c r="A3393" s="1" t="s">
        <v>2899</v>
      </c>
      <c r="B3393" s="1" t="s">
        <v>20</v>
      </c>
      <c r="C3393" s="2" t="s">
        <v>18</v>
      </c>
      <c r="D3393" s="2">
        <v>7.7</v>
      </c>
      <c r="E3393" s="2">
        <v>2002.0</v>
      </c>
      <c r="F3393" s="2" t="s">
        <v>10</v>
      </c>
      <c r="G3393" s="2" t="s">
        <v>10</v>
      </c>
    </row>
    <row r="3394" ht="14.25" customHeight="1">
      <c r="A3394" s="1" t="s">
        <v>2900</v>
      </c>
      <c r="B3394" s="1" t="s">
        <v>20</v>
      </c>
      <c r="C3394" s="2" t="s">
        <v>18</v>
      </c>
      <c r="D3394" s="2">
        <v>7.7</v>
      </c>
      <c r="E3394" s="2">
        <v>1947.0</v>
      </c>
      <c r="F3394" s="2" t="s">
        <v>10</v>
      </c>
      <c r="G3394" s="2" t="s">
        <v>10</v>
      </c>
    </row>
    <row r="3395" ht="14.25" customHeight="1">
      <c r="A3395" s="1" t="s">
        <v>2901</v>
      </c>
      <c r="B3395" s="1" t="s">
        <v>20</v>
      </c>
      <c r="C3395" s="2" t="s">
        <v>253</v>
      </c>
      <c r="D3395" s="2">
        <v>7.7</v>
      </c>
      <c r="E3395" s="2">
        <v>2012.0</v>
      </c>
      <c r="F3395" s="2" t="s">
        <v>10</v>
      </c>
      <c r="G3395" s="2" t="s">
        <v>10</v>
      </c>
    </row>
    <row r="3396" ht="14.25" customHeight="1">
      <c r="A3396" s="1" t="s">
        <v>2902</v>
      </c>
      <c r="B3396" s="1" t="s">
        <v>8</v>
      </c>
      <c r="C3396" s="2" t="s">
        <v>2903</v>
      </c>
      <c r="D3396" s="2">
        <v>7.7</v>
      </c>
      <c r="E3396" s="2">
        <v>2019.0</v>
      </c>
      <c r="F3396" s="2" t="s">
        <v>10</v>
      </c>
      <c r="G3396" s="2" t="s">
        <v>10</v>
      </c>
    </row>
    <row r="3397" ht="14.25" customHeight="1">
      <c r="A3397" s="1" t="s">
        <v>2904</v>
      </c>
      <c r="B3397" s="1" t="s">
        <v>20</v>
      </c>
      <c r="C3397" s="2" t="s">
        <v>118</v>
      </c>
      <c r="D3397" s="2">
        <v>7.7</v>
      </c>
      <c r="E3397" s="2">
        <v>1972.0</v>
      </c>
      <c r="F3397" s="2" t="s">
        <v>10</v>
      </c>
      <c r="G3397" s="2" t="s">
        <v>10</v>
      </c>
    </row>
    <row r="3398" ht="14.25" customHeight="1">
      <c r="A3398" s="1" t="s">
        <v>2905</v>
      </c>
      <c r="B3398" s="1" t="s">
        <v>8</v>
      </c>
      <c r="C3398" s="2" t="s">
        <v>411</v>
      </c>
      <c r="D3398" s="2">
        <v>7.7</v>
      </c>
      <c r="E3398" s="2">
        <v>2012.0</v>
      </c>
      <c r="F3398" s="2" t="s">
        <v>10</v>
      </c>
      <c r="G3398" s="2" t="s">
        <v>10</v>
      </c>
    </row>
    <row r="3399" ht="14.25" customHeight="1">
      <c r="A3399" s="1" t="s">
        <v>2906</v>
      </c>
      <c r="B3399" s="1" t="s">
        <v>20</v>
      </c>
      <c r="C3399" s="2" t="s">
        <v>154</v>
      </c>
      <c r="D3399" s="2">
        <v>7.7</v>
      </c>
      <c r="E3399" s="2">
        <v>1955.0</v>
      </c>
      <c r="F3399" s="2" t="s">
        <v>10</v>
      </c>
      <c r="G3399" s="2" t="s">
        <v>10</v>
      </c>
    </row>
    <row r="3400" ht="14.25" customHeight="1">
      <c r="A3400" s="1" t="s">
        <v>2907</v>
      </c>
      <c r="B3400" s="1" t="s">
        <v>20</v>
      </c>
      <c r="C3400" s="2" t="s">
        <v>833</v>
      </c>
      <c r="D3400" s="2">
        <v>7.7</v>
      </c>
      <c r="E3400" s="2">
        <v>2023.0</v>
      </c>
      <c r="F3400" s="2" t="s">
        <v>10</v>
      </c>
      <c r="G3400" s="2" t="s">
        <v>10</v>
      </c>
    </row>
    <row r="3401" ht="14.25" customHeight="1">
      <c r="A3401" s="1" t="s">
        <v>2908</v>
      </c>
      <c r="B3401" s="1" t="s">
        <v>8</v>
      </c>
      <c r="C3401" s="2" t="s">
        <v>226</v>
      </c>
      <c r="D3401" s="2">
        <v>7.7</v>
      </c>
      <c r="E3401" s="2">
        <v>2000.0</v>
      </c>
      <c r="F3401" s="2" t="s">
        <v>10</v>
      </c>
      <c r="G3401" s="2" t="s">
        <v>10</v>
      </c>
    </row>
    <row r="3402" ht="14.25" customHeight="1">
      <c r="A3402" s="1" t="s">
        <v>2909</v>
      </c>
      <c r="B3402" s="1" t="s">
        <v>20</v>
      </c>
      <c r="C3402" s="2" t="s">
        <v>114</v>
      </c>
      <c r="D3402" s="2">
        <v>7.7</v>
      </c>
      <c r="E3402" s="2">
        <v>1941.0</v>
      </c>
      <c r="F3402" s="2" t="s">
        <v>10</v>
      </c>
      <c r="G3402" s="2" t="s">
        <v>10</v>
      </c>
    </row>
    <row r="3403" ht="14.25" customHeight="1">
      <c r="A3403" s="1" t="s">
        <v>2910</v>
      </c>
      <c r="B3403" s="1" t="s">
        <v>20</v>
      </c>
      <c r="C3403" s="2" t="s">
        <v>63</v>
      </c>
      <c r="D3403" s="2">
        <v>7.7</v>
      </c>
      <c r="E3403" s="2">
        <v>1981.0</v>
      </c>
      <c r="F3403" s="2" t="s">
        <v>10</v>
      </c>
      <c r="G3403" s="2" t="s">
        <v>10</v>
      </c>
    </row>
    <row r="3404" ht="14.25" customHeight="1">
      <c r="A3404" s="1" t="s">
        <v>2911</v>
      </c>
      <c r="B3404" s="1" t="s">
        <v>8</v>
      </c>
      <c r="C3404" s="2" t="s">
        <v>32</v>
      </c>
      <c r="D3404" s="2">
        <v>7.7</v>
      </c>
      <c r="E3404" s="2">
        <v>2003.0</v>
      </c>
      <c r="F3404" s="2" t="s">
        <v>10</v>
      </c>
      <c r="G3404" s="2" t="s">
        <v>10</v>
      </c>
    </row>
    <row r="3405" ht="14.25" customHeight="1">
      <c r="A3405" s="1" t="s">
        <v>2912</v>
      </c>
      <c r="B3405" s="1" t="s">
        <v>20</v>
      </c>
      <c r="C3405" s="2" t="s">
        <v>2157</v>
      </c>
      <c r="D3405" s="2">
        <v>7.7</v>
      </c>
      <c r="E3405" s="2">
        <v>1946.0</v>
      </c>
      <c r="F3405" s="2" t="s">
        <v>10</v>
      </c>
      <c r="G3405" s="2" t="s">
        <v>10</v>
      </c>
    </row>
    <row r="3406" ht="14.25" customHeight="1">
      <c r="A3406" s="1" t="s">
        <v>2913</v>
      </c>
      <c r="B3406" s="1" t="s">
        <v>20</v>
      </c>
      <c r="C3406" s="2" t="s">
        <v>1240</v>
      </c>
      <c r="D3406" s="2">
        <v>7.7</v>
      </c>
      <c r="E3406" s="2">
        <v>2018.0</v>
      </c>
      <c r="F3406" s="2" t="s">
        <v>10</v>
      </c>
      <c r="G3406" s="2" t="s">
        <v>10</v>
      </c>
    </row>
    <row r="3407" ht="14.25" customHeight="1">
      <c r="A3407" s="1" t="s">
        <v>2914</v>
      </c>
      <c r="B3407" s="1" t="s">
        <v>8</v>
      </c>
      <c r="C3407" s="2" t="s">
        <v>785</v>
      </c>
      <c r="D3407" s="2">
        <v>7.7</v>
      </c>
      <c r="E3407" s="2">
        <v>2011.0</v>
      </c>
      <c r="F3407" s="2" t="s">
        <v>10</v>
      </c>
      <c r="G3407" s="2" t="s">
        <v>10</v>
      </c>
    </row>
    <row r="3408" ht="14.25" customHeight="1">
      <c r="A3408" s="1" t="s">
        <v>2915</v>
      </c>
      <c r="B3408" s="1" t="s">
        <v>20</v>
      </c>
      <c r="C3408" s="2" t="s">
        <v>159</v>
      </c>
      <c r="D3408" s="2">
        <v>7.7</v>
      </c>
      <c r="E3408" s="2">
        <v>1979.0</v>
      </c>
      <c r="F3408" s="2" t="s">
        <v>10</v>
      </c>
      <c r="G3408" s="2" t="s">
        <v>10</v>
      </c>
    </row>
    <row r="3409" ht="14.25" customHeight="1">
      <c r="A3409" s="1" t="s">
        <v>2916</v>
      </c>
      <c r="B3409" s="1" t="s">
        <v>20</v>
      </c>
      <c r="C3409" s="2" t="s">
        <v>287</v>
      </c>
      <c r="D3409" s="2">
        <v>7.7</v>
      </c>
      <c r="E3409" s="2">
        <v>2009.0</v>
      </c>
      <c r="F3409" s="2" t="s">
        <v>10</v>
      </c>
      <c r="G3409" s="2" t="s">
        <v>10</v>
      </c>
    </row>
    <row r="3410" ht="14.25" customHeight="1">
      <c r="A3410" s="1" t="s">
        <v>2917</v>
      </c>
      <c r="B3410" s="1" t="s">
        <v>20</v>
      </c>
      <c r="C3410" s="2" t="s">
        <v>154</v>
      </c>
      <c r="D3410" s="2">
        <v>7.7</v>
      </c>
      <c r="E3410" s="2">
        <v>1951.0</v>
      </c>
      <c r="F3410" s="2" t="s">
        <v>10</v>
      </c>
      <c r="G3410" s="2" t="s">
        <v>10</v>
      </c>
    </row>
    <row r="3411" ht="14.25" customHeight="1">
      <c r="A3411" s="1" t="s">
        <v>2918</v>
      </c>
      <c r="B3411" s="1" t="s">
        <v>20</v>
      </c>
      <c r="C3411" s="2" t="s">
        <v>18</v>
      </c>
      <c r="D3411" s="2">
        <v>7.7</v>
      </c>
      <c r="E3411" s="2">
        <v>2007.0</v>
      </c>
      <c r="F3411" s="2">
        <v>2007.0</v>
      </c>
      <c r="G3411" s="2" t="s">
        <v>10</v>
      </c>
    </row>
    <row r="3412" ht="14.25" customHeight="1">
      <c r="A3412" s="1" t="s">
        <v>2919</v>
      </c>
      <c r="B3412" s="1" t="s">
        <v>8</v>
      </c>
      <c r="C3412" s="2" t="s">
        <v>60</v>
      </c>
      <c r="D3412" s="2">
        <v>7.7</v>
      </c>
      <c r="E3412" s="2">
        <v>2007.0</v>
      </c>
      <c r="F3412" s="2" t="s">
        <v>10</v>
      </c>
      <c r="G3412" s="2" t="s">
        <v>10</v>
      </c>
    </row>
    <row r="3413" ht="14.25" customHeight="1">
      <c r="A3413" s="1" t="s">
        <v>2920</v>
      </c>
      <c r="B3413" s="1" t="s">
        <v>8</v>
      </c>
      <c r="C3413" s="2" t="s">
        <v>452</v>
      </c>
      <c r="D3413" s="2">
        <v>7.7</v>
      </c>
      <c r="E3413" s="2">
        <v>2016.0</v>
      </c>
      <c r="F3413" s="2" t="s">
        <v>10</v>
      </c>
      <c r="G3413" s="2" t="s">
        <v>10</v>
      </c>
    </row>
    <row r="3414" ht="14.25" customHeight="1">
      <c r="A3414" s="1" t="s">
        <v>2921</v>
      </c>
      <c r="B3414" s="1" t="s">
        <v>20</v>
      </c>
      <c r="C3414" s="2" t="s">
        <v>53</v>
      </c>
      <c r="D3414" s="2">
        <v>7.7</v>
      </c>
      <c r="E3414" s="2">
        <v>1955.0</v>
      </c>
      <c r="F3414" s="2" t="s">
        <v>10</v>
      </c>
      <c r="G3414" s="2" t="s">
        <v>10</v>
      </c>
    </row>
    <row r="3415" ht="14.25" customHeight="1">
      <c r="A3415" s="1" t="s">
        <v>2922</v>
      </c>
      <c r="B3415" s="1" t="s">
        <v>20</v>
      </c>
      <c r="C3415" s="2" t="s">
        <v>32</v>
      </c>
      <c r="D3415" s="2">
        <v>7.7</v>
      </c>
      <c r="E3415" s="2">
        <v>1958.0</v>
      </c>
      <c r="F3415" s="2" t="s">
        <v>10</v>
      </c>
      <c r="G3415" s="2" t="s">
        <v>10</v>
      </c>
    </row>
    <row r="3416" ht="14.25" customHeight="1">
      <c r="A3416" s="1" t="s">
        <v>2923</v>
      </c>
      <c r="B3416" s="1" t="s">
        <v>20</v>
      </c>
      <c r="C3416" s="2" t="s">
        <v>18</v>
      </c>
      <c r="D3416" s="2">
        <v>7.7</v>
      </c>
      <c r="E3416" s="2">
        <v>2022.0</v>
      </c>
      <c r="F3416" s="2" t="s">
        <v>10</v>
      </c>
      <c r="G3416" s="2" t="s">
        <v>10</v>
      </c>
    </row>
    <row r="3417" ht="14.25" customHeight="1">
      <c r="A3417" s="1" t="s">
        <v>2924</v>
      </c>
      <c r="B3417" s="1" t="s">
        <v>20</v>
      </c>
      <c r="C3417" s="2" t="s">
        <v>844</v>
      </c>
      <c r="D3417" s="2">
        <v>7.7</v>
      </c>
      <c r="E3417" s="2">
        <v>1946.0</v>
      </c>
      <c r="F3417" s="2" t="s">
        <v>10</v>
      </c>
      <c r="G3417" s="2" t="s">
        <v>10</v>
      </c>
    </row>
    <row r="3418" ht="14.25" customHeight="1">
      <c r="A3418" s="1" t="s">
        <v>2925</v>
      </c>
      <c r="B3418" s="1" t="s">
        <v>8</v>
      </c>
      <c r="C3418" s="2" t="s">
        <v>53</v>
      </c>
      <c r="D3418" s="2">
        <v>7.7</v>
      </c>
      <c r="E3418" s="2">
        <v>2019.0</v>
      </c>
      <c r="F3418" s="2" t="s">
        <v>10</v>
      </c>
      <c r="G3418" s="2" t="s">
        <v>10</v>
      </c>
    </row>
    <row r="3419" ht="14.25" customHeight="1">
      <c r="A3419" s="1" t="s">
        <v>2926</v>
      </c>
      <c r="B3419" s="1" t="s">
        <v>20</v>
      </c>
      <c r="C3419" s="2" t="s">
        <v>80</v>
      </c>
      <c r="D3419" s="2">
        <v>7.7</v>
      </c>
      <c r="E3419" s="2">
        <v>1982.0</v>
      </c>
      <c r="F3419" s="2" t="s">
        <v>10</v>
      </c>
      <c r="G3419" s="2">
        <v>8080000.0</v>
      </c>
    </row>
    <row r="3420" ht="14.25" customHeight="1">
      <c r="A3420" s="1" t="s">
        <v>2926</v>
      </c>
      <c r="B3420" s="1" t="s">
        <v>20</v>
      </c>
      <c r="C3420" s="2" t="s">
        <v>80</v>
      </c>
      <c r="D3420" s="2">
        <v>7.7</v>
      </c>
      <c r="E3420" s="2">
        <v>1982.0</v>
      </c>
      <c r="F3420" s="2" t="s">
        <v>10</v>
      </c>
      <c r="G3420" s="2">
        <v>1.593E7</v>
      </c>
    </row>
    <row r="3421" ht="14.25" customHeight="1">
      <c r="A3421" s="1" t="s">
        <v>2926</v>
      </c>
      <c r="B3421" s="1" t="s">
        <v>20</v>
      </c>
      <c r="C3421" s="2" t="s">
        <v>80</v>
      </c>
      <c r="D3421" s="2">
        <v>7.7</v>
      </c>
      <c r="E3421" s="2">
        <v>1982.0</v>
      </c>
      <c r="F3421" s="2" t="s">
        <v>10</v>
      </c>
      <c r="G3421" s="2">
        <v>5220000.0</v>
      </c>
    </row>
    <row r="3422" ht="14.25" customHeight="1">
      <c r="A3422" s="1" t="s">
        <v>2927</v>
      </c>
      <c r="B3422" s="1" t="s">
        <v>20</v>
      </c>
      <c r="C3422" s="2" t="s">
        <v>118</v>
      </c>
      <c r="D3422" s="2">
        <v>7.7</v>
      </c>
      <c r="E3422" s="2">
        <v>1941.0</v>
      </c>
      <c r="F3422" s="2" t="s">
        <v>10</v>
      </c>
      <c r="G3422" s="2" t="s">
        <v>10</v>
      </c>
    </row>
    <row r="3423" ht="14.25" customHeight="1">
      <c r="A3423" s="1" t="s">
        <v>2928</v>
      </c>
      <c r="B3423" s="1" t="s">
        <v>8</v>
      </c>
      <c r="C3423" s="2" t="s">
        <v>611</v>
      </c>
      <c r="D3423" s="2">
        <v>7.7</v>
      </c>
      <c r="E3423" s="2">
        <v>2014.0</v>
      </c>
      <c r="F3423" s="2" t="s">
        <v>10</v>
      </c>
      <c r="G3423" s="2" t="s">
        <v>10</v>
      </c>
    </row>
    <row r="3424" ht="14.25" customHeight="1">
      <c r="A3424" s="1" t="s">
        <v>2929</v>
      </c>
      <c r="B3424" s="1" t="s">
        <v>8</v>
      </c>
      <c r="C3424" s="2" t="s">
        <v>18</v>
      </c>
      <c r="D3424" s="2">
        <v>7.7</v>
      </c>
      <c r="E3424" s="2">
        <v>2006.0</v>
      </c>
      <c r="F3424" s="2" t="s">
        <v>10</v>
      </c>
      <c r="G3424" s="2" t="s">
        <v>10</v>
      </c>
    </row>
    <row r="3425" ht="14.25" customHeight="1">
      <c r="A3425" s="1" t="s">
        <v>2930</v>
      </c>
      <c r="B3425" s="1" t="s">
        <v>8</v>
      </c>
      <c r="C3425" s="2" t="s">
        <v>55</v>
      </c>
      <c r="D3425" s="2">
        <v>7.7</v>
      </c>
      <c r="E3425" s="2">
        <v>2010.0</v>
      </c>
      <c r="F3425" s="2">
        <v>2018.0</v>
      </c>
      <c r="G3425" s="2" t="s">
        <v>10</v>
      </c>
    </row>
    <row r="3426" ht="14.25" customHeight="1">
      <c r="A3426" s="1" t="s">
        <v>2931</v>
      </c>
      <c r="B3426" s="1" t="s">
        <v>20</v>
      </c>
      <c r="C3426" s="2" t="s">
        <v>18</v>
      </c>
      <c r="D3426" s="2">
        <v>7.7</v>
      </c>
      <c r="E3426" s="2">
        <v>1966.0</v>
      </c>
      <c r="F3426" s="2" t="s">
        <v>10</v>
      </c>
      <c r="G3426" s="2" t="s">
        <v>10</v>
      </c>
    </row>
    <row r="3427" ht="14.25" customHeight="1">
      <c r="A3427" s="1" t="s">
        <v>2932</v>
      </c>
      <c r="B3427" s="1" t="s">
        <v>20</v>
      </c>
      <c r="C3427" s="2" t="s">
        <v>154</v>
      </c>
      <c r="D3427" s="2">
        <v>7.7</v>
      </c>
      <c r="E3427" s="2">
        <v>1961.0</v>
      </c>
      <c r="F3427" s="2" t="s">
        <v>10</v>
      </c>
      <c r="G3427" s="2" t="s">
        <v>10</v>
      </c>
    </row>
    <row r="3428" ht="14.25" customHeight="1">
      <c r="A3428" s="1" t="s">
        <v>2933</v>
      </c>
      <c r="B3428" s="1" t="s">
        <v>20</v>
      </c>
      <c r="C3428" s="2" t="s">
        <v>452</v>
      </c>
      <c r="D3428" s="2">
        <v>7.7</v>
      </c>
      <c r="E3428" s="2">
        <v>2008.0</v>
      </c>
      <c r="F3428" s="2">
        <v>2008.0</v>
      </c>
      <c r="G3428" s="2" t="s">
        <v>10</v>
      </c>
    </row>
    <row r="3429" ht="14.25" customHeight="1">
      <c r="A3429" s="1" t="s">
        <v>2934</v>
      </c>
      <c r="B3429" s="1" t="s">
        <v>20</v>
      </c>
      <c r="C3429" s="2" t="s">
        <v>154</v>
      </c>
      <c r="D3429" s="2">
        <v>7.7</v>
      </c>
      <c r="E3429" s="2">
        <v>1962.0</v>
      </c>
      <c r="F3429" s="2" t="s">
        <v>10</v>
      </c>
      <c r="G3429" s="2" t="s">
        <v>10</v>
      </c>
    </row>
    <row r="3430" ht="14.25" customHeight="1">
      <c r="A3430" s="1" t="s">
        <v>2935</v>
      </c>
      <c r="B3430" s="1" t="s">
        <v>20</v>
      </c>
      <c r="C3430" s="2" t="s">
        <v>63</v>
      </c>
      <c r="D3430" s="2">
        <v>7.7</v>
      </c>
      <c r="E3430" s="2">
        <v>1999.0</v>
      </c>
      <c r="F3430" s="2" t="s">
        <v>10</v>
      </c>
      <c r="G3430" s="2" t="s">
        <v>10</v>
      </c>
    </row>
    <row r="3431" ht="14.25" customHeight="1">
      <c r="A3431" s="1" t="s">
        <v>2936</v>
      </c>
      <c r="B3431" s="1" t="s">
        <v>20</v>
      </c>
      <c r="C3431" s="2" t="s">
        <v>154</v>
      </c>
      <c r="D3431" s="2">
        <v>7.7</v>
      </c>
      <c r="E3431" s="2">
        <v>2004.0</v>
      </c>
      <c r="F3431" s="2" t="s">
        <v>10</v>
      </c>
      <c r="G3431" s="2" t="s">
        <v>10</v>
      </c>
    </row>
    <row r="3432" ht="14.25" customHeight="1">
      <c r="A3432" s="1" t="s">
        <v>2937</v>
      </c>
      <c r="B3432" s="1" t="s">
        <v>20</v>
      </c>
      <c r="C3432" s="2" t="s">
        <v>18</v>
      </c>
      <c r="D3432" s="2">
        <v>7.7</v>
      </c>
      <c r="E3432" s="2">
        <v>2019.0</v>
      </c>
      <c r="F3432" s="2" t="s">
        <v>10</v>
      </c>
      <c r="G3432" s="2" t="s">
        <v>10</v>
      </c>
    </row>
    <row r="3433" ht="14.25" customHeight="1">
      <c r="A3433" s="1" t="s">
        <v>2938</v>
      </c>
      <c r="B3433" s="1" t="s">
        <v>8</v>
      </c>
      <c r="C3433" s="2" t="s">
        <v>25</v>
      </c>
      <c r="D3433" s="2">
        <v>7.7</v>
      </c>
      <c r="E3433" s="2">
        <v>2021.0</v>
      </c>
      <c r="F3433" s="2">
        <v>2021.0</v>
      </c>
      <c r="G3433" s="2" t="s">
        <v>10</v>
      </c>
    </row>
    <row r="3434" ht="14.25" customHeight="1">
      <c r="A3434" s="1" t="s">
        <v>2939</v>
      </c>
      <c r="B3434" s="1" t="s">
        <v>8</v>
      </c>
      <c r="C3434" s="2" t="s">
        <v>140</v>
      </c>
      <c r="D3434" s="2">
        <v>7.7</v>
      </c>
      <c r="E3434" s="2">
        <v>2016.0</v>
      </c>
      <c r="F3434" s="2" t="s">
        <v>10</v>
      </c>
      <c r="G3434" s="2" t="s">
        <v>10</v>
      </c>
    </row>
    <row r="3435" ht="14.25" customHeight="1">
      <c r="A3435" s="1" t="s">
        <v>2940</v>
      </c>
      <c r="B3435" s="1" t="s">
        <v>20</v>
      </c>
      <c r="C3435" s="2" t="s">
        <v>118</v>
      </c>
      <c r="D3435" s="2">
        <v>7.7</v>
      </c>
      <c r="E3435" s="2">
        <v>1937.0</v>
      </c>
      <c r="F3435" s="2" t="s">
        <v>10</v>
      </c>
      <c r="G3435" s="2" t="s">
        <v>10</v>
      </c>
    </row>
    <row r="3436" ht="14.25" customHeight="1">
      <c r="A3436" s="1" t="s">
        <v>2941</v>
      </c>
      <c r="B3436" s="1" t="s">
        <v>8</v>
      </c>
      <c r="C3436" s="2" t="s">
        <v>53</v>
      </c>
      <c r="D3436" s="2">
        <v>7.7</v>
      </c>
      <c r="E3436" s="2">
        <v>2019.0</v>
      </c>
      <c r="F3436" s="2">
        <v>2020.0</v>
      </c>
      <c r="G3436" s="2" t="s">
        <v>10</v>
      </c>
    </row>
    <row r="3437" ht="14.25" customHeight="1">
      <c r="A3437" s="1" t="s">
        <v>2942</v>
      </c>
      <c r="B3437" s="1" t="s">
        <v>20</v>
      </c>
      <c r="C3437" s="2" t="s">
        <v>18</v>
      </c>
      <c r="D3437" s="2">
        <v>7.7</v>
      </c>
      <c r="E3437" s="2">
        <v>1963.0</v>
      </c>
      <c r="F3437" s="2">
        <v>2019.0</v>
      </c>
      <c r="G3437" s="2" t="s">
        <v>10</v>
      </c>
    </row>
    <row r="3438" ht="14.25" customHeight="1">
      <c r="A3438" s="1" t="s">
        <v>2943</v>
      </c>
      <c r="B3438" s="1" t="s">
        <v>20</v>
      </c>
      <c r="C3438" s="2" t="s">
        <v>9</v>
      </c>
      <c r="D3438" s="2">
        <v>7.7</v>
      </c>
      <c r="E3438" s="2">
        <v>1960.0</v>
      </c>
      <c r="F3438" s="2" t="s">
        <v>10</v>
      </c>
      <c r="G3438" s="2" t="s">
        <v>10</v>
      </c>
    </row>
    <row r="3439" ht="14.25" customHeight="1">
      <c r="A3439" s="1" t="s">
        <v>2944</v>
      </c>
      <c r="B3439" s="1" t="s">
        <v>8</v>
      </c>
      <c r="C3439" s="2" t="s">
        <v>253</v>
      </c>
      <c r="D3439" s="2">
        <v>7.7</v>
      </c>
      <c r="E3439" s="2">
        <v>2019.0</v>
      </c>
      <c r="F3439" s="2" t="s">
        <v>10</v>
      </c>
      <c r="G3439" s="2" t="s">
        <v>10</v>
      </c>
    </row>
    <row r="3440" ht="14.25" customHeight="1">
      <c r="A3440" s="1" t="s">
        <v>2945</v>
      </c>
      <c r="B3440" s="1" t="s">
        <v>20</v>
      </c>
      <c r="C3440" s="2" t="s">
        <v>829</v>
      </c>
      <c r="D3440" s="2">
        <v>7.7</v>
      </c>
      <c r="E3440" s="2">
        <v>1935.0</v>
      </c>
      <c r="F3440" s="2" t="s">
        <v>10</v>
      </c>
      <c r="G3440" s="2" t="s">
        <v>10</v>
      </c>
    </row>
    <row r="3441" ht="14.25" customHeight="1">
      <c r="A3441" s="1" t="s">
        <v>2946</v>
      </c>
      <c r="B3441" s="1" t="s">
        <v>8</v>
      </c>
      <c r="C3441" s="2" t="s">
        <v>36</v>
      </c>
      <c r="D3441" s="2">
        <v>7.7</v>
      </c>
      <c r="E3441" s="2">
        <v>2018.0</v>
      </c>
      <c r="F3441" s="2">
        <v>2018.0</v>
      </c>
      <c r="G3441" s="2" t="s">
        <v>10</v>
      </c>
    </row>
    <row r="3442" ht="14.25" customHeight="1">
      <c r="A3442" s="1" t="s">
        <v>2947</v>
      </c>
      <c r="B3442" s="1" t="s">
        <v>8</v>
      </c>
      <c r="C3442" s="2" t="s">
        <v>742</v>
      </c>
      <c r="D3442" s="2">
        <v>7.7</v>
      </c>
      <c r="E3442" s="2">
        <v>2019.0</v>
      </c>
      <c r="F3442" s="2" t="s">
        <v>10</v>
      </c>
      <c r="G3442" s="2" t="s">
        <v>10</v>
      </c>
    </row>
    <row r="3443" ht="14.25" customHeight="1">
      <c r="A3443" s="1" t="s">
        <v>2948</v>
      </c>
      <c r="B3443" s="1" t="s">
        <v>8</v>
      </c>
      <c r="C3443" s="2" t="s">
        <v>36</v>
      </c>
      <c r="D3443" s="2">
        <v>7.7</v>
      </c>
      <c r="E3443" s="2">
        <v>2023.0</v>
      </c>
      <c r="F3443" s="2" t="s">
        <v>10</v>
      </c>
      <c r="G3443" s="2" t="s">
        <v>10</v>
      </c>
    </row>
    <row r="3444" ht="14.25" customHeight="1">
      <c r="A3444" s="1" t="s">
        <v>2949</v>
      </c>
      <c r="B3444" s="1" t="s">
        <v>8</v>
      </c>
      <c r="C3444" s="2" t="s">
        <v>53</v>
      </c>
      <c r="D3444" s="2">
        <v>7.7</v>
      </c>
      <c r="E3444" s="2">
        <v>2022.0</v>
      </c>
      <c r="F3444" s="2" t="s">
        <v>10</v>
      </c>
      <c r="G3444" s="2" t="s">
        <v>10</v>
      </c>
    </row>
    <row r="3445" ht="14.25" customHeight="1">
      <c r="A3445" s="1" t="s">
        <v>2950</v>
      </c>
      <c r="B3445" s="1" t="s">
        <v>20</v>
      </c>
      <c r="C3445" s="2" t="s">
        <v>80</v>
      </c>
      <c r="D3445" s="2">
        <v>7.7</v>
      </c>
      <c r="E3445" s="2">
        <v>1941.0</v>
      </c>
      <c r="F3445" s="2" t="s">
        <v>10</v>
      </c>
      <c r="G3445" s="2" t="s">
        <v>10</v>
      </c>
    </row>
    <row r="3446" ht="14.25" customHeight="1">
      <c r="A3446" s="1" t="s">
        <v>2951</v>
      </c>
      <c r="B3446" s="1" t="s">
        <v>20</v>
      </c>
      <c r="C3446" s="2" t="s">
        <v>18</v>
      </c>
      <c r="D3446" s="2">
        <v>7.7</v>
      </c>
      <c r="E3446" s="2">
        <v>2011.0</v>
      </c>
      <c r="F3446" s="2" t="s">
        <v>10</v>
      </c>
      <c r="G3446" s="2" t="s">
        <v>10</v>
      </c>
    </row>
    <row r="3447" ht="14.25" customHeight="1">
      <c r="A3447" s="1" t="s">
        <v>2952</v>
      </c>
      <c r="B3447" s="1" t="s">
        <v>20</v>
      </c>
      <c r="C3447" s="2" t="s">
        <v>844</v>
      </c>
      <c r="D3447" s="2">
        <v>7.7</v>
      </c>
      <c r="E3447" s="2">
        <v>1945.0</v>
      </c>
      <c r="F3447" s="2" t="s">
        <v>10</v>
      </c>
      <c r="G3447" s="2" t="s">
        <v>10</v>
      </c>
    </row>
    <row r="3448" ht="14.25" customHeight="1">
      <c r="A3448" s="1" t="s">
        <v>2953</v>
      </c>
      <c r="B3448" s="1" t="s">
        <v>20</v>
      </c>
      <c r="C3448" s="2" t="s">
        <v>524</v>
      </c>
      <c r="D3448" s="2">
        <v>7.7</v>
      </c>
      <c r="E3448" s="2">
        <v>2015.0</v>
      </c>
      <c r="F3448" s="2" t="s">
        <v>10</v>
      </c>
      <c r="G3448" s="2" t="s">
        <v>10</v>
      </c>
    </row>
    <row r="3449" ht="14.25" customHeight="1">
      <c r="A3449" s="1" t="s">
        <v>2954</v>
      </c>
      <c r="B3449" s="1" t="s">
        <v>20</v>
      </c>
      <c r="C3449" s="2" t="s">
        <v>725</v>
      </c>
      <c r="D3449" s="2">
        <v>7.7</v>
      </c>
      <c r="E3449" s="2">
        <v>1962.0</v>
      </c>
      <c r="F3449" s="2" t="s">
        <v>10</v>
      </c>
      <c r="G3449" s="2" t="s">
        <v>10</v>
      </c>
    </row>
    <row r="3450" ht="14.25" customHeight="1">
      <c r="A3450" s="1" t="s">
        <v>2955</v>
      </c>
      <c r="B3450" s="1" t="s">
        <v>8</v>
      </c>
      <c r="C3450" s="2" t="s">
        <v>25</v>
      </c>
      <c r="D3450" s="2">
        <v>7.7</v>
      </c>
      <c r="E3450" s="2">
        <v>2023.0</v>
      </c>
      <c r="F3450" s="2" t="s">
        <v>10</v>
      </c>
      <c r="G3450" s="2">
        <v>7400000.0</v>
      </c>
    </row>
    <row r="3451" ht="14.25" customHeight="1">
      <c r="A3451" s="1" t="s">
        <v>2956</v>
      </c>
      <c r="B3451" s="1" t="s">
        <v>20</v>
      </c>
      <c r="C3451" s="2" t="s">
        <v>12</v>
      </c>
      <c r="D3451" s="2">
        <v>7.7</v>
      </c>
      <c r="E3451" s="2">
        <v>2007.0</v>
      </c>
      <c r="F3451" s="2" t="s">
        <v>10</v>
      </c>
      <c r="G3451" s="2" t="s">
        <v>10</v>
      </c>
    </row>
    <row r="3452" ht="14.25" customHeight="1">
      <c r="A3452" s="1" t="s">
        <v>485</v>
      </c>
      <c r="B3452" s="1" t="s">
        <v>20</v>
      </c>
      <c r="C3452" s="2" t="s">
        <v>105</v>
      </c>
      <c r="D3452" s="2">
        <v>7.7</v>
      </c>
      <c r="E3452" s="2">
        <v>1988.0</v>
      </c>
      <c r="F3452" s="2" t="s">
        <v>10</v>
      </c>
      <c r="G3452" s="2" t="s">
        <v>10</v>
      </c>
    </row>
    <row r="3453" ht="14.25" customHeight="1">
      <c r="A3453" s="1" t="s">
        <v>2957</v>
      </c>
      <c r="B3453" s="1" t="s">
        <v>20</v>
      </c>
      <c r="C3453" s="2" t="s">
        <v>80</v>
      </c>
      <c r="D3453" s="2">
        <v>7.7</v>
      </c>
      <c r="E3453" s="2">
        <v>1971.0</v>
      </c>
      <c r="F3453" s="2" t="s">
        <v>10</v>
      </c>
      <c r="G3453" s="2" t="s">
        <v>10</v>
      </c>
    </row>
    <row r="3454" ht="14.25" customHeight="1">
      <c r="A3454" s="1" t="s">
        <v>2958</v>
      </c>
      <c r="B3454" s="1" t="s">
        <v>20</v>
      </c>
      <c r="C3454" s="2" t="s">
        <v>80</v>
      </c>
      <c r="D3454" s="2">
        <v>7.7</v>
      </c>
      <c r="E3454" s="2">
        <v>1974.0</v>
      </c>
      <c r="F3454" s="2" t="s">
        <v>10</v>
      </c>
      <c r="G3454" s="2" t="s">
        <v>10</v>
      </c>
    </row>
    <row r="3455" ht="14.25" customHeight="1">
      <c r="A3455" s="1" t="s">
        <v>2959</v>
      </c>
      <c r="B3455" s="1" t="s">
        <v>8</v>
      </c>
      <c r="C3455" s="2" t="s">
        <v>275</v>
      </c>
      <c r="D3455" s="2">
        <v>7.7</v>
      </c>
      <c r="E3455" s="2">
        <v>2001.0</v>
      </c>
      <c r="F3455" s="2" t="s">
        <v>10</v>
      </c>
      <c r="G3455" s="2" t="s">
        <v>10</v>
      </c>
    </row>
    <row r="3456" ht="14.25" customHeight="1">
      <c r="A3456" s="1" t="s">
        <v>2960</v>
      </c>
      <c r="B3456" s="1" t="s">
        <v>20</v>
      </c>
      <c r="C3456" s="2" t="s">
        <v>794</v>
      </c>
      <c r="D3456" s="2">
        <v>7.7</v>
      </c>
      <c r="E3456" s="2">
        <v>2023.0</v>
      </c>
      <c r="F3456" s="2" t="s">
        <v>10</v>
      </c>
      <c r="G3456" s="2" t="s">
        <v>10</v>
      </c>
    </row>
    <row r="3457" ht="14.25" customHeight="1">
      <c r="A3457" s="1" t="s">
        <v>2961</v>
      </c>
      <c r="B3457" s="1" t="s">
        <v>8</v>
      </c>
      <c r="C3457" s="2" t="s">
        <v>2237</v>
      </c>
      <c r="D3457" s="2">
        <v>7.7</v>
      </c>
      <c r="E3457" s="2">
        <v>2010.0</v>
      </c>
      <c r="F3457" s="2" t="s">
        <v>10</v>
      </c>
      <c r="G3457" s="2" t="s">
        <v>10</v>
      </c>
    </row>
    <row r="3458" ht="14.25" customHeight="1">
      <c r="A3458" s="1" t="s">
        <v>2962</v>
      </c>
      <c r="B3458" s="1" t="s">
        <v>8</v>
      </c>
      <c r="C3458" s="2" t="s">
        <v>154</v>
      </c>
      <c r="D3458" s="2">
        <v>7.7</v>
      </c>
      <c r="E3458" s="2">
        <v>2019.0</v>
      </c>
      <c r="F3458" s="2" t="s">
        <v>10</v>
      </c>
      <c r="G3458" s="2" t="s">
        <v>10</v>
      </c>
    </row>
    <row r="3459" ht="14.25" customHeight="1">
      <c r="A3459" s="1" t="s">
        <v>2963</v>
      </c>
      <c r="B3459" s="1" t="s">
        <v>8</v>
      </c>
      <c r="C3459" s="2" t="s">
        <v>69</v>
      </c>
      <c r="D3459" s="2">
        <v>7.7</v>
      </c>
      <c r="E3459" s="2">
        <v>2010.0</v>
      </c>
      <c r="F3459" s="2" t="s">
        <v>10</v>
      </c>
      <c r="G3459" s="2" t="s">
        <v>10</v>
      </c>
    </row>
    <row r="3460" ht="14.25" customHeight="1">
      <c r="A3460" s="1" t="s">
        <v>2964</v>
      </c>
      <c r="B3460" s="1" t="s">
        <v>20</v>
      </c>
      <c r="C3460" s="2" t="s">
        <v>118</v>
      </c>
      <c r="D3460" s="2">
        <v>7.7</v>
      </c>
      <c r="E3460" s="2">
        <v>1938.0</v>
      </c>
      <c r="F3460" s="2" t="s">
        <v>10</v>
      </c>
      <c r="G3460" s="2" t="s">
        <v>10</v>
      </c>
    </row>
    <row r="3461" ht="14.25" customHeight="1">
      <c r="A3461" s="1" t="s">
        <v>2965</v>
      </c>
      <c r="B3461" s="1" t="s">
        <v>20</v>
      </c>
      <c r="C3461" s="2" t="s">
        <v>18</v>
      </c>
      <c r="D3461" s="2">
        <v>7.7</v>
      </c>
      <c r="E3461" s="2">
        <v>1993.0</v>
      </c>
      <c r="F3461" s="2" t="s">
        <v>10</v>
      </c>
      <c r="G3461" s="2" t="s">
        <v>10</v>
      </c>
    </row>
    <row r="3462" ht="14.25" customHeight="1">
      <c r="A3462" s="1" t="s">
        <v>2966</v>
      </c>
      <c r="B3462" s="1" t="s">
        <v>20</v>
      </c>
      <c r="C3462" s="2" t="s">
        <v>12</v>
      </c>
      <c r="D3462" s="2">
        <v>7.7</v>
      </c>
      <c r="E3462" s="2">
        <v>1973.0</v>
      </c>
      <c r="F3462" s="2" t="s">
        <v>10</v>
      </c>
      <c r="G3462" s="2" t="s">
        <v>10</v>
      </c>
    </row>
    <row r="3463" ht="14.25" customHeight="1">
      <c r="A3463" s="1" t="s">
        <v>2967</v>
      </c>
      <c r="B3463" s="1" t="s">
        <v>20</v>
      </c>
      <c r="C3463" s="2" t="s">
        <v>249</v>
      </c>
      <c r="D3463" s="2">
        <v>7.7</v>
      </c>
      <c r="E3463" s="2">
        <v>1968.0</v>
      </c>
      <c r="F3463" s="2" t="s">
        <v>10</v>
      </c>
      <c r="G3463" s="2" t="s">
        <v>10</v>
      </c>
    </row>
    <row r="3464" ht="14.25" customHeight="1">
      <c r="A3464" s="1" t="s">
        <v>2968</v>
      </c>
      <c r="B3464" s="1" t="s">
        <v>20</v>
      </c>
      <c r="C3464" s="2" t="s">
        <v>25</v>
      </c>
      <c r="D3464" s="2">
        <v>7.7</v>
      </c>
      <c r="E3464" s="2">
        <v>2007.0</v>
      </c>
      <c r="F3464" s="2" t="s">
        <v>10</v>
      </c>
      <c r="G3464" s="2" t="s">
        <v>10</v>
      </c>
    </row>
    <row r="3465" ht="14.25" customHeight="1">
      <c r="A3465" s="1" t="s">
        <v>2969</v>
      </c>
      <c r="B3465" s="1" t="s">
        <v>8</v>
      </c>
      <c r="C3465" s="2" t="s">
        <v>611</v>
      </c>
      <c r="D3465" s="2">
        <v>7.7</v>
      </c>
      <c r="E3465" s="2">
        <v>2018.0</v>
      </c>
      <c r="F3465" s="2" t="s">
        <v>10</v>
      </c>
      <c r="G3465" s="2" t="s">
        <v>10</v>
      </c>
    </row>
    <row r="3466" ht="14.25" customHeight="1">
      <c r="A3466" s="1" t="s">
        <v>2970</v>
      </c>
      <c r="B3466" s="1" t="s">
        <v>20</v>
      </c>
      <c r="C3466" s="2" t="s">
        <v>505</v>
      </c>
      <c r="D3466" s="2">
        <v>7.7</v>
      </c>
      <c r="E3466" s="2">
        <v>2019.0</v>
      </c>
      <c r="F3466" s="2" t="s">
        <v>10</v>
      </c>
      <c r="G3466" s="2" t="s">
        <v>10</v>
      </c>
    </row>
    <row r="3467" ht="14.25" customHeight="1">
      <c r="A3467" s="1" t="s">
        <v>2971</v>
      </c>
      <c r="B3467" s="1" t="s">
        <v>20</v>
      </c>
      <c r="C3467" s="2" t="s">
        <v>34</v>
      </c>
      <c r="D3467" s="2">
        <v>7.7</v>
      </c>
      <c r="E3467" s="2">
        <v>2024.0</v>
      </c>
      <c r="F3467" s="2" t="s">
        <v>10</v>
      </c>
      <c r="G3467" s="2" t="s">
        <v>10</v>
      </c>
    </row>
    <row r="3468" ht="14.25" customHeight="1">
      <c r="A3468" s="1" t="s">
        <v>2972</v>
      </c>
      <c r="B3468" s="1" t="s">
        <v>8</v>
      </c>
      <c r="C3468" s="2" t="s">
        <v>838</v>
      </c>
      <c r="D3468" s="2">
        <v>7.7</v>
      </c>
      <c r="E3468" s="2">
        <v>2022.0</v>
      </c>
      <c r="F3468" s="2">
        <v>2009.0</v>
      </c>
      <c r="G3468" s="2" t="s">
        <v>10</v>
      </c>
    </row>
    <row r="3469" ht="14.25" customHeight="1">
      <c r="A3469" s="1" t="s">
        <v>2973</v>
      </c>
      <c r="B3469" s="1" t="s">
        <v>8</v>
      </c>
      <c r="C3469" s="2" t="s">
        <v>32</v>
      </c>
      <c r="D3469" s="2">
        <v>7.7</v>
      </c>
      <c r="E3469" s="2">
        <v>1984.0</v>
      </c>
      <c r="F3469" s="2" t="s">
        <v>10</v>
      </c>
      <c r="G3469" s="2" t="s">
        <v>10</v>
      </c>
    </row>
    <row r="3470" ht="14.25" customHeight="1">
      <c r="A3470" s="1" t="s">
        <v>2974</v>
      </c>
      <c r="B3470" s="1" t="s">
        <v>20</v>
      </c>
      <c r="C3470" s="2" t="s">
        <v>530</v>
      </c>
      <c r="D3470" s="2">
        <v>7.7</v>
      </c>
      <c r="E3470" s="2">
        <v>2008.0</v>
      </c>
      <c r="F3470" s="2">
        <v>2008.0</v>
      </c>
      <c r="G3470" s="2" t="s">
        <v>10</v>
      </c>
    </row>
    <row r="3471" ht="14.25" customHeight="1">
      <c r="A3471" s="1" t="s">
        <v>2975</v>
      </c>
      <c r="B3471" s="1" t="s">
        <v>8</v>
      </c>
      <c r="C3471" s="2" t="s">
        <v>1092</v>
      </c>
      <c r="D3471" s="2">
        <v>7.7</v>
      </c>
      <c r="E3471" s="2">
        <v>2012.0</v>
      </c>
      <c r="F3471" s="2" t="s">
        <v>10</v>
      </c>
      <c r="G3471" s="2" t="s">
        <v>10</v>
      </c>
    </row>
    <row r="3472" ht="14.25" customHeight="1">
      <c r="A3472" s="1" t="s">
        <v>2976</v>
      </c>
      <c r="B3472" s="1" t="s">
        <v>8</v>
      </c>
      <c r="C3472" s="2" t="s">
        <v>530</v>
      </c>
      <c r="D3472" s="2">
        <v>7.7</v>
      </c>
      <c r="E3472" s="2">
        <v>2021.0</v>
      </c>
      <c r="F3472" s="2" t="s">
        <v>10</v>
      </c>
      <c r="G3472" s="2" t="s">
        <v>10</v>
      </c>
    </row>
    <row r="3473" ht="14.25" customHeight="1">
      <c r="A3473" s="1" t="s">
        <v>2977</v>
      </c>
      <c r="B3473" s="1" t="s">
        <v>8</v>
      </c>
      <c r="C3473" s="2" t="s">
        <v>1749</v>
      </c>
      <c r="D3473" s="2">
        <v>7.7</v>
      </c>
      <c r="E3473" s="2">
        <v>2023.0</v>
      </c>
      <c r="F3473" s="2" t="s">
        <v>10</v>
      </c>
      <c r="G3473" s="2">
        <v>1.33E7</v>
      </c>
    </row>
    <row r="3474" ht="14.25" customHeight="1">
      <c r="A3474" s="1" t="s">
        <v>2977</v>
      </c>
      <c r="B3474" s="1" t="s">
        <v>8</v>
      </c>
      <c r="C3474" s="2" t="s">
        <v>1749</v>
      </c>
      <c r="D3474" s="2">
        <v>7.7</v>
      </c>
      <c r="E3474" s="2">
        <v>2023.0</v>
      </c>
      <c r="F3474" s="2" t="s">
        <v>10</v>
      </c>
      <c r="G3474" s="2">
        <v>8100000.0</v>
      </c>
    </row>
    <row r="3475" ht="14.25" customHeight="1">
      <c r="A3475" s="1" t="s">
        <v>2978</v>
      </c>
      <c r="B3475" s="1" t="s">
        <v>20</v>
      </c>
      <c r="C3475" s="2" t="s">
        <v>12</v>
      </c>
      <c r="D3475" s="2">
        <v>7.7</v>
      </c>
      <c r="E3475" s="2">
        <v>2022.0</v>
      </c>
      <c r="F3475" s="2" t="s">
        <v>10</v>
      </c>
      <c r="G3475" s="2" t="s">
        <v>10</v>
      </c>
    </row>
    <row r="3476" ht="14.25" customHeight="1">
      <c r="A3476" s="1" t="s">
        <v>2979</v>
      </c>
      <c r="B3476" s="1" t="s">
        <v>20</v>
      </c>
      <c r="C3476" s="2" t="s">
        <v>468</v>
      </c>
      <c r="D3476" s="2">
        <v>7.7</v>
      </c>
      <c r="E3476" s="2">
        <v>1977.0</v>
      </c>
      <c r="F3476" s="2" t="s">
        <v>10</v>
      </c>
      <c r="G3476" s="2" t="s">
        <v>10</v>
      </c>
    </row>
    <row r="3477" ht="14.25" customHeight="1">
      <c r="A3477" s="1" t="s">
        <v>2980</v>
      </c>
      <c r="B3477" s="1" t="s">
        <v>8</v>
      </c>
      <c r="C3477" s="2" t="s">
        <v>391</v>
      </c>
      <c r="D3477" s="2">
        <v>7.7</v>
      </c>
      <c r="E3477" s="2">
        <v>2023.0</v>
      </c>
      <c r="F3477" s="2" t="s">
        <v>10</v>
      </c>
      <c r="G3477" s="2" t="s">
        <v>10</v>
      </c>
    </row>
    <row r="3478" ht="14.25" customHeight="1">
      <c r="A3478" s="1" t="s">
        <v>2981</v>
      </c>
      <c r="B3478" s="1" t="s">
        <v>20</v>
      </c>
      <c r="C3478" s="2" t="s">
        <v>18</v>
      </c>
      <c r="D3478" s="2">
        <v>7.7</v>
      </c>
      <c r="E3478" s="2">
        <v>2006.0</v>
      </c>
      <c r="F3478" s="2">
        <v>1997.0</v>
      </c>
      <c r="G3478" s="2" t="s">
        <v>10</v>
      </c>
    </row>
    <row r="3479" ht="14.25" customHeight="1">
      <c r="A3479" s="1" t="s">
        <v>2982</v>
      </c>
      <c r="B3479" s="1" t="s">
        <v>8</v>
      </c>
      <c r="C3479" s="2" t="s">
        <v>18</v>
      </c>
      <c r="D3479" s="2">
        <v>7.7</v>
      </c>
      <c r="E3479" s="2">
        <v>2022.0</v>
      </c>
      <c r="F3479" s="2" t="s">
        <v>10</v>
      </c>
      <c r="G3479" s="2" t="s">
        <v>10</v>
      </c>
    </row>
    <row r="3480" ht="14.25" customHeight="1">
      <c r="A3480" s="1" t="s">
        <v>2983</v>
      </c>
      <c r="B3480" s="1" t="s">
        <v>20</v>
      </c>
      <c r="C3480" s="2" t="s">
        <v>187</v>
      </c>
      <c r="D3480" s="2">
        <v>7.7</v>
      </c>
      <c r="E3480" s="2">
        <v>1934.0</v>
      </c>
      <c r="F3480" s="2" t="s">
        <v>10</v>
      </c>
      <c r="G3480" s="2" t="s">
        <v>10</v>
      </c>
    </row>
    <row r="3481" ht="14.25" customHeight="1">
      <c r="A3481" s="1" t="s">
        <v>2984</v>
      </c>
      <c r="B3481" s="1" t="s">
        <v>8</v>
      </c>
      <c r="C3481" s="2" t="s">
        <v>530</v>
      </c>
      <c r="D3481" s="2">
        <v>7.7</v>
      </c>
      <c r="E3481" s="2">
        <v>2012.0</v>
      </c>
      <c r="F3481" s="2" t="s">
        <v>10</v>
      </c>
      <c r="G3481" s="2" t="s">
        <v>10</v>
      </c>
    </row>
    <row r="3482" ht="14.25" customHeight="1">
      <c r="A3482" s="1" t="s">
        <v>2985</v>
      </c>
      <c r="B3482" s="1" t="s">
        <v>8</v>
      </c>
      <c r="C3482" s="2" t="s">
        <v>134</v>
      </c>
      <c r="D3482" s="2">
        <v>7.7</v>
      </c>
      <c r="E3482" s="2">
        <v>2023.0</v>
      </c>
      <c r="F3482" s="2" t="s">
        <v>10</v>
      </c>
      <c r="G3482" s="2" t="s">
        <v>10</v>
      </c>
    </row>
    <row r="3483" ht="14.25" customHeight="1">
      <c r="A3483" s="1" t="s">
        <v>2986</v>
      </c>
      <c r="B3483" s="1" t="s">
        <v>8</v>
      </c>
      <c r="C3483" s="2" t="s">
        <v>187</v>
      </c>
      <c r="D3483" s="2">
        <v>7.7</v>
      </c>
      <c r="E3483" s="2">
        <v>2019.0</v>
      </c>
      <c r="F3483" s="2">
        <v>2020.0</v>
      </c>
      <c r="G3483" s="2" t="s">
        <v>10</v>
      </c>
    </row>
    <row r="3484" ht="14.25" customHeight="1">
      <c r="A3484" s="1" t="s">
        <v>2987</v>
      </c>
      <c r="B3484" s="1" t="s">
        <v>8</v>
      </c>
      <c r="C3484" s="2" t="s">
        <v>44</v>
      </c>
      <c r="D3484" s="2">
        <v>7.7</v>
      </c>
      <c r="E3484" s="2">
        <v>2013.0</v>
      </c>
      <c r="F3484" s="2" t="s">
        <v>10</v>
      </c>
      <c r="G3484" s="2" t="s">
        <v>10</v>
      </c>
    </row>
    <row r="3485" ht="14.25" customHeight="1">
      <c r="A3485" s="1" t="s">
        <v>2988</v>
      </c>
      <c r="B3485" s="1" t="s">
        <v>20</v>
      </c>
      <c r="C3485" s="2" t="s">
        <v>44</v>
      </c>
      <c r="D3485" s="2">
        <v>7.7</v>
      </c>
      <c r="E3485" s="2">
        <v>1916.0</v>
      </c>
      <c r="F3485" s="2" t="s">
        <v>10</v>
      </c>
      <c r="G3485" s="2" t="s">
        <v>10</v>
      </c>
    </row>
    <row r="3486" ht="14.25" customHeight="1">
      <c r="A3486" s="1" t="s">
        <v>2989</v>
      </c>
      <c r="B3486" s="1" t="s">
        <v>20</v>
      </c>
      <c r="C3486" s="2" t="s">
        <v>169</v>
      </c>
      <c r="D3486" s="2">
        <v>7.7</v>
      </c>
      <c r="E3486" s="2">
        <v>2024.0</v>
      </c>
      <c r="F3486" s="2" t="s">
        <v>10</v>
      </c>
      <c r="G3486" s="2" t="s">
        <v>10</v>
      </c>
    </row>
    <row r="3487" ht="14.25" customHeight="1">
      <c r="A3487" s="1" t="s">
        <v>2990</v>
      </c>
      <c r="B3487" s="1" t="s">
        <v>8</v>
      </c>
      <c r="C3487" s="2" t="s">
        <v>1013</v>
      </c>
      <c r="D3487" s="2">
        <v>7.7</v>
      </c>
      <c r="E3487" s="2">
        <v>2018.0</v>
      </c>
      <c r="F3487" s="2" t="s">
        <v>10</v>
      </c>
      <c r="G3487" s="2" t="s">
        <v>10</v>
      </c>
    </row>
    <row r="3488" ht="14.25" customHeight="1">
      <c r="A3488" s="1" t="s">
        <v>2991</v>
      </c>
      <c r="B3488" s="1" t="s">
        <v>8</v>
      </c>
      <c r="C3488" s="2" t="s">
        <v>187</v>
      </c>
      <c r="D3488" s="2">
        <v>7.7</v>
      </c>
      <c r="E3488" s="2">
        <v>2020.0</v>
      </c>
      <c r="F3488" s="2" t="s">
        <v>10</v>
      </c>
      <c r="G3488" s="2" t="s">
        <v>10</v>
      </c>
    </row>
    <row r="3489" ht="14.25" customHeight="1">
      <c r="A3489" s="1" t="s">
        <v>2992</v>
      </c>
      <c r="B3489" s="1" t="s">
        <v>20</v>
      </c>
      <c r="C3489" s="2" t="s">
        <v>253</v>
      </c>
      <c r="D3489" s="2">
        <v>7.7</v>
      </c>
      <c r="E3489" s="2">
        <v>1987.0</v>
      </c>
      <c r="F3489" s="2" t="s">
        <v>10</v>
      </c>
      <c r="G3489" s="2" t="s">
        <v>10</v>
      </c>
    </row>
    <row r="3490" ht="14.25" customHeight="1">
      <c r="A3490" s="1" t="s">
        <v>2993</v>
      </c>
      <c r="B3490" s="1" t="s">
        <v>20</v>
      </c>
      <c r="C3490" s="2" t="s">
        <v>18</v>
      </c>
      <c r="D3490" s="2">
        <v>7.7</v>
      </c>
      <c r="E3490" s="2">
        <v>2022.0</v>
      </c>
      <c r="F3490" s="2" t="s">
        <v>10</v>
      </c>
      <c r="G3490" s="2" t="s">
        <v>10</v>
      </c>
    </row>
    <row r="3491" ht="14.25" customHeight="1">
      <c r="A3491" s="1" t="s">
        <v>2994</v>
      </c>
      <c r="B3491" s="1" t="s">
        <v>8</v>
      </c>
      <c r="C3491" s="2" t="s">
        <v>1784</v>
      </c>
      <c r="D3491" s="2">
        <v>7.7</v>
      </c>
      <c r="E3491" s="2">
        <v>2012.0</v>
      </c>
      <c r="F3491" s="2" t="s">
        <v>10</v>
      </c>
      <c r="G3491" s="2" t="s">
        <v>10</v>
      </c>
    </row>
    <row r="3492" ht="14.25" customHeight="1">
      <c r="A3492" s="1" t="s">
        <v>2995</v>
      </c>
      <c r="B3492" s="1" t="s">
        <v>20</v>
      </c>
      <c r="C3492" s="2" t="s">
        <v>291</v>
      </c>
      <c r="D3492" s="2">
        <v>7.7</v>
      </c>
      <c r="E3492" s="2">
        <v>2011.0</v>
      </c>
      <c r="F3492" s="2" t="s">
        <v>10</v>
      </c>
      <c r="G3492" s="2" t="s">
        <v>10</v>
      </c>
    </row>
    <row r="3493" ht="14.25" customHeight="1">
      <c r="A3493" s="1" t="s">
        <v>2996</v>
      </c>
      <c r="B3493" s="1" t="s">
        <v>20</v>
      </c>
      <c r="C3493" s="2" t="s">
        <v>411</v>
      </c>
      <c r="D3493" s="2">
        <v>7.7</v>
      </c>
      <c r="E3493" s="2">
        <v>1930.0</v>
      </c>
      <c r="F3493" s="2" t="s">
        <v>10</v>
      </c>
      <c r="G3493" s="2" t="s">
        <v>10</v>
      </c>
    </row>
    <row r="3494" ht="14.25" customHeight="1">
      <c r="A3494" s="1" t="s">
        <v>2997</v>
      </c>
      <c r="B3494" s="1" t="s">
        <v>8</v>
      </c>
      <c r="C3494" s="2" t="s">
        <v>291</v>
      </c>
      <c r="D3494" s="2">
        <v>7.7</v>
      </c>
      <c r="E3494" s="2">
        <v>2023.0</v>
      </c>
      <c r="F3494" s="2" t="s">
        <v>10</v>
      </c>
      <c r="G3494" s="2" t="s">
        <v>10</v>
      </c>
    </row>
    <row r="3495" ht="14.25" customHeight="1">
      <c r="A3495" s="1" t="s">
        <v>2998</v>
      </c>
      <c r="B3495" s="1" t="s">
        <v>8</v>
      </c>
      <c r="C3495" s="2" t="s">
        <v>118</v>
      </c>
      <c r="D3495" s="2">
        <v>7.7</v>
      </c>
      <c r="E3495" s="2">
        <v>2022.0</v>
      </c>
      <c r="F3495" s="2" t="s">
        <v>10</v>
      </c>
      <c r="G3495" s="2" t="s">
        <v>10</v>
      </c>
    </row>
    <row r="3496" ht="14.25" customHeight="1">
      <c r="A3496" s="1" t="s">
        <v>2999</v>
      </c>
      <c r="B3496" s="1" t="s">
        <v>20</v>
      </c>
      <c r="C3496" s="2" t="s">
        <v>361</v>
      </c>
      <c r="D3496" s="2">
        <v>7.7</v>
      </c>
      <c r="E3496" s="2">
        <v>1996.0</v>
      </c>
      <c r="F3496" s="2" t="s">
        <v>10</v>
      </c>
      <c r="G3496" s="2" t="s">
        <v>10</v>
      </c>
    </row>
    <row r="3497" ht="14.25" customHeight="1">
      <c r="A3497" s="1" t="s">
        <v>3000</v>
      </c>
      <c r="B3497" s="1" t="s">
        <v>20</v>
      </c>
      <c r="C3497" s="2" t="s">
        <v>3001</v>
      </c>
      <c r="D3497" s="2">
        <v>7.7</v>
      </c>
      <c r="E3497" s="2">
        <v>1935.0</v>
      </c>
      <c r="F3497" s="2" t="s">
        <v>10</v>
      </c>
      <c r="G3497" s="2" t="s">
        <v>10</v>
      </c>
    </row>
    <row r="3498" ht="14.25" customHeight="1">
      <c r="A3498" s="1" t="s">
        <v>3002</v>
      </c>
      <c r="B3498" s="1" t="s">
        <v>8</v>
      </c>
      <c r="C3498" s="2" t="s">
        <v>32</v>
      </c>
      <c r="D3498" s="2">
        <v>7.7</v>
      </c>
      <c r="E3498" s="2">
        <v>1978.0</v>
      </c>
      <c r="F3498" s="2" t="s">
        <v>10</v>
      </c>
      <c r="G3498" s="2" t="s">
        <v>10</v>
      </c>
    </row>
    <row r="3499" ht="14.25" customHeight="1">
      <c r="A3499" s="1" t="s">
        <v>3003</v>
      </c>
      <c r="B3499" s="1" t="s">
        <v>8</v>
      </c>
      <c r="C3499" s="2" t="s">
        <v>69</v>
      </c>
      <c r="D3499" s="2">
        <v>7.7</v>
      </c>
      <c r="E3499" s="2">
        <v>2020.0</v>
      </c>
      <c r="F3499" s="2" t="s">
        <v>10</v>
      </c>
      <c r="G3499" s="2" t="s">
        <v>10</v>
      </c>
    </row>
    <row r="3500" ht="14.25" customHeight="1">
      <c r="A3500" s="1" t="s">
        <v>3004</v>
      </c>
      <c r="B3500" s="1" t="s">
        <v>8</v>
      </c>
      <c r="C3500" s="2" t="s">
        <v>1567</v>
      </c>
      <c r="D3500" s="2">
        <v>7.7</v>
      </c>
      <c r="E3500" s="2">
        <v>2019.0</v>
      </c>
      <c r="F3500" s="2" t="s">
        <v>10</v>
      </c>
      <c r="G3500" s="2" t="s">
        <v>10</v>
      </c>
    </row>
    <row r="3501" ht="14.25" customHeight="1">
      <c r="A3501" s="1" t="s">
        <v>3005</v>
      </c>
      <c r="B3501" s="1" t="s">
        <v>20</v>
      </c>
      <c r="C3501" s="2" t="s">
        <v>187</v>
      </c>
      <c r="D3501" s="2">
        <v>7.7</v>
      </c>
      <c r="E3501" s="2">
        <v>2018.0</v>
      </c>
      <c r="F3501" s="2" t="s">
        <v>10</v>
      </c>
      <c r="G3501" s="2" t="s">
        <v>10</v>
      </c>
    </row>
    <row r="3502" ht="14.25" customHeight="1">
      <c r="A3502" s="1" t="s">
        <v>3006</v>
      </c>
      <c r="B3502" s="1" t="s">
        <v>8</v>
      </c>
      <c r="C3502" s="2" t="s">
        <v>18</v>
      </c>
      <c r="D3502" s="2">
        <v>7.7</v>
      </c>
      <c r="E3502" s="2">
        <v>2015.0</v>
      </c>
      <c r="F3502" s="2" t="s">
        <v>10</v>
      </c>
      <c r="G3502" s="2" t="s">
        <v>10</v>
      </c>
    </row>
    <row r="3503" ht="14.25" customHeight="1">
      <c r="A3503" s="1" t="s">
        <v>3007</v>
      </c>
      <c r="B3503" s="1" t="s">
        <v>20</v>
      </c>
      <c r="C3503" s="2" t="s">
        <v>63</v>
      </c>
      <c r="D3503" s="2">
        <v>7.7</v>
      </c>
      <c r="E3503" s="2">
        <v>2004.0</v>
      </c>
      <c r="F3503" s="2" t="s">
        <v>10</v>
      </c>
      <c r="G3503" s="2" t="s">
        <v>10</v>
      </c>
    </row>
    <row r="3504" ht="14.25" customHeight="1">
      <c r="A3504" s="1" t="s">
        <v>3008</v>
      </c>
      <c r="B3504" s="1" t="s">
        <v>20</v>
      </c>
      <c r="C3504" s="2" t="s">
        <v>184</v>
      </c>
      <c r="D3504" s="2">
        <v>7.7</v>
      </c>
      <c r="E3504" s="2">
        <v>1949.0</v>
      </c>
      <c r="F3504" s="2" t="s">
        <v>10</v>
      </c>
      <c r="G3504" s="2" t="s">
        <v>10</v>
      </c>
    </row>
    <row r="3505" ht="14.25" customHeight="1">
      <c r="A3505" s="1" t="s">
        <v>3009</v>
      </c>
      <c r="B3505" s="1" t="s">
        <v>8</v>
      </c>
      <c r="C3505" s="2" t="s">
        <v>1362</v>
      </c>
      <c r="D3505" s="2">
        <v>7.7</v>
      </c>
      <c r="E3505" s="2">
        <v>2017.0</v>
      </c>
      <c r="F3505" s="2" t="s">
        <v>10</v>
      </c>
      <c r="G3505" s="2" t="s">
        <v>10</v>
      </c>
    </row>
    <row r="3506" ht="14.25" customHeight="1">
      <c r="A3506" s="1" t="s">
        <v>3010</v>
      </c>
      <c r="B3506" s="1" t="s">
        <v>20</v>
      </c>
      <c r="C3506" s="2" t="s">
        <v>1378</v>
      </c>
      <c r="D3506" s="2">
        <v>7.7</v>
      </c>
      <c r="E3506" s="2">
        <v>2023.0</v>
      </c>
      <c r="F3506" s="2" t="s">
        <v>10</v>
      </c>
      <c r="G3506" s="2">
        <v>6500000.0</v>
      </c>
    </row>
    <row r="3507" ht="14.25" customHeight="1">
      <c r="A3507" s="1" t="s">
        <v>3010</v>
      </c>
      <c r="B3507" s="1" t="s">
        <v>20</v>
      </c>
      <c r="C3507" s="2" t="s">
        <v>1378</v>
      </c>
      <c r="D3507" s="2">
        <v>7.7</v>
      </c>
      <c r="E3507" s="2">
        <v>2023.0</v>
      </c>
      <c r="F3507" s="2" t="s">
        <v>10</v>
      </c>
      <c r="G3507" s="2">
        <v>8400000.0</v>
      </c>
    </row>
    <row r="3508" ht="14.25" customHeight="1">
      <c r="A3508" s="1" t="s">
        <v>3011</v>
      </c>
      <c r="B3508" s="1" t="s">
        <v>20</v>
      </c>
      <c r="C3508" s="2" t="s">
        <v>63</v>
      </c>
      <c r="D3508" s="2">
        <v>7.7</v>
      </c>
      <c r="E3508" s="2">
        <v>1977.0</v>
      </c>
      <c r="F3508" s="2" t="s">
        <v>10</v>
      </c>
      <c r="G3508" s="2" t="s">
        <v>10</v>
      </c>
    </row>
    <row r="3509" ht="14.25" customHeight="1">
      <c r="A3509" s="1" t="s">
        <v>3012</v>
      </c>
      <c r="B3509" s="1" t="s">
        <v>20</v>
      </c>
      <c r="C3509" s="2" t="s">
        <v>18</v>
      </c>
      <c r="D3509" s="2">
        <v>7.7</v>
      </c>
      <c r="E3509" s="2">
        <v>2023.0</v>
      </c>
      <c r="F3509" s="2" t="s">
        <v>10</v>
      </c>
      <c r="G3509" s="2" t="s">
        <v>10</v>
      </c>
    </row>
    <row r="3510" ht="14.25" customHeight="1">
      <c r="A3510" s="1" t="s">
        <v>3013</v>
      </c>
      <c r="B3510" s="1" t="s">
        <v>20</v>
      </c>
      <c r="C3510" s="2" t="s">
        <v>18</v>
      </c>
      <c r="D3510" s="2">
        <v>7.7</v>
      </c>
      <c r="E3510" s="2">
        <v>2005.0</v>
      </c>
      <c r="F3510" s="2" t="s">
        <v>10</v>
      </c>
      <c r="G3510" s="2" t="s">
        <v>10</v>
      </c>
    </row>
    <row r="3511" ht="14.25" customHeight="1">
      <c r="A3511" s="1" t="s">
        <v>3014</v>
      </c>
      <c r="B3511" s="1" t="s">
        <v>20</v>
      </c>
      <c r="C3511" s="2" t="s">
        <v>154</v>
      </c>
      <c r="D3511" s="2">
        <v>7.7</v>
      </c>
      <c r="E3511" s="2">
        <v>1979.0</v>
      </c>
      <c r="F3511" s="2" t="s">
        <v>10</v>
      </c>
      <c r="G3511" s="2" t="s">
        <v>10</v>
      </c>
    </row>
    <row r="3512" ht="14.25" customHeight="1">
      <c r="A3512" s="1" t="s">
        <v>3015</v>
      </c>
      <c r="B3512" s="1" t="s">
        <v>20</v>
      </c>
      <c r="C3512" s="2" t="s">
        <v>63</v>
      </c>
      <c r="D3512" s="2">
        <v>7.7</v>
      </c>
      <c r="E3512" s="2">
        <v>1939.0</v>
      </c>
      <c r="F3512" s="2" t="s">
        <v>10</v>
      </c>
      <c r="G3512" s="2" t="s">
        <v>10</v>
      </c>
    </row>
    <row r="3513" ht="14.25" customHeight="1">
      <c r="A3513" s="1" t="s">
        <v>3016</v>
      </c>
      <c r="B3513" s="1" t="s">
        <v>20</v>
      </c>
      <c r="C3513" s="2" t="s">
        <v>3017</v>
      </c>
      <c r="D3513" s="2">
        <v>7.7</v>
      </c>
      <c r="E3513" s="2">
        <v>2013.0</v>
      </c>
      <c r="F3513" s="2" t="s">
        <v>10</v>
      </c>
      <c r="G3513" s="2" t="s">
        <v>10</v>
      </c>
    </row>
    <row r="3514" ht="14.25" customHeight="1">
      <c r="A3514" s="1" t="s">
        <v>3018</v>
      </c>
      <c r="B3514" s="1" t="s">
        <v>8</v>
      </c>
      <c r="C3514" s="2" t="s">
        <v>169</v>
      </c>
      <c r="D3514" s="2">
        <v>7.7</v>
      </c>
      <c r="E3514" s="2">
        <v>2022.0</v>
      </c>
      <c r="F3514" s="2" t="s">
        <v>10</v>
      </c>
      <c r="G3514" s="2" t="s">
        <v>10</v>
      </c>
    </row>
    <row r="3515" ht="14.25" customHeight="1">
      <c r="A3515" s="1" t="s">
        <v>3019</v>
      </c>
      <c r="B3515" s="1" t="s">
        <v>20</v>
      </c>
      <c r="C3515" s="2" t="s">
        <v>118</v>
      </c>
      <c r="D3515" s="2">
        <v>7.7</v>
      </c>
      <c r="E3515" s="2">
        <v>1955.0</v>
      </c>
      <c r="F3515" s="2" t="s">
        <v>10</v>
      </c>
      <c r="G3515" s="2" t="s">
        <v>10</v>
      </c>
    </row>
    <row r="3516" ht="14.25" customHeight="1">
      <c r="A3516" s="1" t="s">
        <v>3020</v>
      </c>
      <c r="B3516" s="1" t="s">
        <v>8</v>
      </c>
      <c r="C3516" s="2" t="s">
        <v>32</v>
      </c>
      <c r="D3516" s="2">
        <v>7.7</v>
      </c>
      <c r="E3516" s="2">
        <v>2015.0</v>
      </c>
      <c r="F3516" s="2" t="s">
        <v>10</v>
      </c>
      <c r="G3516" s="2" t="s">
        <v>10</v>
      </c>
    </row>
    <row r="3517" ht="14.25" customHeight="1">
      <c r="A3517" s="1" t="s">
        <v>3021</v>
      </c>
      <c r="B3517" s="1" t="s">
        <v>20</v>
      </c>
      <c r="C3517" s="2" t="s">
        <v>118</v>
      </c>
      <c r="D3517" s="2">
        <v>7.7</v>
      </c>
      <c r="E3517" s="2">
        <v>1941.0</v>
      </c>
      <c r="F3517" s="2" t="s">
        <v>10</v>
      </c>
      <c r="G3517" s="2" t="s">
        <v>10</v>
      </c>
    </row>
    <row r="3518" ht="14.25" customHeight="1">
      <c r="A3518" s="1" t="s">
        <v>3022</v>
      </c>
      <c r="B3518" s="1" t="s">
        <v>20</v>
      </c>
      <c r="C3518" s="2" t="s">
        <v>1144</v>
      </c>
      <c r="D3518" s="2">
        <v>7.7</v>
      </c>
      <c r="E3518" s="2">
        <v>2006.0</v>
      </c>
      <c r="F3518" s="2" t="s">
        <v>10</v>
      </c>
      <c r="G3518" s="2" t="s">
        <v>10</v>
      </c>
    </row>
    <row r="3519" ht="14.25" customHeight="1">
      <c r="A3519" s="1" t="s">
        <v>3023</v>
      </c>
      <c r="B3519" s="1" t="s">
        <v>8</v>
      </c>
      <c r="C3519" s="2" t="s">
        <v>154</v>
      </c>
      <c r="D3519" s="2">
        <v>7.7</v>
      </c>
      <c r="E3519" s="2">
        <v>2022.0</v>
      </c>
      <c r="F3519" s="2">
        <v>1999.0</v>
      </c>
      <c r="G3519" s="2">
        <v>9480000.0</v>
      </c>
    </row>
    <row r="3520" ht="14.25" customHeight="1">
      <c r="A3520" s="1" t="s">
        <v>3023</v>
      </c>
      <c r="B3520" s="1" t="s">
        <v>8</v>
      </c>
      <c r="C3520" s="2" t="s">
        <v>154</v>
      </c>
      <c r="D3520" s="2">
        <v>7.7</v>
      </c>
      <c r="E3520" s="2">
        <v>2022.0</v>
      </c>
      <c r="F3520" s="2">
        <v>1999.0</v>
      </c>
      <c r="G3520" s="2">
        <v>1.488E7</v>
      </c>
    </row>
    <row r="3521" ht="14.25" customHeight="1">
      <c r="A3521" s="1" t="s">
        <v>3023</v>
      </c>
      <c r="B3521" s="1" t="s">
        <v>8</v>
      </c>
      <c r="C3521" s="2" t="s">
        <v>154</v>
      </c>
      <c r="D3521" s="2">
        <v>7.7</v>
      </c>
      <c r="E3521" s="2">
        <v>2022.0</v>
      </c>
      <c r="F3521" s="2">
        <v>1999.0</v>
      </c>
      <c r="G3521" s="2">
        <v>1.825E7</v>
      </c>
    </row>
    <row r="3522" ht="14.25" customHeight="1">
      <c r="A3522" s="1" t="s">
        <v>3024</v>
      </c>
      <c r="B3522" s="1" t="s">
        <v>8</v>
      </c>
      <c r="C3522" s="2" t="s">
        <v>92</v>
      </c>
      <c r="D3522" s="2">
        <v>7.7</v>
      </c>
      <c r="E3522" s="2">
        <v>1995.0</v>
      </c>
      <c r="F3522" s="2" t="s">
        <v>10</v>
      </c>
      <c r="G3522" s="2" t="s">
        <v>10</v>
      </c>
    </row>
    <row r="3523" ht="14.25" customHeight="1">
      <c r="A3523" s="1" t="s">
        <v>3025</v>
      </c>
      <c r="B3523" s="1" t="s">
        <v>20</v>
      </c>
      <c r="C3523" s="2" t="s">
        <v>154</v>
      </c>
      <c r="D3523" s="2">
        <v>7.7</v>
      </c>
      <c r="E3523" s="2">
        <v>1999.0</v>
      </c>
      <c r="F3523" s="2" t="s">
        <v>10</v>
      </c>
      <c r="G3523" s="2" t="s">
        <v>10</v>
      </c>
    </row>
    <row r="3524" ht="14.25" customHeight="1">
      <c r="A3524" s="1" t="s">
        <v>3026</v>
      </c>
      <c r="B3524" s="1" t="s">
        <v>20</v>
      </c>
      <c r="C3524" s="2" t="s">
        <v>69</v>
      </c>
      <c r="D3524" s="2">
        <v>7.7</v>
      </c>
      <c r="E3524" s="2">
        <v>2014.0</v>
      </c>
      <c r="F3524" s="2" t="s">
        <v>10</v>
      </c>
      <c r="G3524" s="2" t="s">
        <v>10</v>
      </c>
    </row>
    <row r="3525" ht="14.25" customHeight="1">
      <c r="A3525" s="1" t="s">
        <v>3027</v>
      </c>
      <c r="B3525" s="1" t="s">
        <v>20</v>
      </c>
      <c r="C3525" s="2" t="s">
        <v>461</v>
      </c>
      <c r="D3525" s="2">
        <v>7.7</v>
      </c>
      <c r="E3525" s="2">
        <v>1958.0</v>
      </c>
      <c r="F3525" s="2" t="s">
        <v>10</v>
      </c>
      <c r="G3525" s="2" t="s">
        <v>10</v>
      </c>
    </row>
    <row r="3526" ht="14.25" customHeight="1">
      <c r="A3526" s="1" t="s">
        <v>3028</v>
      </c>
      <c r="B3526" s="1" t="s">
        <v>20</v>
      </c>
      <c r="C3526" s="2" t="s">
        <v>643</v>
      </c>
      <c r="D3526" s="2">
        <v>7.7</v>
      </c>
      <c r="E3526" s="2">
        <v>1947.0</v>
      </c>
      <c r="F3526" s="2" t="s">
        <v>10</v>
      </c>
      <c r="G3526" s="2" t="s">
        <v>10</v>
      </c>
    </row>
    <row r="3527" ht="14.25" customHeight="1">
      <c r="A3527" s="1" t="s">
        <v>3029</v>
      </c>
      <c r="B3527" s="1" t="s">
        <v>20</v>
      </c>
      <c r="C3527" s="2" t="s">
        <v>184</v>
      </c>
      <c r="D3527" s="2">
        <v>7.7</v>
      </c>
      <c r="E3527" s="2">
        <v>2017.0</v>
      </c>
      <c r="F3527" s="2" t="s">
        <v>10</v>
      </c>
      <c r="G3527" s="2" t="s">
        <v>10</v>
      </c>
    </row>
    <row r="3528" ht="14.25" customHeight="1">
      <c r="A3528" s="1" t="s">
        <v>3030</v>
      </c>
      <c r="B3528" s="1" t="s">
        <v>8</v>
      </c>
      <c r="C3528" s="2" t="s">
        <v>122</v>
      </c>
      <c r="D3528" s="2">
        <v>7.7</v>
      </c>
      <c r="E3528" s="2">
        <v>2019.0</v>
      </c>
      <c r="F3528" s="2">
        <v>2021.0</v>
      </c>
      <c r="G3528" s="2" t="s">
        <v>10</v>
      </c>
    </row>
    <row r="3529" ht="14.25" customHeight="1">
      <c r="A3529" s="1" t="s">
        <v>3031</v>
      </c>
      <c r="B3529" s="1" t="s">
        <v>20</v>
      </c>
      <c r="C3529" s="2" t="s">
        <v>18</v>
      </c>
      <c r="D3529" s="2">
        <v>7.7</v>
      </c>
      <c r="E3529" s="2">
        <v>1960.0</v>
      </c>
      <c r="F3529" s="2" t="s">
        <v>10</v>
      </c>
      <c r="G3529" s="2" t="s">
        <v>10</v>
      </c>
    </row>
    <row r="3530" ht="14.25" customHeight="1">
      <c r="A3530" s="1" t="s">
        <v>3032</v>
      </c>
      <c r="B3530" s="1" t="s">
        <v>20</v>
      </c>
      <c r="C3530" s="2" t="s">
        <v>18</v>
      </c>
      <c r="D3530" s="2">
        <v>7.7</v>
      </c>
      <c r="E3530" s="2">
        <v>1967.0</v>
      </c>
      <c r="F3530" s="2" t="s">
        <v>10</v>
      </c>
      <c r="G3530" s="2" t="s">
        <v>10</v>
      </c>
    </row>
    <row r="3531" ht="14.25" customHeight="1">
      <c r="A3531" s="1" t="s">
        <v>3033</v>
      </c>
      <c r="B3531" s="1" t="s">
        <v>20</v>
      </c>
      <c r="C3531" s="2" t="s">
        <v>63</v>
      </c>
      <c r="D3531" s="2">
        <v>7.7</v>
      </c>
      <c r="E3531" s="2">
        <v>2023.0</v>
      </c>
      <c r="F3531" s="2" t="s">
        <v>10</v>
      </c>
      <c r="G3531" s="2" t="s">
        <v>10</v>
      </c>
    </row>
    <row r="3532" ht="14.25" customHeight="1">
      <c r="A3532" s="1" t="s">
        <v>3034</v>
      </c>
      <c r="B3532" s="1" t="s">
        <v>20</v>
      </c>
      <c r="C3532" s="2" t="s">
        <v>9</v>
      </c>
      <c r="D3532" s="2">
        <v>7.7</v>
      </c>
      <c r="E3532" s="2">
        <v>2002.0</v>
      </c>
      <c r="F3532" s="2" t="s">
        <v>10</v>
      </c>
      <c r="G3532" s="2" t="s">
        <v>10</v>
      </c>
    </row>
    <row r="3533" ht="14.25" customHeight="1">
      <c r="A3533" s="1" t="s">
        <v>3035</v>
      </c>
      <c r="B3533" s="1" t="s">
        <v>20</v>
      </c>
      <c r="C3533" s="2" t="s">
        <v>474</v>
      </c>
      <c r="D3533" s="2">
        <v>7.7</v>
      </c>
      <c r="E3533" s="2">
        <v>1986.0</v>
      </c>
      <c r="F3533" s="2" t="s">
        <v>10</v>
      </c>
      <c r="G3533" s="2" t="s">
        <v>10</v>
      </c>
    </row>
    <row r="3534" ht="14.25" customHeight="1">
      <c r="A3534" s="1" t="s">
        <v>3036</v>
      </c>
      <c r="B3534" s="1" t="s">
        <v>20</v>
      </c>
      <c r="C3534" s="2" t="s">
        <v>1726</v>
      </c>
      <c r="D3534" s="2">
        <v>7.7</v>
      </c>
      <c r="E3534" s="2">
        <v>1950.0</v>
      </c>
      <c r="F3534" s="2" t="s">
        <v>10</v>
      </c>
      <c r="G3534" s="2" t="s">
        <v>10</v>
      </c>
    </row>
    <row r="3535" ht="14.25" customHeight="1">
      <c r="A3535" s="1" t="s">
        <v>3037</v>
      </c>
      <c r="B3535" s="1" t="s">
        <v>8</v>
      </c>
      <c r="C3535" s="2" t="s">
        <v>284</v>
      </c>
      <c r="D3535" s="2">
        <v>7.7</v>
      </c>
      <c r="E3535" s="2">
        <v>2023.0</v>
      </c>
      <c r="F3535" s="2" t="s">
        <v>10</v>
      </c>
      <c r="G3535" s="2">
        <v>3.36E7</v>
      </c>
    </row>
    <row r="3536" ht="14.25" customHeight="1">
      <c r="A3536" s="1" t="s">
        <v>3037</v>
      </c>
      <c r="B3536" s="1" t="s">
        <v>8</v>
      </c>
      <c r="C3536" s="2" t="s">
        <v>284</v>
      </c>
      <c r="D3536" s="2">
        <v>7.7</v>
      </c>
      <c r="E3536" s="2">
        <v>2023.0</v>
      </c>
      <c r="F3536" s="2" t="s">
        <v>10</v>
      </c>
      <c r="G3536" s="3">
        <v>2.8E7</v>
      </c>
    </row>
    <row r="3537" ht="14.25" customHeight="1">
      <c r="A3537" s="1" t="s">
        <v>3037</v>
      </c>
      <c r="B3537" s="1" t="s">
        <v>8</v>
      </c>
      <c r="C3537" s="2" t="s">
        <v>284</v>
      </c>
      <c r="D3537" s="2">
        <v>7.7</v>
      </c>
      <c r="E3537" s="2">
        <v>2023.0</v>
      </c>
      <c r="F3537" s="2" t="s">
        <v>10</v>
      </c>
      <c r="G3537" s="2">
        <v>1.97E7</v>
      </c>
    </row>
    <row r="3538" ht="14.25" customHeight="1">
      <c r="A3538" s="1" t="s">
        <v>3037</v>
      </c>
      <c r="B3538" s="1" t="s">
        <v>8</v>
      </c>
      <c r="C3538" s="2" t="s">
        <v>284</v>
      </c>
      <c r="D3538" s="2">
        <v>7.7</v>
      </c>
      <c r="E3538" s="2">
        <v>2023.0</v>
      </c>
      <c r="F3538" s="2" t="s">
        <v>10</v>
      </c>
      <c r="G3538" s="2">
        <v>6700000.0</v>
      </c>
    </row>
    <row r="3539" ht="14.25" customHeight="1">
      <c r="A3539" s="1" t="s">
        <v>3038</v>
      </c>
      <c r="B3539" s="1" t="s">
        <v>20</v>
      </c>
      <c r="C3539" s="2" t="s">
        <v>18</v>
      </c>
      <c r="D3539" s="2">
        <v>7.7</v>
      </c>
      <c r="E3539" s="2">
        <v>1951.0</v>
      </c>
      <c r="F3539" s="2" t="s">
        <v>10</v>
      </c>
      <c r="G3539" s="2" t="s">
        <v>10</v>
      </c>
    </row>
    <row r="3540" ht="14.25" customHeight="1">
      <c r="A3540" s="1" t="s">
        <v>3039</v>
      </c>
      <c r="B3540" s="1" t="s">
        <v>20</v>
      </c>
      <c r="C3540" s="2" t="s">
        <v>291</v>
      </c>
      <c r="D3540" s="2">
        <v>7.7</v>
      </c>
      <c r="E3540" s="2">
        <v>1978.0</v>
      </c>
      <c r="F3540" s="2">
        <v>2006.0</v>
      </c>
      <c r="G3540" s="2">
        <v>2740000.0</v>
      </c>
    </row>
    <row r="3541" ht="14.25" customHeight="1">
      <c r="A3541" s="1" t="s">
        <v>3039</v>
      </c>
      <c r="B3541" s="1" t="s">
        <v>20</v>
      </c>
      <c r="C3541" s="2" t="s">
        <v>291</v>
      </c>
      <c r="D3541" s="2">
        <v>7.7</v>
      </c>
      <c r="E3541" s="2">
        <v>1978.0</v>
      </c>
      <c r="F3541" s="2">
        <v>2006.0</v>
      </c>
      <c r="G3541" s="2">
        <v>3640000.0</v>
      </c>
    </row>
    <row r="3542" ht="14.25" customHeight="1">
      <c r="A3542" s="1" t="s">
        <v>3040</v>
      </c>
      <c r="B3542" s="1" t="s">
        <v>20</v>
      </c>
      <c r="C3542" s="2" t="s">
        <v>1784</v>
      </c>
      <c r="D3542" s="2">
        <v>7.7</v>
      </c>
      <c r="E3542" s="2">
        <v>1998.0</v>
      </c>
      <c r="F3542" s="2" t="s">
        <v>10</v>
      </c>
      <c r="G3542" s="2" t="s">
        <v>10</v>
      </c>
    </row>
    <row r="3543" ht="14.25" customHeight="1">
      <c r="A3543" s="1" t="s">
        <v>3041</v>
      </c>
      <c r="B3543" s="1" t="s">
        <v>8</v>
      </c>
      <c r="C3543" s="2" t="s">
        <v>44</v>
      </c>
      <c r="D3543" s="2">
        <v>7.7</v>
      </c>
      <c r="E3543" s="2">
        <v>2012.0</v>
      </c>
      <c r="F3543" s="2" t="s">
        <v>10</v>
      </c>
      <c r="G3543" s="2" t="s">
        <v>10</v>
      </c>
    </row>
    <row r="3544" ht="14.25" customHeight="1">
      <c r="A3544" s="1" t="s">
        <v>3042</v>
      </c>
      <c r="B3544" s="1" t="s">
        <v>20</v>
      </c>
      <c r="C3544" s="2" t="s">
        <v>184</v>
      </c>
      <c r="D3544" s="2">
        <v>7.7</v>
      </c>
      <c r="E3544" s="2">
        <v>1960.0</v>
      </c>
      <c r="F3544" s="2" t="s">
        <v>10</v>
      </c>
      <c r="G3544" s="2" t="s">
        <v>10</v>
      </c>
    </row>
    <row r="3545" ht="14.25" customHeight="1">
      <c r="A3545" s="1" t="s">
        <v>3043</v>
      </c>
      <c r="B3545" s="1" t="s">
        <v>20</v>
      </c>
      <c r="C3545" s="2" t="s">
        <v>80</v>
      </c>
      <c r="D3545" s="2">
        <v>7.7</v>
      </c>
      <c r="E3545" s="2">
        <v>2004.0</v>
      </c>
      <c r="F3545" s="2" t="s">
        <v>10</v>
      </c>
      <c r="G3545" s="2" t="s">
        <v>10</v>
      </c>
    </row>
    <row r="3546" ht="14.25" customHeight="1">
      <c r="A3546" s="1" t="s">
        <v>3044</v>
      </c>
      <c r="B3546" s="1" t="s">
        <v>20</v>
      </c>
      <c r="C3546" s="2" t="s">
        <v>12</v>
      </c>
      <c r="D3546" s="2">
        <v>7.7</v>
      </c>
      <c r="E3546" s="2">
        <v>2011.0</v>
      </c>
      <c r="F3546" s="2">
        <v>2011.0</v>
      </c>
      <c r="G3546" s="2" t="s">
        <v>10</v>
      </c>
    </row>
    <row r="3547" ht="14.25" customHeight="1">
      <c r="A3547" s="1" t="s">
        <v>3045</v>
      </c>
      <c r="B3547" s="1" t="s">
        <v>20</v>
      </c>
      <c r="C3547" s="2" t="s">
        <v>3046</v>
      </c>
      <c r="D3547" s="2">
        <v>7.7</v>
      </c>
      <c r="E3547" s="2">
        <v>1923.0</v>
      </c>
      <c r="F3547" s="2" t="s">
        <v>10</v>
      </c>
      <c r="G3547" s="2" t="s">
        <v>10</v>
      </c>
    </row>
    <row r="3548" ht="14.25" customHeight="1">
      <c r="A3548" s="1" t="s">
        <v>3047</v>
      </c>
      <c r="B3548" s="1" t="s">
        <v>8</v>
      </c>
      <c r="C3548" s="2" t="s">
        <v>566</v>
      </c>
      <c r="D3548" s="2">
        <v>7.7</v>
      </c>
      <c r="E3548" s="2">
        <v>2007.0</v>
      </c>
      <c r="F3548" s="2" t="s">
        <v>10</v>
      </c>
      <c r="G3548" s="2" t="s">
        <v>10</v>
      </c>
    </row>
    <row r="3549" ht="14.25" customHeight="1">
      <c r="A3549" s="1" t="s">
        <v>3048</v>
      </c>
      <c r="B3549" s="1" t="s">
        <v>20</v>
      </c>
      <c r="C3549" s="2" t="s">
        <v>217</v>
      </c>
      <c r="D3549" s="2">
        <v>7.7</v>
      </c>
      <c r="E3549" s="2">
        <v>2010.0</v>
      </c>
      <c r="F3549" s="2" t="s">
        <v>10</v>
      </c>
      <c r="G3549" s="2" t="s">
        <v>10</v>
      </c>
    </row>
    <row r="3550" ht="14.25" customHeight="1">
      <c r="A3550" s="1" t="s">
        <v>91</v>
      </c>
      <c r="B3550" s="1" t="s">
        <v>8</v>
      </c>
      <c r="C3550" s="2" t="s">
        <v>92</v>
      </c>
      <c r="D3550" s="2">
        <v>7.7</v>
      </c>
      <c r="E3550" s="2">
        <v>1985.0</v>
      </c>
      <c r="F3550" s="2" t="s">
        <v>10</v>
      </c>
      <c r="G3550" s="2" t="s">
        <v>10</v>
      </c>
    </row>
    <row r="3551" ht="14.25" customHeight="1">
      <c r="A3551" s="1" t="s">
        <v>3049</v>
      </c>
      <c r="B3551" s="1" t="s">
        <v>20</v>
      </c>
      <c r="C3551" s="2" t="s">
        <v>25</v>
      </c>
      <c r="D3551" s="2">
        <v>7.7</v>
      </c>
      <c r="E3551" s="2">
        <v>2015.0</v>
      </c>
      <c r="F3551" s="2" t="s">
        <v>10</v>
      </c>
      <c r="G3551" s="2" t="s">
        <v>10</v>
      </c>
    </row>
    <row r="3552" ht="14.25" customHeight="1">
      <c r="A3552" s="1" t="s">
        <v>3050</v>
      </c>
      <c r="B3552" s="1" t="s">
        <v>8</v>
      </c>
      <c r="C3552" s="2" t="s">
        <v>3051</v>
      </c>
      <c r="D3552" s="2">
        <v>7.7</v>
      </c>
      <c r="E3552" s="2">
        <v>2019.0</v>
      </c>
      <c r="F3552" s="2" t="s">
        <v>10</v>
      </c>
      <c r="G3552" s="2" t="s">
        <v>10</v>
      </c>
    </row>
    <row r="3553" ht="14.25" customHeight="1">
      <c r="A3553" s="1" t="s">
        <v>3052</v>
      </c>
      <c r="B3553" s="1" t="s">
        <v>20</v>
      </c>
      <c r="C3553" s="2" t="s">
        <v>1100</v>
      </c>
      <c r="D3553" s="2">
        <v>7.7</v>
      </c>
      <c r="E3553" s="2">
        <v>1967.0</v>
      </c>
      <c r="F3553" s="2" t="s">
        <v>10</v>
      </c>
      <c r="G3553" s="2" t="s">
        <v>10</v>
      </c>
    </row>
    <row r="3554" ht="14.25" customHeight="1">
      <c r="A3554" s="1" t="s">
        <v>3053</v>
      </c>
      <c r="B3554" s="1" t="s">
        <v>20</v>
      </c>
      <c r="C3554" s="2" t="s">
        <v>12</v>
      </c>
      <c r="D3554" s="2">
        <v>7.7</v>
      </c>
      <c r="E3554" s="2">
        <v>2014.0</v>
      </c>
      <c r="F3554" s="2" t="s">
        <v>10</v>
      </c>
      <c r="G3554" s="2" t="s">
        <v>10</v>
      </c>
    </row>
    <row r="3555" ht="14.25" customHeight="1">
      <c r="A3555" s="1" t="s">
        <v>3054</v>
      </c>
      <c r="B3555" s="1" t="s">
        <v>20</v>
      </c>
      <c r="C3555" s="2" t="s">
        <v>792</v>
      </c>
      <c r="D3555" s="2">
        <v>7.7</v>
      </c>
      <c r="E3555" s="2">
        <v>1962.0</v>
      </c>
      <c r="F3555" s="2" t="s">
        <v>10</v>
      </c>
      <c r="G3555" s="2" t="s">
        <v>10</v>
      </c>
    </row>
    <row r="3556" ht="14.25" customHeight="1">
      <c r="A3556" s="1" t="s">
        <v>3055</v>
      </c>
      <c r="B3556" s="1" t="s">
        <v>20</v>
      </c>
      <c r="C3556" s="2" t="s">
        <v>1401</v>
      </c>
      <c r="D3556" s="2">
        <v>7.7</v>
      </c>
      <c r="E3556" s="2">
        <v>1983.0</v>
      </c>
      <c r="F3556" s="2" t="s">
        <v>10</v>
      </c>
      <c r="G3556" s="2" t="s">
        <v>10</v>
      </c>
    </row>
    <row r="3557" ht="14.25" customHeight="1">
      <c r="A3557" s="1" t="s">
        <v>3056</v>
      </c>
      <c r="B3557" s="1" t="s">
        <v>20</v>
      </c>
      <c r="C3557" s="2" t="s">
        <v>25</v>
      </c>
      <c r="D3557" s="2">
        <v>7.7</v>
      </c>
      <c r="E3557" s="2">
        <v>2012.0</v>
      </c>
      <c r="F3557" s="2">
        <v>2012.0</v>
      </c>
      <c r="G3557" s="2" t="s">
        <v>10</v>
      </c>
    </row>
    <row r="3558" ht="14.25" customHeight="1">
      <c r="A3558" s="1" t="s">
        <v>3057</v>
      </c>
      <c r="B3558" s="1" t="s">
        <v>8</v>
      </c>
      <c r="C3558" s="2" t="s">
        <v>134</v>
      </c>
      <c r="D3558" s="2">
        <v>7.7</v>
      </c>
      <c r="E3558" s="2">
        <v>2022.0</v>
      </c>
      <c r="F3558" s="2" t="s">
        <v>10</v>
      </c>
      <c r="G3558" s="2" t="s">
        <v>10</v>
      </c>
    </row>
    <row r="3559" ht="14.25" customHeight="1">
      <c r="A3559" s="1" t="s">
        <v>3058</v>
      </c>
      <c r="B3559" s="1" t="s">
        <v>20</v>
      </c>
      <c r="C3559" s="2" t="s">
        <v>192</v>
      </c>
      <c r="D3559" s="2">
        <v>7.7</v>
      </c>
      <c r="E3559" s="2">
        <v>1929.0</v>
      </c>
      <c r="F3559" s="2" t="s">
        <v>10</v>
      </c>
      <c r="G3559" s="2" t="s">
        <v>10</v>
      </c>
    </row>
    <row r="3560" ht="14.25" customHeight="1">
      <c r="A3560" s="1" t="s">
        <v>3059</v>
      </c>
      <c r="B3560" s="1" t="s">
        <v>20</v>
      </c>
      <c r="C3560" s="2" t="s">
        <v>18</v>
      </c>
      <c r="D3560" s="2">
        <v>7.7</v>
      </c>
      <c r="E3560" s="2">
        <v>1987.0</v>
      </c>
      <c r="F3560" s="2" t="s">
        <v>10</v>
      </c>
      <c r="G3560" s="2" t="s">
        <v>10</v>
      </c>
    </row>
    <row r="3561" ht="14.25" customHeight="1">
      <c r="A3561" s="1" t="s">
        <v>3060</v>
      </c>
      <c r="B3561" s="1" t="s">
        <v>20</v>
      </c>
      <c r="C3561" s="2" t="s">
        <v>112</v>
      </c>
      <c r="D3561" s="2">
        <v>7.7</v>
      </c>
      <c r="E3561" s="2">
        <v>2009.0</v>
      </c>
      <c r="F3561" s="2" t="s">
        <v>10</v>
      </c>
      <c r="G3561" s="2" t="s">
        <v>10</v>
      </c>
    </row>
    <row r="3562" ht="14.25" customHeight="1">
      <c r="A3562" s="1" t="s">
        <v>3061</v>
      </c>
      <c r="B3562" s="1" t="s">
        <v>20</v>
      </c>
      <c r="C3562" s="2" t="s">
        <v>361</v>
      </c>
      <c r="D3562" s="2">
        <v>7.7</v>
      </c>
      <c r="E3562" s="2">
        <v>1996.0</v>
      </c>
      <c r="F3562" s="2" t="s">
        <v>10</v>
      </c>
      <c r="G3562" s="2" t="s">
        <v>10</v>
      </c>
    </row>
    <row r="3563" ht="14.25" customHeight="1">
      <c r="A3563" s="1" t="s">
        <v>3062</v>
      </c>
      <c r="B3563" s="1" t="s">
        <v>20</v>
      </c>
      <c r="C3563" s="2" t="s">
        <v>18</v>
      </c>
      <c r="D3563" s="2">
        <v>7.7</v>
      </c>
      <c r="E3563" s="2">
        <v>1981.0</v>
      </c>
      <c r="F3563" s="2" t="s">
        <v>10</v>
      </c>
      <c r="G3563" s="2" t="s">
        <v>10</v>
      </c>
    </row>
    <row r="3564" ht="14.25" customHeight="1">
      <c r="A3564" s="1" t="s">
        <v>3063</v>
      </c>
      <c r="B3564" s="1" t="s">
        <v>8</v>
      </c>
      <c r="C3564" s="2" t="s">
        <v>18</v>
      </c>
      <c r="D3564" s="2">
        <v>7.7</v>
      </c>
      <c r="E3564" s="2">
        <v>2011.0</v>
      </c>
      <c r="F3564" s="2" t="s">
        <v>10</v>
      </c>
      <c r="G3564" s="2" t="s">
        <v>10</v>
      </c>
    </row>
    <row r="3565" ht="14.25" customHeight="1">
      <c r="A3565" s="1" t="s">
        <v>3064</v>
      </c>
      <c r="B3565" s="1" t="s">
        <v>8</v>
      </c>
      <c r="C3565" s="2" t="s">
        <v>9</v>
      </c>
      <c r="D3565" s="2">
        <v>7.7</v>
      </c>
      <c r="E3565" s="2">
        <v>2020.0</v>
      </c>
      <c r="F3565" s="2" t="s">
        <v>10</v>
      </c>
      <c r="G3565" s="2" t="s">
        <v>10</v>
      </c>
    </row>
    <row r="3566" ht="14.25" customHeight="1">
      <c r="A3566" s="1" t="s">
        <v>3065</v>
      </c>
      <c r="B3566" s="1" t="s">
        <v>20</v>
      </c>
      <c r="C3566" s="2" t="s">
        <v>239</v>
      </c>
      <c r="D3566" s="2">
        <v>7.7</v>
      </c>
      <c r="E3566" s="2">
        <v>2011.0</v>
      </c>
      <c r="F3566" s="2" t="s">
        <v>10</v>
      </c>
      <c r="G3566" s="2" t="s">
        <v>10</v>
      </c>
    </row>
    <row r="3567" ht="14.25" customHeight="1">
      <c r="A3567" s="1" t="s">
        <v>3066</v>
      </c>
      <c r="B3567" s="1" t="s">
        <v>20</v>
      </c>
      <c r="C3567" s="2" t="s">
        <v>154</v>
      </c>
      <c r="D3567" s="2">
        <v>7.7</v>
      </c>
      <c r="E3567" s="2">
        <v>1987.0</v>
      </c>
      <c r="F3567" s="2" t="s">
        <v>10</v>
      </c>
      <c r="G3567" s="2" t="s">
        <v>10</v>
      </c>
    </row>
    <row r="3568" ht="14.25" customHeight="1">
      <c r="A3568" s="1" t="s">
        <v>1389</v>
      </c>
      <c r="B3568" s="1" t="s">
        <v>8</v>
      </c>
      <c r="C3568" s="2" t="s">
        <v>80</v>
      </c>
      <c r="D3568" s="2">
        <v>7.7</v>
      </c>
      <c r="E3568" s="2">
        <v>2019.0</v>
      </c>
      <c r="F3568" s="2">
        <v>2014.0</v>
      </c>
      <c r="G3568" s="2">
        <v>7400000.0</v>
      </c>
    </row>
    <row r="3569" ht="14.25" customHeight="1">
      <c r="A3569" s="1" t="s">
        <v>3067</v>
      </c>
      <c r="B3569" s="1" t="s">
        <v>20</v>
      </c>
      <c r="C3569" s="2" t="s">
        <v>53</v>
      </c>
      <c r="D3569" s="2">
        <v>7.7</v>
      </c>
      <c r="E3569" s="2">
        <v>1997.0</v>
      </c>
      <c r="F3569" s="2" t="s">
        <v>10</v>
      </c>
      <c r="G3569" s="2" t="s">
        <v>10</v>
      </c>
    </row>
    <row r="3570" ht="14.25" customHeight="1">
      <c r="A3570" s="1" t="s">
        <v>3068</v>
      </c>
      <c r="B3570" s="1" t="s">
        <v>8</v>
      </c>
      <c r="C3570" s="2" t="s">
        <v>425</v>
      </c>
      <c r="D3570" s="2">
        <v>7.7</v>
      </c>
      <c r="E3570" s="2">
        <v>2023.0</v>
      </c>
      <c r="F3570" s="2" t="s">
        <v>10</v>
      </c>
      <c r="G3570" s="2">
        <v>1.437E7</v>
      </c>
    </row>
    <row r="3571" ht="14.25" customHeight="1">
      <c r="A3571" s="1" t="s">
        <v>3068</v>
      </c>
      <c r="B3571" s="1" t="s">
        <v>8</v>
      </c>
      <c r="C3571" s="2" t="s">
        <v>425</v>
      </c>
      <c r="D3571" s="2">
        <v>7.7</v>
      </c>
      <c r="E3571" s="2">
        <v>2023.0</v>
      </c>
      <c r="F3571" s="2" t="s">
        <v>10</v>
      </c>
      <c r="G3571" s="2">
        <v>3.742E7</v>
      </c>
    </row>
    <row r="3572" ht="14.25" customHeight="1">
      <c r="A3572" s="1" t="s">
        <v>3068</v>
      </c>
      <c r="B3572" s="1" t="s">
        <v>8</v>
      </c>
      <c r="C3572" s="2" t="s">
        <v>425</v>
      </c>
      <c r="D3572" s="2">
        <v>7.7</v>
      </c>
      <c r="E3572" s="2">
        <v>2023.0</v>
      </c>
      <c r="F3572" s="2" t="s">
        <v>10</v>
      </c>
      <c r="G3572" s="2">
        <v>4.542E7</v>
      </c>
    </row>
    <row r="3573" ht="14.25" customHeight="1">
      <c r="A3573" s="1" t="s">
        <v>3068</v>
      </c>
      <c r="B3573" s="1" t="s">
        <v>8</v>
      </c>
      <c r="C3573" s="2" t="s">
        <v>425</v>
      </c>
      <c r="D3573" s="2">
        <v>7.7</v>
      </c>
      <c r="E3573" s="2">
        <v>2023.0</v>
      </c>
      <c r="F3573" s="2" t="s">
        <v>10</v>
      </c>
      <c r="G3573" s="2">
        <v>4.161E7</v>
      </c>
    </row>
    <row r="3574" ht="14.25" customHeight="1">
      <c r="A3574" s="1" t="s">
        <v>3068</v>
      </c>
      <c r="B3574" s="1" t="s">
        <v>8</v>
      </c>
      <c r="C3574" s="2" t="s">
        <v>425</v>
      </c>
      <c r="D3574" s="2">
        <v>7.7</v>
      </c>
      <c r="E3574" s="2">
        <v>2023.0</v>
      </c>
      <c r="F3574" s="2" t="s">
        <v>10</v>
      </c>
      <c r="G3574" s="2">
        <v>3.13E7</v>
      </c>
    </row>
    <row r="3575" ht="14.25" customHeight="1">
      <c r="A3575" s="1" t="s">
        <v>3068</v>
      </c>
      <c r="B3575" s="1" t="s">
        <v>8</v>
      </c>
      <c r="C3575" s="2" t="s">
        <v>425</v>
      </c>
      <c r="D3575" s="2">
        <v>7.7</v>
      </c>
      <c r="E3575" s="2">
        <v>2023.0</v>
      </c>
      <c r="F3575" s="2" t="s">
        <v>10</v>
      </c>
      <c r="G3575" s="2">
        <v>2.251E7</v>
      </c>
    </row>
    <row r="3576" ht="14.25" customHeight="1">
      <c r="A3576" s="1" t="s">
        <v>3069</v>
      </c>
      <c r="B3576" s="1" t="s">
        <v>8</v>
      </c>
      <c r="C3576" s="2" t="s">
        <v>53</v>
      </c>
      <c r="D3576" s="2">
        <v>7.7</v>
      </c>
      <c r="E3576" s="2">
        <v>2021.0</v>
      </c>
      <c r="F3576" s="2" t="s">
        <v>10</v>
      </c>
      <c r="G3576" s="2">
        <v>1.036E7</v>
      </c>
    </row>
    <row r="3577" ht="14.25" customHeight="1">
      <c r="A3577" s="1" t="s">
        <v>3070</v>
      </c>
      <c r="B3577" s="1" t="s">
        <v>8</v>
      </c>
      <c r="C3577" s="2" t="s">
        <v>299</v>
      </c>
      <c r="D3577" s="2">
        <v>7.7</v>
      </c>
      <c r="E3577" s="2">
        <v>2022.0</v>
      </c>
      <c r="F3577" s="2" t="s">
        <v>10</v>
      </c>
      <c r="G3577" s="2" t="s">
        <v>10</v>
      </c>
    </row>
    <row r="3578" ht="14.25" customHeight="1">
      <c r="A3578" s="1" t="s">
        <v>3071</v>
      </c>
      <c r="B3578" s="1" t="s">
        <v>20</v>
      </c>
      <c r="C3578" s="2" t="s">
        <v>461</v>
      </c>
      <c r="D3578" s="2">
        <v>7.7</v>
      </c>
      <c r="E3578" s="2">
        <v>1940.0</v>
      </c>
      <c r="F3578" s="2" t="s">
        <v>10</v>
      </c>
      <c r="G3578" s="2" t="s">
        <v>10</v>
      </c>
    </row>
    <row r="3579" ht="14.25" customHeight="1">
      <c r="A3579" s="1" t="s">
        <v>3072</v>
      </c>
      <c r="B3579" s="1" t="s">
        <v>20</v>
      </c>
      <c r="C3579" s="2" t="s">
        <v>44</v>
      </c>
      <c r="D3579" s="2">
        <v>7.7</v>
      </c>
      <c r="E3579" s="2">
        <v>1985.0</v>
      </c>
      <c r="F3579" s="2" t="s">
        <v>10</v>
      </c>
      <c r="G3579" s="2" t="s">
        <v>10</v>
      </c>
    </row>
    <row r="3580" ht="14.25" customHeight="1">
      <c r="A3580" s="1" t="s">
        <v>3073</v>
      </c>
      <c r="B3580" s="1" t="s">
        <v>20</v>
      </c>
      <c r="C3580" s="2" t="s">
        <v>80</v>
      </c>
      <c r="D3580" s="2">
        <v>7.7</v>
      </c>
      <c r="E3580" s="2">
        <v>1944.0</v>
      </c>
      <c r="F3580" s="2" t="s">
        <v>10</v>
      </c>
      <c r="G3580" s="2" t="s">
        <v>10</v>
      </c>
    </row>
    <row r="3581" ht="14.25" customHeight="1">
      <c r="A3581" s="1" t="s">
        <v>3074</v>
      </c>
      <c r="B3581" s="1" t="s">
        <v>20</v>
      </c>
      <c r="C3581" s="2" t="s">
        <v>187</v>
      </c>
      <c r="D3581" s="2">
        <v>7.7</v>
      </c>
      <c r="E3581" s="2">
        <v>1949.0</v>
      </c>
      <c r="F3581" s="2" t="s">
        <v>10</v>
      </c>
      <c r="G3581" s="2" t="s">
        <v>10</v>
      </c>
    </row>
    <row r="3582" ht="14.25" customHeight="1">
      <c r="A3582" s="1" t="s">
        <v>3075</v>
      </c>
      <c r="B3582" s="1" t="s">
        <v>20</v>
      </c>
      <c r="C3582" s="2" t="s">
        <v>55</v>
      </c>
      <c r="D3582" s="2">
        <v>7.7</v>
      </c>
      <c r="E3582" s="2">
        <v>2004.0</v>
      </c>
      <c r="F3582" s="2">
        <v>2015.0</v>
      </c>
      <c r="G3582" s="2" t="s">
        <v>10</v>
      </c>
    </row>
    <row r="3583" ht="14.25" customHeight="1">
      <c r="A3583" s="1" t="s">
        <v>3076</v>
      </c>
      <c r="B3583" s="1" t="s">
        <v>8</v>
      </c>
      <c r="C3583" s="2" t="s">
        <v>284</v>
      </c>
      <c r="D3583" s="2">
        <v>7.7</v>
      </c>
      <c r="E3583" s="2">
        <v>2008.0</v>
      </c>
      <c r="F3583" s="2" t="s">
        <v>10</v>
      </c>
      <c r="G3583" s="2" t="s">
        <v>10</v>
      </c>
    </row>
    <row r="3584" ht="14.25" customHeight="1">
      <c r="A3584" s="1" t="s">
        <v>3077</v>
      </c>
      <c r="B3584" s="1" t="s">
        <v>8</v>
      </c>
      <c r="C3584" s="2" t="s">
        <v>18</v>
      </c>
      <c r="D3584" s="2">
        <v>7.7</v>
      </c>
      <c r="E3584" s="2">
        <v>2017.0</v>
      </c>
      <c r="F3584" s="2" t="s">
        <v>10</v>
      </c>
      <c r="G3584" s="2" t="s">
        <v>10</v>
      </c>
    </row>
    <row r="3585" ht="14.25" customHeight="1">
      <c r="A3585" s="1" t="s">
        <v>3078</v>
      </c>
      <c r="B3585" s="1" t="s">
        <v>20</v>
      </c>
      <c r="C3585" s="2" t="s">
        <v>307</v>
      </c>
      <c r="D3585" s="2">
        <v>7.7</v>
      </c>
      <c r="E3585" s="2">
        <v>1995.0</v>
      </c>
      <c r="F3585" s="2" t="s">
        <v>10</v>
      </c>
      <c r="G3585" s="2" t="s">
        <v>10</v>
      </c>
    </row>
    <row r="3586" ht="14.25" customHeight="1">
      <c r="A3586" s="1" t="s">
        <v>3079</v>
      </c>
      <c r="B3586" s="1" t="s">
        <v>8</v>
      </c>
      <c r="C3586" s="2" t="s">
        <v>3080</v>
      </c>
      <c r="D3586" s="2">
        <v>7.7</v>
      </c>
      <c r="E3586" s="2">
        <v>2009.0</v>
      </c>
      <c r="F3586" s="2" t="s">
        <v>10</v>
      </c>
      <c r="G3586" s="2" t="s">
        <v>10</v>
      </c>
    </row>
    <row r="3587" ht="14.25" customHeight="1">
      <c r="A3587" s="1" t="s">
        <v>3081</v>
      </c>
      <c r="B3587" s="1" t="s">
        <v>20</v>
      </c>
      <c r="C3587" s="2" t="s">
        <v>32</v>
      </c>
      <c r="D3587" s="2">
        <v>7.7</v>
      </c>
      <c r="E3587" s="2">
        <v>1997.0</v>
      </c>
      <c r="F3587" s="2" t="s">
        <v>10</v>
      </c>
      <c r="G3587" s="2" t="s">
        <v>10</v>
      </c>
    </row>
    <row r="3588" ht="14.25" customHeight="1">
      <c r="A3588" s="1" t="s">
        <v>3082</v>
      </c>
      <c r="B3588" s="1" t="s">
        <v>8</v>
      </c>
      <c r="C3588" s="2" t="s">
        <v>69</v>
      </c>
      <c r="D3588" s="2">
        <v>7.7</v>
      </c>
      <c r="E3588" s="2">
        <v>2021.0</v>
      </c>
      <c r="F3588" s="2" t="s">
        <v>10</v>
      </c>
      <c r="G3588" s="2" t="s">
        <v>10</v>
      </c>
    </row>
    <row r="3589" ht="14.25" customHeight="1">
      <c r="A3589" s="1" t="s">
        <v>3083</v>
      </c>
      <c r="B3589" s="1" t="s">
        <v>8</v>
      </c>
      <c r="C3589" s="2" t="s">
        <v>32</v>
      </c>
      <c r="D3589" s="2">
        <v>7.7</v>
      </c>
      <c r="E3589" s="2">
        <v>2015.0</v>
      </c>
      <c r="F3589" s="2">
        <v>2017.0</v>
      </c>
      <c r="G3589" s="2" t="s">
        <v>10</v>
      </c>
    </row>
    <row r="3590" ht="14.25" customHeight="1">
      <c r="A3590" s="1" t="s">
        <v>3084</v>
      </c>
      <c r="B3590" s="1" t="s">
        <v>8</v>
      </c>
      <c r="C3590" s="2" t="s">
        <v>53</v>
      </c>
      <c r="D3590" s="2">
        <v>7.7</v>
      </c>
      <c r="E3590" s="2">
        <v>2024.0</v>
      </c>
      <c r="F3590" s="2" t="s">
        <v>10</v>
      </c>
      <c r="G3590" s="2" t="s">
        <v>10</v>
      </c>
    </row>
    <row r="3591" ht="14.25" customHeight="1">
      <c r="A3591" s="1" t="s">
        <v>3085</v>
      </c>
      <c r="B3591" s="1" t="s">
        <v>20</v>
      </c>
      <c r="C3591" s="2" t="s">
        <v>69</v>
      </c>
      <c r="D3591" s="2">
        <v>7.7</v>
      </c>
      <c r="E3591" s="2">
        <v>2019.0</v>
      </c>
      <c r="F3591" s="2" t="s">
        <v>10</v>
      </c>
      <c r="G3591" s="2" t="s">
        <v>10</v>
      </c>
    </row>
    <row r="3592" ht="14.25" customHeight="1">
      <c r="A3592" s="1" t="s">
        <v>3086</v>
      </c>
      <c r="B3592" s="1" t="s">
        <v>20</v>
      </c>
      <c r="C3592" s="2" t="s">
        <v>1474</v>
      </c>
      <c r="D3592" s="2">
        <v>7.7</v>
      </c>
      <c r="E3592" s="2">
        <v>2013.0</v>
      </c>
      <c r="F3592" s="2" t="s">
        <v>10</v>
      </c>
      <c r="G3592" s="2" t="s">
        <v>10</v>
      </c>
    </row>
    <row r="3593" ht="14.25" customHeight="1">
      <c r="A3593" s="1" t="s">
        <v>3087</v>
      </c>
      <c r="B3593" s="1" t="s">
        <v>8</v>
      </c>
      <c r="C3593" s="2" t="s">
        <v>53</v>
      </c>
      <c r="D3593" s="2">
        <v>7.7</v>
      </c>
      <c r="E3593" s="2">
        <v>1997.0</v>
      </c>
      <c r="F3593" s="2" t="s">
        <v>10</v>
      </c>
      <c r="G3593" s="2" t="s">
        <v>10</v>
      </c>
    </row>
    <row r="3594" ht="14.25" customHeight="1">
      <c r="A3594" s="1" t="s">
        <v>3088</v>
      </c>
      <c r="B3594" s="1" t="s">
        <v>20</v>
      </c>
      <c r="C3594" s="2" t="s">
        <v>12</v>
      </c>
      <c r="D3594" s="2">
        <v>7.7</v>
      </c>
      <c r="E3594" s="2">
        <v>2021.0</v>
      </c>
      <c r="F3594" s="2" t="s">
        <v>10</v>
      </c>
      <c r="G3594" s="2" t="s">
        <v>10</v>
      </c>
    </row>
    <row r="3595" ht="14.25" customHeight="1">
      <c r="A3595" s="1" t="s">
        <v>3089</v>
      </c>
      <c r="B3595" s="1" t="s">
        <v>20</v>
      </c>
      <c r="C3595" s="2" t="s">
        <v>12</v>
      </c>
      <c r="D3595" s="2">
        <v>7.7</v>
      </c>
      <c r="E3595" s="2">
        <v>2016.0</v>
      </c>
      <c r="F3595" s="2" t="s">
        <v>10</v>
      </c>
      <c r="G3595" s="2" t="s">
        <v>10</v>
      </c>
    </row>
    <row r="3596" ht="14.25" customHeight="1">
      <c r="A3596" s="1" t="s">
        <v>3090</v>
      </c>
      <c r="B3596" s="1" t="s">
        <v>8</v>
      </c>
      <c r="C3596" s="2" t="s">
        <v>723</v>
      </c>
      <c r="D3596" s="2">
        <v>7.7</v>
      </c>
      <c r="E3596" s="2">
        <v>2017.0</v>
      </c>
      <c r="F3596" s="2" t="s">
        <v>10</v>
      </c>
      <c r="G3596" s="2" t="s">
        <v>10</v>
      </c>
    </row>
    <row r="3597" ht="14.25" customHeight="1">
      <c r="A3597" s="1" t="s">
        <v>3091</v>
      </c>
      <c r="B3597" s="1" t="s">
        <v>20</v>
      </c>
      <c r="C3597" s="2" t="s">
        <v>524</v>
      </c>
      <c r="D3597" s="2">
        <v>7.7</v>
      </c>
      <c r="E3597" s="2">
        <v>2005.0</v>
      </c>
      <c r="F3597" s="2" t="s">
        <v>10</v>
      </c>
      <c r="G3597" s="2" t="s">
        <v>10</v>
      </c>
    </row>
    <row r="3598" ht="14.25" customHeight="1">
      <c r="A3598" s="1" t="s">
        <v>3092</v>
      </c>
      <c r="B3598" s="1" t="s">
        <v>20</v>
      </c>
      <c r="C3598" s="2" t="s">
        <v>18</v>
      </c>
      <c r="D3598" s="2">
        <v>7.7</v>
      </c>
      <c r="E3598" s="2">
        <v>1994.0</v>
      </c>
      <c r="F3598" s="2" t="s">
        <v>10</v>
      </c>
      <c r="G3598" s="2" t="s">
        <v>10</v>
      </c>
    </row>
    <row r="3599" ht="14.25" customHeight="1">
      <c r="A3599" s="1" t="s">
        <v>3093</v>
      </c>
      <c r="B3599" s="1" t="s">
        <v>8</v>
      </c>
      <c r="C3599" s="2" t="s">
        <v>163</v>
      </c>
      <c r="D3599" s="2">
        <v>7.7</v>
      </c>
      <c r="E3599" s="2">
        <v>2021.0</v>
      </c>
      <c r="F3599" s="2" t="s">
        <v>10</v>
      </c>
      <c r="G3599" s="2" t="s">
        <v>10</v>
      </c>
    </row>
    <row r="3600" ht="14.25" customHeight="1">
      <c r="A3600" s="1" t="s">
        <v>3094</v>
      </c>
      <c r="B3600" s="1" t="s">
        <v>20</v>
      </c>
      <c r="C3600" s="2" t="s">
        <v>154</v>
      </c>
      <c r="D3600" s="2">
        <v>7.7</v>
      </c>
      <c r="E3600" s="2">
        <v>1936.0</v>
      </c>
      <c r="F3600" s="2" t="s">
        <v>10</v>
      </c>
      <c r="G3600" s="2" t="s">
        <v>10</v>
      </c>
    </row>
    <row r="3601" ht="14.25" customHeight="1">
      <c r="A3601" s="1" t="s">
        <v>3095</v>
      </c>
      <c r="B3601" s="1" t="s">
        <v>8</v>
      </c>
      <c r="C3601" s="2" t="s">
        <v>69</v>
      </c>
      <c r="D3601" s="2">
        <v>7.7</v>
      </c>
      <c r="E3601" s="2">
        <v>2023.0</v>
      </c>
      <c r="F3601" s="2" t="s">
        <v>10</v>
      </c>
      <c r="G3601" s="2" t="s">
        <v>10</v>
      </c>
    </row>
    <row r="3602" ht="14.25" customHeight="1">
      <c r="A3602" s="1" t="s">
        <v>3096</v>
      </c>
      <c r="B3602" s="1" t="s">
        <v>20</v>
      </c>
      <c r="C3602" s="2" t="s">
        <v>154</v>
      </c>
      <c r="D3602" s="2">
        <v>7.7</v>
      </c>
      <c r="E3602" s="2">
        <v>2003.0</v>
      </c>
      <c r="F3602" s="2" t="s">
        <v>10</v>
      </c>
      <c r="G3602" s="2" t="s">
        <v>10</v>
      </c>
    </row>
    <row r="3603" ht="14.25" customHeight="1">
      <c r="A3603" s="1" t="s">
        <v>3097</v>
      </c>
      <c r="B3603" s="1" t="s">
        <v>8</v>
      </c>
      <c r="C3603" s="2" t="s">
        <v>60</v>
      </c>
      <c r="D3603" s="2">
        <v>7.7</v>
      </c>
      <c r="E3603" s="2">
        <v>2009.0</v>
      </c>
      <c r="F3603" s="2" t="s">
        <v>10</v>
      </c>
      <c r="G3603" s="2" t="s">
        <v>10</v>
      </c>
    </row>
    <row r="3604" ht="14.25" customHeight="1">
      <c r="A3604" s="1" t="s">
        <v>3098</v>
      </c>
      <c r="B3604" s="1" t="s">
        <v>20</v>
      </c>
      <c r="C3604" s="2" t="s">
        <v>18</v>
      </c>
      <c r="D3604" s="2">
        <v>7.7</v>
      </c>
      <c r="E3604" s="2">
        <v>1985.0</v>
      </c>
      <c r="F3604" s="2" t="s">
        <v>10</v>
      </c>
      <c r="G3604" s="2" t="s">
        <v>10</v>
      </c>
    </row>
    <row r="3605" ht="14.25" customHeight="1">
      <c r="A3605" s="1" t="s">
        <v>3099</v>
      </c>
      <c r="B3605" s="1" t="s">
        <v>20</v>
      </c>
      <c r="C3605" s="2" t="s">
        <v>25</v>
      </c>
      <c r="D3605" s="2">
        <v>7.7</v>
      </c>
      <c r="E3605" s="2">
        <v>2012.0</v>
      </c>
      <c r="F3605" s="2" t="s">
        <v>10</v>
      </c>
      <c r="G3605" s="2" t="s">
        <v>10</v>
      </c>
    </row>
    <row r="3606" ht="14.25" customHeight="1">
      <c r="A3606" s="1" t="s">
        <v>3100</v>
      </c>
      <c r="B3606" s="1" t="s">
        <v>8</v>
      </c>
      <c r="C3606" s="2" t="s">
        <v>18</v>
      </c>
      <c r="D3606" s="2">
        <v>7.7</v>
      </c>
      <c r="E3606" s="2">
        <v>2022.0</v>
      </c>
      <c r="F3606" s="2" t="s">
        <v>10</v>
      </c>
      <c r="G3606" s="2" t="s">
        <v>10</v>
      </c>
    </row>
    <row r="3607" ht="14.25" customHeight="1">
      <c r="A3607" s="1" t="s">
        <v>3101</v>
      </c>
      <c r="B3607" s="1" t="s">
        <v>8</v>
      </c>
      <c r="C3607" s="2" t="s">
        <v>36</v>
      </c>
      <c r="D3607" s="2">
        <v>7.7</v>
      </c>
      <c r="E3607" s="2">
        <v>2015.0</v>
      </c>
      <c r="F3607" s="2">
        <v>2017.0</v>
      </c>
      <c r="G3607" s="2" t="s">
        <v>10</v>
      </c>
    </row>
    <row r="3608" ht="14.25" customHeight="1">
      <c r="A3608" s="1" t="s">
        <v>3102</v>
      </c>
      <c r="B3608" s="1" t="s">
        <v>20</v>
      </c>
      <c r="C3608" s="2" t="s">
        <v>192</v>
      </c>
      <c r="D3608" s="2">
        <v>7.7</v>
      </c>
      <c r="E3608" s="2">
        <v>1938.0</v>
      </c>
      <c r="F3608" s="2" t="s">
        <v>10</v>
      </c>
      <c r="G3608" s="2" t="s">
        <v>10</v>
      </c>
    </row>
    <row r="3609" ht="14.25" customHeight="1">
      <c r="A3609" s="1" t="s">
        <v>3103</v>
      </c>
      <c r="B3609" s="1" t="s">
        <v>20</v>
      </c>
      <c r="C3609" s="2" t="s">
        <v>12</v>
      </c>
      <c r="D3609" s="2">
        <v>7.7</v>
      </c>
      <c r="E3609" s="2">
        <v>2008.0</v>
      </c>
      <c r="F3609" s="2" t="s">
        <v>10</v>
      </c>
      <c r="G3609" s="2" t="s">
        <v>10</v>
      </c>
    </row>
    <row r="3610" ht="14.25" customHeight="1">
      <c r="A3610" s="1" t="s">
        <v>3104</v>
      </c>
      <c r="B3610" s="1" t="s">
        <v>8</v>
      </c>
      <c r="C3610" s="2" t="s">
        <v>32</v>
      </c>
      <c r="D3610" s="2">
        <v>7.7</v>
      </c>
      <c r="E3610" s="2">
        <v>2015.0</v>
      </c>
      <c r="F3610" s="2" t="s">
        <v>10</v>
      </c>
      <c r="G3610" s="2" t="s">
        <v>10</v>
      </c>
    </row>
    <row r="3611" ht="14.25" customHeight="1">
      <c r="A3611" s="1" t="s">
        <v>3105</v>
      </c>
      <c r="B3611" s="1" t="s">
        <v>8</v>
      </c>
      <c r="C3611" s="2" t="s">
        <v>3106</v>
      </c>
      <c r="D3611" s="2">
        <v>7.7</v>
      </c>
      <c r="E3611" s="2">
        <v>1993.0</v>
      </c>
      <c r="F3611" s="2" t="s">
        <v>10</v>
      </c>
      <c r="G3611" s="2" t="s">
        <v>10</v>
      </c>
    </row>
    <row r="3612" ht="14.25" customHeight="1">
      <c r="A3612" s="1" t="s">
        <v>3107</v>
      </c>
      <c r="B3612" s="1" t="s">
        <v>20</v>
      </c>
      <c r="C3612" s="2" t="s">
        <v>18</v>
      </c>
      <c r="D3612" s="2">
        <v>7.7</v>
      </c>
      <c r="E3612" s="2">
        <v>2019.0</v>
      </c>
      <c r="F3612" s="2" t="s">
        <v>10</v>
      </c>
      <c r="G3612" s="2" t="s">
        <v>10</v>
      </c>
    </row>
    <row r="3613" ht="14.25" customHeight="1">
      <c r="A3613" s="1" t="s">
        <v>3108</v>
      </c>
      <c r="B3613" s="1" t="s">
        <v>20</v>
      </c>
      <c r="C3613" s="2" t="s">
        <v>63</v>
      </c>
      <c r="D3613" s="2">
        <v>7.6</v>
      </c>
      <c r="E3613" s="2">
        <v>2019.0</v>
      </c>
      <c r="F3613" s="2" t="s">
        <v>10</v>
      </c>
      <c r="G3613" s="2" t="s">
        <v>10</v>
      </c>
    </row>
    <row r="3614" ht="14.25" customHeight="1">
      <c r="A3614" s="1">
        <v>300.0</v>
      </c>
      <c r="B3614" s="1" t="s">
        <v>20</v>
      </c>
      <c r="C3614" s="2" t="s">
        <v>339</v>
      </c>
      <c r="D3614" s="2">
        <v>7.6</v>
      </c>
      <c r="E3614" s="2">
        <v>2006.0</v>
      </c>
      <c r="F3614" s="2" t="s">
        <v>10</v>
      </c>
      <c r="G3614" s="2" t="s">
        <v>10</v>
      </c>
    </row>
    <row r="3615" ht="14.25" customHeight="1">
      <c r="A3615" s="1" t="s">
        <v>3109</v>
      </c>
      <c r="B3615" s="1" t="s">
        <v>20</v>
      </c>
      <c r="C3615" s="2" t="s">
        <v>212</v>
      </c>
      <c r="D3615" s="2">
        <v>7.6</v>
      </c>
      <c r="E3615" s="2">
        <v>2005.0</v>
      </c>
      <c r="F3615" s="2" t="s">
        <v>10</v>
      </c>
      <c r="G3615" s="2" t="s">
        <v>10</v>
      </c>
    </row>
    <row r="3616" ht="14.25" customHeight="1">
      <c r="A3616" s="1" t="s">
        <v>3110</v>
      </c>
      <c r="B3616" s="1" t="s">
        <v>20</v>
      </c>
      <c r="C3616" s="2" t="s">
        <v>845</v>
      </c>
      <c r="D3616" s="2">
        <v>7.6</v>
      </c>
      <c r="E3616" s="2">
        <v>2017.0</v>
      </c>
      <c r="F3616" s="2" t="s">
        <v>10</v>
      </c>
      <c r="G3616" s="2" t="s">
        <v>10</v>
      </c>
    </row>
    <row r="3617" ht="14.25" customHeight="1">
      <c r="A3617" s="1" t="s">
        <v>3111</v>
      </c>
      <c r="B3617" s="1" t="s">
        <v>20</v>
      </c>
      <c r="C3617" s="2" t="s">
        <v>481</v>
      </c>
      <c r="D3617" s="2">
        <v>7.6</v>
      </c>
      <c r="E3617" s="2">
        <v>2000.0</v>
      </c>
      <c r="F3617" s="2">
        <v>2000.0</v>
      </c>
      <c r="G3617" s="2" t="s">
        <v>10</v>
      </c>
    </row>
    <row r="3618" ht="14.25" customHeight="1">
      <c r="A3618" s="1" t="s">
        <v>3112</v>
      </c>
      <c r="B3618" s="1" t="s">
        <v>20</v>
      </c>
      <c r="C3618" s="2" t="s">
        <v>845</v>
      </c>
      <c r="D3618" s="2">
        <v>7.6</v>
      </c>
      <c r="E3618" s="2">
        <v>2018.0</v>
      </c>
      <c r="F3618" s="2" t="s">
        <v>10</v>
      </c>
      <c r="G3618" s="2" t="s">
        <v>10</v>
      </c>
    </row>
    <row r="3619" ht="14.25" customHeight="1">
      <c r="A3619" s="1" t="s">
        <v>3113</v>
      </c>
      <c r="B3619" s="1" t="s">
        <v>20</v>
      </c>
      <c r="C3619" s="2" t="s">
        <v>3114</v>
      </c>
      <c r="D3619" s="2">
        <v>7.6</v>
      </c>
      <c r="E3619" s="2">
        <v>2009.0</v>
      </c>
      <c r="F3619" s="2">
        <v>2009.0</v>
      </c>
      <c r="G3619" s="2" t="s">
        <v>10</v>
      </c>
    </row>
    <row r="3620" ht="14.25" customHeight="1">
      <c r="A3620" s="1" t="s">
        <v>3115</v>
      </c>
      <c r="B3620" s="1" t="s">
        <v>20</v>
      </c>
      <c r="C3620" s="2" t="s">
        <v>32</v>
      </c>
      <c r="D3620" s="2">
        <v>7.6</v>
      </c>
      <c r="E3620" s="2">
        <v>2007.0</v>
      </c>
      <c r="F3620" s="2">
        <v>2007.0</v>
      </c>
      <c r="G3620" s="2" t="s">
        <v>10</v>
      </c>
    </row>
    <row r="3621" ht="14.25" customHeight="1">
      <c r="A3621" s="1" t="s">
        <v>3116</v>
      </c>
      <c r="B3621" s="1" t="s">
        <v>20</v>
      </c>
      <c r="C3621" s="2" t="s">
        <v>3117</v>
      </c>
      <c r="D3621" s="2">
        <v>7.6</v>
      </c>
      <c r="E3621" s="2">
        <v>2009.0</v>
      </c>
      <c r="F3621" s="2" t="s">
        <v>10</v>
      </c>
      <c r="G3621" s="2" t="s">
        <v>10</v>
      </c>
    </row>
    <row r="3622" ht="14.25" customHeight="1">
      <c r="A3622" s="1" t="s">
        <v>3118</v>
      </c>
      <c r="B3622" s="1" t="s">
        <v>20</v>
      </c>
      <c r="C3622" s="2" t="s">
        <v>217</v>
      </c>
      <c r="D3622" s="2">
        <v>7.6</v>
      </c>
      <c r="E3622" s="2">
        <v>2010.0</v>
      </c>
      <c r="F3622" s="2" t="s">
        <v>10</v>
      </c>
      <c r="G3622" s="2" t="s">
        <v>10</v>
      </c>
    </row>
    <row r="3623" ht="14.25" customHeight="1">
      <c r="A3623" s="1" t="s">
        <v>3119</v>
      </c>
      <c r="B3623" s="1" t="s">
        <v>20</v>
      </c>
      <c r="C3623" s="2" t="s">
        <v>55</v>
      </c>
      <c r="D3623" s="2">
        <v>7.6</v>
      </c>
      <c r="E3623" s="2">
        <v>2010.0</v>
      </c>
      <c r="F3623" s="2" t="s">
        <v>10</v>
      </c>
      <c r="G3623" s="2">
        <v>5590000.0</v>
      </c>
    </row>
    <row r="3624" ht="14.25" customHeight="1">
      <c r="A3624" s="1" t="s">
        <v>3119</v>
      </c>
      <c r="B3624" s="1" t="s">
        <v>20</v>
      </c>
      <c r="C3624" s="2" t="s">
        <v>55</v>
      </c>
      <c r="D3624" s="2">
        <v>7.6</v>
      </c>
      <c r="E3624" s="2">
        <v>2010.0</v>
      </c>
      <c r="F3624" s="2" t="s">
        <v>10</v>
      </c>
      <c r="G3624" s="2">
        <v>7170000.0</v>
      </c>
    </row>
    <row r="3625" ht="14.25" customHeight="1">
      <c r="A3625" s="1" t="s">
        <v>3119</v>
      </c>
      <c r="B3625" s="1" t="s">
        <v>20</v>
      </c>
      <c r="C3625" s="2" t="s">
        <v>55</v>
      </c>
      <c r="D3625" s="2">
        <v>7.6</v>
      </c>
      <c r="E3625" s="2">
        <v>2010.0</v>
      </c>
      <c r="F3625" s="2" t="s">
        <v>10</v>
      </c>
      <c r="G3625" s="2">
        <v>8950000.0</v>
      </c>
    </row>
    <row r="3626" ht="14.25" customHeight="1">
      <c r="A3626" s="1" t="s">
        <v>3119</v>
      </c>
      <c r="B3626" s="1" t="s">
        <v>20</v>
      </c>
      <c r="C3626" s="2" t="s">
        <v>55</v>
      </c>
      <c r="D3626" s="2">
        <v>7.6</v>
      </c>
      <c r="E3626" s="2">
        <v>2010.0</v>
      </c>
      <c r="F3626" s="2" t="s">
        <v>10</v>
      </c>
      <c r="G3626" s="2">
        <v>6850000.0</v>
      </c>
    </row>
    <row r="3627" ht="14.25" customHeight="1">
      <c r="A3627" s="1" t="s">
        <v>3120</v>
      </c>
      <c r="B3627" s="1" t="s">
        <v>20</v>
      </c>
      <c r="C3627" s="2" t="s">
        <v>428</v>
      </c>
      <c r="D3627" s="2">
        <v>7.6</v>
      </c>
      <c r="E3627" s="2">
        <v>2002.0</v>
      </c>
      <c r="F3627" s="2" t="s">
        <v>10</v>
      </c>
      <c r="G3627" s="2" t="s">
        <v>10</v>
      </c>
    </row>
    <row r="3628" ht="14.25" customHeight="1">
      <c r="A3628" s="1" t="s">
        <v>1076</v>
      </c>
      <c r="B3628" s="1" t="s">
        <v>20</v>
      </c>
      <c r="C3628" s="2" t="s">
        <v>507</v>
      </c>
      <c r="D3628" s="2">
        <v>7.6</v>
      </c>
      <c r="E3628" s="2">
        <v>2009.0</v>
      </c>
      <c r="F3628" s="2" t="s">
        <v>10</v>
      </c>
      <c r="G3628" s="2" t="s">
        <v>10</v>
      </c>
    </row>
    <row r="3629" ht="14.25" customHeight="1">
      <c r="A3629" s="1" t="s">
        <v>3121</v>
      </c>
      <c r="B3629" s="1" t="s">
        <v>20</v>
      </c>
      <c r="C3629" s="2" t="s">
        <v>1267</v>
      </c>
      <c r="D3629" s="2">
        <v>7.6</v>
      </c>
      <c r="E3629" s="2">
        <v>2011.0</v>
      </c>
      <c r="F3629" s="2" t="s">
        <v>10</v>
      </c>
      <c r="G3629" s="2" t="s">
        <v>10</v>
      </c>
    </row>
    <row r="3630" ht="14.25" customHeight="1">
      <c r="A3630" s="1" t="s">
        <v>2623</v>
      </c>
      <c r="B3630" s="1" t="s">
        <v>20</v>
      </c>
      <c r="C3630" s="2" t="s">
        <v>1037</v>
      </c>
      <c r="D3630" s="2">
        <v>7.6</v>
      </c>
      <c r="E3630" s="2">
        <v>2014.0</v>
      </c>
      <c r="F3630" s="2" t="s">
        <v>10</v>
      </c>
      <c r="G3630" s="2" t="s">
        <v>10</v>
      </c>
    </row>
    <row r="3631" ht="14.25" customHeight="1">
      <c r="A3631" s="1" t="s">
        <v>3122</v>
      </c>
      <c r="B3631" s="1" t="s">
        <v>20</v>
      </c>
      <c r="C3631" s="2" t="s">
        <v>187</v>
      </c>
      <c r="D3631" s="2">
        <v>7.6</v>
      </c>
      <c r="E3631" s="2">
        <v>2003.0</v>
      </c>
      <c r="F3631" s="2" t="s">
        <v>10</v>
      </c>
      <c r="G3631" s="2" t="s">
        <v>10</v>
      </c>
    </row>
    <row r="3632" ht="14.25" customHeight="1">
      <c r="A3632" s="1" t="s">
        <v>3123</v>
      </c>
      <c r="B3632" s="1" t="s">
        <v>20</v>
      </c>
      <c r="C3632" s="2" t="s">
        <v>25</v>
      </c>
      <c r="D3632" s="2">
        <v>7.6</v>
      </c>
      <c r="E3632" s="2">
        <v>2008.0</v>
      </c>
      <c r="F3632" s="2">
        <v>2008.0</v>
      </c>
      <c r="G3632" s="2" t="s">
        <v>10</v>
      </c>
    </row>
    <row r="3633" ht="14.25" customHeight="1">
      <c r="A3633" s="1" t="s">
        <v>3124</v>
      </c>
      <c r="B3633" s="1" t="s">
        <v>20</v>
      </c>
      <c r="C3633" s="2" t="s">
        <v>639</v>
      </c>
      <c r="D3633" s="2">
        <v>7.6</v>
      </c>
      <c r="E3633" s="2">
        <v>2004.0</v>
      </c>
      <c r="F3633" s="2" t="s">
        <v>10</v>
      </c>
      <c r="G3633" s="2" t="s">
        <v>10</v>
      </c>
    </row>
    <row r="3634" ht="14.25" customHeight="1">
      <c r="A3634" s="1" t="s">
        <v>3125</v>
      </c>
      <c r="B3634" s="1" t="s">
        <v>20</v>
      </c>
      <c r="C3634" s="2" t="s">
        <v>151</v>
      </c>
      <c r="D3634" s="2">
        <v>7.6</v>
      </c>
      <c r="E3634" s="2">
        <v>1997.0</v>
      </c>
      <c r="F3634" s="2" t="s">
        <v>10</v>
      </c>
      <c r="G3634" s="2" t="s">
        <v>10</v>
      </c>
    </row>
    <row r="3635" ht="14.25" customHeight="1">
      <c r="A3635" s="1" t="s">
        <v>3126</v>
      </c>
      <c r="B3635" s="1" t="s">
        <v>20</v>
      </c>
      <c r="C3635" s="2" t="s">
        <v>34</v>
      </c>
      <c r="D3635" s="2">
        <v>7.6</v>
      </c>
      <c r="E3635" s="2">
        <v>2014.0</v>
      </c>
      <c r="F3635" s="2" t="s">
        <v>10</v>
      </c>
      <c r="G3635" s="2" t="s">
        <v>10</v>
      </c>
    </row>
    <row r="3636" ht="14.25" customHeight="1">
      <c r="A3636" s="1" t="s">
        <v>3127</v>
      </c>
      <c r="B3636" s="1" t="s">
        <v>20</v>
      </c>
      <c r="C3636" s="2" t="s">
        <v>459</v>
      </c>
      <c r="D3636" s="2">
        <v>7.6</v>
      </c>
      <c r="E3636" s="2">
        <v>2004.0</v>
      </c>
      <c r="F3636" s="2" t="s">
        <v>10</v>
      </c>
      <c r="G3636" s="2" t="s">
        <v>10</v>
      </c>
    </row>
    <row r="3637" ht="14.25" customHeight="1">
      <c r="A3637" s="1" t="s">
        <v>3128</v>
      </c>
      <c r="B3637" s="1" t="s">
        <v>20</v>
      </c>
      <c r="C3637" s="2" t="s">
        <v>910</v>
      </c>
      <c r="D3637" s="2">
        <v>7.6</v>
      </c>
      <c r="E3637" s="2">
        <v>2011.0</v>
      </c>
      <c r="F3637" s="2" t="s">
        <v>10</v>
      </c>
      <c r="G3637" s="2" t="s">
        <v>10</v>
      </c>
    </row>
    <row r="3638" ht="14.25" customHeight="1">
      <c r="A3638" s="1" t="s">
        <v>3129</v>
      </c>
      <c r="B3638" s="1" t="s">
        <v>20</v>
      </c>
      <c r="C3638" s="2" t="s">
        <v>588</v>
      </c>
      <c r="D3638" s="2">
        <v>7.6</v>
      </c>
      <c r="E3638" s="2">
        <v>2010.0</v>
      </c>
      <c r="F3638" s="2">
        <v>2010.0</v>
      </c>
      <c r="G3638" s="2" t="s">
        <v>10</v>
      </c>
    </row>
    <row r="3639" ht="14.25" customHeight="1">
      <c r="A3639" s="1" t="s">
        <v>3130</v>
      </c>
      <c r="B3639" s="1" t="s">
        <v>20</v>
      </c>
      <c r="C3639" s="2" t="s">
        <v>433</v>
      </c>
      <c r="D3639" s="2">
        <v>7.6</v>
      </c>
      <c r="E3639" s="2">
        <v>2011.0</v>
      </c>
      <c r="F3639" s="2" t="s">
        <v>10</v>
      </c>
      <c r="G3639" s="2" t="s">
        <v>10</v>
      </c>
    </row>
    <row r="3640" ht="14.25" customHeight="1">
      <c r="A3640" s="1" t="s">
        <v>3131</v>
      </c>
      <c r="B3640" s="1" t="s">
        <v>20</v>
      </c>
      <c r="C3640" s="2" t="s">
        <v>36</v>
      </c>
      <c r="D3640" s="2">
        <v>7.6</v>
      </c>
      <c r="E3640" s="2">
        <v>1990.0</v>
      </c>
      <c r="F3640" s="2" t="s">
        <v>10</v>
      </c>
      <c r="G3640" s="2" t="s">
        <v>10</v>
      </c>
    </row>
    <row r="3641" ht="14.25" customHeight="1">
      <c r="A3641" s="1" t="s">
        <v>3132</v>
      </c>
      <c r="B3641" s="1" t="s">
        <v>20</v>
      </c>
      <c r="C3641" s="2" t="s">
        <v>411</v>
      </c>
      <c r="D3641" s="2">
        <v>7.6</v>
      </c>
      <c r="E3641" s="2">
        <v>2018.0</v>
      </c>
      <c r="F3641" s="2" t="s">
        <v>10</v>
      </c>
      <c r="G3641" s="2" t="s">
        <v>10</v>
      </c>
    </row>
    <row r="3642" ht="14.25" customHeight="1">
      <c r="A3642" s="1" t="s">
        <v>3133</v>
      </c>
      <c r="B3642" s="1" t="s">
        <v>20</v>
      </c>
      <c r="C3642" s="2" t="s">
        <v>299</v>
      </c>
      <c r="D3642" s="2">
        <v>7.6</v>
      </c>
      <c r="E3642" s="2">
        <v>2004.0</v>
      </c>
      <c r="F3642" s="2">
        <v>2004.0</v>
      </c>
      <c r="G3642" s="2" t="s">
        <v>10</v>
      </c>
    </row>
    <row r="3643" ht="14.25" customHeight="1">
      <c r="A3643" s="1" t="s">
        <v>3134</v>
      </c>
      <c r="B3643" s="1" t="s">
        <v>20</v>
      </c>
      <c r="C3643" s="2" t="s">
        <v>845</v>
      </c>
      <c r="D3643" s="2">
        <v>7.6</v>
      </c>
      <c r="E3643" s="2">
        <v>2024.0</v>
      </c>
      <c r="F3643" s="2" t="s">
        <v>10</v>
      </c>
      <c r="G3643" s="2" t="s">
        <v>10</v>
      </c>
    </row>
    <row r="3644" ht="14.25" customHeight="1">
      <c r="A3644" s="1" t="s">
        <v>3135</v>
      </c>
      <c r="B3644" s="1" t="s">
        <v>20</v>
      </c>
      <c r="C3644" s="2" t="s">
        <v>1622</v>
      </c>
      <c r="D3644" s="2">
        <v>7.6</v>
      </c>
      <c r="E3644" s="2">
        <v>1995.0</v>
      </c>
      <c r="F3644" s="2" t="s">
        <v>10</v>
      </c>
      <c r="G3644" s="2" t="s">
        <v>10</v>
      </c>
    </row>
    <row r="3645" ht="14.25" customHeight="1">
      <c r="A3645" s="1" t="s">
        <v>3136</v>
      </c>
      <c r="B3645" s="1" t="s">
        <v>20</v>
      </c>
      <c r="C3645" s="2" t="s">
        <v>53</v>
      </c>
      <c r="D3645" s="2">
        <v>7.6</v>
      </c>
      <c r="E3645" s="2">
        <v>2006.0</v>
      </c>
      <c r="F3645" s="2" t="s">
        <v>10</v>
      </c>
      <c r="G3645" s="2">
        <v>2.497E7</v>
      </c>
    </row>
    <row r="3646" ht="14.25" customHeight="1">
      <c r="A3646" s="1" t="s">
        <v>3136</v>
      </c>
      <c r="B3646" s="1" t="s">
        <v>20</v>
      </c>
      <c r="C3646" s="2" t="s">
        <v>53</v>
      </c>
      <c r="D3646" s="2">
        <v>7.6</v>
      </c>
      <c r="E3646" s="2">
        <v>2006.0</v>
      </c>
      <c r="F3646" s="2" t="s">
        <v>10</v>
      </c>
      <c r="G3646" s="2">
        <v>5.294E7</v>
      </c>
    </row>
    <row r="3647" ht="14.25" customHeight="1">
      <c r="A3647" s="1" t="s">
        <v>3137</v>
      </c>
      <c r="B3647" s="1" t="s">
        <v>20</v>
      </c>
      <c r="C3647" s="2" t="s">
        <v>459</v>
      </c>
      <c r="D3647" s="2">
        <v>7.6</v>
      </c>
      <c r="E3647" s="2">
        <v>2001.0</v>
      </c>
      <c r="F3647" s="2" t="s">
        <v>10</v>
      </c>
      <c r="G3647" s="2" t="s">
        <v>10</v>
      </c>
    </row>
    <row r="3648" ht="14.25" customHeight="1">
      <c r="A3648" s="1" t="s">
        <v>3138</v>
      </c>
      <c r="B3648" s="1" t="s">
        <v>20</v>
      </c>
      <c r="C3648" s="2" t="s">
        <v>55</v>
      </c>
      <c r="D3648" s="2">
        <v>7.6</v>
      </c>
      <c r="E3648" s="2">
        <v>2016.0</v>
      </c>
      <c r="F3648" s="2" t="s">
        <v>10</v>
      </c>
      <c r="G3648" s="2" t="s">
        <v>10</v>
      </c>
    </row>
    <row r="3649" ht="14.25" customHeight="1">
      <c r="A3649" s="1" t="s">
        <v>3139</v>
      </c>
      <c r="B3649" s="1" t="s">
        <v>20</v>
      </c>
      <c r="C3649" s="2" t="s">
        <v>910</v>
      </c>
      <c r="D3649" s="2">
        <v>7.6</v>
      </c>
      <c r="E3649" s="2">
        <v>2009.0</v>
      </c>
      <c r="F3649" s="2" t="s">
        <v>10</v>
      </c>
      <c r="G3649" s="2">
        <v>8710000.0</v>
      </c>
    </row>
    <row r="3650" ht="14.25" customHeight="1">
      <c r="A3650" s="1" t="s">
        <v>3139</v>
      </c>
      <c r="B3650" s="1" t="s">
        <v>20</v>
      </c>
      <c r="C3650" s="2" t="s">
        <v>910</v>
      </c>
      <c r="D3650" s="2">
        <v>7.6</v>
      </c>
      <c r="E3650" s="2">
        <v>2009.0</v>
      </c>
      <c r="F3650" s="2" t="s">
        <v>10</v>
      </c>
      <c r="G3650" s="2">
        <v>9880000.0</v>
      </c>
    </row>
    <row r="3651" ht="14.25" customHeight="1">
      <c r="A3651" s="1" t="s">
        <v>3140</v>
      </c>
      <c r="B3651" s="1" t="s">
        <v>20</v>
      </c>
      <c r="C3651" s="2" t="s">
        <v>249</v>
      </c>
      <c r="D3651" s="2">
        <v>7.6</v>
      </c>
      <c r="E3651" s="2">
        <v>2010.0</v>
      </c>
      <c r="F3651" s="2">
        <v>1969.0</v>
      </c>
      <c r="G3651" s="2" t="s">
        <v>10</v>
      </c>
    </row>
    <row r="3652" ht="14.25" customHeight="1">
      <c r="A3652" s="1" t="s">
        <v>3141</v>
      </c>
      <c r="B3652" s="1" t="s">
        <v>20</v>
      </c>
      <c r="C3652" s="2" t="s">
        <v>291</v>
      </c>
      <c r="D3652" s="2">
        <v>7.6</v>
      </c>
      <c r="E3652" s="2">
        <v>2023.0</v>
      </c>
      <c r="F3652" s="2" t="s">
        <v>10</v>
      </c>
      <c r="G3652" s="2" t="s">
        <v>10</v>
      </c>
    </row>
    <row r="3653" ht="14.25" customHeight="1">
      <c r="A3653" s="1" t="s">
        <v>3142</v>
      </c>
      <c r="B3653" s="1" t="s">
        <v>8</v>
      </c>
      <c r="C3653" s="2" t="s">
        <v>154</v>
      </c>
      <c r="D3653" s="2">
        <v>7.6</v>
      </c>
      <c r="E3653" s="2">
        <v>2005.0</v>
      </c>
      <c r="F3653" s="2">
        <v>2020.0</v>
      </c>
      <c r="G3653" s="2">
        <v>1.599E7</v>
      </c>
    </row>
    <row r="3654" ht="14.25" customHeight="1">
      <c r="A3654" s="1" t="s">
        <v>3142</v>
      </c>
      <c r="B3654" s="1" t="s">
        <v>8</v>
      </c>
      <c r="C3654" s="2" t="s">
        <v>154</v>
      </c>
      <c r="D3654" s="2">
        <v>7.6</v>
      </c>
      <c r="E3654" s="2">
        <v>2005.0</v>
      </c>
      <c r="F3654" s="2">
        <v>2020.0</v>
      </c>
      <c r="G3654" s="2">
        <v>2.965E7</v>
      </c>
    </row>
    <row r="3655" ht="14.25" customHeight="1">
      <c r="A3655" s="1" t="s">
        <v>3142</v>
      </c>
      <c r="B3655" s="1" t="s">
        <v>8</v>
      </c>
      <c r="C3655" s="2" t="s">
        <v>154</v>
      </c>
      <c r="D3655" s="2">
        <v>7.6</v>
      </c>
      <c r="E3655" s="2">
        <v>2005.0</v>
      </c>
      <c r="F3655" s="2">
        <v>2020.0</v>
      </c>
      <c r="G3655" s="2">
        <v>1.868E7</v>
      </c>
    </row>
    <row r="3656" ht="14.25" customHeight="1">
      <c r="A3656" s="1" t="s">
        <v>3143</v>
      </c>
      <c r="B3656" s="1" t="s">
        <v>20</v>
      </c>
      <c r="C3656" s="2" t="s">
        <v>187</v>
      </c>
      <c r="D3656" s="2">
        <v>7.6</v>
      </c>
      <c r="E3656" s="2">
        <v>2011.0</v>
      </c>
      <c r="F3656" s="2">
        <v>2011.0</v>
      </c>
      <c r="G3656" s="2" t="s">
        <v>10</v>
      </c>
    </row>
    <row r="3657" ht="14.25" customHeight="1">
      <c r="A3657" s="1" t="s">
        <v>3144</v>
      </c>
      <c r="B3657" s="1" t="s">
        <v>20</v>
      </c>
      <c r="C3657" s="2" t="s">
        <v>36</v>
      </c>
      <c r="D3657" s="2">
        <v>7.6</v>
      </c>
      <c r="E3657" s="2">
        <v>2005.0</v>
      </c>
      <c r="F3657" s="2" t="s">
        <v>10</v>
      </c>
      <c r="G3657" s="2" t="s">
        <v>10</v>
      </c>
    </row>
    <row r="3658" ht="14.25" customHeight="1">
      <c r="A3658" s="1" t="s">
        <v>3145</v>
      </c>
      <c r="B3658" s="1" t="s">
        <v>20</v>
      </c>
      <c r="C3658" s="2" t="s">
        <v>69</v>
      </c>
      <c r="D3658" s="2">
        <v>7.6</v>
      </c>
      <c r="E3658" s="2">
        <v>2007.0</v>
      </c>
      <c r="F3658" s="2" t="s">
        <v>10</v>
      </c>
      <c r="G3658" s="2" t="s">
        <v>10</v>
      </c>
    </row>
    <row r="3659" ht="14.25" customHeight="1">
      <c r="A3659" s="1" t="s">
        <v>3146</v>
      </c>
      <c r="B3659" s="1" t="s">
        <v>20</v>
      </c>
      <c r="C3659" s="2" t="s">
        <v>22</v>
      </c>
      <c r="D3659" s="2">
        <v>7.6</v>
      </c>
      <c r="E3659" s="2">
        <v>2015.0</v>
      </c>
      <c r="F3659" s="2" t="s">
        <v>10</v>
      </c>
      <c r="G3659" s="2" t="s">
        <v>10</v>
      </c>
    </row>
    <row r="3660" ht="14.25" customHeight="1">
      <c r="A3660" s="1" t="s">
        <v>3147</v>
      </c>
      <c r="B3660" s="1" t="s">
        <v>20</v>
      </c>
      <c r="C3660" s="2" t="s">
        <v>468</v>
      </c>
      <c r="D3660" s="2">
        <v>7.6</v>
      </c>
      <c r="E3660" s="2">
        <v>2008.0</v>
      </c>
      <c r="F3660" s="2">
        <v>2008.0</v>
      </c>
      <c r="G3660" s="2" t="s">
        <v>10</v>
      </c>
    </row>
    <row r="3661" ht="14.25" customHeight="1">
      <c r="A3661" s="1" t="s">
        <v>3148</v>
      </c>
      <c r="B3661" s="1" t="s">
        <v>20</v>
      </c>
      <c r="C3661" s="2" t="s">
        <v>63</v>
      </c>
      <c r="D3661" s="2">
        <v>7.6</v>
      </c>
      <c r="E3661" s="2">
        <v>2001.0</v>
      </c>
      <c r="F3661" s="2" t="s">
        <v>10</v>
      </c>
      <c r="G3661" s="2" t="s">
        <v>10</v>
      </c>
    </row>
    <row r="3662" ht="14.25" customHeight="1">
      <c r="A3662" s="1" t="s">
        <v>3149</v>
      </c>
      <c r="B3662" s="1" t="s">
        <v>20</v>
      </c>
      <c r="C3662" s="2" t="s">
        <v>546</v>
      </c>
      <c r="D3662" s="2">
        <v>7.6</v>
      </c>
      <c r="E3662" s="2">
        <v>2015.0</v>
      </c>
      <c r="F3662" s="2" t="s">
        <v>10</v>
      </c>
      <c r="G3662" s="2" t="s">
        <v>10</v>
      </c>
    </row>
    <row r="3663" ht="14.25" customHeight="1">
      <c r="A3663" s="1" t="s">
        <v>3150</v>
      </c>
      <c r="B3663" s="1" t="s">
        <v>20</v>
      </c>
      <c r="C3663" s="2" t="s">
        <v>207</v>
      </c>
      <c r="D3663" s="2">
        <v>7.6</v>
      </c>
      <c r="E3663" s="2">
        <v>2001.0</v>
      </c>
      <c r="F3663" s="2" t="s">
        <v>10</v>
      </c>
      <c r="G3663" s="2" t="s">
        <v>10</v>
      </c>
    </row>
    <row r="3664" ht="14.25" customHeight="1">
      <c r="A3664" s="1" t="s">
        <v>3151</v>
      </c>
      <c r="B3664" s="1" t="s">
        <v>20</v>
      </c>
      <c r="C3664" s="2" t="s">
        <v>53</v>
      </c>
      <c r="D3664" s="2">
        <v>7.6</v>
      </c>
      <c r="E3664" s="2">
        <v>2007.0</v>
      </c>
      <c r="F3664" s="2" t="s">
        <v>10</v>
      </c>
      <c r="G3664" s="2" t="s">
        <v>10</v>
      </c>
    </row>
    <row r="3665" ht="14.25" customHeight="1">
      <c r="A3665" s="1" t="s">
        <v>3152</v>
      </c>
      <c r="B3665" s="1" t="s">
        <v>20</v>
      </c>
      <c r="C3665" s="2" t="s">
        <v>328</v>
      </c>
      <c r="D3665" s="2">
        <v>7.6</v>
      </c>
      <c r="E3665" s="2">
        <v>1989.0</v>
      </c>
      <c r="F3665" s="2">
        <v>2018.0</v>
      </c>
      <c r="G3665" s="2" t="s">
        <v>10</v>
      </c>
    </row>
    <row r="3666" ht="14.25" customHeight="1">
      <c r="A3666" s="1" t="s">
        <v>3153</v>
      </c>
      <c r="B3666" s="1" t="s">
        <v>20</v>
      </c>
      <c r="C3666" s="2" t="s">
        <v>32</v>
      </c>
      <c r="D3666" s="2">
        <v>7.6</v>
      </c>
      <c r="E3666" s="2">
        <v>1999.0</v>
      </c>
      <c r="F3666" s="2" t="s">
        <v>10</v>
      </c>
      <c r="G3666" s="2" t="s">
        <v>10</v>
      </c>
    </row>
    <row r="3667" ht="14.25" customHeight="1">
      <c r="A3667" s="1" t="s">
        <v>3154</v>
      </c>
      <c r="B3667" s="1" t="s">
        <v>20</v>
      </c>
      <c r="C3667" s="2" t="s">
        <v>3155</v>
      </c>
      <c r="D3667" s="2">
        <v>7.6</v>
      </c>
      <c r="E3667" s="2">
        <v>1987.0</v>
      </c>
      <c r="F3667" s="2" t="s">
        <v>10</v>
      </c>
      <c r="G3667" s="2" t="s">
        <v>10</v>
      </c>
    </row>
    <row r="3668" ht="14.25" customHeight="1">
      <c r="A3668" s="1" t="s">
        <v>3156</v>
      </c>
      <c r="B3668" s="1" t="s">
        <v>20</v>
      </c>
      <c r="C3668" s="2" t="s">
        <v>55</v>
      </c>
      <c r="D3668" s="2">
        <v>7.6</v>
      </c>
      <c r="E3668" s="2">
        <v>2019.0</v>
      </c>
      <c r="F3668" s="2" t="s">
        <v>10</v>
      </c>
      <c r="G3668" s="2" t="s">
        <v>10</v>
      </c>
    </row>
    <row r="3669" ht="14.25" customHeight="1">
      <c r="A3669" s="1" t="s">
        <v>3157</v>
      </c>
      <c r="B3669" s="1" t="s">
        <v>20</v>
      </c>
      <c r="C3669" s="2" t="s">
        <v>2737</v>
      </c>
      <c r="D3669" s="2">
        <v>7.6</v>
      </c>
      <c r="E3669" s="2">
        <v>2007.0</v>
      </c>
      <c r="F3669" s="2">
        <v>2007.0</v>
      </c>
      <c r="G3669" s="2" t="s">
        <v>10</v>
      </c>
    </row>
    <row r="3670" ht="14.25" customHeight="1">
      <c r="A3670" s="1" t="s">
        <v>2464</v>
      </c>
      <c r="B3670" s="1" t="s">
        <v>20</v>
      </c>
      <c r="C3670" s="2" t="s">
        <v>291</v>
      </c>
      <c r="D3670" s="2">
        <v>7.6</v>
      </c>
      <c r="E3670" s="2">
        <v>1987.0</v>
      </c>
      <c r="F3670" s="2" t="s">
        <v>10</v>
      </c>
      <c r="G3670" s="2" t="s">
        <v>10</v>
      </c>
    </row>
    <row r="3671" ht="14.25" customHeight="1">
      <c r="A3671" s="1" t="s">
        <v>3158</v>
      </c>
      <c r="B3671" s="1" t="s">
        <v>20</v>
      </c>
      <c r="C3671" s="2" t="s">
        <v>69</v>
      </c>
      <c r="D3671" s="2">
        <v>7.6</v>
      </c>
      <c r="E3671" s="2">
        <v>2012.0</v>
      </c>
      <c r="F3671" s="2">
        <v>2012.0</v>
      </c>
      <c r="G3671" s="2" t="s">
        <v>10</v>
      </c>
    </row>
    <row r="3672" ht="14.25" customHeight="1">
      <c r="A3672" s="1" t="s">
        <v>3159</v>
      </c>
      <c r="B3672" s="1" t="s">
        <v>20</v>
      </c>
      <c r="C3672" s="2" t="s">
        <v>3160</v>
      </c>
      <c r="D3672" s="2">
        <v>7.6</v>
      </c>
      <c r="E3672" s="2">
        <v>2016.0</v>
      </c>
      <c r="F3672" s="2">
        <v>2016.0</v>
      </c>
      <c r="G3672" s="2" t="s">
        <v>10</v>
      </c>
    </row>
    <row r="3673" ht="14.25" customHeight="1">
      <c r="A3673" s="1" t="s">
        <v>3161</v>
      </c>
      <c r="B3673" s="1" t="s">
        <v>20</v>
      </c>
      <c r="C3673" s="2" t="s">
        <v>356</v>
      </c>
      <c r="D3673" s="2">
        <v>7.6</v>
      </c>
      <c r="E3673" s="2">
        <v>2023.0</v>
      </c>
      <c r="F3673" s="2" t="s">
        <v>10</v>
      </c>
      <c r="G3673" s="2" t="s">
        <v>10</v>
      </c>
    </row>
    <row r="3674" ht="14.25" customHeight="1">
      <c r="A3674" s="1" t="s">
        <v>3162</v>
      </c>
      <c r="B3674" s="1" t="s">
        <v>20</v>
      </c>
      <c r="C3674" s="2" t="s">
        <v>9</v>
      </c>
      <c r="D3674" s="2">
        <v>7.6</v>
      </c>
      <c r="E3674" s="2">
        <v>2007.0</v>
      </c>
      <c r="F3674" s="2" t="s">
        <v>10</v>
      </c>
      <c r="G3674" s="2" t="s">
        <v>10</v>
      </c>
    </row>
    <row r="3675" ht="14.25" customHeight="1">
      <c r="A3675" s="1" t="s">
        <v>3163</v>
      </c>
      <c r="B3675" s="1" t="s">
        <v>20</v>
      </c>
      <c r="C3675" s="2" t="s">
        <v>1060</v>
      </c>
      <c r="D3675" s="2">
        <v>7.6</v>
      </c>
      <c r="E3675" s="2">
        <v>2008.0</v>
      </c>
      <c r="F3675" s="2" t="s">
        <v>10</v>
      </c>
      <c r="G3675" s="2" t="s">
        <v>10</v>
      </c>
    </row>
    <row r="3676" ht="14.25" customHeight="1">
      <c r="A3676" s="1" t="s">
        <v>3164</v>
      </c>
      <c r="B3676" s="1" t="s">
        <v>20</v>
      </c>
      <c r="C3676" s="2" t="s">
        <v>9</v>
      </c>
      <c r="D3676" s="2">
        <v>7.6</v>
      </c>
      <c r="E3676" s="2">
        <v>2016.0</v>
      </c>
      <c r="F3676" s="2">
        <v>2016.0</v>
      </c>
      <c r="G3676" s="2" t="s">
        <v>10</v>
      </c>
    </row>
    <row r="3677" ht="14.25" customHeight="1">
      <c r="A3677" s="1" t="s">
        <v>3165</v>
      </c>
      <c r="B3677" s="1" t="s">
        <v>20</v>
      </c>
      <c r="C3677" s="2" t="s">
        <v>291</v>
      </c>
      <c r="D3677" s="2">
        <v>7.6</v>
      </c>
      <c r="E3677" s="2">
        <v>1999.0</v>
      </c>
      <c r="F3677" s="2" t="s">
        <v>10</v>
      </c>
      <c r="G3677" s="2" t="s">
        <v>10</v>
      </c>
    </row>
    <row r="3678" ht="14.25" customHeight="1">
      <c r="A3678" s="1" t="s">
        <v>3166</v>
      </c>
      <c r="B3678" s="1" t="s">
        <v>20</v>
      </c>
      <c r="C3678" s="2" t="s">
        <v>9</v>
      </c>
      <c r="D3678" s="2">
        <v>7.6</v>
      </c>
      <c r="E3678" s="2">
        <v>2003.0</v>
      </c>
      <c r="F3678" s="2" t="s">
        <v>10</v>
      </c>
      <c r="G3678" s="2" t="s">
        <v>10</v>
      </c>
    </row>
    <row r="3679" ht="14.25" customHeight="1">
      <c r="A3679" s="1" t="s">
        <v>3167</v>
      </c>
      <c r="B3679" s="1" t="s">
        <v>20</v>
      </c>
      <c r="C3679" s="2" t="s">
        <v>18</v>
      </c>
      <c r="D3679" s="2">
        <v>7.6</v>
      </c>
      <c r="E3679" s="2">
        <v>2022.0</v>
      </c>
      <c r="F3679" s="2" t="s">
        <v>10</v>
      </c>
      <c r="G3679" s="2" t="s">
        <v>10</v>
      </c>
    </row>
    <row r="3680" ht="14.25" customHeight="1">
      <c r="A3680" s="1" t="s">
        <v>3168</v>
      </c>
      <c r="B3680" s="1" t="s">
        <v>20</v>
      </c>
      <c r="C3680" s="2" t="s">
        <v>1336</v>
      </c>
      <c r="D3680" s="2">
        <v>7.6</v>
      </c>
      <c r="E3680" s="2">
        <v>2005.0</v>
      </c>
      <c r="F3680" s="2" t="s">
        <v>10</v>
      </c>
      <c r="G3680" s="2" t="s">
        <v>10</v>
      </c>
    </row>
    <row r="3681" ht="14.25" customHeight="1">
      <c r="A3681" s="1" t="s">
        <v>3169</v>
      </c>
      <c r="B3681" s="1" t="s">
        <v>20</v>
      </c>
      <c r="C3681" s="2" t="s">
        <v>9</v>
      </c>
      <c r="D3681" s="2">
        <v>7.6</v>
      </c>
      <c r="E3681" s="2">
        <v>2000.0</v>
      </c>
      <c r="F3681" s="2" t="s">
        <v>10</v>
      </c>
      <c r="G3681" s="2" t="s">
        <v>10</v>
      </c>
    </row>
    <row r="3682" ht="14.25" customHeight="1">
      <c r="A3682" s="1" t="s">
        <v>3170</v>
      </c>
      <c r="B3682" s="1" t="s">
        <v>20</v>
      </c>
      <c r="C3682" s="2" t="s">
        <v>838</v>
      </c>
      <c r="D3682" s="2">
        <v>7.6</v>
      </c>
      <c r="E3682" s="2">
        <v>1977.0</v>
      </c>
      <c r="F3682" s="2" t="s">
        <v>10</v>
      </c>
      <c r="G3682" s="2" t="s">
        <v>10</v>
      </c>
    </row>
    <row r="3683" ht="14.25" customHeight="1">
      <c r="A3683" s="1" t="s">
        <v>3171</v>
      </c>
      <c r="B3683" s="1" t="s">
        <v>20</v>
      </c>
      <c r="C3683" s="2" t="s">
        <v>291</v>
      </c>
      <c r="D3683" s="2">
        <v>7.6</v>
      </c>
      <c r="E3683" s="2">
        <v>2011.0</v>
      </c>
      <c r="F3683" s="2" t="s">
        <v>10</v>
      </c>
      <c r="G3683" s="3">
        <v>2000000.0</v>
      </c>
    </row>
    <row r="3684" ht="14.25" customHeight="1">
      <c r="A3684" s="1" t="s">
        <v>3172</v>
      </c>
      <c r="B3684" s="1" t="s">
        <v>20</v>
      </c>
      <c r="C3684" s="2" t="s">
        <v>328</v>
      </c>
      <c r="D3684" s="2">
        <v>7.6</v>
      </c>
      <c r="E3684" s="2">
        <v>1937.0</v>
      </c>
      <c r="F3684" s="2" t="s">
        <v>10</v>
      </c>
      <c r="G3684" s="2" t="s">
        <v>10</v>
      </c>
    </row>
    <row r="3685" ht="14.25" customHeight="1">
      <c r="A3685" s="1" t="s">
        <v>3173</v>
      </c>
      <c r="B3685" s="1" t="s">
        <v>20</v>
      </c>
      <c r="C3685" s="2" t="s">
        <v>3174</v>
      </c>
      <c r="D3685" s="2">
        <v>7.6</v>
      </c>
      <c r="E3685" s="2">
        <v>1998.0</v>
      </c>
      <c r="F3685" s="2" t="s">
        <v>10</v>
      </c>
      <c r="G3685" s="2" t="s">
        <v>10</v>
      </c>
    </row>
    <row r="3686" ht="14.25" customHeight="1">
      <c r="A3686" s="1" t="s">
        <v>3175</v>
      </c>
      <c r="B3686" s="1" t="s">
        <v>20</v>
      </c>
      <c r="C3686" s="2" t="s">
        <v>9</v>
      </c>
      <c r="D3686" s="2">
        <v>7.6</v>
      </c>
      <c r="E3686" s="2">
        <v>1993.0</v>
      </c>
      <c r="F3686" s="2" t="s">
        <v>10</v>
      </c>
      <c r="G3686" s="2" t="s">
        <v>10</v>
      </c>
    </row>
    <row r="3687" ht="14.25" customHeight="1">
      <c r="A3687" s="1" t="s">
        <v>3176</v>
      </c>
      <c r="B3687" s="1" t="s">
        <v>20</v>
      </c>
      <c r="C3687" s="2" t="s">
        <v>291</v>
      </c>
      <c r="D3687" s="2">
        <v>7.6</v>
      </c>
      <c r="E3687" s="2">
        <v>1998.0</v>
      </c>
      <c r="F3687" s="2" t="s">
        <v>10</v>
      </c>
      <c r="G3687" s="2" t="s">
        <v>10</v>
      </c>
    </row>
    <row r="3688" ht="14.25" customHeight="1">
      <c r="A3688" s="1" t="s">
        <v>3177</v>
      </c>
      <c r="B3688" s="1" t="s">
        <v>20</v>
      </c>
      <c r="C3688" s="2" t="s">
        <v>1982</v>
      </c>
      <c r="D3688" s="2">
        <v>7.6</v>
      </c>
      <c r="E3688" s="2">
        <v>1986.0</v>
      </c>
      <c r="F3688" s="2" t="s">
        <v>10</v>
      </c>
      <c r="G3688" s="2" t="s">
        <v>10</v>
      </c>
    </row>
    <row r="3689" ht="14.25" customHeight="1">
      <c r="A3689" s="1" t="s">
        <v>3178</v>
      </c>
      <c r="B3689" s="1" t="s">
        <v>20</v>
      </c>
      <c r="C3689" s="2" t="s">
        <v>476</v>
      </c>
      <c r="D3689" s="2">
        <v>7.6</v>
      </c>
      <c r="E3689" s="2">
        <v>1963.0</v>
      </c>
      <c r="F3689" s="2" t="s">
        <v>10</v>
      </c>
      <c r="G3689" s="2" t="s">
        <v>10</v>
      </c>
    </row>
    <row r="3690" ht="14.25" customHeight="1">
      <c r="A3690" s="1" t="s">
        <v>358</v>
      </c>
      <c r="B3690" s="1" t="s">
        <v>20</v>
      </c>
      <c r="C3690" s="2" t="s">
        <v>766</v>
      </c>
      <c r="D3690" s="2">
        <v>7.6</v>
      </c>
      <c r="E3690" s="2">
        <v>2014.0</v>
      </c>
      <c r="F3690" s="2" t="s">
        <v>10</v>
      </c>
      <c r="G3690" s="2" t="s">
        <v>10</v>
      </c>
    </row>
    <row r="3691" ht="14.25" customHeight="1">
      <c r="A3691" s="1" t="s">
        <v>3179</v>
      </c>
      <c r="B3691" s="1" t="s">
        <v>20</v>
      </c>
      <c r="C3691" s="2" t="s">
        <v>151</v>
      </c>
      <c r="D3691" s="2">
        <v>7.6</v>
      </c>
      <c r="E3691" s="2">
        <v>1981.0</v>
      </c>
      <c r="F3691" s="2" t="s">
        <v>10</v>
      </c>
      <c r="G3691" s="2" t="s">
        <v>10</v>
      </c>
    </row>
    <row r="3692" ht="14.25" customHeight="1">
      <c r="A3692" s="1" t="s">
        <v>3180</v>
      </c>
      <c r="B3692" s="1" t="s">
        <v>20</v>
      </c>
      <c r="C3692" s="2" t="s">
        <v>32</v>
      </c>
      <c r="D3692" s="2">
        <v>7.6</v>
      </c>
      <c r="E3692" s="2">
        <v>1993.0</v>
      </c>
      <c r="F3692" s="2" t="s">
        <v>10</v>
      </c>
      <c r="G3692" s="2" t="s">
        <v>10</v>
      </c>
    </row>
    <row r="3693" ht="14.25" customHeight="1">
      <c r="A3693" s="1" t="s">
        <v>3181</v>
      </c>
      <c r="B3693" s="1" t="s">
        <v>20</v>
      </c>
      <c r="C3693" s="2" t="s">
        <v>112</v>
      </c>
      <c r="D3693" s="2">
        <v>7.6</v>
      </c>
      <c r="E3693" s="2">
        <v>1998.0</v>
      </c>
      <c r="F3693" s="2" t="s">
        <v>10</v>
      </c>
      <c r="G3693" s="2" t="s">
        <v>10</v>
      </c>
    </row>
    <row r="3694" ht="14.25" customHeight="1">
      <c r="A3694" s="1" t="s">
        <v>3182</v>
      </c>
      <c r="B3694" s="1" t="s">
        <v>20</v>
      </c>
      <c r="C3694" s="2" t="s">
        <v>55</v>
      </c>
      <c r="D3694" s="2">
        <v>7.6</v>
      </c>
      <c r="E3694" s="2">
        <v>1967.0</v>
      </c>
      <c r="F3694" s="2">
        <v>2010.0</v>
      </c>
      <c r="G3694" s="2" t="s">
        <v>10</v>
      </c>
    </row>
    <row r="3695" ht="14.25" customHeight="1">
      <c r="A3695" s="1" t="s">
        <v>3183</v>
      </c>
      <c r="B3695" s="1" t="s">
        <v>20</v>
      </c>
      <c r="C3695" s="2" t="s">
        <v>187</v>
      </c>
      <c r="D3695" s="2">
        <v>7.6</v>
      </c>
      <c r="E3695" s="2">
        <v>1998.0</v>
      </c>
      <c r="F3695" s="2" t="s">
        <v>10</v>
      </c>
      <c r="G3695" s="2" t="s">
        <v>10</v>
      </c>
    </row>
    <row r="3696" ht="14.25" customHeight="1">
      <c r="A3696" s="1" t="s">
        <v>3184</v>
      </c>
      <c r="B3696" s="1" t="s">
        <v>20</v>
      </c>
      <c r="C3696" s="2" t="s">
        <v>80</v>
      </c>
      <c r="D3696" s="2">
        <v>7.6</v>
      </c>
      <c r="E3696" s="2">
        <v>2006.0</v>
      </c>
      <c r="F3696" s="2" t="s">
        <v>10</v>
      </c>
      <c r="G3696" s="2" t="s">
        <v>10</v>
      </c>
    </row>
    <row r="3697" ht="14.25" customHeight="1">
      <c r="A3697" s="1" t="s">
        <v>3185</v>
      </c>
      <c r="B3697" s="1" t="s">
        <v>20</v>
      </c>
      <c r="C3697" s="2" t="s">
        <v>187</v>
      </c>
      <c r="D3697" s="2">
        <v>7.6</v>
      </c>
      <c r="E3697" s="2">
        <v>1961.0</v>
      </c>
      <c r="F3697" s="2" t="s">
        <v>10</v>
      </c>
      <c r="G3697" s="2" t="s">
        <v>10</v>
      </c>
    </row>
    <row r="3698" ht="14.25" customHeight="1">
      <c r="A3698" s="1" t="s">
        <v>3186</v>
      </c>
      <c r="B3698" s="1" t="s">
        <v>20</v>
      </c>
      <c r="C3698" s="2" t="s">
        <v>34</v>
      </c>
      <c r="D3698" s="2">
        <v>7.6</v>
      </c>
      <c r="E3698" s="2">
        <v>1992.0</v>
      </c>
      <c r="F3698" s="2" t="s">
        <v>10</v>
      </c>
      <c r="G3698" s="2" t="s">
        <v>10</v>
      </c>
    </row>
    <row r="3699" ht="14.25" customHeight="1">
      <c r="A3699" s="1" t="s">
        <v>3187</v>
      </c>
      <c r="B3699" s="1" t="s">
        <v>20</v>
      </c>
      <c r="C3699" s="2" t="s">
        <v>527</v>
      </c>
      <c r="D3699" s="2">
        <v>7.6</v>
      </c>
      <c r="E3699" s="2">
        <v>1988.0</v>
      </c>
      <c r="F3699" s="2">
        <v>1988.0</v>
      </c>
      <c r="G3699" s="2" t="s">
        <v>10</v>
      </c>
    </row>
    <row r="3700" ht="14.25" customHeight="1">
      <c r="A3700" s="1" t="s">
        <v>3188</v>
      </c>
      <c r="B3700" s="1" t="s">
        <v>20</v>
      </c>
      <c r="C3700" s="2" t="s">
        <v>18</v>
      </c>
      <c r="D3700" s="2">
        <v>7.6</v>
      </c>
      <c r="E3700" s="2">
        <v>2002.0</v>
      </c>
      <c r="F3700" s="2" t="s">
        <v>10</v>
      </c>
      <c r="G3700" s="2" t="s">
        <v>10</v>
      </c>
    </row>
    <row r="3701" ht="14.25" customHeight="1">
      <c r="A3701" s="1" t="s">
        <v>3189</v>
      </c>
      <c r="B3701" s="1" t="s">
        <v>20</v>
      </c>
      <c r="C3701" s="2" t="s">
        <v>55</v>
      </c>
      <c r="D3701" s="2">
        <v>7.6</v>
      </c>
      <c r="E3701" s="2">
        <v>2024.0</v>
      </c>
      <c r="F3701" s="2" t="s">
        <v>10</v>
      </c>
      <c r="G3701" s="2" t="s">
        <v>10</v>
      </c>
    </row>
    <row r="3702" ht="14.25" customHeight="1">
      <c r="A3702" s="1" t="s">
        <v>3190</v>
      </c>
      <c r="B3702" s="1" t="s">
        <v>20</v>
      </c>
      <c r="C3702" s="2" t="s">
        <v>468</v>
      </c>
      <c r="D3702" s="2">
        <v>7.6</v>
      </c>
      <c r="E3702" s="2">
        <v>2018.0</v>
      </c>
      <c r="F3702" s="2" t="s">
        <v>10</v>
      </c>
      <c r="G3702" s="2" t="s">
        <v>10</v>
      </c>
    </row>
    <row r="3703" ht="14.25" customHeight="1">
      <c r="A3703" s="1" t="s">
        <v>3191</v>
      </c>
      <c r="B3703" s="1" t="s">
        <v>20</v>
      </c>
      <c r="C3703" s="2" t="s">
        <v>345</v>
      </c>
      <c r="D3703" s="2">
        <v>7.6</v>
      </c>
      <c r="E3703" s="2">
        <v>1991.0</v>
      </c>
      <c r="F3703" s="2" t="s">
        <v>10</v>
      </c>
      <c r="G3703" s="2" t="s">
        <v>10</v>
      </c>
    </row>
    <row r="3704" ht="14.25" customHeight="1">
      <c r="A3704" s="1" t="s">
        <v>3192</v>
      </c>
      <c r="B3704" s="1" t="s">
        <v>20</v>
      </c>
      <c r="C3704" s="2" t="s">
        <v>468</v>
      </c>
      <c r="D3704" s="2">
        <v>7.6</v>
      </c>
      <c r="E3704" s="2">
        <v>2011.0</v>
      </c>
      <c r="F3704" s="2" t="s">
        <v>10</v>
      </c>
      <c r="G3704" s="2" t="s">
        <v>10</v>
      </c>
    </row>
    <row r="3705" ht="14.25" customHeight="1">
      <c r="A3705" s="1" t="s">
        <v>3193</v>
      </c>
      <c r="B3705" s="1" t="s">
        <v>20</v>
      </c>
      <c r="C3705" s="2" t="s">
        <v>55</v>
      </c>
      <c r="D3705" s="2">
        <v>7.6</v>
      </c>
      <c r="E3705" s="2">
        <v>2008.0</v>
      </c>
      <c r="F3705" s="2" t="s">
        <v>10</v>
      </c>
      <c r="G3705" s="2" t="s">
        <v>10</v>
      </c>
    </row>
    <row r="3706" ht="14.25" customHeight="1">
      <c r="A3706" s="1" t="s">
        <v>3194</v>
      </c>
      <c r="B3706" s="1" t="s">
        <v>20</v>
      </c>
      <c r="C3706" s="2" t="s">
        <v>63</v>
      </c>
      <c r="D3706" s="2">
        <v>7.6</v>
      </c>
      <c r="E3706" s="2">
        <v>1987.0</v>
      </c>
      <c r="F3706" s="2" t="s">
        <v>10</v>
      </c>
      <c r="G3706" s="2" t="s">
        <v>10</v>
      </c>
    </row>
    <row r="3707" ht="14.25" customHeight="1">
      <c r="A3707" s="1" t="s">
        <v>3195</v>
      </c>
      <c r="B3707" s="1" t="s">
        <v>20</v>
      </c>
      <c r="C3707" s="2" t="s">
        <v>18</v>
      </c>
      <c r="D3707" s="2">
        <v>7.6</v>
      </c>
      <c r="E3707" s="2">
        <v>2001.0</v>
      </c>
      <c r="F3707" s="2">
        <v>2001.0</v>
      </c>
      <c r="G3707" s="2" t="s">
        <v>10</v>
      </c>
    </row>
    <row r="3708" ht="14.25" customHeight="1">
      <c r="A3708" s="1" t="s">
        <v>3196</v>
      </c>
      <c r="B3708" s="1" t="s">
        <v>20</v>
      </c>
      <c r="C3708" s="2" t="s">
        <v>468</v>
      </c>
      <c r="D3708" s="2">
        <v>7.6</v>
      </c>
      <c r="E3708" s="2">
        <v>1997.0</v>
      </c>
      <c r="F3708" s="2" t="s">
        <v>10</v>
      </c>
      <c r="G3708" s="2" t="s">
        <v>10</v>
      </c>
    </row>
    <row r="3709" ht="14.25" customHeight="1">
      <c r="A3709" s="1" t="s">
        <v>3197</v>
      </c>
      <c r="B3709" s="1" t="s">
        <v>20</v>
      </c>
      <c r="C3709" s="2" t="s">
        <v>40</v>
      </c>
      <c r="D3709" s="2">
        <v>7.6</v>
      </c>
      <c r="E3709" s="2">
        <v>1979.0</v>
      </c>
      <c r="F3709" s="2" t="s">
        <v>10</v>
      </c>
      <c r="G3709" s="2" t="s">
        <v>10</v>
      </c>
    </row>
    <row r="3710" ht="14.25" customHeight="1">
      <c r="A3710" s="1" t="s">
        <v>3198</v>
      </c>
      <c r="B3710" s="1" t="s">
        <v>20</v>
      </c>
      <c r="C3710" s="2" t="s">
        <v>527</v>
      </c>
      <c r="D3710" s="2">
        <v>7.6</v>
      </c>
      <c r="E3710" s="2">
        <v>1992.0</v>
      </c>
      <c r="F3710" s="2" t="s">
        <v>10</v>
      </c>
      <c r="G3710" s="2" t="s">
        <v>10</v>
      </c>
    </row>
    <row r="3711" ht="14.25" customHeight="1">
      <c r="A3711" s="1" t="s">
        <v>3199</v>
      </c>
      <c r="B3711" s="1" t="s">
        <v>20</v>
      </c>
      <c r="C3711" s="2" t="s">
        <v>18</v>
      </c>
      <c r="D3711" s="2">
        <v>7.6</v>
      </c>
      <c r="E3711" s="2">
        <v>2017.0</v>
      </c>
      <c r="F3711" s="2" t="s">
        <v>10</v>
      </c>
      <c r="G3711" s="2" t="s">
        <v>10</v>
      </c>
    </row>
    <row r="3712" ht="14.25" customHeight="1">
      <c r="A3712" s="1" t="s">
        <v>3200</v>
      </c>
      <c r="B3712" s="1" t="s">
        <v>8</v>
      </c>
      <c r="C3712" s="2" t="s">
        <v>1395</v>
      </c>
      <c r="D3712" s="2">
        <v>7.6</v>
      </c>
      <c r="E3712" s="2">
        <v>2004.0</v>
      </c>
      <c r="F3712" s="2" t="s">
        <v>10</v>
      </c>
      <c r="G3712" s="2" t="s">
        <v>10</v>
      </c>
    </row>
    <row r="3713" ht="14.25" customHeight="1">
      <c r="A3713" s="1" t="s">
        <v>3201</v>
      </c>
      <c r="B3713" s="1" t="s">
        <v>20</v>
      </c>
      <c r="C3713" s="2" t="s">
        <v>742</v>
      </c>
      <c r="D3713" s="2">
        <v>7.6</v>
      </c>
      <c r="E3713" s="2">
        <v>2019.0</v>
      </c>
      <c r="F3713" s="2">
        <v>2019.0</v>
      </c>
      <c r="G3713" s="2" t="s">
        <v>10</v>
      </c>
    </row>
    <row r="3714" ht="14.25" customHeight="1">
      <c r="A3714" s="1" t="s">
        <v>3202</v>
      </c>
      <c r="B3714" s="1" t="s">
        <v>20</v>
      </c>
      <c r="C3714" s="2" t="s">
        <v>34</v>
      </c>
      <c r="D3714" s="2">
        <v>7.6</v>
      </c>
      <c r="E3714" s="2">
        <v>1996.0</v>
      </c>
      <c r="F3714" s="2" t="s">
        <v>10</v>
      </c>
      <c r="G3714" s="2" t="s">
        <v>10</v>
      </c>
    </row>
    <row r="3715" ht="14.25" customHeight="1">
      <c r="A3715" s="1" t="s">
        <v>3203</v>
      </c>
      <c r="B3715" s="1" t="s">
        <v>20</v>
      </c>
      <c r="C3715" s="2" t="s">
        <v>18</v>
      </c>
      <c r="D3715" s="2">
        <v>7.6</v>
      </c>
      <c r="E3715" s="2">
        <v>2017.0</v>
      </c>
      <c r="F3715" s="2">
        <v>2017.0</v>
      </c>
      <c r="G3715" s="2" t="s">
        <v>10</v>
      </c>
    </row>
    <row r="3716" ht="14.25" customHeight="1">
      <c r="A3716" s="1" t="s">
        <v>3204</v>
      </c>
      <c r="B3716" s="1" t="s">
        <v>20</v>
      </c>
      <c r="C3716" s="2" t="s">
        <v>55</v>
      </c>
      <c r="D3716" s="2">
        <v>7.6</v>
      </c>
      <c r="E3716" s="2">
        <v>2021.0</v>
      </c>
      <c r="F3716" s="2">
        <v>2021.0</v>
      </c>
      <c r="G3716" s="2">
        <v>4890000.0</v>
      </c>
    </row>
    <row r="3717" ht="14.25" customHeight="1">
      <c r="A3717" s="1" t="s">
        <v>3205</v>
      </c>
      <c r="B3717" s="1" t="s">
        <v>20</v>
      </c>
      <c r="C3717" s="2" t="s">
        <v>895</v>
      </c>
      <c r="D3717" s="2">
        <v>7.6</v>
      </c>
      <c r="E3717" s="2">
        <v>1991.0</v>
      </c>
      <c r="F3717" s="2" t="s">
        <v>10</v>
      </c>
      <c r="G3717" s="2" t="s">
        <v>10</v>
      </c>
    </row>
    <row r="3718" ht="14.25" customHeight="1">
      <c r="A3718" s="1" t="s">
        <v>3206</v>
      </c>
      <c r="B3718" s="1" t="s">
        <v>20</v>
      </c>
      <c r="C3718" s="2" t="s">
        <v>40</v>
      </c>
      <c r="D3718" s="2">
        <v>7.6</v>
      </c>
      <c r="E3718" s="2">
        <v>2023.0</v>
      </c>
      <c r="F3718" s="2" t="s">
        <v>10</v>
      </c>
      <c r="G3718" s="2" t="s">
        <v>10</v>
      </c>
    </row>
    <row r="3719" ht="14.25" customHeight="1">
      <c r="A3719" s="1" t="s">
        <v>3207</v>
      </c>
      <c r="B3719" s="1" t="s">
        <v>20</v>
      </c>
      <c r="C3719" s="2" t="s">
        <v>2013</v>
      </c>
      <c r="D3719" s="2">
        <v>7.6</v>
      </c>
      <c r="E3719" s="2">
        <v>1961.0</v>
      </c>
      <c r="F3719" s="2" t="s">
        <v>10</v>
      </c>
      <c r="G3719" s="2" t="s">
        <v>10</v>
      </c>
    </row>
    <row r="3720" ht="14.25" customHeight="1">
      <c r="A3720" s="1" t="s">
        <v>3208</v>
      </c>
      <c r="B3720" s="1" t="s">
        <v>20</v>
      </c>
      <c r="C3720" s="2" t="s">
        <v>1058</v>
      </c>
      <c r="D3720" s="2">
        <v>7.6</v>
      </c>
      <c r="E3720" s="2">
        <v>1972.0</v>
      </c>
      <c r="F3720" s="2" t="s">
        <v>10</v>
      </c>
      <c r="G3720" s="2" t="s">
        <v>10</v>
      </c>
    </row>
    <row r="3721" ht="14.25" customHeight="1">
      <c r="A3721" s="1" t="s">
        <v>3209</v>
      </c>
      <c r="B3721" s="1" t="s">
        <v>20</v>
      </c>
      <c r="C3721" s="2" t="s">
        <v>395</v>
      </c>
      <c r="D3721" s="2">
        <v>7.6</v>
      </c>
      <c r="E3721" s="2">
        <v>2022.0</v>
      </c>
      <c r="F3721" s="2" t="s">
        <v>10</v>
      </c>
      <c r="G3721" s="2" t="s">
        <v>10</v>
      </c>
    </row>
    <row r="3722" ht="14.25" customHeight="1">
      <c r="A3722" s="1" t="s">
        <v>3210</v>
      </c>
      <c r="B3722" s="1" t="s">
        <v>20</v>
      </c>
      <c r="C3722" s="2" t="s">
        <v>299</v>
      </c>
      <c r="D3722" s="2">
        <v>7.6</v>
      </c>
      <c r="E3722" s="2">
        <v>2008.0</v>
      </c>
      <c r="F3722" s="2" t="s">
        <v>10</v>
      </c>
      <c r="G3722" s="2" t="s">
        <v>10</v>
      </c>
    </row>
    <row r="3723" ht="14.25" customHeight="1">
      <c r="A3723" s="1" t="s">
        <v>3211</v>
      </c>
      <c r="B3723" s="1" t="s">
        <v>20</v>
      </c>
      <c r="C3723" s="2" t="s">
        <v>291</v>
      </c>
      <c r="D3723" s="2">
        <v>7.6</v>
      </c>
      <c r="E3723" s="2">
        <v>1973.0</v>
      </c>
      <c r="F3723" s="2">
        <v>1973.0</v>
      </c>
      <c r="G3723" s="2" t="s">
        <v>10</v>
      </c>
    </row>
    <row r="3724" ht="14.25" customHeight="1">
      <c r="A3724" s="1" t="s">
        <v>3212</v>
      </c>
      <c r="B3724" s="1" t="s">
        <v>20</v>
      </c>
      <c r="C3724" s="2" t="s">
        <v>80</v>
      </c>
      <c r="D3724" s="2">
        <v>7.6</v>
      </c>
      <c r="E3724" s="2">
        <v>2008.0</v>
      </c>
      <c r="F3724" s="2" t="s">
        <v>10</v>
      </c>
      <c r="G3724" s="2" t="s">
        <v>10</v>
      </c>
    </row>
    <row r="3725" ht="14.25" customHeight="1">
      <c r="A3725" s="1" t="s">
        <v>3213</v>
      </c>
      <c r="B3725" s="1" t="s">
        <v>20</v>
      </c>
      <c r="C3725" s="2" t="s">
        <v>14</v>
      </c>
      <c r="D3725" s="2">
        <v>7.6</v>
      </c>
      <c r="E3725" s="2">
        <v>2006.0</v>
      </c>
      <c r="F3725" s="2" t="s">
        <v>10</v>
      </c>
      <c r="G3725" s="2" t="s">
        <v>10</v>
      </c>
    </row>
    <row r="3726" ht="14.25" customHeight="1">
      <c r="A3726" s="1" t="s">
        <v>3214</v>
      </c>
      <c r="B3726" s="1" t="s">
        <v>20</v>
      </c>
      <c r="C3726" s="2" t="s">
        <v>80</v>
      </c>
      <c r="D3726" s="2">
        <v>7.6</v>
      </c>
      <c r="E3726" s="2">
        <v>2019.0</v>
      </c>
      <c r="F3726" s="2">
        <v>1956.0</v>
      </c>
      <c r="G3726" s="2" t="s">
        <v>10</v>
      </c>
    </row>
    <row r="3727" ht="14.25" customHeight="1">
      <c r="A3727" s="1" t="s">
        <v>3215</v>
      </c>
      <c r="B3727" s="1" t="s">
        <v>20</v>
      </c>
      <c r="C3727" s="2" t="s">
        <v>60</v>
      </c>
      <c r="D3727" s="2">
        <v>7.6</v>
      </c>
      <c r="E3727" s="2">
        <v>2019.0</v>
      </c>
      <c r="F3727" s="2" t="s">
        <v>10</v>
      </c>
      <c r="G3727" s="2" t="s">
        <v>10</v>
      </c>
    </row>
    <row r="3728" ht="14.25" customHeight="1">
      <c r="A3728" s="1" t="s">
        <v>3216</v>
      </c>
      <c r="B3728" s="1" t="s">
        <v>20</v>
      </c>
      <c r="C3728" s="2" t="s">
        <v>63</v>
      </c>
      <c r="D3728" s="2">
        <v>7.6</v>
      </c>
      <c r="E3728" s="2">
        <v>2006.0</v>
      </c>
      <c r="F3728" s="2" t="s">
        <v>10</v>
      </c>
      <c r="G3728" s="2" t="s">
        <v>10</v>
      </c>
    </row>
    <row r="3729" ht="14.25" customHeight="1">
      <c r="A3729" s="1" t="s">
        <v>3217</v>
      </c>
      <c r="B3729" s="1" t="s">
        <v>20</v>
      </c>
      <c r="C3729" s="2" t="s">
        <v>395</v>
      </c>
      <c r="D3729" s="2">
        <v>7.6</v>
      </c>
      <c r="E3729" s="2">
        <v>2010.0</v>
      </c>
      <c r="F3729" s="2" t="s">
        <v>10</v>
      </c>
      <c r="G3729" s="2" t="s">
        <v>10</v>
      </c>
    </row>
    <row r="3730" ht="14.25" customHeight="1">
      <c r="A3730" s="1" t="s">
        <v>3218</v>
      </c>
      <c r="B3730" s="1" t="s">
        <v>20</v>
      </c>
      <c r="C3730" s="2" t="s">
        <v>18</v>
      </c>
      <c r="D3730" s="2">
        <v>7.6</v>
      </c>
      <c r="E3730" s="2">
        <v>2022.0</v>
      </c>
      <c r="F3730" s="2" t="s">
        <v>10</v>
      </c>
      <c r="G3730" s="2" t="s">
        <v>10</v>
      </c>
    </row>
    <row r="3731" ht="14.25" customHeight="1">
      <c r="A3731" s="1" t="s">
        <v>3219</v>
      </c>
      <c r="B3731" s="1" t="s">
        <v>20</v>
      </c>
      <c r="C3731" s="2" t="s">
        <v>742</v>
      </c>
      <c r="D3731" s="2">
        <v>7.6</v>
      </c>
      <c r="E3731" s="2">
        <v>2013.0</v>
      </c>
      <c r="F3731" s="2">
        <v>2013.0</v>
      </c>
      <c r="G3731" s="2" t="s">
        <v>10</v>
      </c>
    </row>
    <row r="3732" ht="14.25" customHeight="1">
      <c r="A3732" s="1" t="s">
        <v>3220</v>
      </c>
      <c r="B3732" s="1" t="s">
        <v>8</v>
      </c>
      <c r="C3732" s="2" t="s">
        <v>481</v>
      </c>
      <c r="D3732" s="2">
        <v>7.6</v>
      </c>
      <c r="E3732" s="2">
        <v>2020.0</v>
      </c>
      <c r="F3732" s="2">
        <v>2018.0</v>
      </c>
      <c r="G3732" s="2" t="s">
        <v>10</v>
      </c>
    </row>
    <row r="3733" ht="14.25" customHeight="1">
      <c r="A3733" s="1" t="s">
        <v>3221</v>
      </c>
      <c r="B3733" s="1" t="s">
        <v>20</v>
      </c>
      <c r="C3733" s="2" t="s">
        <v>910</v>
      </c>
      <c r="D3733" s="2">
        <v>7.6</v>
      </c>
      <c r="E3733" s="2">
        <v>1999.0</v>
      </c>
      <c r="F3733" s="2" t="s">
        <v>10</v>
      </c>
      <c r="G3733" s="2" t="s">
        <v>10</v>
      </c>
    </row>
    <row r="3734" ht="14.25" customHeight="1">
      <c r="A3734" s="1" t="s">
        <v>3222</v>
      </c>
      <c r="B3734" s="1" t="s">
        <v>8</v>
      </c>
      <c r="C3734" s="2" t="s">
        <v>838</v>
      </c>
      <c r="D3734" s="2">
        <v>7.6</v>
      </c>
      <c r="E3734" s="2">
        <v>2021.0</v>
      </c>
      <c r="F3734" s="2" t="s">
        <v>10</v>
      </c>
      <c r="G3734" s="2" t="s">
        <v>10</v>
      </c>
    </row>
    <row r="3735" ht="14.25" customHeight="1">
      <c r="A3735" s="1" t="s">
        <v>3223</v>
      </c>
      <c r="B3735" s="1" t="s">
        <v>8</v>
      </c>
      <c r="C3735" s="2" t="s">
        <v>1267</v>
      </c>
      <c r="D3735" s="2">
        <v>7.6</v>
      </c>
      <c r="E3735" s="2">
        <v>2019.0</v>
      </c>
      <c r="F3735" s="2" t="s">
        <v>10</v>
      </c>
      <c r="G3735" s="2" t="s">
        <v>10</v>
      </c>
    </row>
    <row r="3736" ht="14.25" customHeight="1">
      <c r="A3736" s="1" t="s">
        <v>3224</v>
      </c>
      <c r="B3736" s="1" t="s">
        <v>20</v>
      </c>
      <c r="C3736" s="2" t="s">
        <v>18</v>
      </c>
      <c r="D3736" s="2">
        <v>7.6</v>
      </c>
      <c r="E3736" s="2">
        <v>1955.0</v>
      </c>
      <c r="F3736" s="2">
        <v>1955.0</v>
      </c>
      <c r="G3736" s="2" t="s">
        <v>10</v>
      </c>
    </row>
    <row r="3737" ht="14.25" customHeight="1">
      <c r="A3737" s="1" t="s">
        <v>3225</v>
      </c>
      <c r="B3737" s="1" t="s">
        <v>8</v>
      </c>
      <c r="C3737" s="2" t="s">
        <v>187</v>
      </c>
      <c r="D3737" s="2">
        <v>7.6</v>
      </c>
      <c r="E3737" s="2">
        <v>2003.0</v>
      </c>
      <c r="F3737" s="2" t="s">
        <v>10</v>
      </c>
      <c r="G3737" s="2" t="s">
        <v>10</v>
      </c>
    </row>
    <row r="3738" ht="14.25" customHeight="1">
      <c r="A3738" s="1" t="s">
        <v>3226</v>
      </c>
      <c r="B3738" s="1" t="s">
        <v>20</v>
      </c>
      <c r="C3738" s="2" t="s">
        <v>910</v>
      </c>
      <c r="D3738" s="2">
        <v>7.6</v>
      </c>
      <c r="E3738" s="2">
        <v>2023.0</v>
      </c>
      <c r="F3738" s="2" t="s">
        <v>10</v>
      </c>
      <c r="G3738" s="2" t="s">
        <v>10</v>
      </c>
    </row>
    <row r="3739" ht="14.25" customHeight="1">
      <c r="A3739" s="1" t="s">
        <v>3227</v>
      </c>
      <c r="B3739" s="1" t="s">
        <v>8</v>
      </c>
      <c r="C3739" s="2" t="s">
        <v>686</v>
      </c>
      <c r="D3739" s="2">
        <v>7.6</v>
      </c>
      <c r="E3739" s="2">
        <v>2017.0</v>
      </c>
      <c r="F3739" s="2" t="s">
        <v>10</v>
      </c>
      <c r="G3739" s="2" t="s">
        <v>10</v>
      </c>
    </row>
    <row r="3740" ht="14.25" customHeight="1">
      <c r="A3740" s="1" t="s">
        <v>3228</v>
      </c>
      <c r="B3740" s="1" t="s">
        <v>20</v>
      </c>
      <c r="C3740" s="2" t="s">
        <v>69</v>
      </c>
      <c r="D3740" s="2">
        <v>7.6</v>
      </c>
      <c r="E3740" s="2">
        <v>2021.0</v>
      </c>
      <c r="F3740" s="2" t="s">
        <v>10</v>
      </c>
      <c r="G3740" s="2" t="s">
        <v>10</v>
      </c>
    </row>
    <row r="3741" ht="14.25" customHeight="1">
      <c r="A3741" s="1" t="s">
        <v>3229</v>
      </c>
      <c r="B3741" s="1" t="s">
        <v>20</v>
      </c>
      <c r="C3741" s="2" t="s">
        <v>154</v>
      </c>
      <c r="D3741" s="2">
        <v>7.6</v>
      </c>
      <c r="E3741" s="2">
        <v>1995.0</v>
      </c>
      <c r="F3741" s="2" t="s">
        <v>10</v>
      </c>
      <c r="G3741" s="2" t="s">
        <v>10</v>
      </c>
    </row>
    <row r="3742" ht="14.25" customHeight="1">
      <c r="A3742" s="1" t="s">
        <v>3230</v>
      </c>
      <c r="B3742" s="1" t="s">
        <v>20</v>
      </c>
      <c r="C3742" s="2" t="s">
        <v>1401</v>
      </c>
      <c r="D3742" s="2">
        <v>7.6</v>
      </c>
      <c r="E3742" s="2">
        <v>2020.0</v>
      </c>
      <c r="F3742" s="2">
        <v>2020.0</v>
      </c>
      <c r="G3742" s="2" t="s">
        <v>10</v>
      </c>
    </row>
    <row r="3743" ht="14.25" customHeight="1">
      <c r="A3743" s="1" t="s">
        <v>3231</v>
      </c>
      <c r="B3743" s="1" t="s">
        <v>8</v>
      </c>
      <c r="C3743" s="2" t="s">
        <v>1326</v>
      </c>
      <c r="D3743" s="2">
        <v>7.6</v>
      </c>
      <c r="E3743" s="2">
        <v>2018.0</v>
      </c>
      <c r="F3743" s="2">
        <v>2018.0</v>
      </c>
      <c r="G3743" s="2" t="s">
        <v>10</v>
      </c>
    </row>
    <row r="3744" ht="14.25" customHeight="1">
      <c r="A3744" s="1" t="s">
        <v>3232</v>
      </c>
      <c r="B3744" s="1" t="s">
        <v>20</v>
      </c>
      <c r="C3744" s="2" t="s">
        <v>40</v>
      </c>
      <c r="D3744" s="2">
        <v>7.6</v>
      </c>
      <c r="E3744" s="2">
        <v>2007.0</v>
      </c>
      <c r="F3744" s="2">
        <v>2007.0</v>
      </c>
      <c r="G3744" s="2" t="s">
        <v>10</v>
      </c>
    </row>
    <row r="3745" ht="14.25" customHeight="1">
      <c r="A3745" s="1" t="s">
        <v>3233</v>
      </c>
      <c r="B3745" s="1" t="s">
        <v>20</v>
      </c>
      <c r="C3745" s="2" t="s">
        <v>530</v>
      </c>
      <c r="D3745" s="2">
        <v>7.6</v>
      </c>
      <c r="E3745" s="2">
        <v>1985.0</v>
      </c>
      <c r="F3745" s="2" t="s">
        <v>10</v>
      </c>
      <c r="G3745" s="2" t="s">
        <v>10</v>
      </c>
    </row>
    <row r="3746" ht="14.25" customHeight="1">
      <c r="A3746" s="1" t="s">
        <v>3234</v>
      </c>
      <c r="B3746" s="1" t="s">
        <v>8</v>
      </c>
      <c r="C3746" s="2" t="s">
        <v>231</v>
      </c>
      <c r="D3746" s="2">
        <v>7.6</v>
      </c>
      <c r="E3746" s="2">
        <v>2022.0</v>
      </c>
      <c r="F3746" s="2" t="s">
        <v>10</v>
      </c>
      <c r="G3746" s="2" t="s">
        <v>10</v>
      </c>
    </row>
    <row r="3747" ht="14.25" customHeight="1">
      <c r="A3747" s="1" t="s">
        <v>3235</v>
      </c>
      <c r="B3747" s="1" t="s">
        <v>20</v>
      </c>
      <c r="C3747" s="2" t="s">
        <v>18</v>
      </c>
      <c r="D3747" s="2">
        <v>7.6</v>
      </c>
      <c r="E3747" s="2">
        <v>2007.0</v>
      </c>
      <c r="F3747" s="2" t="s">
        <v>10</v>
      </c>
      <c r="G3747" s="2" t="s">
        <v>10</v>
      </c>
    </row>
    <row r="3748" ht="14.25" customHeight="1">
      <c r="A3748" s="1" t="s">
        <v>3236</v>
      </c>
      <c r="B3748" s="1" t="s">
        <v>20</v>
      </c>
      <c r="C3748" s="2" t="s">
        <v>187</v>
      </c>
      <c r="D3748" s="2">
        <v>7.6</v>
      </c>
      <c r="E3748" s="2">
        <v>1994.0</v>
      </c>
      <c r="F3748" s="2" t="s">
        <v>10</v>
      </c>
      <c r="G3748" s="2" t="s">
        <v>10</v>
      </c>
    </row>
    <row r="3749" ht="14.25" customHeight="1">
      <c r="A3749" s="1" t="s">
        <v>3237</v>
      </c>
      <c r="B3749" s="1" t="s">
        <v>20</v>
      </c>
      <c r="C3749" s="2" t="s">
        <v>833</v>
      </c>
      <c r="D3749" s="2">
        <v>7.6</v>
      </c>
      <c r="E3749" s="2">
        <v>2017.0</v>
      </c>
      <c r="F3749" s="2" t="s">
        <v>10</v>
      </c>
      <c r="G3749" s="2" t="s">
        <v>10</v>
      </c>
    </row>
    <row r="3750" ht="14.25" customHeight="1">
      <c r="A3750" s="1" t="s">
        <v>3238</v>
      </c>
      <c r="B3750" s="1" t="s">
        <v>20</v>
      </c>
      <c r="C3750" s="2" t="s">
        <v>833</v>
      </c>
      <c r="D3750" s="2">
        <v>7.6</v>
      </c>
      <c r="E3750" s="2">
        <v>2006.0</v>
      </c>
      <c r="F3750" s="2">
        <v>2020.0</v>
      </c>
      <c r="G3750" s="2" t="s">
        <v>10</v>
      </c>
    </row>
    <row r="3751" ht="14.25" customHeight="1">
      <c r="A3751" s="1" t="s">
        <v>3239</v>
      </c>
      <c r="B3751" s="1" t="s">
        <v>20</v>
      </c>
      <c r="C3751" s="2" t="s">
        <v>18</v>
      </c>
      <c r="D3751" s="2">
        <v>7.6</v>
      </c>
      <c r="E3751" s="2">
        <v>2004.0</v>
      </c>
      <c r="F3751" s="2" t="s">
        <v>10</v>
      </c>
      <c r="G3751" s="2" t="s">
        <v>10</v>
      </c>
    </row>
    <row r="3752" ht="14.25" customHeight="1">
      <c r="A3752" s="1" t="s">
        <v>3240</v>
      </c>
      <c r="B3752" s="1" t="s">
        <v>20</v>
      </c>
      <c r="C3752" s="2" t="s">
        <v>40</v>
      </c>
      <c r="D3752" s="2">
        <v>7.6</v>
      </c>
      <c r="E3752" s="2">
        <v>2019.0</v>
      </c>
      <c r="F3752" s="2" t="s">
        <v>10</v>
      </c>
      <c r="G3752" s="2" t="s">
        <v>10</v>
      </c>
    </row>
    <row r="3753" ht="14.25" customHeight="1">
      <c r="A3753" s="1" t="s">
        <v>3241</v>
      </c>
      <c r="B3753" s="1" t="s">
        <v>20</v>
      </c>
      <c r="C3753" s="2" t="s">
        <v>1060</v>
      </c>
      <c r="D3753" s="2">
        <v>7.6</v>
      </c>
      <c r="E3753" s="2">
        <v>2004.0</v>
      </c>
      <c r="F3753" s="2" t="s">
        <v>10</v>
      </c>
      <c r="G3753" s="2" t="s">
        <v>10</v>
      </c>
    </row>
    <row r="3754" ht="14.25" customHeight="1">
      <c r="A3754" s="1" t="s">
        <v>3242</v>
      </c>
      <c r="B3754" s="1" t="s">
        <v>8</v>
      </c>
      <c r="C3754" s="2" t="s">
        <v>9</v>
      </c>
      <c r="D3754" s="2">
        <v>7.6</v>
      </c>
      <c r="E3754" s="2">
        <v>2020.0</v>
      </c>
      <c r="F3754" s="2" t="s">
        <v>10</v>
      </c>
      <c r="G3754" s="2" t="s">
        <v>10</v>
      </c>
    </row>
    <row r="3755" ht="14.25" customHeight="1">
      <c r="A3755" s="1" t="s">
        <v>3243</v>
      </c>
      <c r="B3755" s="1" t="s">
        <v>20</v>
      </c>
      <c r="C3755" s="2" t="s">
        <v>63</v>
      </c>
      <c r="D3755" s="2">
        <v>7.6</v>
      </c>
      <c r="E3755" s="2">
        <v>2003.0</v>
      </c>
      <c r="F3755" s="2" t="s">
        <v>10</v>
      </c>
      <c r="G3755" s="2" t="s">
        <v>10</v>
      </c>
    </row>
    <row r="3756" ht="14.25" customHeight="1">
      <c r="A3756" s="1" t="s">
        <v>3244</v>
      </c>
      <c r="B3756" s="1" t="s">
        <v>20</v>
      </c>
      <c r="C3756" s="2" t="s">
        <v>53</v>
      </c>
      <c r="D3756" s="2">
        <v>7.6</v>
      </c>
      <c r="E3756" s="2">
        <v>2012.0</v>
      </c>
      <c r="F3756" s="2">
        <v>2019.0</v>
      </c>
      <c r="G3756" s="2" t="s">
        <v>10</v>
      </c>
    </row>
    <row r="3757" ht="14.25" customHeight="1">
      <c r="A3757" s="1" t="s">
        <v>3245</v>
      </c>
      <c r="B3757" s="1" t="s">
        <v>20</v>
      </c>
      <c r="C3757" s="2" t="s">
        <v>14</v>
      </c>
      <c r="D3757" s="2">
        <v>7.6</v>
      </c>
      <c r="E3757" s="2">
        <v>2018.0</v>
      </c>
      <c r="F3757" s="2" t="s">
        <v>10</v>
      </c>
      <c r="G3757" s="2" t="s">
        <v>10</v>
      </c>
    </row>
    <row r="3758" ht="14.25" customHeight="1">
      <c r="A3758" s="1" t="s">
        <v>3246</v>
      </c>
      <c r="B3758" s="1" t="s">
        <v>8</v>
      </c>
      <c r="C3758" s="2" t="s">
        <v>530</v>
      </c>
      <c r="D3758" s="2">
        <v>7.6</v>
      </c>
      <c r="E3758" s="2">
        <v>2015.0</v>
      </c>
      <c r="F3758" s="2">
        <v>2017.0</v>
      </c>
      <c r="G3758" s="2" t="s">
        <v>10</v>
      </c>
    </row>
    <row r="3759" ht="14.25" customHeight="1">
      <c r="A3759" s="1" t="s">
        <v>3247</v>
      </c>
      <c r="B3759" s="1" t="s">
        <v>20</v>
      </c>
      <c r="C3759" s="2" t="s">
        <v>187</v>
      </c>
      <c r="D3759" s="2">
        <v>7.6</v>
      </c>
      <c r="E3759" s="2">
        <v>1954.0</v>
      </c>
      <c r="F3759" s="2">
        <v>2018.0</v>
      </c>
      <c r="G3759" s="2" t="s">
        <v>10</v>
      </c>
    </row>
    <row r="3760" ht="14.25" customHeight="1">
      <c r="A3760" s="1" t="s">
        <v>3248</v>
      </c>
      <c r="B3760" s="1" t="s">
        <v>20</v>
      </c>
      <c r="C3760" s="2" t="s">
        <v>69</v>
      </c>
      <c r="D3760" s="2">
        <v>7.6</v>
      </c>
      <c r="E3760" s="2">
        <v>2009.0</v>
      </c>
      <c r="F3760" s="2" t="s">
        <v>10</v>
      </c>
      <c r="G3760" s="2" t="s">
        <v>10</v>
      </c>
    </row>
    <row r="3761" ht="14.25" customHeight="1">
      <c r="A3761" s="1" t="s">
        <v>3249</v>
      </c>
      <c r="B3761" s="1" t="s">
        <v>20</v>
      </c>
      <c r="C3761" s="2" t="s">
        <v>311</v>
      </c>
      <c r="D3761" s="2">
        <v>7.6</v>
      </c>
      <c r="E3761" s="2">
        <v>2007.0</v>
      </c>
      <c r="F3761" s="2" t="s">
        <v>10</v>
      </c>
      <c r="G3761" s="2" t="s">
        <v>10</v>
      </c>
    </row>
    <row r="3762" ht="14.25" customHeight="1">
      <c r="A3762" s="1" t="s">
        <v>3250</v>
      </c>
      <c r="B3762" s="1" t="s">
        <v>20</v>
      </c>
      <c r="C3762" s="2" t="s">
        <v>55</v>
      </c>
      <c r="D3762" s="2">
        <v>7.6</v>
      </c>
      <c r="E3762" s="2">
        <v>2015.0</v>
      </c>
      <c r="F3762" s="2">
        <v>2015.0</v>
      </c>
      <c r="G3762" s="2" t="s">
        <v>10</v>
      </c>
    </row>
    <row r="3763" ht="14.25" customHeight="1">
      <c r="A3763" s="1" t="s">
        <v>3251</v>
      </c>
      <c r="B3763" s="1" t="s">
        <v>8</v>
      </c>
      <c r="C3763" s="2" t="s">
        <v>1375</v>
      </c>
      <c r="D3763" s="2">
        <v>7.6</v>
      </c>
      <c r="E3763" s="2">
        <v>2023.0</v>
      </c>
      <c r="F3763" s="2" t="s">
        <v>10</v>
      </c>
      <c r="G3763" s="2">
        <v>1.671E7</v>
      </c>
    </row>
    <row r="3764" ht="14.25" customHeight="1">
      <c r="A3764" s="1" t="s">
        <v>3251</v>
      </c>
      <c r="B3764" s="1" t="s">
        <v>8</v>
      </c>
      <c r="C3764" s="2" t="s">
        <v>1375</v>
      </c>
      <c r="D3764" s="2">
        <v>7.6</v>
      </c>
      <c r="E3764" s="2">
        <v>2023.0</v>
      </c>
      <c r="F3764" s="2" t="s">
        <v>10</v>
      </c>
      <c r="G3764" s="2">
        <v>2.721E7</v>
      </c>
    </row>
    <row r="3765" ht="14.25" customHeight="1">
      <c r="A3765" s="1" t="s">
        <v>3251</v>
      </c>
      <c r="B3765" s="1" t="s">
        <v>8</v>
      </c>
      <c r="C3765" s="2" t="s">
        <v>1375</v>
      </c>
      <c r="D3765" s="2">
        <v>7.6</v>
      </c>
      <c r="E3765" s="2">
        <v>2023.0</v>
      </c>
      <c r="F3765" s="2" t="s">
        <v>10</v>
      </c>
      <c r="G3765" s="2">
        <v>4.29E7</v>
      </c>
    </row>
    <row r="3766" ht="14.25" customHeight="1">
      <c r="A3766" s="1" t="s">
        <v>3251</v>
      </c>
      <c r="B3766" s="1" t="s">
        <v>8</v>
      </c>
      <c r="C3766" s="2" t="s">
        <v>1375</v>
      </c>
      <c r="D3766" s="2">
        <v>7.6</v>
      </c>
      <c r="E3766" s="2">
        <v>2023.0</v>
      </c>
      <c r="F3766" s="2" t="s">
        <v>10</v>
      </c>
      <c r="G3766" s="2">
        <v>8.239E7</v>
      </c>
    </row>
    <row r="3767" ht="14.25" customHeight="1">
      <c r="A3767" s="1" t="s">
        <v>3251</v>
      </c>
      <c r="B3767" s="1" t="s">
        <v>8</v>
      </c>
      <c r="C3767" s="2" t="s">
        <v>1375</v>
      </c>
      <c r="D3767" s="2">
        <v>7.6</v>
      </c>
      <c r="E3767" s="2">
        <v>2023.0</v>
      </c>
      <c r="F3767" s="2" t="s">
        <v>10</v>
      </c>
      <c r="G3767" s="2">
        <v>1.5868E8</v>
      </c>
    </row>
    <row r="3768" ht="14.25" customHeight="1">
      <c r="A3768" s="1" t="s">
        <v>3251</v>
      </c>
      <c r="B3768" s="1" t="s">
        <v>8</v>
      </c>
      <c r="C3768" s="2" t="s">
        <v>1375</v>
      </c>
      <c r="D3768" s="2">
        <v>7.6</v>
      </c>
      <c r="E3768" s="2">
        <v>2023.0</v>
      </c>
      <c r="F3768" s="2" t="s">
        <v>10</v>
      </c>
      <c r="G3768" s="2">
        <v>1.4828E8</v>
      </c>
    </row>
    <row r="3769" ht="14.25" customHeight="1">
      <c r="A3769" s="1" t="s">
        <v>3252</v>
      </c>
      <c r="B3769" s="1" t="s">
        <v>8</v>
      </c>
      <c r="C3769" s="2" t="s">
        <v>1959</v>
      </c>
      <c r="D3769" s="2">
        <v>7.6</v>
      </c>
      <c r="E3769" s="2">
        <v>2012.0</v>
      </c>
      <c r="F3769" s="2" t="s">
        <v>10</v>
      </c>
      <c r="G3769" s="2" t="s">
        <v>10</v>
      </c>
    </row>
    <row r="3770" ht="14.25" customHeight="1">
      <c r="A3770" s="1" t="s">
        <v>1148</v>
      </c>
      <c r="B3770" s="1" t="s">
        <v>20</v>
      </c>
      <c r="C3770" s="2" t="s">
        <v>192</v>
      </c>
      <c r="D3770" s="2">
        <v>7.6</v>
      </c>
      <c r="E3770" s="2">
        <v>2015.0</v>
      </c>
      <c r="F3770" s="2" t="s">
        <v>10</v>
      </c>
      <c r="G3770" s="2" t="s">
        <v>10</v>
      </c>
    </row>
    <row r="3771" ht="14.25" customHeight="1">
      <c r="A3771" s="1" t="s">
        <v>3253</v>
      </c>
      <c r="B3771" s="1" t="s">
        <v>20</v>
      </c>
      <c r="C3771" s="2" t="s">
        <v>2808</v>
      </c>
      <c r="D3771" s="2">
        <v>7.6</v>
      </c>
      <c r="E3771" s="2">
        <v>1968.0</v>
      </c>
      <c r="F3771" s="2" t="s">
        <v>10</v>
      </c>
      <c r="G3771" s="2" t="s">
        <v>10</v>
      </c>
    </row>
    <row r="3772" ht="14.25" customHeight="1">
      <c r="A3772" s="1" t="s">
        <v>3254</v>
      </c>
      <c r="B3772" s="1" t="s">
        <v>20</v>
      </c>
      <c r="C3772" s="2" t="s">
        <v>154</v>
      </c>
      <c r="D3772" s="2">
        <v>7.6</v>
      </c>
      <c r="E3772" s="2">
        <v>2023.0</v>
      </c>
      <c r="F3772" s="2" t="s">
        <v>10</v>
      </c>
      <c r="G3772" s="2" t="s">
        <v>10</v>
      </c>
    </row>
    <row r="3773" ht="14.25" customHeight="1">
      <c r="A3773" s="1" t="s">
        <v>3255</v>
      </c>
      <c r="B3773" s="1" t="s">
        <v>8</v>
      </c>
      <c r="C3773" s="2" t="s">
        <v>287</v>
      </c>
      <c r="D3773" s="2">
        <v>7.6</v>
      </c>
      <c r="E3773" s="2">
        <v>2008.0</v>
      </c>
      <c r="F3773" s="2" t="s">
        <v>10</v>
      </c>
      <c r="G3773" s="2" t="s">
        <v>10</v>
      </c>
    </row>
    <row r="3774" ht="14.25" customHeight="1">
      <c r="A3774" s="1" t="s">
        <v>3256</v>
      </c>
      <c r="B3774" s="1" t="s">
        <v>20</v>
      </c>
      <c r="C3774" s="2" t="s">
        <v>742</v>
      </c>
      <c r="D3774" s="2">
        <v>7.6</v>
      </c>
      <c r="E3774" s="2">
        <v>2018.0</v>
      </c>
      <c r="F3774" s="2">
        <v>2018.0</v>
      </c>
      <c r="G3774" s="2" t="s">
        <v>10</v>
      </c>
    </row>
    <row r="3775" ht="14.25" customHeight="1">
      <c r="A3775" s="1" t="s">
        <v>3257</v>
      </c>
      <c r="B3775" s="1" t="s">
        <v>20</v>
      </c>
      <c r="C3775" s="2" t="s">
        <v>134</v>
      </c>
      <c r="D3775" s="2">
        <v>7.6</v>
      </c>
      <c r="E3775" s="2">
        <v>1935.0</v>
      </c>
      <c r="F3775" s="2" t="s">
        <v>10</v>
      </c>
      <c r="G3775" s="2" t="s">
        <v>10</v>
      </c>
    </row>
    <row r="3776" ht="14.25" customHeight="1">
      <c r="A3776" s="1" t="s">
        <v>3258</v>
      </c>
      <c r="B3776" s="1" t="s">
        <v>8</v>
      </c>
      <c r="C3776" s="2" t="s">
        <v>231</v>
      </c>
      <c r="D3776" s="2">
        <v>7.6</v>
      </c>
      <c r="E3776" s="2">
        <v>2009.0</v>
      </c>
      <c r="F3776" s="2" t="s">
        <v>10</v>
      </c>
      <c r="G3776" s="2" t="s">
        <v>10</v>
      </c>
    </row>
    <row r="3777" ht="14.25" customHeight="1">
      <c r="A3777" s="1" t="s">
        <v>3259</v>
      </c>
      <c r="B3777" s="1" t="s">
        <v>8</v>
      </c>
      <c r="C3777" s="2" t="s">
        <v>34</v>
      </c>
      <c r="D3777" s="2">
        <v>7.6</v>
      </c>
      <c r="E3777" s="2">
        <v>2001.0</v>
      </c>
      <c r="F3777" s="2">
        <v>2004.0</v>
      </c>
      <c r="G3777" s="2" t="s">
        <v>10</v>
      </c>
    </row>
    <row r="3778" ht="14.25" customHeight="1">
      <c r="A3778" s="1" t="s">
        <v>3260</v>
      </c>
      <c r="B3778" s="1" t="s">
        <v>20</v>
      </c>
      <c r="C3778" s="2" t="s">
        <v>3261</v>
      </c>
      <c r="D3778" s="2">
        <v>7.6</v>
      </c>
      <c r="E3778" s="2">
        <v>2008.0</v>
      </c>
      <c r="F3778" s="2" t="s">
        <v>10</v>
      </c>
      <c r="G3778" s="2" t="s">
        <v>10</v>
      </c>
    </row>
    <row r="3779" ht="14.25" customHeight="1">
      <c r="A3779" s="1" t="s">
        <v>3262</v>
      </c>
      <c r="B3779" s="1" t="s">
        <v>20</v>
      </c>
      <c r="C3779" s="2" t="s">
        <v>1271</v>
      </c>
      <c r="D3779" s="2">
        <v>7.6</v>
      </c>
      <c r="E3779" s="2">
        <v>1965.0</v>
      </c>
      <c r="F3779" s="2" t="s">
        <v>10</v>
      </c>
      <c r="G3779" s="2" t="s">
        <v>10</v>
      </c>
    </row>
    <row r="3780" ht="14.25" customHeight="1">
      <c r="A3780" s="1" t="s">
        <v>3263</v>
      </c>
      <c r="B3780" s="1" t="s">
        <v>8</v>
      </c>
      <c r="C3780" s="2" t="s">
        <v>822</v>
      </c>
      <c r="D3780" s="2">
        <v>7.6</v>
      </c>
      <c r="E3780" s="2">
        <v>2009.0</v>
      </c>
      <c r="F3780" s="2" t="s">
        <v>10</v>
      </c>
      <c r="G3780" s="2" t="s">
        <v>10</v>
      </c>
    </row>
    <row r="3781" ht="14.25" customHeight="1">
      <c r="A3781" s="1" t="s">
        <v>3264</v>
      </c>
      <c r="B3781" s="1" t="s">
        <v>20</v>
      </c>
      <c r="C3781" s="2" t="s">
        <v>36</v>
      </c>
      <c r="D3781" s="2">
        <v>7.6</v>
      </c>
      <c r="E3781" s="2">
        <v>2014.0</v>
      </c>
      <c r="F3781" s="2" t="s">
        <v>10</v>
      </c>
      <c r="G3781" s="2" t="s">
        <v>10</v>
      </c>
    </row>
    <row r="3782" ht="14.25" customHeight="1">
      <c r="A3782" s="1" t="s">
        <v>3265</v>
      </c>
      <c r="B3782" s="1" t="s">
        <v>8</v>
      </c>
      <c r="C3782" s="2" t="s">
        <v>686</v>
      </c>
      <c r="D3782" s="2">
        <v>7.6</v>
      </c>
      <c r="E3782" s="2">
        <v>2015.0</v>
      </c>
      <c r="F3782" s="2">
        <v>2020.0</v>
      </c>
      <c r="G3782" s="2" t="s">
        <v>10</v>
      </c>
    </row>
    <row r="3783" ht="14.25" customHeight="1">
      <c r="A3783" s="1" t="s">
        <v>3266</v>
      </c>
      <c r="B3783" s="1" t="s">
        <v>20</v>
      </c>
      <c r="C3783" s="2" t="s">
        <v>311</v>
      </c>
      <c r="D3783" s="2">
        <v>7.6</v>
      </c>
      <c r="E3783" s="2">
        <v>1996.0</v>
      </c>
      <c r="F3783" s="2" t="s">
        <v>10</v>
      </c>
      <c r="G3783" s="2" t="s">
        <v>10</v>
      </c>
    </row>
    <row r="3784" ht="14.25" customHeight="1">
      <c r="A3784" s="1" t="s">
        <v>3267</v>
      </c>
      <c r="B3784" s="1" t="s">
        <v>8</v>
      </c>
      <c r="C3784" s="2" t="s">
        <v>611</v>
      </c>
      <c r="D3784" s="2">
        <v>7.6</v>
      </c>
      <c r="E3784" s="2">
        <v>2022.0</v>
      </c>
      <c r="F3784" s="2" t="s">
        <v>10</v>
      </c>
      <c r="G3784" s="2" t="s">
        <v>10</v>
      </c>
    </row>
    <row r="3785" ht="14.25" customHeight="1">
      <c r="A3785" s="1" t="s">
        <v>3268</v>
      </c>
      <c r="B3785" s="1" t="s">
        <v>20</v>
      </c>
      <c r="C3785" s="2" t="s">
        <v>530</v>
      </c>
      <c r="D3785" s="2">
        <v>7.6</v>
      </c>
      <c r="E3785" s="2">
        <v>1986.0</v>
      </c>
      <c r="F3785" s="2" t="s">
        <v>10</v>
      </c>
      <c r="G3785" s="2" t="s">
        <v>10</v>
      </c>
    </row>
    <row r="3786" ht="14.25" customHeight="1">
      <c r="A3786" s="1" t="s">
        <v>3269</v>
      </c>
      <c r="B3786" s="1" t="s">
        <v>8</v>
      </c>
      <c r="C3786" s="2" t="s">
        <v>507</v>
      </c>
      <c r="D3786" s="2">
        <v>7.6</v>
      </c>
      <c r="E3786" s="2">
        <v>2001.0</v>
      </c>
      <c r="F3786" s="2" t="s">
        <v>10</v>
      </c>
      <c r="G3786" s="2" t="s">
        <v>10</v>
      </c>
    </row>
    <row r="3787" ht="14.25" customHeight="1">
      <c r="A3787" s="1" t="s">
        <v>3270</v>
      </c>
      <c r="B3787" s="1" t="s">
        <v>20</v>
      </c>
      <c r="C3787" s="2" t="s">
        <v>2161</v>
      </c>
      <c r="D3787" s="2">
        <v>7.6</v>
      </c>
      <c r="E3787" s="2">
        <v>1970.0</v>
      </c>
      <c r="F3787" s="2" t="s">
        <v>10</v>
      </c>
      <c r="G3787" s="2" t="s">
        <v>10</v>
      </c>
    </row>
    <row r="3788" ht="14.25" customHeight="1">
      <c r="A3788" s="1" t="s">
        <v>3271</v>
      </c>
      <c r="B3788" s="1" t="s">
        <v>8</v>
      </c>
      <c r="C3788" s="2" t="s">
        <v>838</v>
      </c>
      <c r="D3788" s="2">
        <v>7.6</v>
      </c>
      <c r="E3788" s="2">
        <v>2009.0</v>
      </c>
      <c r="F3788" s="2" t="s">
        <v>10</v>
      </c>
      <c r="G3788" s="2" t="s">
        <v>10</v>
      </c>
    </row>
    <row r="3789" ht="14.25" customHeight="1">
      <c r="A3789" s="1" t="s">
        <v>3272</v>
      </c>
      <c r="B3789" s="1" t="s">
        <v>20</v>
      </c>
      <c r="C3789" s="2" t="s">
        <v>829</v>
      </c>
      <c r="D3789" s="2">
        <v>7.6</v>
      </c>
      <c r="E3789" s="2">
        <v>1954.0</v>
      </c>
      <c r="F3789" s="2">
        <v>1954.0</v>
      </c>
      <c r="G3789" s="2" t="s">
        <v>10</v>
      </c>
    </row>
    <row r="3790" ht="14.25" customHeight="1">
      <c r="A3790" s="1" t="s">
        <v>3273</v>
      </c>
      <c r="B3790" s="1" t="s">
        <v>20</v>
      </c>
      <c r="C3790" s="2" t="s">
        <v>461</v>
      </c>
      <c r="D3790" s="2">
        <v>7.6</v>
      </c>
      <c r="E3790" s="2">
        <v>1953.0</v>
      </c>
      <c r="F3790" s="2" t="s">
        <v>10</v>
      </c>
      <c r="G3790" s="2" t="s">
        <v>10</v>
      </c>
    </row>
    <row r="3791" ht="14.25" customHeight="1">
      <c r="A3791" s="1" t="s">
        <v>3274</v>
      </c>
      <c r="B3791" s="1" t="s">
        <v>8</v>
      </c>
      <c r="C3791" s="2" t="s">
        <v>231</v>
      </c>
      <c r="D3791" s="2">
        <v>7.6</v>
      </c>
      <c r="E3791" s="2">
        <v>2020.0</v>
      </c>
      <c r="F3791" s="2" t="s">
        <v>10</v>
      </c>
      <c r="G3791" s="2" t="s">
        <v>10</v>
      </c>
    </row>
    <row r="3792" ht="14.25" customHeight="1">
      <c r="A3792" s="1" t="s">
        <v>3275</v>
      </c>
      <c r="B3792" s="1" t="s">
        <v>8</v>
      </c>
      <c r="C3792" s="2" t="s">
        <v>9</v>
      </c>
      <c r="D3792" s="2">
        <v>7.6</v>
      </c>
      <c r="E3792" s="2">
        <v>2021.0</v>
      </c>
      <c r="F3792" s="2" t="s">
        <v>10</v>
      </c>
      <c r="G3792" s="2" t="s">
        <v>10</v>
      </c>
    </row>
    <row r="3793" ht="14.25" customHeight="1">
      <c r="A3793" s="1" t="s">
        <v>3276</v>
      </c>
      <c r="B3793" s="1" t="s">
        <v>20</v>
      </c>
      <c r="C3793" s="2" t="s">
        <v>154</v>
      </c>
      <c r="D3793" s="2">
        <v>7.6</v>
      </c>
      <c r="E3793" s="2">
        <v>1967.0</v>
      </c>
      <c r="F3793" s="2" t="s">
        <v>10</v>
      </c>
      <c r="G3793" s="2" t="s">
        <v>10</v>
      </c>
    </row>
    <row r="3794" ht="14.25" customHeight="1">
      <c r="A3794" s="1" t="s">
        <v>3277</v>
      </c>
      <c r="B3794" s="1" t="s">
        <v>20</v>
      </c>
      <c r="C3794" s="2" t="s">
        <v>710</v>
      </c>
      <c r="D3794" s="2">
        <v>7.6</v>
      </c>
      <c r="E3794" s="2">
        <v>2014.0</v>
      </c>
      <c r="F3794" s="2" t="s">
        <v>10</v>
      </c>
      <c r="G3794" s="2" t="s">
        <v>10</v>
      </c>
    </row>
    <row r="3795" ht="14.25" customHeight="1">
      <c r="A3795" s="1" t="s">
        <v>3278</v>
      </c>
      <c r="B3795" s="1" t="s">
        <v>8</v>
      </c>
      <c r="C3795" s="2" t="s">
        <v>25</v>
      </c>
      <c r="D3795" s="2">
        <v>7.6</v>
      </c>
      <c r="E3795" s="2">
        <v>1997.0</v>
      </c>
      <c r="F3795" s="2" t="s">
        <v>10</v>
      </c>
      <c r="G3795" s="2" t="s">
        <v>10</v>
      </c>
    </row>
    <row r="3796" ht="14.25" customHeight="1">
      <c r="A3796" s="1" t="s">
        <v>3279</v>
      </c>
      <c r="B3796" s="1" t="s">
        <v>20</v>
      </c>
      <c r="C3796" s="2" t="s">
        <v>25</v>
      </c>
      <c r="D3796" s="2">
        <v>7.6</v>
      </c>
      <c r="E3796" s="2">
        <v>2022.0</v>
      </c>
      <c r="F3796" s="2" t="s">
        <v>10</v>
      </c>
      <c r="G3796" s="2" t="s">
        <v>10</v>
      </c>
    </row>
    <row r="3797" ht="14.25" customHeight="1">
      <c r="A3797" s="1" t="s">
        <v>3280</v>
      </c>
      <c r="B3797" s="1" t="s">
        <v>8</v>
      </c>
      <c r="C3797" s="2" t="s">
        <v>34</v>
      </c>
      <c r="D3797" s="2">
        <v>7.6</v>
      </c>
      <c r="E3797" s="2">
        <v>2016.0</v>
      </c>
      <c r="F3797" s="2" t="s">
        <v>10</v>
      </c>
      <c r="G3797" s="2" t="s">
        <v>10</v>
      </c>
    </row>
    <row r="3798" ht="14.25" customHeight="1">
      <c r="A3798" s="1" t="s">
        <v>3281</v>
      </c>
      <c r="B3798" s="1" t="s">
        <v>20</v>
      </c>
      <c r="C3798" s="2" t="s">
        <v>63</v>
      </c>
      <c r="D3798" s="2">
        <v>7.6</v>
      </c>
      <c r="E3798" s="2">
        <v>1993.0</v>
      </c>
      <c r="F3798" s="2" t="s">
        <v>10</v>
      </c>
      <c r="G3798" s="2" t="s">
        <v>10</v>
      </c>
    </row>
    <row r="3799" ht="14.25" customHeight="1">
      <c r="A3799" s="1" t="s">
        <v>3282</v>
      </c>
      <c r="B3799" s="1" t="s">
        <v>8</v>
      </c>
      <c r="C3799" s="2" t="s">
        <v>468</v>
      </c>
      <c r="D3799" s="2">
        <v>7.6</v>
      </c>
      <c r="E3799" s="2">
        <v>2020.0</v>
      </c>
      <c r="F3799" s="2">
        <v>2020.0</v>
      </c>
      <c r="G3799" s="2" t="s">
        <v>10</v>
      </c>
    </row>
    <row r="3800" ht="14.25" customHeight="1">
      <c r="A3800" s="1" t="s">
        <v>3283</v>
      </c>
      <c r="B3800" s="1" t="s">
        <v>8</v>
      </c>
      <c r="C3800" s="2" t="s">
        <v>187</v>
      </c>
      <c r="D3800" s="2">
        <v>7.6</v>
      </c>
      <c r="E3800" s="2">
        <v>2016.0</v>
      </c>
      <c r="F3800" s="2">
        <v>2020.0</v>
      </c>
      <c r="G3800" s="2" t="s">
        <v>10</v>
      </c>
    </row>
    <row r="3801" ht="14.25" customHeight="1">
      <c r="A3801" s="1" t="s">
        <v>3284</v>
      </c>
      <c r="B3801" s="1" t="s">
        <v>20</v>
      </c>
      <c r="C3801" s="2" t="s">
        <v>80</v>
      </c>
      <c r="D3801" s="2">
        <v>7.6</v>
      </c>
      <c r="E3801" s="2">
        <v>2019.0</v>
      </c>
      <c r="F3801" s="2">
        <v>2019.0</v>
      </c>
      <c r="G3801" s="2" t="s">
        <v>10</v>
      </c>
    </row>
    <row r="3802" ht="14.25" customHeight="1">
      <c r="A3802" s="1" t="s">
        <v>3285</v>
      </c>
      <c r="B3802" s="1" t="s">
        <v>20</v>
      </c>
      <c r="C3802" s="2" t="s">
        <v>32</v>
      </c>
      <c r="D3802" s="2">
        <v>7.6</v>
      </c>
      <c r="E3802" s="2">
        <v>1998.0</v>
      </c>
      <c r="F3802" s="2" t="s">
        <v>10</v>
      </c>
      <c r="G3802" s="2" t="s">
        <v>10</v>
      </c>
    </row>
    <row r="3803" ht="14.25" customHeight="1">
      <c r="A3803" s="1" t="s">
        <v>3286</v>
      </c>
      <c r="B3803" s="1" t="s">
        <v>20</v>
      </c>
      <c r="C3803" s="2" t="s">
        <v>249</v>
      </c>
      <c r="D3803" s="2">
        <v>7.6</v>
      </c>
      <c r="E3803" s="2">
        <v>1953.0</v>
      </c>
      <c r="F3803" s="2" t="s">
        <v>10</v>
      </c>
      <c r="G3803" s="2" t="s">
        <v>10</v>
      </c>
    </row>
    <row r="3804" ht="14.25" customHeight="1">
      <c r="A3804" s="1" t="s">
        <v>3287</v>
      </c>
      <c r="B3804" s="1" t="s">
        <v>20</v>
      </c>
      <c r="C3804" s="2" t="s">
        <v>18</v>
      </c>
      <c r="D3804" s="2">
        <v>7.6</v>
      </c>
      <c r="E3804" s="2">
        <v>2007.0</v>
      </c>
      <c r="F3804" s="2" t="s">
        <v>10</v>
      </c>
      <c r="G3804" s="2" t="s">
        <v>10</v>
      </c>
    </row>
    <row r="3805" ht="14.25" customHeight="1">
      <c r="A3805" s="1" t="s">
        <v>3288</v>
      </c>
      <c r="B3805" s="1" t="s">
        <v>20</v>
      </c>
      <c r="C3805" s="2" t="s">
        <v>32</v>
      </c>
      <c r="D3805" s="2">
        <v>7.6</v>
      </c>
      <c r="E3805" s="2">
        <v>1983.0</v>
      </c>
      <c r="F3805" s="2" t="s">
        <v>10</v>
      </c>
      <c r="G3805" s="2" t="s">
        <v>10</v>
      </c>
    </row>
    <row r="3806" ht="14.25" customHeight="1">
      <c r="A3806" s="1" t="s">
        <v>3289</v>
      </c>
      <c r="B3806" s="1" t="s">
        <v>20</v>
      </c>
      <c r="C3806" s="2" t="s">
        <v>253</v>
      </c>
      <c r="D3806" s="2">
        <v>7.6</v>
      </c>
      <c r="E3806" s="2">
        <v>2020.0</v>
      </c>
      <c r="F3806" s="2">
        <v>2020.0</v>
      </c>
      <c r="G3806" s="2" t="s">
        <v>10</v>
      </c>
    </row>
    <row r="3807" ht="14.25" customHeight="1">
      <c r="A3807" s="1" t="s">
        <v>3290</v>
      </c>
      <c r="B3807" s="1" t="s">
        <v>8</v>
      </c>
      <c r="C3807" s="2" t="s">
        <v>339</v>
      </c>
      <c r="D3807" s="2">
        <v>7.6</v>
      </c>
      <c r="E3807" s="2">
        <v>2019.0</v>
      </c>
      <c r="F3807" s="2" t="s">
        <v>10</v>
      </c>
      <c r="G3807" s="2">
        <v>7120000.0</v>
      </c>
    </row>
    <row r="3808" ht="14.25" customHeight="1">
      <c r="A3808" s="1" t="s">
        <v>3291</v>
      </c>
      <c r="B3808" s="1" t="s">
        <v>8</v>
      </c>
      <c r="C3808" s="2" t="s">
        <v>361</v>
      </c>
      <c r="D3808" s="2">
        <v>7.6</v>
      </c>
      <c r="E3808" s="2">
        <v>2005.0</v>
      </c>
      <c r="F3808" s="2" t="s">
        <v>10</v>
      </c>
      <c r="G3808" s="2" t="s">
        <v>10</v>
      </c>
    </row>
    <row r="3809" ht="14.25" customHeight="1">
      <c r="A3809" s="1" t="s">
        <v>3292</v>
      </c>
      <c r="B3809" s="1" t="s">
        <v>20</v>
      </c>
      <c r="C3809" s="2" t="s">
        <v>249</v>
      </c>
      <c r="D3809" s="2">
        <v>7.6</v>
      </c>
      <c r="E3809" s="2">
        <v>1956.0</v>
      </c>
      <c r="F3809" s="2" t="s">
        <v>10</v>
      </c>
      <c r="G3809" s="2" t="s">
        <v>10</v>
      </c>
    </row>
    <row r="3810" ht="14.25" customHeight="1">
      <c r="A3810" s="1" t="s">
        <v>3293</v>
      </c>
      <c r="B3810" s="1" t="s">
        <v>8</v>
      </c>
      <c r="C3810" s="2" t="s">
        <v>2237</v>
      </c>
      <c r="D3810" s="2">
        <v>7.6</v>
      </c>
      <c r="E3810" s="2">
        <v>1985.0</v>
      </c>
      <c r="F3810" s="2" t="s">
        <v>10</v>
      </c>
      <c r="G3810" s="2" t="s">
        <v>10</v>
      </c>
    </row>
    <row r="3811" ht="14.25" customHeight="1">
      <c r="A3811" s="1" t="s">
        <v>3294</v>
      </c>
      <c r="B3811" s="1" t="s">
        <v>20</v>
      </c>
      <c r="C3811" s="2" t="s">
        <v>2186</v>
      </c>
      <c r="D3811" s="2">
        <v>7.6</v>
      </c>
      <c r="E3811" s="2">
        <v>2018.0</v>
      </c>
      <c r="F3811" s="2" t="s">
        <v>10</v>
      </c>
      <c r="G3811" s="2" t="s">
        <v>10</v>
      </c>
    </row>
    <row r="3812" ht="14.25" customHeight="1">
      <c r="A3812" s="1" t="s">
        <v>3295</v>
      </c>
      <c r="B3812" s="1" t="s">
        <v>20</v>
      </c>
      <c r="C3812" s="2" t="s">
        <v>154</v>
      </c>
      <c r="D3812" s="2">
        <v>7.6</v>
      </c>
      <c r="E3812" s="2">
        <v>2010.0</v>
      </c>
      <c r="F3812" s="2" t="s">
        <v>10</v>
      </c>
      <c r="G3812" s="2" t="s">
        <v>10</v>
      </c>
    </row>
    <row r="3813" ht="14.25" customHeight="1">
      <c r="A3813" s="1" t="s">
        <v>3296</v>
      </c>
      <c r="B3813" s="1" t="s">
        <v>20</v>
      </c>
      <c r="C3813" s="2" t="s">
        <v>181</v>
      </c>
      <c r="D3813" s="2">
        <v>7.6</v>
      </c>
      <c r="E3813" s="2">
        <v>1975.0</v>
      </c>
      <c r="F3813" s="2" t="s">
        <v>10</v>
      </c>
      <c r="G3813" s="2" t="s">
        <v>10</v>
      </c>
    </row>
    <row r="3814" ht="14.25" customHeight="1">
      <c r="A3814" s="1" t="s">
        <v>3297</v>
      </c>
      <c r="B3814" s="1" t="s">
        <v>20</v>
      </c>
      <c r="C3814" s="2" t="s">
        <v>18</v>
      </c>
      <c r="D3814" s="2">
        <v>7.6</v>
      </c>
      <c r="E3814" s="2">
        <v>2015.0</v>
      </c>
      <c r="F3814" s="2" t="s">
        <v>10</v>
      </c>
      <c r="G3814" s="2" t="s">
        <v>10</v>
      </c>
    </row>
    <row r="3815" ht="14.25" customHeight="1">
      <c r="A3815" s="1" t="s">
        <v>3298</v>
      </c>
      <c r="B3815" s="1" t="s">
        <v>20</v>
      </c>
      <c r="C3815" s="2" t="s">
        <v>455</v>
      </c>
      <c r="D3815" s="2">
        <v>7.6</v>
      </c>
      <c r="E3815" s="2">
        <v>1933.0</v>
      </c>
      <c r="F3815" s="2" t="s">
        <v>10</v>
      </c>
      <c r="G3815" s="2">
        <v>6530000.0</v>
      </c>
    </row>
    <row r="3816" ht="14.25" customHeight="1">
      <c r="A3816" s="1" t="s">
        <v>3299</v>
      </c>
      <c r="B3816" s="1" t="s">
        <v>20</v>
      </c>
      <c r="C3816" s="2" t="s">
        <v>1271</v>
      </c>
      <c r="D3816" s="2">
        <v>7.6</v>
      </c>
      <c r="E3816" s="2">
        <v>1960.0</v>
      </c>
      <c r="F3816" s="2" t="s">
        <v>10</v>
      </c>
      <c r="G3816" s="2" t="s">
        <v>10</v>
      </c>
    </row>
    <row r="3817" ht="14.25" customHeight="1">
      <c r="A3817" s="1" t="s">
        <v>3300</v>
      </c>
      <c r="B3817" s="1" t="s">
        <v>20</v>
      </c>
      <c r="C3817" s="2" t="s">
        <v>395</v>
      </c>
      <c r="D3817" s="2">
        <v>7.6</v>
      </c>
      <c r="E3817" s="2">
        <v>1978.0</v>
      </c>
      <c r="F3817" s="2">
        <v>2018.0</v>
      </c>
      <c r="G3817" s="2" t="s">
        <v>10</v>
      </c>
    </row>
    <row r="3818" ht="14.25" customHeight="1">
      <c r="A3818" s="1" t="s">
        <v>3301</v>
      </c>
      <c r="B3818" s="1" t="s">
        <v>20</v>
      </c>
      <c r="C3818" s="2" t="s">
        <v>187</v>
      </c>
      <c r="D3818" s="2">
        <v>7.6</v>
      </c>
      <c r="E3818" s="2">
        <v>2019.0</v>
      </c>
      <c r="F3818" s="2" t="s">
        <v>10</v>
      </c>
      <c r="G3818" s="2" t="s">
        <v>10</v>
      </c>
    </row>
    <row r="3819" ht="14.25" customHeight="1">
      <c r="A3819" s="1" t="s">
        <v>3302</v>
      </c>
      <c r="B3819" s="1" t="s">
        <v>20</v>
      </c>
      <c r="C3819" s="2" t="s">
        <v>1187</v>
      </c>
      <c r="D3819" s="2">
        <v>7.6</v>
      </c>
      <c r="E3819" s="2">
        <v>1979.0</v>
      </c>
      <c r="F3819" s="2" t="s">
        <v>10</v>
      </c>
      <c r="G3819" s="2" t="s">
        <v>10</v>
      </c>
    </row>
    <row r="3820" ht="14.25" customHeight="1">
      <c r="A3820" s="1" t="s">
        <v>3303</v>
      </c>
      <c r="B3820" s="1" t="s">
        <v>20</v>
      </c>
      <c r="C3820" s="2" t="s">
        <v>361</v>
      </c>
      <c r="D3820" s="2">
        <v>7.6</v>
      </c>
      <c r="E3820" s="2">
        <v>1991.0</v>
      </c>
      <c r="F3820" s="2" t="s">
        <v>10</v>
      </c>
      <c r="G3820" s="2" t="s">
        <v>10</v>
      </c>
    </row>
    <row r="3821" ht="14.25" customHeight="1">
      <c r="A3821" s="1" t="s">
        <v>3304</v>
      </c>
      <c r="B3821" s="1" t="s">
        <v>20</v>
      </c>
      <c r="C3821" s="2" t="s">
        <v>18</v>
      </c>
      <c r="D3821" s="2">
        <v>7.6</v>
      </c>
      <c r="E3821" s="2">
        <v>2007.0</v>
      </c>
      <c r="F3821" s="2" t="s">
        <v>10</v>
      </c>
      <c r="G3821" s="2" t="s">
        <v>10</v>
      </c>
    </row>
    <row r="3822" ht="14.25" customHeight="1">
      <c r="A3822" s="1" t="s">
        <v>3305</v>
      </c>
      <c r="B3822" s="1" t="s">
        <v>8</v>
      </c>
      <c r="C3822" s="2" t="s">
        <v>40</v>
      </c>
      <c r="D3822" s="2">
        <v>7.6</v>
      </c>
      <c r="E3822" s="2">
        <v>2017.0</v>
      </c>
      <c r="F3822" s="2">
        <v>2017.0</v>
      </c>
      <c r="G3822" s="2" t="s">
        <v>10</v>
      </c>
    </row>
    <row r="3823" ht="14.25" customHeight="1">
      <c r="A3823" s="1" t="s">
        <v>3306</v>
      </c>
      <c r="B3823" s="1" t="s">
        <v>8</v>
      </c>
      <c r="C3823" s="2" t="s">
        <v>53</v>
      </c>
      <c r="D3823" s="2">
        <v>7.6</v>
      </c>
      <c r="E3823" s="2">
        <v>2010.0</v>
      </c>
      <c r="F3823" s="2" t="s">
        <v>10</v>
      </c>
      <c r="G3823" s="2" t="s">
        <v>10</v>
      </c>
    </row>
    <row r="3824" ht="14.25" customHeight="1">
      <c r="A3824" s="1" t="s">
        <v>3307</v>
      </c>
      <c r="B3824" s="1" t="s">
        <v>20</v>
      </c>
      <c r="C3824" s="2" t="s">
        <v>3308</v>
      </c>
      <c r="D3824" s="2">
        <v>7.6</v>
      </c>
      <c r="E3824" s="2">
        <v>1991.0</v>
      </c>
      <c r="F3824" s="2" t="s">
        <v>10</v>
      </c>
      <c r="G3824" s="2" t="s">
        <v>10</v>
      </c>
    </row>
    <row r="3825" ht="14.25" customHeight="1">
      <c r="A3825" s="1" t="s">
        <v>3309</v>
      </c>
      <c r="B3825" s="1" t="s">
        <v>20</v>
      </c>
      <c r="C3825" s="2" t="s">
        <v>3310</v>
      </c>
      <c r="D3825" s="2">
        <v>7.6</v>
      </c>
      <c r="E3825" s="2">
        <v>1971.0</v>
      </c>
      <c r="F3825" s="2" t="s">
        <v>10</v>
      </c>
      <c r="G3825" s="2" t="s">
        <v>10</v>
      </c>
    </row>
    <row r="3826" ht="14.25" customHeight="1">
      <c r="A3826" s="1" t="s">
        <v>3311</v>
      </c>
      <c r="B3826" s="1" t="s">
        <v>20</v>
      </c>
      <c r="C3826" s="2" t="s">
        <v>32</v>
      </c>
      <c r="D3826" s="2">
        <v>7.6</v>
      </c>
      <c r="E3826" s="2">
        <v>1968.0</v>
      </c>
      <c r="F3826" s="2" t="s">
        <v>10</v>
      </c>
      <c r="G3826" s="2" t="s">
        <v>10</v>
      </c>
    </row>
    <row r="3827" ht="14.25" customHeight="1">
      <c r="A3827" s="1" t="s">
        <v>3312</v>
      </c>
      <c r="B3827" s="1" t="s">
        <v>8</v>
      </c>
      <c r="C3827" s="2" t="s">
        <v>78</v>
      </c>
      <c r="D3827" s="2">
        <v>7.6</v>
      </c>
      <c r="E3827" s="2">
        <v>2021.0</v>
      </c>
      <c r="F3827" s="2" t="s">
        <v>10</v>
      </c>
      <c r="G3827" s="2" t="s">
        <v>10</v>
      </c>
    </row>
    <row r="3828" ht="14.25" customHeight="1">
      <c r="A3828" s="1" t="s">
        <v>3313</v>
      </c>
      <c r="B3828" s="1" t="s">
        <v>20</v>
      </c>
      <c r="C3828" s="2" t="s">
        <v>25</v>
      </c>
      <c r="D3828" s="2">
        <v>7.6</v>
      </c>
      <c r="E3828" s="2">
        <v>2024.0</v>
      </c>
      <c r="F3828" s="2" t="s">
        <v>10</v>
      </c>
      <c r="G3828" s="2" t="s">
        <v>10</v>
      </c>
    </row>
    <row r="3829" ht="14.25" customHeight="1">
      <c r="A3829" s="1" t="s">
        <v>3314</v>
      </c>
      <c r="B3829" s="1" t="s">
        <v>20</v>
      </c>
      <c r="C3829" s="2" t="s">
        <v>291</v>
      </c>
      <c r="D3829" s="2">
        <v>7.6</v>
      </c>
      <c r="E3829" s="2">
        <v>1974.0</v>
      </c>
      <c r="F3829" s="2" t="s">
        <v>10</v>
      </c>
      <c r="G3829" s="2" t="s">
        <v>10</v>
      </c>
    </row>
    <row r="3830" ht="14.25" customHeight="1">
      <c r="A3830" s="1" t="s">
        <v>3315</v>
      </c>
      <c r="B3830" s="1" t="s">
        <v>20</v>
      </c>
      <c r="C3830" s="2" t="s">
        <v>335</v>
      </c>
      <c r="D3830" s="2">
        <v>7.6</v>
      </c>
      <c r="E3830" s="2">
        <v>1995.0</v>
      </c>
      <c r="F3830" s="2" t="s">
        <v>10</v>
      </c>
      <c r="G3830" s="2" t="s">
        <v>10</v>
      </c>
    </row>
    <row r="3831" ht="14.25" customHeight="1">
      <c r="A3831" s="1" t="s">
        <v>3316</v>
      </c>
      <c r="B3831" s="1" t="s">
        <v>8</v>
      </c>
      <c r="C3831" s="2" t="s">
        <v>756</v>
      </c>
      <c r="D3831" s="2">
        <v>7.6</v>
      </c>
      <c r="E3831" s="2">
        <v>1996.0</v>
      </c>
      <c r="F3831" s="2" t="s">
        <v>10</v>
      </c>
      <c r="G3831" s="2" t="s">
        <v>10</v>
      </c>
    </row>
    <row r="3832" ht="14.25" customHeight="1">
      <c r="A3832" s="1" t="s">
        <v>3317</v>
      </c>
      <c r="B3832" s="1" t="s">
        <v>20</v>
      </c>
      <c r="C3832" s="2" t="s">
        <v>154</v>
      </c>
      <c r="D3832" s="2">
        <v>7.6</v>
      </c>
      <c r="E3832" s="2">
        <v>2017.0</v>
      </c>
      <c r="F3832" s="2">
        <v>2017.0</v>
      </c>
      <c r="G3832" s="2" t="s">
        <v>10</v>
      </c>
    </row>
    <row r="3833" ht="14.25" customHeight="1">
      <c r="A3833" s="1" t="s">
        <v>3318</v>
      </c>
      <c r="B3833" s="1" t="s">
        <v>20</v>
      </c>
      <c r="C3833" s="2" t="s">
        <v>258</v>
      </c>
      <c r="D3833" s="2">
        <v>7.6</v>
      </c>
      <c r="E3833" s="2">
        <v>2000.0</v>
      </c>
      <c r="F3833" s="2" t="s">
        <v>10</v>
      </c>
      <c r="G3833" s="2" t="s">
        <v>10</v>
      </c>
    </row>
    <row r="3834" ht="14.25" customHeight="1">
      <c r="A3834" s="1" t="s">
        <v>3319</v>
      </c>
      <c r="B3834" s="1" t="s">
        <v>20</v>
      </c>
      <c r="C3834" s="2" t="s">
        <v>339</v>
      </c>
      <c r="D3834" s="2">
        <v>7.6</v>
      </c>
      <c r="E3834" s="2">
        <v>2022.0</v>
      </c>
      <c r="F3834" s="2" t="s">
        <v>10</v>
      </c>
      <c r="G3834" s="2" t="s">
        <v>10</v>
      </c>
    </row>
    <row r="3835" ht="14.25" customHeight="1">
      <c r="A3835" s="1" t="s">
        <v>3320</v>
      </c>
      <c r="B3835" s="1" t="s">
        <v>8</v>
      </c>
      <c r="C3835" s="2" t="s">
        <v>34</v>
      </c>
      <c r="D3835" s="2">
        <v>7.6</v>
      </c>
      <c r="E3835" s="2">
        <v>2008.0</v>
      </c>
      <c r="F3835" s="2" t="s">
        <v>10</v>
      </c>
      <c r="G3835" s="2" t="s">
        <v>10</v>
      </c>
    </row>
    <row r="3836" ht="14.25" customHeight="1">
      <c r="A3836" s="1" t="s">
        <v>3321</v>
      </c>
      <c r="B3836" s="1" t="s">
        <v>20</v>
      </c>
      <c r="C3836" s="2" t="s">
        <v>621</v>
      </c>
      <c r="D3836" s="2">
        <v>7.6</v>
      </c>
      <c r="E3836" s="2">
        <v>1960.0</v>
      </c>
      <c r="F3836" s="2" t="s">
        <v>10</v>
      </c>
      <c r="G3836" s="2" t="s">
        <v>10</v>
      </c>
    </row>
    <row r="3837" ht="14.25" customHeight="1">
      <c r="A3837" s="1" t="s">
        <v>3322</v>
      </c>
      <c r="B3837" s="1" t="s">
        <v>20</v>
      </c>
      <c r="C3837" s="2" t="s">
        <v>2024</v>
      </c>
      <c r="D3837" s="2">
        <v>7.6</v>
      </c>
      <c r="E3837" s="2">
        <v>1946.0</v>
      </c>
      <c r="F3837" s="2" t="s">
        <v>10</v>
      </c>
      <c r="G3837" s="2" t="s">
        <v>10</v>
      </c>
    </row>
    <row r="3838" ht="14.25" customHeight="1">
      <c r="A3838" s="1" t="s">
        <v>3323</v>
      </c>
      <c r="B3838" s="1" t="s">
        <v>20</v>
      </c>
      <c r="C3838" s="2" t="s">
        <v>18</v>
      </c>
      <c r="D3838" s="2">
        <v>7.6</v>
      </c>
      <c r="E3838" s="2">
        <v>2017.0</v>
      </c>
      <c r="F3838" s="2" t="s">
        <v>10</v>
      </c>
      <c r="G3838" s="2" t="s">
        <v>10</v>
      </c>
    </row>
    <row r="3839" ht="14.25" customHeight="1">
      <c r="A3839" s="1" t="s">
        <v>3324</v>
      </c>
      <c r="B3839" s="1" t="s">
        <v>20</v>
      </c>
      <c r="C3839" s="2" t="s">
        <v>157</v>
      </c>
      <c r="D3839" s="2">
        <v>7.6</v>
      </c>
      <c r="E3839" s="2">
        <v>1972.0</v>
      </c>
      <c r="F3839" s="2" t="s">
        <v>10</v>
      </c>
      <c r="G3839" s="2" t="s">
        <v>10</v>
      </c>
    </row>
    <row r="3840" ht="14.25" customHeight="1">
      <c r="A3840" s="1" t="s">
        <v>3325</v>
      </c>
      <c r="B3840" s="1" t="s">
        <v>20</v>
      </c>
      <c r="C3840" s="2" t="s">
        <v>18</v>
      </c>
      <c r="D3840" s="2">
        <v>7.6</v>
      </c>
      <c r="E3840" s="2">
        <v>1981.0</v>
      </c>
      <c r="F3840" s="2" t="s">
        <v>10</v>
      </c>
      <c r="G3840" s="2" t="s">
        <v>10</v>
      </c>
    </row>
    <row r="3841" ht="14.25" customHeight="1">
      <c r="A3841" s="1" t="s">
        <v>3326</v>
      </c>
      <c r="B3841" s="1" t="s">
        <v>20</v>
      </c>
      <c r="C3841" s="2" t="s">
        <v>154</v>
      </c>
      <c r="D3841" s="2">
        <v>7.6</v>
      </c>
      <c r="E3841" s="2">
        <v>2013.0</v>
      </c>
      <c r="F3841" s="2" t="s">
        <v>10</v>
      </c>
      <c r="G3841" s="2" t="s">
        <v>10</v>
      </c>
    </row>
    <row r="3842" ht="14.25" customHeight="1">
      <c r="A3842" s="1" t="s">
        <v>3327</v>
      </c>
      <c r="B3842" s="1" t="s">
        <v>20</v>
      </c>
      <c r="C3842" s="2" t="s">
        <v>154</v>
      </c>
      <c r="D3842" s="2">
        <v>7.6</v>
      </c>
      <c r="E3842" s="2">
        <v>1968.0</v>
      </c>
      <c r="F3842" s="2" t="s">
        <v>10</v>
      </c>
      <c r="G3842" s="2" t="s">
        <v>10</v>
      </c>
    </row>
    <row r="3843" ht="14.25" customHeight="1">
      <c r="A3843" s="1" t="s">
        <v>3328</v>
      </c>
      <c r="B3843" s="1" t="s">
        <v>20</v>
      </c>
      <c r="C3843" s="2" t="s">
        <v>187</v>
      </c>
      <c r="D3843" s="2">
        <v>7.6</v>
      </c>
      <c r="E3843" s="2">
        <v>2009.0</v>
      </c>
      <c r="F3843" s="2">
        <v>2009.0</v>
      </c>
      <c r="G3843" s="2" t="s">
        <v>10</v>
      </c>
    </row>
    <row r="3844" ht="14.25" customHeight="1">
      <c r="A3844" s="1" t="s">
        <v>3329</v>
      </c>
      <c r="B3844" s="1" t="s">
        <v>20</v>
      </c>
      <c r="C3844" s="2" t="s">
        <v>63</v>
      </c>
      <c r="D3844" s="2">
        <v>7.6</v>
      </c>
      <c r="E3844" s="2">
        <v>2015.0</v>
      </c>
      <c r="F3844" s="2" t="s">
        <v>10</v>
      </c>
      <c r="G3844" s="2" t="s">
        <v>10</v>
      </c>
    </row>
    <row r="3845" ht="14.25" customHeight="1">
      <c r="A3845" s="1" t="s">
        <v>3330</v>
      </c>
      <c r="B3845" s="1" t="s">
        <v>20</v>
      </c>
      <c r="C3845" s="2" t="s">
        <v>2375</v>
      </c>
      <c r="D3845" s="2">
        <v>7.6</v>
      </c>
      <c r="E3845" s="2">
        <v>1998.0</v>
      </c>
      <c r="F3845" s="2" t="s">
        <v>10</v>
      </c>
      <c r="G3845" s="2" t="s">
        <v>10</v>
      </c>
    </row>
    <row r="3846" ht="14.25" customHeight="1">
      <c r="A3846" s="1" t="s">
        <v>3331</v>
      </c>
      <c r="B3846" s="1" t="s">
        <v>20</v>
      </c>
      <c r="C3846" s="2" t="s">
        <v>55</v>
      </c>
      <c r="D3846" s="2">
        <v>7.6</v>
      </c>
      <c r="E3846" s="2">
        <v>1979.0</v>
      </c>
      <c r="F3846" s="2" t="s">
        <v>10</v>
      </c>
      <c r="G3846" s="2" t="s">
        <v>10</v>
      </c>
    </row>
    <row r="3847" ht="14.25" customHeight="1">
      <c r="A3847" s="1" t="s">
        <v>3332</v>
      </c>
      <c r="B3847" s="1" t="s">
        <v>20</v>
      </c>
      <c r="C3847" s="2" t="s">
        <v>69</v>
      </c>
      <c r="D3847" s="2">
        <v>7.6</v>
      </c>
      <c r="E3847" s="2">
        <v>2023.0</v>
      </c>
      <c r="F3847" s="2" t="s">
        <v>10</v>
      </c>
      <c r="G3847" s="2" t="s">
        <v>10</v>
      </c>
    </row>
    <row r="3848" ht="14.25" customHeight="1">
      <c r="A3848" s="1" t="s">
        <v>3333</v>
      </c>
      <c r="B3848" s="1" t="s">
        <v>8</v>
      </c>
      <c r="C3848" s="2" t="s">
        <v>287</v>
      </c>
      <c r="D3848" s="2">
        <v>7.6</v>
      </c>
      <c r="E3848" s="2">
        <v>2010.0</v>
      </c>
      <c r="F3848" s="2">
        <v>2015.0</v>
      </c>
      <c r="G3848" s="2" t="s">
        <v>10</v>
      </c>
    </row>
    <row r="3849" ht="14.25" customHeight="1">
      <c r="A3849" s="1" t="s">
        <v>3334</v>
      </c>
      <c r="B3849" s="1" t="s">
        <v>20</v>
      </c>
      <c r="C3849" s="2" t="s">
        <v>154</v>
      </c>
      <c r="D3849" s="2">
        <v>7.6</v>
      </c>
      <c r="E3849" s="2">
        <v>2011.0</v>
      </c>
      <c r="F3849" s="2" t="s">
        <v>10</v>
      </c>
      <c r="G3849" s="2" t="s">
        <v>10</v>
      </c>
    </row>
    <row r="3850" ht="14.25" customHeight="1">
      <c r="A3850" s="1" t="s">
        <v>3335</v>
      </c>
      <c r="B3850" s="1" t="s">
        <v>20</v>
      </c>
      <c r="C3850" s="2" t="s">
        <v>217</v>
      </c>
      <c r="D3850" s="2">
        <v>7.6</v>
      </c>
      <c r="E3850" s="2">
        <v>2011.0</v>
      </c>
      <c r="F3850" s="2">
        <v>2011.0</v>
      </c>
      <c r="G3850" s="2" t="s">
        <v>10</v>
      </c>
    </row>
    <row r="3851" ht="14.25" customHeight="1">
      <c r="A3851" s="1" t="s">
        <v>3336</v>
      </c>
      <c r="B3851" s="1" t="s">
        <v>20</v>
      </c>
      <c r="C3851" s="2" t="s">
        <v>40</v>
      </c>
      <c r="D3851" s="2">
        <v>7.6</v>
      </c>
      <c r="E3851" s="2">
        <v>2022.0</v>
      </c>
      <c r="F3851" s="2" t="s">
        <v>10</v>
      </c>
      <c r="G3851" s="2" t="s">
        <v>10</v>
      </c>
    </row>
    <row r="3852" ht="14.25" customHeight="1">
      <c r="A3852" s="1" t="s">
        <v>3337</v>
      </c>
      <c r="B3852" s="1" t="s">
        <v>8</v>
      </c>
      <c r="C3852" s="2" t="s">
        <v>53</v>
      </c>
      <c r="D3852" s="2">
        <v>7.6</v>
      </c>
      <c r="E3852" s="2">
        <v>2003.0</v>
      </c>
      <c r="F3852" s="2" t="s">
        <v>10</v>
      </c>
      <c r="G3852" s="2" t="s">
        <v>10</v>
      </c>
    </row>
    <row r="3853" ht="14.25" customHeight="1">
      <c r="A3853" s="1" t="s">
        <v>3338</v>
      </c>
      <c r="B3853" s="1" t="s">
        <v>20</v>
      </c>
      <c r="C3853" s="2" t="s">
        <v>217</v>
      </c>
      <c r="D3853" s="2">
        <v>7.6</v>
      </c>
      <c r="E3853" s="2">
        <v>2018.0</v>
      </c>
      <c r="F3853" s="2" t="s">
        <v>10</v>
      </c>
      <c r="G3853" s="2" t="s">
        <v>10</v>
      </c>
    </row>
    <row r="3854" ht="14.25" customHeight="1">
      <c r="A3854" s="1" t="s">
        <v>3339</v>
      </c>
      <c r="B3854" s="1" t="s">
        <v>20</v>
      </c>
      <c r="C3854" s="2" t="s">
        <v>3340</v>
      </c>
      <c r="D3854" s="2">
        <v>7.6</v>
      </c>
      <c r="E3854" s="2">
        <v>2005.0</v>
      </c>
      <c r="F3854" s="2" t="s">
        <v>10</v>
      </c>
      <c r="G3854" s="2" t="s">
        <v>10</v>
      </c>
    </row>
    <row r="3855" ht="14.25" customHeight="1">
      <c r="A3855" s="1" t="s">
        <v>3341</v>
      </c>
      <c r="B3855" s="1" t="s">
        <v>20</v>
      </c>
      <c r="C3855" s="2" t="s">
        <v>527</v>
      </c>
      <c r="D3855" s="2">
        <v>7.6</v>
      </c>
      <c r="E3855" s="2">
        <v>1955.0</v>
      </c>
      <c r="F3855" s="2" t="s">
        <v>10</v>
      </c>
      <c r="G3855" s="2" t="s">
        <v>10</v>
      </c>
    </row>
    <row r="3856" ht="14.25" customHeight="1">
      <c r="A3856" s="1" t="s">
        <v>3342</v>
      </c>
      <c r="B3856" s="1" t="s">
        <v>20</v>
      </c>
      <c r="C3856" s="2" t="s">
        <v>184</v>
      </c>
      <c r="D3856" s="2">
        <v>7.6</v>
      </c>
      <c r="E3856" s="2">
        <v>1944.0</v>
      </c>
      <c r="F3856" s="2" t="s">
        <v>10</v>
      </c>
      <c r="G3856" s="2" t="s">
        <v>10</v>
      </c>
    </row>
    <row r="3857" ht="14.25" customHeight="1">
      <c r="A3857" s="1" t="s">
        <v>3343</v>
      </c>
      <c r="B3857" s="1" t="s">
        <v>20</v>
      </c>
      <c r="C3857" s="2" t="s">
        <v>63</v>
      </c>
      <c r="D3857" s="2">
        <v>7.6</v>
      </c>
      <c r="E3857" s="2">
        <v>2016.0</v>
      </c>
      <c r="F3857" s="2">
        <v>2016.0</v>
      </c>
      <c r="G3857" s="2" t="s">
        <v>10</v>
      </c>
    </row>
    <row r="3858" ht="14.25" customHeight="1">
      <c r="A3858" s="1" t="s">
        <v>3344</v>
      </c>
      <c r="B3858" s="1" t="s">
        <v>20</v>
      </c>
      <c r="C3858" s="2" t="s">
        <v>112</v>
      </c>
      <c r="D3858" s="2">
        <v>7.6</v>
      </c>
      <c r="E3858" s="2">
        <v>1993.0</v>
      </c>
      <c r="F3858" s="2" t="s">
        <v>10</v>
      </c>
      <c r="G3858" s="2" t="s">
        <v>10</v>
      </c>
    </row>
    <row r="3859" ht="14.25" customHeight="1">
      <c r="A3859" s="1" t="s">
        <v>3345</v>
      </c>
      <c r="B3859" s="1" t="s">
        <v>20</v>
      </c>
      <c r="C3859" s="2" t="s">
        <v>935</v>
      </c>
      <c r="D3859" s="2">
        <v>7.6</v>
      </c>
      <c r="E3859" s="2">
        <v>2017.0</v>
      </c>
      <c r="F3859" s="2" t="s">
        <v>10</v>
      </c>
      <c r="G3859" s="2" t="s">
        <v>10</v>
      </c>
    </row>
    <row r="3860" ht="14.25" customHeight="1">
      <c r="A3860" s="1" t="s">
        <v>3346</v>
      </c>
      <c r="B3860" s="1" t="s">
        <v>8</v>
      </c>
      <c r="C3860" s="2" t="s">
        <v>69</v>
      </c>
      <c r="D3860" s="2">
        <v>7.6</v>
      </c>
      <c r="E3860" s="2">
        <v>1984.0</v>
      </c>
      <c r="F3860" s="2" t="s">
        <v>10</v>
      </c>
      <c r="G3860" s="2" t="s">
        <v>10</v>
      </c>
    </row>
    <row r="3861" ht="14.25" customHeight="1">
      <c r="A3861" s="1" t="s">
        <v>3347</v>
      </c>
      <c r="B3861" s="1" t="s">
        <v>20</v>
      </c>
      <c r="C3861" s="2" t="s">
        <v>192</v>
      </c>
      <c r="D3861" s="2">
        <v>7.6</v>
      </c>
      <c r="E3861" s="2">
        <v>2014.0</v>
      </c>
      <c r="F3861" s="2">
        <v>2014.0</v>
      </c>
      <c r="G3861" s="2" t="s">
        <v>10</v>
      </c>
    </row>
    <row r="3862" ht="14.25" customHeight="1">
      <c r="A3862" s="1" t="s">
        <v>3348</v>
      </c>
      <c r="B3862" s="1" t="s">
        <v>8</v>
      </c>
      <c r="C3862" s="2" t="s">
        <v>18</v>
      </c>
      <c r="D3862" s="2">
        <v>7.6</v>
      </c>
      <c r="E3862" s="2">
        <v>2015.0</v>
      </c>
      <c r="F3862" s="2">
        <v>2019.0</v>
      </c>
      <c r="G3862" s="2" t="s">
        <v>10</v>
      </c>
    </row>
    <row r="3863" ht="14.25" customHeight="1">
      <c r="A3863" s="1" t="s">
        <v>3349</v>
      </c>
      <c r="B3863" s="1" t="s">
        <v>8</v>
      </c>
      <c r="C3863" s="2" t="s">
        <v>258</v>
      </c>
      <c r="D3863" s="2">
        <v>7.6</v>
      </c>
      <c r="E3863" s="2">
        <v>2018.0</v>
      </c>
      <c r="F3863" s="2">
        <v>2018.0</v>
      </c>
      <c r="G3863" s="2" t="s">
        <v>10</v>
      </c>
    </row>
    <row r="3864" ht="14.25" customHeight="1">
      <c r="A3864" s="1" t="s">
        <v>3350</v>
      </c>
      <c r="B3864" s="1" t="s">
        <v>20</v>
      </c>
      <c r="C3864" s="2" t="s">
        <v>2013</v>
      </c>
      <c r="D3864" s="2">
        <v>7.6</v>
      </c>
      <c r="E3864" s="2">
        <v>1993.0</v>
      </c>
      <c r="F3864" s="2" t="s">
        <v>10</v>
      </c>
      <c r="G3864" s="2" t="s">
        <v>10</v>
      </c>
    </row>
    <row r="3865" ht="14.25" customHeight="1">
      <c r="A3865" s="1" t="s">
        <v>3351</v>
      </c>
      <c r="B3865" s="1" t="s">
        <v>20</v>
      </c>
      <c r="C3865" s="2" t="s">
        <v>18</v>
      </c>
      <c r="D3865" s="2">
        <v>7.6</v>
      </c>
      <c r="E3865" s="2">
        <v>2011.0</v>
      </c>
      <c r="F3865" s="2" t="s">
        <v>10</v>
      </c>
      <c r="G3865" s="2" t="s">
        <v>10</v>
      </c>
    </row>
    <row r="3866" ht="14.25" customHeight="1">
      <c r="A3866" s="1" t="s">
        <v>3352</v>
      </c>
      <c r="B3866" s="1" t="s">
        <v>20</v>
      </c>
      <c r="C3866" s="2" t="s">
        <v>187</v>
      </c>
      <c r="D3866" s="2">
        <v>7.6</v>
      </c>
      <c r="E3866" s="2">
        <v>2015.0</v>
      </c>
      <c r="F3866" s="2" t="s">
        <v>10</v>
      </c>
      <c r="G3866" s="2" t="s">
        <v>10</v>
      </c>
    </row>
    <row r="3867" ht="14.25" customHeight="1">
      <c r="A3867" s="1" t="s">
        <v>3353</v>
      </c>
      <c r="B3867" s="1" t="s">
        <v>20</v>
      </c>
      <c r="C3867" s="2" t="s">
        <v>163</v>
      </c>
      <c r="D3867" s="2">
        <v>7.6</v>
      </c>
      <c r="E3867" s="2">
        <v>2021.0</v>
      </c>
      <c r="F3867" s="2" t="s">
        <v>10</v>
      </c>
      <c r="G3867" s="2" t="s">
        <v>10</v>
      </c>
    </row>
    <row r="3868" ht="14.25" customHeight="1">
      <c r="A3868" s="1" t="s">
        <v>3354</v>
      </c>
      <c r="B3868" s="1" t="s">
        <v>8</v>
      </c>
      <c r="C3868" s="2" t="s">
        <v>468</v>
      </c>
      <c r="D3868" s="2">
        <v>7.6</v>
      </c>
      <c r="E3868" s="2">
        <v>2022.0</v>
      </c>
      <c r="F3868" s="2" t="s">
        <v>10</v>
      </c>
      <c r="G3868" s="2" t="s">
        <v>10</v>
      </c>
    </row>
    <row r="3869" ht="14.25" customHeight="1">
      <c r="A3869" s="1" t="s">
        <v>984</v>
      </c>
      <c r="B3869" s="1" t="s">
        <v>8</v>
      </c>
      <c r="C3869" s="2" t="s">
        <v>356</v>
      </c>
      <c r="D3869" s="2">
        <v>7.6</v>
      </c>
      <c r="E3869" s="2">
        <v>2020.0</v>
      </c>
      <c r="F3869" s="2" t="s">
        <v>10</v>
      </c>
      <c r="G3869" s="2" t="s">
        <v>10</v>
      </c>
    </row>
    <row r="3870" ht="14.25" customHeight="1">
      <c r="A3870" s="1" t="s">
        <v>3355</v>
      </c>
      <c r="B3870" s="1" t="s">
        <v>8</v>
      </c>
      <c r="C3870" s="2" t="s">
        <v>845</v>
      </c>
      <c r="D3870" s="2">
        <v>7.6</v>
      </c>
      <c r="E3870" s="2">
        <v>2017.0</v>
      </c>
      <c r="F3870" s="2" t="s">
        <v>10</v>
      </c>
      <c r="G3870" s="2" t="s">
        <v>10</v>
      </c>
    </row>
    <row r="3871" ht="14.25" customHeight="1">
      <c r="A3871" s="1" t="s">
        <v>2905</v>
      </c>
      <c r="B3871" s="1" t="s">
        <v>20</v>
      </c>
      <c r="C3871" s="2" t="s">
        <v>361</v>
      </c>
      <c r="D3871" s="2">
        <v>7.6</v>
      </c>
      <c r="E3871" s="2">
        <v>1975.0</v>
      </c>
      <c r="F3871" s="2" t="s">
        <v>10</v>
      </c>
      <c r="G3871" s="2" t="s">
        <v>10</v>
      </c>
    </row>
    <row r="3872" ht="14.25" customHeight="1">
      <c r="A3872" s="1" t="s">
        <v>3356</v>
      </c>
      <c r="B3872" s="1" t="s">
        <v>8</v>
      </c>
      <c r="C3872" s="2" t="s">
        <v>40</v>
      </c>
      <c r="D3872" s="2">
        <v>7.6</v>
      </c>
      <c r="E3872" s="2">
        <v>2022.0</v>
      </c>
      <c r="F3872" s="2" t="s">
        <v>10</v>
      </c>
      <c r="G3872" s="2" t="s">
        <v>10</v>
      </c>
    </row>
    <row r="3873" ht="14.25" customHeight="1">
      <c r="A3873" s="1" t="s">
        <v>3357</v>
      </c>
      <c r="B3873" s="1" t="s">
        <v>20</v>
      </c>
      <c r="C3873" s="2" t="s">
        <v>9</v>
      </c>
      <c r="D3873" s="2">
        <v>7.6</v>
      </c>
      <c r="E3873" s="2">
        <v>2019.0</v>
      </c>
      <c r="F3873" s="2" t="s">
        <v>10</v>
      </c>
      <c r="G3873" s="2" t="s">
        <v>10</v>
      </c>
    </row>
    <row r="3874" ht="14.25" customHeight="1">
      <c r="A3874" s="1" t="s">
        <v>3358</v>
      </c>
      <c r="B3874" s="1" t="s">
        <v>20</v>
      </c>
      <c r="C3874" s="2" t="s">
        <v>40</v>
      </c>
      <c r="D3874" s="2">
        <v>7.6</v>
      </c>
      <c r="E3874" s="2">
        <v>2005.0</v>
      </c>
      <c r="F3874" s="2" t="s">
        <v>10</v>
      </c>
      <c r="G3874" s="2" t="s">
        <v>10</v>
      </c>
    </row>
    <row r="3875" ht="14.25" customHeight="1">
      <c r="A3875" s="1" t="s">
        <v>3359</v>
      </c>
      <c r="B3875" s="1" t="s">
        <v>20</v>
      </c>
      <c r="C3875" s="2" t="s">
        <v>249</v>
      </c>
      <c r="D3875" s="2">
        <v>7.6</v>
      </c>
      <c r="E3875" s="2">
        <v>1971.0</v>
      </c>
      <c r="F3875" s="2" t="s">
        <v>10</v>
      </c>
      <c r="G3875" s="2" t="s">
        <v>10</v>
      </c>
    </row>
    <row r="3876" ht="14.25" customHeight="1">
      <c r="A3876" s="1" t="s">
        <v>3360</v>
      </c>
      <c r="B3876" s="1" t="s">
        <v>8</v>
      </c>
      <c r="C3876" s="2" t="s">
        <v>53</v>
      </c>
      <c r="D3876" s="2">
        <v>7.6</v>
      </c>
      <c r="E3876" s="2">
        <v>2001.0</v>
      </c>
      <c r="F3876" s="2" t="s">
        <v>10</v>
      </c>
      <c r="G3876" s="2" t="s">
        <v>10</v>
      </c>
    </row>
    <row r="3877" ht="14.25" customHeight="1">
      <c r="A3877" s="1" t="s">
        <v>3361</v>
      </c>
      <c r="B3877" s="1" t="s">
        <v>20</v>
      </c>
      <c r="C3877" s="2" t="s">
        <v>118</v>
      </c>
      <c r="D3877" s="2">
        <v>7.6</v>
      </c>
      <c r="E3877" s="2">
        <v>1972.0</v>
      </c>
      <c r="F3877" s="2" t="s">
        <v>10</v>
      </c>
      <c r="G3877" s="2" t="s">
        <v>10</v>
      </c>
    </row>
    <row r="3878" ht="14.25" customHeight="1">
      <c r="A3878" s="1" t="s">
        <v>3362</v>
      </c>
      <c r="B3878" s="1" t="s">
        <v>20</v>
      </c>
      <c r="C3878" s="2" t="s">
        <v>12</v>
      </c>
      <c r="D3878" s="2">
        <v>7.6</v>
      </c>
      <c r="E3878" s="2">
        <v>2017.0</v>
      </c>
      <c r="F3878" s="2" t="s">
        <v>10</v>
      </c>
      <c r="G3878" s="2" t="s">
        <v>10</v>
      </c>
    </row>
    <row r="3879" ht="14.25" customHeight="1">
      <c r="A3879" s="1" t="s">
        <v>3363</v>
      </c>
      <c r="B3879" s="1" t="s">
        <v>20</v>
      </c>
      <c r="C3879" s="2" t="s">
        <v>307</v>
      </c>
      <c r="D3879" s="2">
        <v>7.6</v>
      </c>
      <c r="E3879" s="2">
        <v>1971.0</v>
      </c>
      <c r="F3879" s="2" t="s">
        <v>10</v>
      </c>
      <c r="G3879" s="2" t="s">
        <v>10</v>
      </c>
    </row>
    <row r="3880" ht="14.25" customHeight="1">
      <c r="A3880" s="1" t="s">
        <v>3364</v>
      </c>
      <c r="B3880" s="1" t="s">
        <v>20</v>
      </c>
      <c r="C3880" s="2" t="s">
        <v>25</v>
      </c>
      <c r="D3880" s="2">
        <v>7.6</v>
      </c>
      <c r="E3880" s="2">
        <v>2015.0</v>
      </c>
      <c r="F3880" s="2" t="s">
        <v>10</v>
      </c>
      <c r="G3880" s="2" t="s">
        <v>10</v>
      </c>
    </row>
    <row r="3881" ht="14.25" customHeight="1">
      <c r="A3881" s="1">
        <v>1900.0</v>
      </c>
      <c r="B3881" s="1" t="s">
        <v>20</v>
      </c>
      <c r="C3881" s="2" t="s">
        <v>44</v>
      </c>
      <c r="D3881" s="2">
        <v>7.6</v>
      </c>
      <c r="E3881" s="2">
        <v>1976.0</v>
      </c>
      <c r="F3881" s="2" t="s">
        <v>10</v>
      </c>
      <c r="G3881" s="2" t="s">
        <v>10</v>
      </c>
    </row>
    <row r="3882" ht="14.25" customHeight="1">
      <c r="A3882" s="1" t="s">
        <v>3365</v>
      </c>
      <c r="B3882" s="1" t="s">
        <v>20</v>
      </c>
      <c r="C3882" s="2" t="s">
        <v>2157</v>
      </c>
      <c r="D3882" s="2">
        <v>7.6</v>
      </c>
      <c r="E3882" s="2">
        <v>1976.0</v>
      </c>
      <c r="F3882" s="2" t="s">
        <v>10</v>
      </c>
      <c r="G3882" s="2" t="s">
        <v>10</v>
      </c>
    </row>
    <row r="3883" ht="14.25" customHeight="1">
      <c r="A3883" s="1" t="s">
        <v>3366</v>
      </c>
      <c r="B3883" s="1" t="s">
        <v>20</v>
      </c>
      <c r="C3883" s="2" t="s">
        <v>142</v>
      </c>
      <c r="D3883" s="2">
        <v>7.6</v>
      </c>
      <c r="E3883" s="2">
        <v>2003.0</v>
      </c>
      <c r="F3883" s="2" t="s">
        <v>10</v>
      </c>
      <c r="G3883" s="2" t="s">
        <v>10</v>
      </c>
    </row>
    <row r="3884" ht="14.25" customHeight="1">
      <c r="A3884" s="1" t="s">
        <v>3367</v>
      </c>
      <c r="B3884" s="1" t="s">
        <v>20</v>
      </c>
      <c r="C3884" s="2" t="s">
        <v>530</v>
      </c>
      <c r="D3884" s="2">
        <v>7.6</v>
      </c>
      <c r="E3884" s="2">
        <v>1964.0</v>
      </c>
      <c r="F3884" s="2" t="s">
        <v>10</v>
      </c>
      <c r="G3884" s="2" t="s">
        <v>10</v>
      </c>
    </row>
    <row r="3885" ht="14.25" customHeight="1">
      <c r="A3885" s="1" t="s">
        <v>3368</v>
      </c>
      <c r="B3885" s="1" t="s">
        <v>20</v>
      </c>
      <c r="C3885" s="2" t="s">
        <v>36</v>
      </c>
      <c r="D3885" s="2">
        <v>7.6</v>
      </c>
      <c r="E3885" s="2">
        <v>2004.0</v>
      </c>
      <c r="F3885" s="2" t="s">
        <v>10</v>
      </c>
      <c r="G3885" s="2" t="s">
        <v>10</v>
      </c>
    </row>
    <row r="3886" ht="14.25" customHeight="1">
      <c r="A3886" s="1" t="s">
        <v>3249</v>
      </c>
      <c r="B3886" s="1" t="s">
        <v>20</v>
      </c>
      <c r="C3886" s="2" t="s">
        <v>530</v>
      </c>
      <c r="D3886" s="2">
        <v>7.6</v>
      </c>
      <c r="E3886" s="2">
        <v>2003.0</v>
      </c>
      <c r="F3886" s="2" t="s">
        <v>10</v>
      </c>
      <c r="G3886" s="2" t="s">
        <v>10</v>
      </c>
    </row>
    <row r="3887" ht="14.25" customHeight="1">
      <c r="A3887" s="1" t="s">
        <v>3369</v>
      </c>
      <c r="B3887" s="1" t="s">
        <v>20</v>
      </c>
      <c r="C3887" s="2" t="s">
        <v>154</v>
      </c>
      <c r="D3887" s="2">
        <v>7.6</v>
      </c>
      <c r="E3887" s="2">
        <v>1942.0</v>
      </c>
      <c r="F3887" s="2" t="s">
        <v>10</v>
      </c>
      <c r="G3887" s="2" t="s">
        <v>10</v>
      </c>
    </row>
    <row r="3888" ht="14.25" customHeight="1">
      <c r="A3888" s="1" t="s">
        <v>3370</v>
      </c>
      <c r="B3888" s="1" t="s">
        <v>8</v>
      </c>
      <c r="C3888" s="2" t="s">
        <v>55</v>
      </c>
      <c r="D3888" s="2">
        <v>7.6</v>
      </c>
      <c r="E3888" s="2">
        <v>2003.0</v>
      </c>
      <c r="F3888" s="2" t="s">
        <v>10</v>
      </c>
      <c r="G3888" s="2" t="s">
        <v>10</v>
      </c>
    </row>
    <row r="3889" ht="14.25" customHeight="1">
      <c r="A3889" s="1" t="s">
        <v>3371</v>
      </c>
      <c r="B3889" s="1" t="s">
        <v>8</v>
      </c>
      <c r="C3889" s="2" t="s">
        <v>32</v>
      </c>
      <c r="D3889" s="2">
        <v>7.6</v>
      </c>
      <c r="E3889" s="2">
        <v>2016.0</v>
      </c>
      <c r="F3889" s="2">
        <v>2016.0</v>
      </c>
      <c r="G3889" s="2" t="s">
        <v>10</v>
      </c>
    </row>
    <row r="3890" ht="14.25" customHeight="1">
      <c r="A3890" s="1" t="s">
        <v>3372</v>
      </c>
      <c r="B3890" s="1" t="s">
        <v>20</v>
      </c>
      <c r="C3890" s="2" t="s">
        <v>187</v>
      </c>
      <c r="D3890" s="2">
        <v>7.6</v>
      </c>
      <c r="E3890" s="2">
        <v>2002.0</v>
      </c>
      <c r="F3890" s="2" t="s">
        <v>10</v>
      </c>
      <c r="G3890" s="2" t="s">
        <v>10</v>
      </c>
    </row>
    <row r="3891" ht="14.25" customHeight="1">
      <c r="A3891" s="1" t="s">
        <v>3373</v>
      </c>
      <c r="B3891" s="1" t="s">
        <v>20</v>
      </c>
      <c r="C3891" s="2" t="s">
        <v>32</v>
      </c>
      <c r="D3891" s="2">
        <v>7.6</v>
      </c>
      <c r="E3891" s="2">
        <v>2017.0</v>
      </c>
      <c r="F3891" s="2" t="s">
        <v>10</v>
      </c>
      <c r="G3891" s="2" t="s">
        <v>10</v>
      </c>
    </row>
    <row r="3892" ht="14.25" customHeight="1">
      <c r="A3892" s="1" t="s">
        <v>3374</v>
      </c>
      <c r="B3892" s="1" t="s">
        <v>20</v>
      </c>
      <c r="C3892" s="2" t="s">
        <v>53</v>
      </c>
      <c r="D3892" s="2">
        <v>7.6</v>
      </c>
      <c r="E3892" s="2">
        <v>1980.0</v>
      </c>
      <c r="F3892" s="2" t="s">
        <v>10</v>
      </c>
      <c r="G3892" s="2" t="s">
        <v>10</v>
      </c>
    </row>
    <row r="3893" ht="14.25" customHeight="1">
      <c r="A3893" s="1" t="s">
        <v>3375</v>
      </c>
      <c r="B3893" s="1" t="s">
        <v>20</v>
      </c>
      <c r="C3893" s="2" t="s">
        <v>18</v>
      </c>
      <c r="D3893" s="2">
        <v>7.6</v>
      </c>
      <c r="E3893" s="2">
        <v>2019.0</v>
      </c>
      <c r="F3893" s="2" t="s">
        <v>10</v>
      </c>
      <c r="G3893" s="2" t="s">
        <v>10</v>
      </c>
    </row>
    <row r="3894" ht="14.25" customHeight="1">
      <c r="A3894" s="1" t="s">
        <v>3376</v>
      </c>
      <c r="B3894" s="1" t="s">
        <v>20</v>
      </c>
      <c r="C3894" s="2" t="s">
        <v>187</v>
      </c>
      <c r="D3894" s="2">
        <v>7.6</v>
      </c>
      <c r="E3894" s="2">
        <v>1996.0</v>
      </c>
      <c r="F3894" s="2" t="s">
        <v>10</v>
      </c>
      <c r="G3894" s="2" t="s">
        <v>10</v>
      </c>
    </row>
    <row r="3895" ht="14.25" customHeight="1">
      <c r="A3895" s="1" t="s">
        <v>3377</v>
      </c>
      <c r="B3895" s="1" t="s">
        <v>20</v>
      </c>
      <c r="C3895" s="2" t="s">
        <v>299</v>
      </c>
      <c r="D3895" s="2">
        <v>7.6</v>
      </c>
      <c r="E3895" s="2">
        <v>2022.0</v>
      </c>
      <c r="F3895" s="2" t="s">
        <v>10</v>
      </c>
      <c r="G3895" s="2" t="s">
        <v>10</v>
      </c>
    </row>
    <row r="3896" ht="14.25" customHeight="1">
      <c r="A3896" s="1" t="s">
        <v>3378</v>
      </c>
      <c r="B3896" s="1" t="s">
        <v>20</v>
      </c>
      <c r="C3896" s="2" t="s">
        <v>36</v>
      </c>
      <c r="D3896" s="2">
        <v>7.6</v>
      </c>
      <c r="E3896" s="2">
        <v>1959.0</v>
      </c>
      <c r="F3896" s="2" t="s">
        <v>10</v>
      </c>
      <c r="G3896" s="2" t="s">
        <v>10</v>
      </c>
    </row>
    <row r="3897" ht="14.25" customHeight="1">
      <c r="A3897" s="1" t="s">
        <v>3379</v>
      </c>
      <c r="B3897" s="1" t="s">
        <v>20</v>
      </c>
      <c r="C3897" s="2" t="s">
        <v>112</v>
      </c>
      <c r="D3897" s="2">
        <v>7.6</v>
      </c>
      <c r="E3897" s="2">
        <v>2002.0</v>
      </c>
      <c r="F3897" s="2" t="s">
        <v>10</v>
      </c>
      <c r="G3897" s="2" t="s">
        <v>10</v>
      </c>
    </row>
    <row r="3898" ht="14.25" customHeight="1">
      <c r="A3898" s="1" t="s">
        <v>3380</v>
      </c>
      <c r="B3898" s="1" t="s">
        <v>20</v>
      </c>
      <c r="C3898" s="2" t="s">
        <v>239</v>
      </c>
      <c r="D3898" s="2">
        <v>7.6</v>
      </c>
      <c r="E3898" s="2">
        <v>1993.0</v>
      </c>
      <c r="F3898" s="2" t="s">
        <v>10</v>
      </c>
      <c r="G3898" s="2" t="s">
        <v>10</v>
      </c>
    </row>
    <row r="3899" ht="14.25" customHeight="1">
      <c r="A3899" s="1" t="s">
        <v>3381</v>
      </c>
      <c r="B3899" s="1" t="s">
        <v>20</v>
      </c>
      <c r="C3899" s="2" t="s">
        <v>611</v>
      </c>
      <c r="D3899" s="2">
        <v>7.6</v>
      </c>
      <c r="E3899" s="2">
        <v>2013.0</v>
      </c>
      <c r="F3899" s="2" t="s">
        <v>10</v>
      </c>
      <c r="G3899" s="2" t="s">
        <v>10</v>
      </c>
    </row>
    <row r="3900" ht="14.25" customHeight="1">
      <c r="A3900" s="1" t="s">
        <v>3382</v>
      </c>
      <c r="B3900" s="1" t="s">
        <v>20</v>
      </c>
      <c r="C3900" s="2" t="s">
        <v>1060</v>
      </c>
      <c r="D3900" s="2">
        <v>7.6</v>
      </c>
      <c r="E3900" s="2">
        <v>1961.0</v>
      </c>
      <c r="F3900" s="2" t="s">
        <v>10</v>
      </c>
      <c r="G3900" s="2" t="s">
        <v>10</v>
      </c>
    </row>
    <row r="3901" ht="14.25" customHeight="1">
      <c r="A3901" s="1" t="s">
        <v>3383</v>
      </c>
      <c r="B3901" s="1" t="s">
        <v>20</v>
      </c>
      <c r="C3901" s="2" t="s">
        <v>14</v>
      </c>
      <c r="D3901" s="2">
        <v>7.6</v>
      </c>
      <c r="E3901" s="2">
        <v>2018.0</v>
      </c>
      <c r="F3901" s="2">
        <v>2018.0</v>
      </c>
      <c r="G3901" s="2" t="s">
        <v>10</v>
      </c>
    </row>
    <row r="3902" ht="14.25" customHeight="1">
      <c r="A3902" s="1" t="s">
        <v>3384</v>
      </c>
      <c r="B3902" s="1" t="s">
        <v>8</v>
      </c>
      <c r="C3902" s="2" t="s">
        <v>55</v>
      </c>
      <c r="D3902" s="2">
        <v>7.6</v>
      </c>
      <c r="E3902" s="2">
        <v>2004.0</v>
      </c>
      <c r="F3902" s="2" t="s">
        <v>10</v>
      </c>
      <c r="G3902" s="2" t="s">
        <v>10</v>
      </c>
    </row>
    <row r="3903" ht="14.25" customHeight="1">
      <c r="A3903" s="1" t="s">
        <v>3385</v>
      </c>
      <c r="B3903" s="1" t="s">
        <v>8</v>
      </c>
      <c r="C3903" s="2" t="s">
        <v>159</v>
      </c>
      <c r="D3903" s="2">
        <v>7.6</v>
      </c>
      <c r="E3903" s="2">
        <v>2022.0</v>
      </c>
      <c r="F3903" s="2" t="s">
        <v>10</v>
      </c>
      <c r="G3903" s="2" t="s">
        <v>10</v>
      </c>
    </row>
    <row r="3904" ht="14.25" customHeight="1">
      <c r="A3904" s="1" t="s">
        <v>3386</v>
      </c>
      <c r="B3904" s="1" t="s">
        <v>8</v>
      </c>
      <c r="C3904" s="2" t="s">
        <v>325</v>
      </c>
      <c r="D3904" s="2">
        <v>7.6</v>
      </c>
      <c r="E3904" s="2">
        <v>2007.0</v>
      </c>
      <c r="F3904" s="2">
        <v>2016.0</v>
      </c>
      <c r="G3904" s="2" t="s">
        <v>10</v>
      </c>
    </row>
    <row r="3905" ht="14.25" customHeight="1">
      <c r="A3905" s="1" t="s">
        <v>3387</v>
      </c>
      <c r="B3905" s="1" t="s">
        <v>20</v>
      </c>
      <c r="C3905" s="2" t="s">
        <v>825</v>
      </c>
      <c r="D3905" s="2">
        <v>7.6</v>
      </c>
      <c r="E3905" s="2">
        <v>1935.0</v>
      </c>
      <c r="F3905" s="2">
        <v>1962.0</v>
      </c>
      <c r="G3905" s="2" t="s">
        <v>10</v>
      </c>
    </row>
    <row r="3906" ht="14.25" customHeight="1">
      <c r="A3906" s="1" t="s">
        <v>3388</v>
      </c>
      <c r="B3906" s="1" t="s">
        <v>8</v>
      </c>
      <c r="C3906" s="2" t="s">
        <v>67</v>
      </c>
      <c r="D3906" s="2">
        <v>7.6</v>
      </c>
      <c r="E3906" s="2">
        <v>2007.0</v>
      </c>
      <c r="F3906" s="2" t="s">
        <v>10</v>
      </c>
      <c r="G3906" s="2" t="s">
        <v>10</v>
      </c>
    </row>
    <row r="3907" ht="14.25" customHeight="1">
      <c r="A3907" s="1" t="s">
        <v>3389</v>
      </c>
      <c r="B3907" s="1" t="s">
        <v>8</v>
      </c>
      <c r="C3907" s="2" t="s">
        <v>2342</v>
      </c>
      <c r="D3907" s="2">
        <v>7.6</v>
      </c>
      <c r="E3907" s="2">
        <v>1964.0</v>
      </c>
      <c r="F3907" s="2" t="s">
        <v>10</v>
      </c>
      <c r="G3907" s="2" t="s">
        <v>10</v>
      </c>
    </row>
    <row r="3908" ht="14.25" customHeight="1">
      <c r="A3908" s="1" t="s">
        <v>3390</v>
      </c>
      <c r="B3908" s="1" t="s">
        <v>8</v>
      </c>
      <c r="C3908" s="2" t="s">
        <v>1395</v>
      </c>
      <c r="D3908" s="2">
        <v>7.6</v>
      </c>
      <c r="E3908" s="2">
        <v>1985.0</v>
      </c>
      <c r="F3908" s="2" t="s">
        <v>10</v>
      </c>
      <c r="G3908" s="2" t="s">
        <v>10</v>
      </c>
    </row>
    <row r="3909" ht="14.25" customHeight="1">
      <c r="A3909" s="1" t="s">
        <v>3391</v>
      </c>
      <c r="B3909" s="1" t="s">
        <v>8</v>
      </c>
      <c r="C3909" s="2" t="s">
        <v>69</v>
      </c>
      <c r="D3909" s="2">
        <v>7.6</v>
      </c>
      <c r="E3909" s="2">
        <v>2020.0</v>
      </c>
      <c r="F3909" s="2" t="s">
        <v>10</v>
      </c>
      <c r="G3909" s="2" t="s">
        <v>10</v>
      </c>
    </row>
    <row r="3910" ht="14.25" customHeight="1">
      <c r="A3910" s="1" t="s">
        <v>3392</v>
      </c>
      <c r="B3910" s="1" t="s">
        <v>20</v>
      </c>
      <c r="C3910" s="2" t="s">
        <v>80</v>
      </c>
      <c r="D3910" s="2">
        <v>7.6</v>
      </c>
      <c r="E3910" s="2">
        <v>2013.0</v>
      </c>
      <c r="F3910" s="2">
        <v>2013.0</v>
      </c>
      <c r="G3910" s="2" t="s">
        <v>10</v>
      </c>
    </row>
    <row r="3911" ht="14.25" customHeight="1">
      <c r="A3911" s="1" t="s">
        <v>3393</v>
      </c>
      <c r="B3911" s="1" t="s">
        <v>20</v>
      </c>
      <c r="C3911" s="2" t="s">
        <v>468</v>
      </c>
      <c r="D3911" s="2">
        <v>7.6</v>
      </c>
      <c r="E3911" s="2">
        <v>1962.0</v>
      </c>
      <c r="F3911" s="2">
        <v>2019.0</v>
      </c>
      <c r="G3911" s="2" t="s">
        <v>10</v>
      </c>
    </row>
    <row r="3912" ht="14.25" customHeight="1">
      <c r="A3912" s="1" t="s">
        <v>3394</v>
      </c>
      <c r="B3912" s="1" t="s">
        <v>20</v>
      </c>
      <c r="C3912" s="2" t="s">
        <v>3395</v>
      </c>
      <c r="D3912" s="2">
        <v>7.6</v>
      </c>
      <c r="E3912" s="2">
        <v>2021.0</v>
      </c>
      <c r="F3912" s="2" t="s">
        <v>10</v>
      </c>
      <c r="G3912" s="2" t="s">
        <v>10</v>
      </c>
    </row>
    <row r="3913" ht="14.25" customHeight="1">
      <c r="A3913" s="1" t="s">
        <v>2134</v>
      </c>
      <c r="B3913" s="1" t="s">
        <v>8</v>
      </c>
      <c r="C3913" s="2" t="s">
        <v>53</v>
      </c>
      <c r="D3913" s="2">
        <v>7.6</v>
      </c>
      <c r="E3913" s="2">
        <v>2011.0</v>
      </c>
      <c r="F3913" s="2" t="s">
        <v>10</v>
      </c>
      <c r="G3913" s="2" t="s">
        <v>10</v>
      </c>
    </row>
    <row r="3914" ht="14.25" customHeight="1">
      <c r="A3914" s="1" t="s">
        <v>3396</v>
      </c>
      <c r="B3914" s="1" t="s">
        <v>20</v>
      </c>
      <c r="C3914" s="2" t="s">
        <v>69</v>
      </c>
      <c r="D3914" s="2">
        <v>7.6</v>
      </c>
      <c r="E3914" s="2">
        <v>2015.0</v>
      </c>
      <c r="F3914" s="2" t="s">
        <v>10</v>
      </c>
      <c r="G3914" s="2" t="s">
        <v>10</v>
      </c>
    </row>
    <row r="3915" ht="14.25" customHeight="1">
      <c r="A3915" s="1" t="s">
        <v>3397</v>
      </c>
      <c r="B3915" s="1" t="s">
        <v>20</v>
      </c>
      <c r="C3915" s="2" t="s">
        <v>154</v>
      </c>
      <c r="D3915" s="2">
        <v>7.6</v>
      </c>
      <c r="E3915" s="2">
        <v>1987.0</v>
      </c>
      <c r="F3915" s="2" t="s">
        <v>10</v>
      </c>
      <c r="G3915" s="2" t="s">
        <v>10</v>
      </c>
    </row>
    <row r="3916" ht="14.25" customHeight="1">
      <c r="A3916" s="1" t="s">
        <v>3398</v>
      </c>
      <c r="B3916" s="1" t="s">
        <v>20</v>
      </c>
      <c r="C3916" s="2" t="s">
        <v>945</v>
      </c>
      <c r="D3916" s="2">
        <v>7.6</v>
      </c>
      <c r="E3916" s="2">
        <v>2023.0</v>
      </c>
      <c r="F3916" s="2" t="s">
        <v>10</v>
      </c>
      <c r="G3916" s="2" t="s">
        <v>10</v>
      </c>
    </row>
    <row r="3917" ht="14.25" customHeight="1">
      <c r="A3917" s="1" t="s">
        <v>3399</v>
      </c>
      <c r="B3917" s="1" t="s">
        <v>20</v>
      </c>
      <c r="C3917" s="2" t="s">
        <v>2390</v>
      </c>
      <c r="D3917" s="2">
        <v>7.6</v>
      </c>
      <c r="E3917" s="2">
        <v>2007.0</v>
      </c>
      <c r="F3917" s="2">
        <v>2010.0</v>
      </c>
      <c r="G3917" s="2" t="s">
        <v>10</v>
      </c>
    </row>
    <row r="3918" ht="14.25" customHeight="1">
      <c r="A3918" s="1" t="s">
        <v>3400</v>
      </c>
      <c r="B3918" s="1" t="s">
        <v>20</v>
      </c>
      <c r="C3918" s="2" t="s">
        <v>63</v>
      </c>
      <c r="D3918" s="2">
        <v>7.6</v>
      </c>
      <c r="E3918" s="2">
        <v>1964.0</v>
      </c>
      <c r="F3918" s="2" t="s">
        <v>10</v>
      </c>
      <c r="G3918" s="2" t="s">
        <v>10</v>
      </c>
    </row>
    <row r="3919" ht="14.25" customHeight="1">
      <c r="A3919" s="1" t="s">
        <v>3401</v>
      </c>
      <c r="B3919" s="1" t="s">
        <v>20</v>
      </c>
      <c r="C3919" s="2" t="s">
        <v>1054</v>
      </c>
      <c r="D3919" s="2">
        <v>7.6</v>
      </c>
      <c r="E3919" s="2">
        <v>1982.0</v>
      </c>
      <c r="F3919" s="2" t="s">
        <v>10</v>
      </c>
      <c r="G3919" s="2" t="s">
        <v>10</v>
      </c>
    </row>
    <row r="3920" ht="14.25" customHeight="1">
      <c r="A3920" s="1" t="s">
        <v>3402</v>
      </c>
      <c r="B3920" s="1" t="s">
        <v>20</v>
      </c>
      <c r="C3920" s="2" t="s">
        <v>530</v>
      </c>
      <c r="D3920" s="2">
        <v>7.6</v>
      </c>
      <c r="E3920" s="2">
        <v>2017.0</v>
      </c>
      <c r="F3920" s="2">
        <v>2017.0</v>
      </c>
      <c r="G3920" s="2" t="s">
        <v>10</v>
      </c>
    </row>
    <row r="3921" ht="14.25" customHeight="1">
      <c r="A3921" s="1" t="s">
        <v>3403</v>
      </c>
      <c r="B3921" s="1" t="s">
        <v>20</v>
      </c>
      <c r="C3921" s="2" t="s">
        <v>1616</v>
      </c>
      <c r="D3921" s="2">
        <v>7.6</v>
      </c>
      <c r="E3921" s="2">
        <v>2016.0</v>
      </c>
      <c r="F3921" s="2" t="s">
        <v>10</v>
      </c>
      <c r="G3921" s="2" t="s">
        <v>10</v>
      </c>
    </row>
    <row r="3922" ht="14.25" customHeight="1">
      <c r="A3922" s="1" t="s">
        <v>3404</v>
      </c>
      <c r="B3922" s="1" t="s">
        <v>20</v>
      </c>
      <c r="C3922" s="2" t="s">
        <v>36</v>
      </c>
      <c r="D3922" s="2">
        <v>7.6</v>
      </c>
      <c r="E3922" s="2">
        <v>1931.0</v>
      </c>
      <c r="F3922" s="2" t="s">
        <v>10</v>
      </c>
      <c r="G3922" s="2" t="s">
        <v>10</v>
      </c>
    </row>
    <row r="3923" ht="14.25" customHeight="1">
      <c r="A3923" s="1" t="s">
        <v>3405</v>
      </c>
      <c r="B3923" s="1" t="s">
        <v>20</v>
      </c>
      <c r="C3923" s="2" t="s">
        <v>1240</v>
      </c>
      <c r="D3923" s="2">
        <v>7.6</v>
      </c>
      <c r="E3923" s="2">
        <v>2016.0</v>
      </c>
      <c r="F3923" s="2" t="s">
        <v>10</v>
      </c>
      <c r="G3923" s="2" t="s">
        <v>10</v>
      </c>
    </row>
    <row r="3924" ht="14.25" customHeight="1">
      <c r="A3924" s="1" t="s">
        <v>3406</v>
      </c>
      <c r="B3924" s="1" t="s">
        <v>20</v>
      </c>
      <c r="C3924" s="2" t="s">
        <v>3407</v>
      </c>
      <c r="D3924" s="2">
        <v>7.6</v>
      </c>
      <c r="E3924" s="2">
        <v>1966.0</v>
      </c>
      <c r="F3924" s="2" t="s">
        <v>10</v>
      </c>
      <c r="G3924" s="2" t="s">
        <v>10</v>
      </c>
    </row>
    <row r="3925" ht="14.25" customHeight="1">
      <c r="A3925" s="1" t="s">
        <v>3408</v>
      </c>
      <c r="B3925" s="1" t="s">
        <v>20</v>
      </c>
      <c r="C3925" s="2" t="s">
        <v>3409</v>
      </c>
      <c r="D3925" s="2">
        <v>7.6</v>
      </c>
      <c r="E3925" s="2">
        <v>2000.0</v>
      </c>
      <c r="F3925" s="2" t="s">
        <v>10</v>
      </c>
      <c r="G3925" s="2" t="s">
        <v>10</v>
      </c>
    </row>
    <row r="3926" ht="14.25" customHeight="1">
      <c r="A3926" s="1" t="s">
        <v>3410</v>
      </c>
      <c r="B3926" s="1" t="s">
        <v>20</v>
      </c>
      <c r="C3926" s="2" t="s">
        <v>187</v>
      </c>
      <c r="D3926" s="2">
        <v>7.6</v>
      </c>
      <c r="E3926" s="2">
        <v>2011.0</v>
      </c>
      <c r="F3926" s="2">
        <v>2011.0</v>
      </c>
      <c r="G3926" s="2" t="s">
        <v>10</v>
      </c>
    </row>
    <row r="3927" ht="14.25" customHeight="1">
      <c r="A3927" s="1" t="s">
        <v>3411</v>
      </c>
      <c r="B3927" s="1" t="s">
        <v>20</v>
      </c>
      <c r="C3927" s="2" t="s">
        <v>63</v>
      </c>
      <c r="D3927" s="2">
        <v>7.6</v>
      </c>
      <c r="E3927" s="2">
        <v>1985.0</v>
      </c>
      <c r="F3927" s="2" t="s">
        <v>10</v>
      </c>
      <c r="G3927" s="2" t="s">
        <v>10</v>
      </c>
    </row>
    <row r="3928" ht="14.25" customHeight="1">
      <c r="A3928" s="1" t="s">
        <v>3412</v>
      </c>
      <c r="B3928" s="1" t="s">
        <v>20</v>
      </c>
      <c r="C3928" s="2" t="s">
        <v>36</v>
      </c>
      <c r="D3928" s="2">
        <v>7.6</v>
      </c>
      <c r="E3928" s="2">
        <v>2003.0</v>
      </c>
      <c r="F3928" s="2" t="s">
        <v>10</v>
      </c>
      <c r="G3928" s="2">
        <v>1760000.0</v>
      </c>
    </row>
    <row r="3929" ht="14.25" customHeight="1">
      <c r="A3929" s="1" t="s">
        <v>3412</v>
      </c>
      <c r="B3929" s="1" t="s">
        <v>20</v>
      </c>
      <c r="C3929" s="2" t="s">
        <v>36</v>
      </c>
      <c r="D3929" s="2">
        <v>7.6</v>
      </c>
      <c r="E3929" s="2">
        <v>2003.0</v>
      </c>
      <c r="F3929" s="2" t="s">
        <v>10</v>
      </c>
      <c r="G3929" s="2">
        <v>1390000.0</v>
      </c>
    </row>
    <row r="3930" ht="14.25" customHeight="1">
      <c r="A3930" s="1" t="s">
        <v>3413</v>
      </c>
      <c r="B3930" s="1" t="s">
        <v>8</v>
      </c>
      <c r="C3930" s="2" t="s">
        <v>468</v>
      </c>
      <c r="D3930" s="2">
        <v>7.6</v>
      </c>
      <c r="E3930" s="2">
        <v>2015.0</v>
      </c>
      <c r="F3930" s="2" t="s">
        <v>10</v>
      </c>
      <c r="G3930" s="2" t="s">
        <v>10</v>
      </c>
    </row>
    <row r="3931" ht="14.25" customHeight="1">
      <c r="A3931" s="1" t="s">
        <v>3414</v>
      </c>
      <c r="B3931" s="1" t="s">
        <v>20</v>
      </c>
      <c r="C3931" s="2" t="s">
        <v>1105</v>
      </c>
      <c r="D3931" s="2">
        <v>7.6</v>
      </c>
      <c r="E3931" s="2">
        <v>1950.0</v>
      </c>
      <c r="F3931" s="2" t="s">
        <v>10</v>
      </c>
      <c r="G3931" s="2" t="s">
        <v>10</v>
      </c>
    </row>
    <row r="3932" ht="14.25" customHeight="1">
      <c r="A3932" s="1" t="s">
        <v>3415</v>
      </c>
      <c r="B3932" s="1" t="s">
        <v>20</v>
      </c>
      <c r="C3932" s="2" t="s">
        <v>154</v>
      </c>
      <c r="D3932" s="2">
        <v>7.6</v>
      </c>
      <c r="E3932" s="2">
        <v>2012.0</v>
      </c>
      <c r="F3932" s="2" t="s">
        <v>10</v>
      </c>
      <c r="G3932" s="2" t="s">
        <v>10</v>
      </c>
    </row>
    <row r="3933" ht="14.25" customHeight="1">
      <c r="A3933" s="1" t="s">
        <v>3145</v>
      </c>
      <c r="B3933" s="1" t="s">
        <v>20</v>
      </c>
      <c r="C3933" s="2" t="s">
        <v>1932</v>
      </c>
      <c r="D3933" s="2">
        <v>7.6</v>
      </c>
      <c r="E3933" s="2">
        <v>1957.0</v>
      </c>
      <c r="F3933" s="2" t="s">
        <v>10</v>
      </c>
      <c r="G3933" s="2" t="s">
        <v>10</v>
      </c>
    </row>
    <row r="3934" ht="14.25" customHeight="1">
      <c r="A3934" s="1" t="s">
        <v>3416</v>
      </c>
      <c r="B3934" s="1" t="s">
        <v>8</v>
      </c>
      <c r="C3934" s="2" t="s">
        <v>756</v>
      </c>
      <c r="D3934" s="2">
        <v>7.6</v>
      </c>
      <c r="E3934" s="2">
        <v>1969.0</v>
      </c>
      <c r="F3934" s="2" t="s">
        <v>10</v>
      </c>
      <c r="G3934" s="2" t="s">
        <v>10</v>
      </c>
    </row>
    <row r="3935" ht="14.25" customHeight="1">
      <c r="A3935" s="1" t="s">
        <v>3417</v>
      </c>
      <c r="B3935" s="1" t="s">
        <v>8</v>
      </c>
      <c r="C3935" s="2" t="s">
        <v>25</v>
      </c>
      <c r="D3935" s="2">
        <v>7.6</v>
      </c>
      <c r="E3935" s="2">
        <v>1989.0</v>
      </c>
      <c r="F3935" s="2" t="s">
        <v>10</v>
      </c>
      <c r="G3935" s="2" t="s">
        <v>10</v>
      </c>
    </row>
    <row r="3936" ht="14.25" customHeight="1">
      <c r="A3936" s="1" t="s">
        <v>3418</v>
      </c>
      <c r="B3936" s="1" t="s">
        <v>8</v>
      </c>
      <c r="C3936" s="2" t="s">
        <v>40</v>
      </c>
      <c r="D3936" s="2">
        <v>7.6</v>
      </c>
      <c r="E3936" s="2">
        <v>2020.0</v>
      </c>
      <c r="F3936" s="2" t="s">
        <v>10</v>
      </c>
      <c r="G3936" s="2" t="s">
        <v>10</v>
      </c>
    </row>
    <row r="3937" ht="14.25" customHeight="1">
      <c r="A3937" s="1" t="s">
        <v>3419</v>
      </c>
      <c r="B3937" s="1" t="s">
        <v>20</v>
      </c>
      <c r="C3937" s="2" t="s">
        <v>284</v>
      </c>
      <c r="D3937" s="2">
        <v>7.6</v>
      </c>
      <c r="E3937" s="2">
        <v>1947.0</v>
      </c>
      <c r="F3937" s="2" t="s">
        <v>10</v>
      </c>
      <c r="G3937" s="2" t="s">
        <v>10</v>
      </c>
    </row>
    <row r="3938" ht="14.25" customHeight="1">
      <c r="A3938" s="1" t="s">
        <v>3420</v>
      </c>
      <c r="B3938" s="1" t="s">
        <v>20</v>
      </c>
      <c r="C3938" s="2" t="s">
        <v>63</v>
      </c>
      <c r="D3938" s="2">
        <v>7.6</v>
      </c>
      <c r="E3938" s="2">
        <v>2017.0</v>
      </c>
      <c r="F3938" s="2" t="s">
        <v>10</v>
      </c>
      <c r="G3938" s="2" t="s">
        <v>10</v>
      </c>
    </row>
    <row r="3939" ht="14.25" customHeight="1">
      <c r="A3939" s="1" t="s">
        <v>3421</v>
      </c>
      <c r="B3939" s="1" t="s">
        <v>20</v>
      </c>
      <c r="C3939" s="2" t="s">
        <v>1401</v>
      </c>
      <c r="D3939" s="2">
        <v>7.6</v>
      </c>
      <c r="E3939" s="2">
        <v>2012.0</v>
      </c>
      <c r="F3939" s="2" t="s">
        <v>10</v>
      </c>
      <c r="G3939" s="2" t="s">
        <v>10</v>
      </c>
    </row>
    <row r="3940" ht="14.25" customHeight="1">
      <c r="A3940" s="1" t="s">
        <v>3422</v>
      </c>
      <c r="B3940" s="1" t="s">
        <v>8</v>
      </c>
      <c r="C3940" s="2" t="s">
        <v>3423</v>
      </c>
      <c r="D3940" s="2">
        <v>7.6</v>
      </c>
      <c r="E3940" s="2">
        <v>2008.0</v>
      </c>
      <c r="F3940" s="2">
        <v>2008.0</v>
      </c>
      <c r="G3940" s="2" t="s">
        <v>10</v>
      </c>
    </row>
    <row r="3941" ht="14.25" customHeight="1">
      <c r="A3941" s="1" t="s">
        <v>3424</v>
      </c>
      <c r="B3941" s="1" t="s">
        <v>20</v>
      </c>
      <c r="C3941" s="2" t="s">
        <v>282</v>
      </c>
      <c r="D3941" s="2">
        <v>7.6</v>
      </c>
      <c r="E3941" s="2">
        <v>1999.0</v>
      </c>
      <c r="F3941" s="2" t="s">
        <v>10</v>
      </c>
      <c r="G3941" s="2" t="s">
        <v>10</v>
      </c>
    </row>
    <row r="3942" ht="14.25" customHeight="1">
      <c r="A3942" s="1" t="s">
        <v>3425</v>
      </c>
      <c r="B3942" s="1" t="s">
        <v>20</v>
      </c>
      <c r="C3942" s="2" t="s">
        <v>130</v>
      </c>
      <c r="D3942" s="2">
        <v>7.6</v>
      </c>
      <c r="E3942" s="2">
        <v>1987.0</v>
      </c>
      <c r="F3942" s="2">
        <v>1987.0</v>
      </c>
      <c r="G3942" s="2" t="s">
        <v>10</v>
      </c>
    </row>
    <row r="3943" ht="14.25" customHeight="1">
      <c r="A3943" s="1" t="s">
        <v>3426</v>
      </c>
      <c r="B3943" s="1" t="s">
        <v>20</v>
      </c>
      <c r="C3943" s="2" t="s">
        <v>18</v>
      </c>
      <c r="D3943" s="2">
        <v>7.6</v>
      </c>
      <c r="E3943" s="2">
        <v>1967.0</v>
      </c>
      <c r="F3943" s="2" t="s">
        <v>10</v>
      </c>
      <c r="G3943" s="2" t="s">
        <v>10</v>
      </c>
    </row>
    <row r="3944" ht="14.25" customHeight="1">
      <c r="A3944" s="1" t="s">
        <v>3427</v>
      </c>
      <c r="B3944" s="1" t="s">
        <v>8</v>
      </c>
      <c r="C3944" s="2" t="s">
        <v>69</v>
      </c>
      <c r="D3944" s="2">
        <v>7.6</v>
      </c>
      <c r="E3944" s="2">
        <v>2016.0</v>
      </c>
      <c r="F3944" s="2" t="s">
        <v>10</v>
      </c>
      <c r="G3944" s="2" t="s">
        <v>10</v>
      </c>
    </row>
    <row r="3945" ht="14.25" customHeight="1">
      <c r="A3945" s="1" t="s">
        <v>3428</v>
      </c>
      <c r="B3945" s="1" t="s">
        <v>20</v>
      </c>
      <c r="C3945" s="2" t="s">
        <v>18</v>
      </c>
      <c r="D3945" s="2">
        <v>7.6</v>
      </c>
      <c r="E3945" s="2">
        <v>2008.0</v>
      </c>
      <c r="F3945" s="2" t="s">
        <v>10</v>
      </c>
      <c r="G3945" s="2" t="s">
        <v>10</v>
      </c>
    </row>
    <row r="3946" ht="14.25" customHeight="1">
      <c r="A3946" s="1" t="s">
        <v>3429</v>
      </c>
      <c r="B3946" s="1" t="s">
        <v>20</v>
      </c>
      <c r="C3946" s="2" t="s">
        <v>311</v>
      </c>
      <c r="D3946" s="2">
        <v>7.6</v>
      </c>
      <c r="E3946" s="2">
        <v>2018.0</v>
      </c>
      <c r="F3946" s="2" t="s">
        <v>10</v>
      </c>
      <c r="G3946" s="2" t="s">
        <v>10</v>
      </c>
    </row>
    <row r="3947" ht="14.25" customHeight="1">
      <c r="A3947" s="1" t="s">
        <v>363</v>
      </c>
      <c r="B3947" s="1" t="s">
        <v>8</v>
      </c>
      <c r="C3947" s="2" t="s">
        <v>53</v>
      </c>
      <c r="D3947" s="2">
        <v>7.6</v>
      </c>
      <c r="E3947" s="2">
        <v>2013.0</v>
      </c>
      <c r="F3947" s="2">
        <v>2017.0</v>
      </c>
      <c r="G3947" s="2" t="s">
        <v>10</v>
      </c>
    </row>
    <row r="3948" ht="14.25" customHeight="1">
      <c r="A3948" s="1" t="s">
        <v>3430</v>
      </c>
      <c r="B3948" s="1" t="s">
        <v>20</v>
      </c>
      <c r="C3948" s="2" t="s">
        <v>455</v>
      </c>
      <c r="D3948" s="2">
        <v>7.6</v>
      </c>
      <c r="E3948" s="2">
        <v>1957.0</v>
      </c>
      <c r="F3948" s="2" t="s">
        <v>10</v>
      </c>
      <c r="G3948" s="2" t="s">
        <v>10</v>
      </c>
    </row>
    <row r="3949" ht="14.25" customHeight="1">
      <c r="A3949" s="1" t="s">
        <v>3431</v>
      </c>
      <c r="B3949" s="1" t="s">
        <v>20</v>
      </c>
      <c r="C3949" s="2" t="s">
        <v>87</v>
      </c>
      <c r="D3949" s="2">
        <v>7.6</v>
      </c>
      <c r="E3949" s="2">
        <v>2005.0</v>
      </c>
      <c r="F3949" s="2" t="s">
        <v>10</v>
      </c>
      <c r="G3949" s="2" t="s">
        <v>10</v>
      </c>
    </row>
    <row r="3950" ht="14.25" customHeight="1">
      <c r="A3950" s="1" t="s">
        <v>3432</v>
      </c>
      <c r="B3950" s="1" t="s">
        <v>20</v>
      </c>
      <c r="C3950" s="2" t="s">
        <v>1060</v>
      </c>
      <c r="D3950" s="2">
        <v>7.6</v>
      </c>
      <c r="E3950" s="2">
        <v>1998.0</v>
      </c>
      <c r="F3950" s="2" t="s">
        <v>10</v>
      </c>
      <c r="G3950" s="2" t="s">
        <v>10</v>
      </c>
    </row>
    <row r="3951" ht="14.25" customHeight="1">
      <c r="A3951" s="1" t="s">
        <v>3433</v>
      </c>
      <c r="B3951" s="1" t="s">
        <v>20</v>
      </c>
      <c r="C3951" s="2" t="s">
        <v>249</v>
      </c>
      <c r="D3951" s="2">
        <v>7.6</v>
      </c>
      <c r="E3951" s="2">
        <v>1954.0</v>
      </c>
      <c r="F3951" s="2" t="s">
        <v>10</v>
      </c>
      <c r="G3951" s="2" t="s">
        <v>10</v>
      </c>
    </row>
    <row r="3952" ht="14.25" customHeight="1">
      <c r="A3952" s="1" t="s">
        <v>3434</v>
      </c>
      <c r="B3952" s="1" t="s">
        <v>20</v>
      </c>
      <c r="C3952" s="2" t="s">
        <v>461</v>
      </c>
      <c r="D3952" s="2">
        <v>7.6</v>
      </c>
      <c r="E3952" s="2">
        <v>1942.0</v>
      </c>
      <c r="F3952" s="2" t="s">
        <v>10</v>
      </c>
      <c r="G3952" s="2" t="s">
        <v>10</v>
      </c>
    </row>
    <row r="3953" ht="14.25" customHeight="1">
      <c r="A3953" s="1" t="s">
        <v>3435</v>
      </c>
      <c r="B3953" s="1" t="s">
        <v>20</v>
      </c>
      <c r="C3953" s="2" t="s">
        <v>361</v>
      </c>
      <c r="D3953" s="2">
        <v>7.6</v>
      </c>
      <c r="E3953" s="2">
        <v>1994.0</v>
      </c>
      <c r="F3953" s="2">
        <v>1994.0</v>
      </c>
      <c r="G3953" s="2" t="s">
        <v>10</v>
      </c>
    </row>
    <row r="3954" ht="14.25" customHeight="1">
      <c r="A3954" s="1" t="s">
        <v>3436</v>
      </c>
      <c r="B3954" s="1" t="s">
        <v>20</v>
      </c>
      <c r="C3954" s="2" t="s">
        <v>55</v>
      </c>
      <c r="D3954" s="2">
        <v>7.6</v>
      </c>
      <c r="E3954" s="2">
        <v>1976.0</v>
      </c>
      <c r="F3954" s="2" t="s">
        <v>10</v>
      </c>
      <c r="G3954" s="2" t="s">
        <v>10</v>
      </c>
    </row>
    <row r="3955" ht="14.25" customHeight="1">
      <c r="A3955" s="1" t="s">
        <v>3437</v>
      </c>
      <c r="B3955" s="1" t="s">
        <v>20</v>
      </c>
      <c r="C3955" s="2" t="s">
        <v>2075</v>
      </c>
      <c r="D3955" s="2">
        <v>7.6</v>
      </c>
      <c r="E3955" s="2">
        <v>2006.0</v>
      </c>
      <c r="F3955" s="2" t="s">
        <v>10</v>
      </c>
      <c r="G3955" s="2" t="s">
        <v>10</v>
      </c>
    </row>
    <row r="3956" ht="14.25" customHeight="1">
      <c r="A3956" s="1" t="s">
        <v>3438</v>
      </c>
      <c r="B3956" s="1" t="s">
        <v>8</v>
      </c>
      <c r="C3956" s="2" t="s">
        <v>55</v>
      </c>
      <c r="D3956" s="2">
        <v>7.6</v>
      </c>
      <c r="E3956" s="2">
        <v>2014.0</v>
      </c>
      <c r="F3956" s="2" t="s">
        <v>10</v>
      </c>
      <c r="G3956" s="2" t="s">
        <v>10</v>
      </c>
    </row>
    <row r="3957" ht="14.25" customHeight="1">
      <c r="A3957" s="1" t="s">
        <v>3439</v>
      </c>
      <c r="B3957" s="1" t="s">
        <v>20</v>
      </c>
      <c r="C3957" s="2" t="s">
        <v>25</v>
      </c>
      <c r="D3957" s="2">
        <v>7.6</v>
      </c>
      <c r="E3957" s="2">
        <v>2015.0</v>
      </c>
      <c r="F3957" s="2" t="s">
        <v>10</v>
      </c>
      <c r="G3957" s="2" t="s">
        <v>10</v>
      </c>
    </row>
    <row r="3958" ht="14.25" customHeight="1">
      <c r="A3958" s="1" t="s">
        <v>3440</v>
      </c>
      <c r="B3958" s="1" t="s">
        <v>20</v>
      </c>
      <c r="C3958" s="2" t="s">
        <v>154</v>
      </c>
      <c r="D3958" s="2">
        <v>7.6</v>
      </c>
      <c r="E3958" s="2">
        <v>2018.0</v>
      </c>
      <c r="F3958" s="2" t="s">
        <v>10</v>
      </c>
      <c r="G3958" s="2" t="s">
        <v>10</v>
      </c>
    </row>
    <row r="3959" ht="14.25" customHeight="1">
      <c r="A3959" s="1" t="s">
        <v>3441</v>
      </c>
      <c r="B3959" s="1" t="s">
        <v>8</v>
      </c>
      <c r="C3959" s="2" t="s">
        <v>299</v>
      </c>
      <c r="D3959" s="2">
        <v>7.6</v>
      </c>
      <c r="E3959" s="2">
        <v>2020.0</v>
      </c>
      <c r="F3959" s="2" t="s">
        <v>10</v>
      </c>
      <c r="G3959" s="2" t="s">
        <v>10</v>
      </c>
    </row>
    <row r="3960" ht="14.25" customHeight="1">
      <c r="A3960" s="1" t="s">
        <v>3442</v>
      </c>
      <c r="B3960" s="1" t="s">
        <v>20</v>
      </c>
      <c r="C3960" s="2" t="s">
        <v>34</v>
      </c>
      <c r="D3960" s="2">
        <v>7.6</v>
      </c>
      <c r="E3960" s="2">
        <v>1978.0</v>
      </c>
      <c r="F3960" s="2" t="s">
        <v>10</v>
      </c>
      <c r="G3960" s="2" t="s">
        <v>10</v>
      </c>
    </row>
    <row r="3961" ht="14.25" customHeight="1">
      <c r="A3961" s="1" t="s">
        <v>2866</v>
      </c>
      <c r="B3961" s="1" t="s">
        <v>20</v>
      </c>
      <c r="C3961" s="2" t="s">
        <v>18</v>
      </c>
      <c r="D3961" s="2">
        <v>7.6</v>
      </c>
      <c r="E3961" s="2">
        <v>1948.0</v>
      </c>
      <c r="F3961" s="2" t="s">
        <v>10</v>
      </c>
      <c r="G3961" s="2" t="s">
        <v>10</v>
      </c>
    </row>
    <row r="3962" ht="14.25" customHeight="1">
      <c r="A3962" s="1" t="s">
        <v>3443</v>
      </c>
      <c r="B3962" s="1" t="s">
        <v>8</v>
      </c>
      <c r="C3962" s="2" t="s">
        <v>25</v>
      </c>
      <c r="D3962" s="2">
        <v>7.6</v>
      </c>
      <c r="E3962" s="2">
        <v>2007.0</v>
      </c>
      <c r="F3962" s="2" t="s">
        <v>10</v>
      </c>
      <c r="G3962" s="2" t="s">
        <v>10</v>
      </c>
    </row>
    <row r="3963" ht="14.25" customHeight="1">
      <c r="A3963" s="1" t="s">
        <v>3444</v>
      </c>
      <c r="B3963" s="1" t="s">
        <v>20</v>
      </c>
      <c r="C3963" s="2" t="s">
        <v>516</v>
      </c>
      <c r="D3963" s="2">
        <v>7.6</v>
      </c>
      <c r="E3963" s="2">
        <v>1955.0</v>
      </c>
      <c r="F3963" s="2" t="s">
        <v>10</v>
      </c>
      <c r="G3963" s="2" t="s">
        <v>10</v>
      </c>
    </row>
    <row r="3964" ht="14.25" customHeight="1">
      <c r="A3964" s="1" t="s">
        <v>3445</v>
      </c>
      <c r="B3964" s="1" t="s">
        <v>20</v>
      </c>
      <c r="C3964" s="2" t="s">
        <v>25</v>
      </c>
      <c r="D3964" s="2">
        <v>7.6</v>
      </c>
      <c r="E3964" s="2">
        <v>2014.0</v>
      </c>
      <c r="F3964" s="2" t="s">
        <v>10</v>
      </c>
      <c r="G3964" s="2" t="s">
        <v>10</v>
      </c>
    </row>
    <row r="3965" ht="14.25" customHeight="1">
      <c r="A3965" s="1" t="s">
        <v>3446</v>
      </c>
      <c r="B3965" s="1" t="s">
        <v>20</v>
      </c>
      <c r="C3965" s="2" t="s">
        <v>60</v>
      </c>
      <c r="D3965" s="2">
        <v>7.6</v>
      </c>
      <c r="E3965" s="2">
        <v>2018.0</v>
      </c>
      <c r="F3965" s="2" t="s">
        <v>10</v>
      </c>
      <c r="G3965" s="2" t="s">
        <v>10</v>
      </c>
    </row>
    <row r="3966" ht="14.25" customHeight="1">
      <c r="A3966" s="1" t="s">
        <v>3447</v>
      </c>
      <c r="B3966" s="1" t="s">
        <v>20</v>
      </c>
      <c r="C3966" s="2" t="s">
        <v>3448</v>
      </c>
      <c r="D3966" s="2">
        <v>7.6</v>
      </c>
      <c r="E3966" s="2">
        <v>1988.0</v>
      </c>
      <c r="F3966" s="2" t="s">
        <v>10</v>
      </c>
      <c r="G3966" s="2" t="s">
        <v>10</v>
      </c>
    </row>
    <row r="3967" ht="14.25" customHeight="1">
      <c r="A3967" s="1" t="s">
        <v>589</v>
      </c>
      <c r="B3967" s="1" t="s">
        <v>20</v>
      </c>
      <c r="C3967" s="2" t="s">
        <v>36</v>
      </c>
      <c r="D3967" s="2">
        <v>7.6</v>
      </c>
      <c r="E3967" s="2">
        <v>1958.0</v>
      </c>
      <c r="F3967" s="2" t="s">
        <v>10</v>
      </c>
      <c r="G3967" s="2" t="s">
        <v>10</v>
      </c>
    </row>
    <row r="3968" ht="14.25" customHeight="1">
      <c r="A3968" s="1" t="s">
        <v>3449</v>
      </c>
      <c r="B3968" s="1" t="s">
        <v>20</v>
      </c>
      <c r="C3968" s="2" t="s">
        <v>9</v>
      </c>
      <c r="D3968" s="2">
        <v>7.6</v>
      </c>
      <c r="E3968" s="2">
        <v>2017.0</v>
      </c>
      <c r="F3968" s="2" t="s">
        <v>10</v>
      </c>
      <c r="G3968" s="2" t="s">
        <v>10</v>
      </c>
    </row>
    <row r="3969" ht="14.25" customHeight="1">
      <c r="A3969" s="1" t="s">
        <v>3450</v>
      </c>
      <c r="B3969" s="1" t="s">
        <v>20</v>
      </c>
      <c r="C3969" s="2" t="s">
        <v>844</v>
      </c>
      <c r="D3969" s="2">
        <v>7.6</v>
      </c>
      <c r="E3969" s="2">
        <v>1944.0</v>
      </c>
      <c r="F3969" s="2">
        <v>2021.0</v>
      </c>
      <c r="G3969" s="2" t="s">
        <v>10</v>
      </c>
    </row>
    <row r="3970" ht="14.25" customHeight="1">
      <c r="A3970" s="1" t="s">
        <v>3451</v>
      </c>
      <c r="B3970" s="1" t="s">
        <v>20</v>
      </c>
      <c r="C3970" s="2" t="s">
        <v>18</v>
      </c>
      <c r="D3970" s="2">
        <v>7.6</v>
      </c>
      <c r="E3970" s="2">
        <v>2021.0</v>
      </c>
      <c r="F3970" s="2" t="s">
        <v>10</v>
      </c>
      <c r="G3970" s="2" t="s">
        <v>10</v>
      </c>
    </row>
    <row r="3971" ht="14.25" customHeight="1">
      <c r="A3971" s="1" t="s">
        <v>3452</v>
      </c>
      <c r="B3971" s="1" t="s">
        <v>20</v>
      </c>
      <c r="C3971" s="2" t="s">
        <v>69</v>
      </c>
      <c r="D3971" s="2">
        <v>7.6</v>
      </c>
      <c r="E3971" s="2">
        <v>2000.0</v>
      </c>
      <c r="F3971" s="2" t="s">
        <v>10</v>
      </c>
      <c r="G3971" s="2" t="s">
        <v>10</v>
      </c>
    </row>
    <row r="3972" ht="14.25" customHeight="1">
      <c r="A3972" s="1" t="s">
        <v>3453</v>
      </c>
      <c r="B3972" s="1" t="s">
        <v>8</v>
      </c>
      <c r="C3972" s="2" t="s">
        <v>25</v>
      </c>
      <c r="D3972" s="2">
        <v>7.6</v>
      </c>
      <c r="E3972" s="2">
        <v>1991.0</v>
      </c>
      <c r="F3972" s="2" t="s">
        <v>10</v>
      </c>
      <c r="G3972" s="2" t="s">
        <v>10</v>
      </c>
    </row>
    <row r="3973" ht="14.25" customHeight="1">
      <c r="A3973" s="1" t="s">
        <v>3454</v>
      </c>
      <c r="B3973" s="1" t="s">
        <v>20</v>
      </c>
      <c r="C3973" s="2" t="s">
        <v>611</v>
      </c>
      <c r="D3973" s="2">
        <v>7.6</v>
      </c>
      <c r="E3973" s="2">
        <v>2022.0</v>
      </c>
      <c r="F3973" s="2" t="s">
        <v>10</v>
      </c>
      <c r="G3973" s="2" t="s">
        <v>10</v>
      </c>
    </row>
    <row r="3974" ht="14.25" customHeight="1">
      <c r="A3974" s="1" t="s">
        <v>3455</v>
      </c>
      <c r="B3974" s="1" t="s">
        <v>8</v>
      </c>
      <c r="C3974" s="2" t="s">
        <v>262</v>
      </c>
      <c r="D3974" s="2">
        <v>7.6</v>
      </c>
      <c r="E3974" s="2">
        <v>2020.0</v>
      </c>
      <c r="F3974" s="2">
        <v>2020.0</v>
      </c>
      <c r="G3974" s="2" t="s">
        <v>10</v>
      </c>
    </row>
    <row r="3975" ht="14.25" customHeight="1">
      <c r="A3975" s="1" t="s">
        <v>3456</v>
      </c>
      <c r="B3975" s="1" t="s">
        <v>8</v>
      </c>
      <c r="C3975" s="2" t="s">
        <v>69</v>
      </c>
      <c r="D3975" s="2">
        <v>7.6</v>
      </c>
      <c r="E3975" s="2">
        <v>2013.0</v>
      </c>
      <c r="F3975" s="2" t="s">
        <v>10</v>
      </c>
      <c r="G3975" s="2" t="s">
        <v>10</v>
      </c>
    </row>
    <row r="3976" ht="14.25" customHeight="1">
      <c r="A3976" s="1" t="s">
        <v>3457</v>
      </c>
      <c r="B3976" s="1" t="s">
        <v>20</v>
      </c>
      <c r="C3976" s="2" t="s">
        <v>63</v>
      </c>
      <c r="D3976" s="2">
        <v>7.6</v>
      </c>
      <c r="E3976" s="2">
        <v>1997.0</v>
      </c>
      <c r="F3976" s="2" t="s">
        <v>10</v>
      </c>
      <c r="G3976" s="2" t="s">
        <v>10</v>
      </c>
    </row>
    <row r="3977" ht="14.25" customHeight="1">
      <c r="A3977" s="1" t="s">
        <v>3458</v>
      </c>
      <c r="B3977" s="1" t="s">
        <v>8</v>
      </c>
      <c r="C3977" s="2" t="s">
        <v>9</v>
      </c>
      <c r="D3977" s="2">
        <v>7.6</v>
      </c>
      <c r="E3977" s="2">
        <v>2021.0</v>
      </c>
      <c r="F3977" s="2" t="s">
        <v>10</v>
      </c>
      <c r="G3977" s="2" t="s">
        <v>10</v>
      </c>
    </row>
    <row r="3978" ht="14.25" customHeight="1">
      <c r="A3978" s="1" t="s">
        <v>3459</v>
      </c>
      <c r="B3978" s="1" t="s">
        <v>20</v>
      </c>
      <c r="C3978" s="2" t="s">
        <v>207</v>
      </c>
      <c r="D3978" s="2">
        <v>7.6</v>
      </c>
      <c r="E3978" s="2">
        <v>2016.0</v>
      </c>
      <c r="F3978" s="2" t="s">
        <v>10</v>
      </c>
      <c r="G3978" s="2" t="s">
        <v>10</v>
      </c>
    </row>
    <row r="3979" ht="14.25" customHeight="1">
      <c r="A3979" s="1" t="s">
        <v>3460</v>
      </c>
      <c r="B3979" s="1" t="s">
        <v>20</v>
      </c>
      <c r="C3979" s="2" t="s">
        <v>18</v>
      </c>
      <c r="D3979" s="2">
        <v>7.6</v>
      </c>
      <c r="E3979" s="2">
        <v>1989.0</v>
      </c>
      <c r="F3979" s="2" t="s">
        <v>10</v>
      </c>
      <c r="G3979" s="2" t="s">
        <v>10</v>
      </c>
    </row>
    <row r="3980" ht="14.25" customHeight="1">
      <c r="A3980" s="1" t="s">
        <v>3461</v>
      </c>
      <c r="B3980" s="1" t="s">
        <v>20</v>
      </c>
      <c r="C3980" s="2" t="s">
        <v>3462</v>
      </c>
      <c r="D3980" s="2">
        <v>7.6</v>
      </c>
      <c r="E3980" s="2">
        <v>2019.0</v>
      </c>
      <c r="F3980" s="2">
        <v>2019.0</v>
      </c>
      <c r="G3980" s="2" t="s">
        <v>10</v>
      </c>
    </row>
    <row r="3981" ht="14.25" customHeight="1">
      <c r="A3981" s="1" t="s">
        <v>3463</v>
      </c>
      <c r="B3981" s="1" t="s">
        <v>20</v>
      </c>
      <c r="C3981" s="2" t="s">
        <v>36</v>
      </c>
      <c r="D3981" s="2">
        <v>7.6</v>
      </c>
      <c r="E3981" s="2">
        <v>2005.0</v>
      </c>
      <c r="F3981" s="2">
        <v>2018.0</v>
      </c>
      <c r="G3981" s="2" t="s">
        <v>10</v>
      </c>
    </row>
    <row r="3982" ht="14.25" customHeight="1">
      <c r="A3982" s="1" t="s">
        <v>3464</v>
      </c>
      <c r="B3982" s="1" t="s">
        <v>20</v>
      </c>
      <c r="C3982" s="2" t="s">
        <v>163</v>
      </c>
      <c r="D3982" s="2">
        <v>7.6</v>
      </c>
      <c r="E3982" s="2">
        <v>2023.0</v>
      </c>
      <c r="F3982" s="2" t="s">
        <v>10</v>
      </c>
      <c r="G3982" s="2" t="s">
        <v>10</v>
      </c>
    </row>
    <row r="3983" ht="14.25" customHeight="1">
      <c r="A3983" s="1" t="s">
        <v>3465</v>
      </c>
      <c r="B3983" s="1" t="s">
        <v>8</v>
      </c>
      <c r="C3983" s="2" t="s">
        <v>3466</v>
      </c>
      <c r="D3983" s="2">
        <v>7.6</v>
      </c>
      <c r="E3983" s="2">
        <v>2020.0</v>
      </c>
      <c r="F3983" s="2">
        <v>2020.0</v>
      </c>
      <c r="G3983" s="2" t="s">
        <v>10</v>
      </c>
    </row>
    <row r="3984" ht="14.25" customHeight="1">
      <c r="A3984" s="1" t="s">
        <v>3467</v>
      </c>
      <c r="B3984" s="1" t="s">
        <v>20</v>
      </c>
      <c r="C3984" s="2" t="s">
        <v>187</v>
      </c>
      <c r="D3984" s="2">
        <v>7.6</v>
      </c>
      <c r="E3984" s="2">
        <v>1993.0</v>
      </c>
      <c r="F3984" s="2" t="s">
        <v>10</v>
      </c>
      <c r="G3984" s="2" t="s">
        <v>10</v>
      </c>
    </row>
    <row r="3985" ht="14.25" customHeight="1">
      <c r="A3985" s="1" t="s">
        <v>3468</v>
      </c>
      <c r="B3985" s="1" t="s">
        <v>20</v>
      </c>
      <c r="C3985" s="2" t="s">
        <v>3469</v>
      </c>
      <c r="D3985" s="2">
        <v>7.6</v>
      </c>
      <c r="E3985" s="2">
        <v>1922.0</v>
      </c>
      <c r="F3985" s="2" t="s">
        <v>10</v>
      </c>
      <c r="G3985" s="2" t="s">
        <v>10</v>
      </c>
    </row>
    <row r="3986" ht="14.25" customHeight="1">
      <c r="A3986" s="1" t="s">
        <v>3470</v>
      </c>
      <c r="B3986" s="1" t="s">
        <v>20</v>
      </c>
      <c r="C3986" s="2" t="s">
        <v>187</v>
      </c>
      <c r="D3986" s="2">
        <v>7.6</v>
      </c>
      <c r="E3986" s="2">
        <v>2003.0</v>
      </c>
      <c r="F3986" s="2" t="s">
        <v>10</v>
      </c>
      <c r="G3986" s="2" t="s">
        <v>10</v>
      </c>
    </row>
    <row r="3987" ht="14.25" customHeight="1">
      <c r="A3987" s="1" t="s">
        <v>3471</v>
      </c>
      <c r="B3987" s="1" t="s">
        <v>8</v>
      </c>
      <c r="C3987" s="2" t="s">
        <v>9</v>
      </c>
      <c r="D3987" s="2">
        <v>7.6</v>
      </c>
      <c r="E3987" s="2">
        <v>2018.0</v>
      </c>
      <c r="F3987" s="2" t="s">
        <v>10</v>
      </c>
      <c r="G3987" s="2" t="s">
        <v>10</v>
      </c>
    </row>
    <row r="3988" ht="14.25" customHeight="1">
      <c r="A3988" s="1" t="s">
        <v>3472</v>
      </c>
      <c r="B3988" s="1" t="s">
        <v>8</v>
      </c>
      <c r="C3988" s="2" t="s">
        <v>822</v>
      </c>
      <c r="D3988" s="2">
        <v>7.6</v>
      </c>
      <c r="E3988" s="2">
        <v>2021.0</v>
      </c>
      <c r="F3988" s="2" t="s">
        <v>10</v>
      </c>
      <c r="G3988" s="2" t="s">
        <v>10</v>
      </c>
    </row>
    <row r="3989" ht="14.25" customHeight="1">
      <c r="A3989" s="1" t="s">
        <v>3473</v>
      </c>
      <c r="B3989" s="1" t="s">
        <v>20</v>
      </c>
      <c r="C3989" s="2" t="s">
        <v>1316</v>
      </c>
      <c r="D3989" s="2">
        <v>7.6</v>
      </c>
      <c r="E3989" s="2">
        <v>1942.0</v>
      </c>
      <c r="F3989" s="2" t="s">
        <v>10</v>
      </c>
      <c r="G3989" s="2" t="s">
        <v>10</v>
      </c>
    </row>
    <row r="3990" ht="14.25" customHeight="1">
      <c r="A3990" s="1" t="s">
        <v>3474</v>
      </c>
      <c r="B3990" s="1" t="s">
        <v>20</v>
      </c>
      <c r="C3990" s="2" t="s">
        <v>154</v>
      </c>
      <c r="D3990" s="2">
        <v>7.6</v>
      </c>
      <c r="E3990" s="2">
        <v>1955.0</v>
      </c>
      <c r="F3990" s="2" t="s">
        <v>10</v>
      </c>
      <c r="G3990" s="2" t="s">
        <v>10</v>
      </c>
    </row>
    <row r="3991" ht="14.25" customHeight="1">
      <c r="A3991" s="1" t="s">
        <v>3475</v>
      </c>
      <c r="B3991" s="1" t="s">
        <v>20</v>
      </c>
      <c r="C3991" s="2" t="s">
        <v>69</v>
      </c>
      <c r="D3991" s="2">
        <v>7.6</v>
      </c>
      <c r="E3991" s="2">
        <v>1973.0</v>
      </c>
      <c r="F3991" s="2" t="s">
        <v>10</v>
      </c>
      <c r="G3991" s="2" t="s">
        <v>10</v>
      </c>
    </row>
    <row r="3992" ht="14.25" customHeight="1">
      <c r="A3992" s="1" t="s">
        <v>3476</v>
      </c>
      <c r="B3992" s="1" t="s">
        <v>8</v>
      </c>
      <c r="C3992" s="2" t="s">
        <v>203</v>
      </c>
      <c r="D3992" s="2">
        <v>7.6</v>
      </c>
      <c r="E3992" s="2">
        <v>2010.0</v>
      </c>
      <c r="F3992" s="2">
        <v>2010.0</v>
      </c>
      <c r="G3992" s="2" t="s">
        <v>10</v>
      </c>
    </row>
    <row r="3993" ht="14.25" customHeight="1">
      <c r="A3993" s="1" t="s">
        <v>3477</v>
      </c>
      <c r="B3993" s="1" t="s">
        <v>20</v>
      </c>
      <c r="C3993" s="2" t="s">
        <v>2001</v>
      </c>
      <c r="D3993" s="2">
        <v>7.6</v>
      </c>
      <c r="E3993" s="2">
        <v>1953.0</v>
      </c>
      <c r="F3993" s="2" t="s">
        <v>10</v>
      </c>
      <c r="G3993" s="2" t="s">
        <v>10</v>
      </c>
    </row>
    <row r="3994" ht="14.25" customHeight="1">
      <c r="A3994" s="1" t="s">
        <v>3478</v>
      </c>
      <c r="B3994" s="1" t="s">
        <v>20</v>
      </c>
      <c r="C3994" s="2" t="s">
        <v>455</v>
      </c>
      <c r="D3994" s="2">
        <v>7.6</v>
      </c>
      <c r="E3994" s="2">
        <v>1931.0</v>
      </c>
      <c r="F3994" s="2" t="s">
        <v>10</v>
      </c>
      <c r="G3994" s="2" t="s">
        <v>10</v>
      </c>
    </row>
    <row r="3995" ht="14.25" customHeight="1">
      <c r="A3995" s="1" t="s">
        <v>3479</v>
      </c>
      <c r="B3995" s="1" t="s">
        <v>20</v>
      </c>
      <c r="C3995" s="2" t="s">
        <v>282</v>
      </c>
      <c r="D3995" s="2">
        <v>7.6</v>
      </c>
      <c r="E3995" s="2">
        <v>2011.0</v>
      </c>
      <c r="F3995" s="2" t="s">
        <v>10</v>
      </c>
      <c r="G3995" s="2" t="s">
        <v>10</v>
      </c>
    </row>
    <row r="3996" ht="14.25" customHeight="1">
      <c r="A3996" s="1" t="s">
        <v>3480</v>
      </c>
      <c r="B3996" s="1" t="s">
        <v>20</v>
      </c>
      <c r="C3996" s="2" t="s">
        <v>1897</v>
      </c>
      <c r="D3996" s="2">
        <v>7.6</v>
      </c>
      <c r="E3996" s="2">
        <v>1939.0</v>
      </c>
      <c r="F3996" s="2" t="s">
        <v>10</v>
      </c>
      <c r="G3996" s="2" t="s">
        <v>10</v>
      </c>
    </row>
    <row r="3997" ht="14.25" customHeight="1">
      <c r="A3997" s="1" t="s">
        <v>3481</v>
      </c>
      <c r="B3997" s="1" t="s">
        <v>20</v>
      </c>
      <c r="C3997" s="2" t="s">
        <v>12</v>
      </c>
      <c r="D3997" s="2">
        <v>7.6</v>
      </c>
      <c r="E3997" s="2">
        <v>2016.0</v>
      </c>
      <c r="F3997" s="2" t="s">
        <v>10</v>
      </c>
      <c r="G3997" s="2" t="s">
        <v>10</v>
      </c>
    </row>
    <row r="3998" ht="14.25" customHeight="1">
      <c r="A3998" s="1" t="s">
        <v>3482</v>
      </c>
      <c r="B3998" s="1" t="s">
        <v>8</v>
      </c>
      <c r="C3998" s="2" t="s">
        <v>154</v>
      </c>
      <c r="D3998" s="2">
        <v>7.6</v>
      </c>
      <c r="E3998" s="2">
        <v>2008.0</v>
      </c>
      <c r="F3998" s="2" t="s">
        <v>10</v>
      </c>
      <c r="G3998" s="2" t="s">
        <v>10</v>
      </c>
    </row>
    <row r="3999" ht="14.25" customHeight="1">
      <c r="A3999" s="1" t="s">
        <v>3483</v>
      </c>
      <c r="B3999" s="1" t="s">
        <v>20</v>
      </c>
      <c r="C3999" s="2" t="s">
        <v>507</v>
      </c>
      <c r="D3999" s="2">
        <v>7.6</v>
      </c>
      <c r="E3999" s="2">
        <v>2005.0</v>
      </c>
      <c r="F3999" s="2" t="s">
        <v>10</v>
      </c>
      <c r="G3999" s="2" t="s">
        <v>10</v>
      </c>
    </row>
    <row r="4000" ht="14.25" customHeight="1">
      <c r="A4000" s="1" t="s">
        <v>3484</v>
      </c>
      <c r="B4000" s="1" t="s">
        <v>8</v>
      </c>
      <c r="C4000" s="2" t="s">
        <v>9</v>
      </c>
      <c r="D4000" s="2">
        <v>7.6</v>
      </c>
      <c r="E4000" s="2">
        <v>2019.0</v>
      </c>
      <c r="F4000" s="2" t="s">
        <v>10</v>
      </c>
      <c r="G4000" s="2" t="s">
        <v>10</v>
      </c>
    </row>
    <row r="4001" ht="14.25" customHeight="1">
      <c r="A4001" s="1" t="s">
        <v>3485</v>
      </c>
      <c r="B4001" s="1" t="s">
        <v>20</v>
      </c>
      <c r="C4001" s="2" t="s">
        <v>154</v>
      </c>
      <c r="D4001" s="2">
        <v>7.6</v>
      </c>
      <c r="E4001" s="2">
        <v>1991.0</v>
      </c>
      <c r="F4001" s="2" t="s">
        <v>10</v>
      </c>
      <c r="G4001" s="2" t="s">
        <v>10</v>
      </c>
    </row>
    <row r="4002" ht="14.25" customHeight="1">
      <c r="A4002" s="1" t="s">
        <v>3486</v>
      </c>
      <c r="B4002" s="1" t="s">
        <v>8</v>
      </c>
      <c r="C4002" s="2" t="s">
        <v>60</v>
      </c>
      <c r="D4002" s="2">
        <v>7.6</v>
      </c>
      <c r="E4002" s="2">
        <v>1995.0</v>
      </c>
      <c r="F4002" s="2">
        <v>1998.0</v>
      </c>
      <c r="G4002" s="2" t="s">
        <v>10</v>
      </c>
    </row>
    <row r="4003" ht="14.25" customHeight="1">
      <c r="A4003" s="1" t="s">
        <v>3487</v>
      </c>
      <c r="B4003" s="1" t="s">
        <v>20</v>
      </c>
      <c r="C4003" s="2" t="s">
        <v>154</v>
      </c>
      <c r="D4003" s="2">
        <v>7.6</v>
      </c>
      <c r="E4003" s="2">
        <v>2021.0</v>
      </c>
      <c r="F4003" s="2" t="s">
        <v>10</v>
      </c>
      <c r="G4003" s="2">
        <v>2880000.0</v>
      </c>
    </row>
    <row r="4004" ht="14.25" customHeight="1">
      <c r="A4004" s="1" t="s">
        <v>3487</v>
      </c>
      <c r="B4004" s="1" t="s">
        <v>20</v>
      </c>
      <c r="C4004" s="2" t="s">
        <v>154</v>
      </c>
      <c r="D4004" s="2">
        <v>7.6</v>
      </c>
      <c r="E4004" s="2">
        <v>2021.0</v>
      </c>
      <c r="F4004" s="2" t="s">
        <v>10</v>
      </c>
      <c r="G4004" s="2">
        <v>3590000.0</v>
      </c>
    </row>
    <row r="4005" ht="14.25" customHeight="1">
      <c r="A4005" s="1" t="s">
        <v>3488</v>
      </c>
      <c r="B4005" s="1" t="s">
        <v>20</v>
      </c>
      <c r="C4005" s="2" t="s">
        <v>1401</v>
      </c>
      <c r="D4005" s="2">
        <v>7.6</v>
      </c>
      <c r="E4005" s="2">
        <v>2011.0</v>
      </c>
      <c r="F4005" s="2" t="s">
        <v>10</v>
      </c>
      <c r="G4005" s="2" t="s">
        <v>10</v>
      </c>
    </row>
    <row r="4006" ht="14.25" customHeight="1">
      <c r="A4006" s="1">
        <v>12.0</v>
      </c>
      <c r="B4006" s="1" t="s">
        <v>20</v>
      </c>
      <c r="C4006" s="2" t="s">
        <v>9</v>
      </c>
      <c r="D4006" s="2">
        <v>7.6</v>
      </c>
      <c r="E4006" s="2">
        <v>2007.0</v>
      </c>
      <c r="F4006" s="2" t="s">
        <v>10</v>
      </c>
      <c r="G4006" s="2" t="s">
        <v>10</v>
      </c>
    </row>
    <row r="4007" ht="14.25" customHeight="1">
      <c r="A4007" s="1" t="s">
        <v>3489</v>
      </c>
      <c r="B4007" s="1" t="s">
        <v>8</v>
      </c>
      <c r="C4007" s="2" t="s">
        <v>305</v>
      </c>
      <c r="D4007" s="2">
        <v>7.6</v>
      </c>
      <c r="E4007" s="2">
        <v>2000.0</v>
      </c>
      <c r="F4007" s="2" t="s">
        <v>10</v>
      </c>
      <c r="G4007" s="2" t="s">
        <v>10</v>
      </c>
    </row>
    <row r="4008" ht="14.25" customHeight="1">
      <c r="A4008" s="1" t="s">
        <v>3490</v>
      </c>
      <c r="B4008" s="1" t="s">
        <v>20</v>
      </c>
      <c r="C4008" s="2" t="s">
        <v>844</v>
      </c>
      <c r="D4008" s="2">
        <v>7.6</v>
      </c>
      <c r="E4008" s="2">
        <v>1950.0</v>
      </c>
      <c r="F4008" s="2" t="s">
        <v>10</v>
      </c>
      <c r="G4008" s="2" t="s">
        <v>10</v>
      </c>
    </row>
    <row r="4009" ht="14.25" customHeight="1">
      <c r="A4009" s="1" t="s">
        <v>3491</v>
      </c>
      <c r="B4009" s="1" t="s">
        <v>8</v>
      </c>
      <c r="C4009" s="2" t="s">
        <v>53</v>
      </c>
      <c r="D4009" s="2">
        <v>7.6</v>
      </c>
      <c r="E4009" s="2">
        <v>2013.0</v>
      </c>
      <c r="F4009" s="2">
        <v>2016.0</v>
      </c>
      <c r="G4009" s="2" t="s">
        <v>10</v>
      </c>
    </row>
    <row r="4010" ht="14.25" customHeight="1">
      <c r="A4010" s="1" t="s">
        <v>3492</v>
      </c>
      <c r="B4010" s="1" t="s">
        <v>20</v>
      </c>
      <c r="C4010" s="2" t="s">
        <v>2024</v>
      </c>
      <c r="D4010" s="2">
        <v>7.6</v>
      </c>
      <c r="E4010" s="2">
        <v>1945.0</v>
      </c>
      <c r="F4010" s="2" t="s">
        <v>10</v>
      </c>
      <c r="G4010" s="2" t="s">
        <v>10</v>
      </c>
    </row>
    <row r="4011" ht="14.25" customHeight="1">
      <c r="A4011" s="1" t="s">
        <v>3493</v>
      </c>
      <c r="B4011" s="1" t="s">
        <v>8</v>
      </c>
      <c r="C4011" s="2" t="s">
        <v>25</v>
      </c>
      <c r="D4011" s="2">
        <v>7.6</v>
      </c>
      <c r="E4011" s="2">
        <v>2015.0</v>
      </c>
      <c r="F4011" s="2" t="s">
        <v>10</v>
      </c>
      <c r="G4011" s="2" t="s">
        <v>10</v>
      </c>
    </row>
    <row r="4012" ht="14.25" customHeight="1">
      <c r="A4012" s="1" t="s">
        <v>3494</v>
      </c>
      <c r="B4012" s="1" t="s">
        <v>20</v>
      </c>
      <c r="C4012" s="2" t="s">
        <v>187</v>
      </c>
      <c r="D4012" s="2">
        <v>7.6</v>
      </c>
      <c r="E4012" s="2">
        <v>1941.0</v>
      </c>
      <c r="F4012" s="2" t="s">
        <v>10</v>
      </c>
      <c r="G4012" s="2" t="s">
        <v>10</v>
      </c>
    </row>
    <row r="4013" ht="14.25" customHeight="1">
      <c r="A4013" s="1" t="s">
        <v>3495</v>
      </c>
      <c r="B4013" s="1" t="s">
        <v>20</v>
      </c>
      <c r="C4013" s="2" t="s">
        <v>87</v>
      </c>
      <c r="D4013" s="2">
        <v>7.6</v>
      </c>
      <c r="E4013" s="2">
        <v>2022.0</v>
      </c>
      <c r="F4013" s="2" t="s">
        <v>10</v>
      </c>
      <c r="G4013" s="2" t="s">
        <v>10</v>
      </c>
    </row>
    <row r="4014" ht="14.25" customHeight="1">
      <c r="A4014" s="1" t="s">
        <v>3496</v>
      </c>
      <c r="B4014" s="1" t="s">
        <v>20</v>
      </c>
      <c r="C4014" s="2" t="s">
        <v>584</v>
      </c>
      <c r="D4014" s="2">
        <v>7.6</v>
      </c>
      <c r="E4014" s="2">
        <v>2022.0</v>
      </c>
      <c r="F4014" s="2" t="s">
        <v>10</v>
      </c>
      <c r="G4014" s="2" t="s">
        <v>10</v>
      </c>
    </row>
    <row r="4015" ht="14.25" customHeight="1">
      <c r="A4015" s="1" t="s">
        <v>3497</v>
      </c>
      <c r="B4015" s="1" t="s">
        <v>20</v>
      </c>
      <c r="C4015" s="2" t="s">
        <v>299</v>
      </c>
      <c r="D4015" s="2">
        <v>7.6</v>
      </c>
      <c r="E4015" s="2">
        <v>2016.0</v>
      </c>
      <c r="F4015" s="2">
        <v>2016.0</v>
      </c>
      <c r="G4015" s="2" t="s">
        <v>10</v>
      </c>
    </row>
    <row r="4016" ht="14.25" customHeight="1">
      <c r="A4016" s="1" t="s">
        <v>3498</v>
      </c>
      <c r="B4016" s="1" t="s">
        <v>20</v>
      </c>
      <c r="C4016" s="2" t="s">
        <v>584</v>
      </c>
      <c r="D4016" s="2">
        <v>7.6</v>
      </c>
      <c r="E4016" s="2">
        <v>2018.0</v>
      </c>
      <c r="F4016" s="2" t="s">
        <v>10</v>
      </c>
      <c r="G4016" s="2" t="s">
        <v>10</v>
      </c>
    </row>
    <row r="4017" ht="14.25" customHeight="1">
      <c r="A4017" s="1" t="s">
        <v>1693</v>
      </c>
      <c r="B4017" s="1" t="s">
        <v>8</v>
      </c>
      <c r="C4017" s="2" t="s">
        <v>428</v>
      </c>
      <c r="D4017" s="2">
        <v>7.6</v>
      </c>
      <c r="E4017" s="2">
        <v>2023.0</v>
      </c>
      <c r="F4017" s="2" t="s">
        <v>10</v>
      </c>
      <c r="G4017" s="2" t="s">
        <v>10</v>
      </c>
    </row>
    <row r="4018" ht="14.25" customHeight="1">
      <c r="A4018" s="1" t="s">
        <v>3499</v>
      </c>
      <c r="B4018" s="1" t="s">
        <v>8</v>
      </c>
      <c r="C4018" s="2" t="s">
        <v>262</v>
      </c>
      <c r="D4018" s="2">
        <v>7.6</v>
      </c>
      <c r="E4018" s="2">
        <v>2018.0</v>
      </c>
      <c r="F4018" s="2">
        <v>2021.0</v>
      </c>
      <c r="G4018" s="2">
        <v>1.083E7</v>
      </c>
    </row>
    <row r="4019" ht="14.25" customHeight="1">
      <c r="A4019" s="1" t="s">
        <v>3499</v>
      </c>
      <c r="B4019" s="1" t="s">
        <v>8</v>
      </c>
      <c r="C4019" s="2" t="s">
        <v>262</v>
      </c>
      <c r="D4019" s="2">
        <v>7.6</v>
      </c>
      <c r="E4019" s="2">
        <v>2018.0</v>
      </c>
      <c r="F4019" s="2">
        <v>2021.0</v>
      </c>
      <c r="G4019" s="2">
        <v>1.876E7</v>
      </c>
    </row>
    <row r="4020" ht="14.25" customHeight="1">
      <c r="A4020" s="1" t="s">
        <v>3499</v>
      </c>
      <c r="B4020" s="1" t="s">
        <v>8</v>
      </c>
      <c r="C4020" s="2" t="s">
        <v>262</v>
      </c>
      <c r="D4020" s="2">
        <v>7.6</v>
      </c>
      <c r="E4020" s="2">
        <v>2018.0</v>
      </c>
      <c r="F4020" s="2">
        <v>2021.0</v>
      </c>
      <c r="G4020" s="2">
        <v>1.805E7</v>
      </c>
    </row>
    <row r="4021" ht="14.25" customHeight="1">
      <c r="A4021" s="1" t="s">
        <v>3499</v>
      </c>
      <c r="B4021" s="1" t="s">
        <v>8</v>
      </c>
      <c r="C4021" s="2" t="s">
        <v>262</v>
      </c>
      <c r="D4021" s="2">
        <v>7.6</v>
      </c>
      <c r="E4021" s="2">
        <v>2018.0</v>
      </c>
      <c r="F4021" s="2">
        <v>2021.0</v>
      </c>
      <c r="G4021" s="2">
        <v>2.669E7</v>
      </c>
    </row>
    <row r="4022" ht="14.25" customHeight="1">
      <c r="A4022" s="1" t="s">
        <v>3499</v>
      </c>
      <c r="B4022" s="1" t="s">
        <v>8</v>
      </c>
      <c r="C4022" s="2" t="s">
        <v>262</v>
      </c>
      <c r="D4022" s="2">
        <v>7.6</v>
      </c>
      <c r="E4022" s="2">
        <v>2018.0</v>
      </c>
      <c r="F4022" s="2">
        <v>2021.0</v>
      </c>
      <c r="G4022" s="2">
        <v>3.064E7</v>
      </c>
    </row>
    <row r="4023" ht="14.25" customHeight="1">
      <c r="A4023" s="1" t="s">
        <v>3499</v>
      </c>
      <c r="B4023" s="1" t="s">
        <v>8</v>
      </c>
      <c r="C4023" s="2" t="s">
        <v>262</v>
      </c>
      <c r="D4023" s="2">
        <v>7.6</v>
      </c>
      <c r="E4023" s="2">
        <v>2018.0</v>
      </c>
      <c r="F4023" s="2">
        <v>2021.0</v>
      </c>
      <c r="G4023" s="2">
        <v>1.048E7</v>
      </c>
    </row>
    <row r="4024" ht="14.25" customHeight="1">
      <c r="A4024" s="1" t="s">
        <v>3499</v>
      </c>
      <c r="B4024" s="1" t="s">
        <v>8</v>
      </c>
      <c r="C4024" s="2" t="s">
        <v>262</v>
      </c>
      <c r="D4024" s="2">
        <v>7.6</v>
      </c>
      <c r="E4024" s="2">
        <v>2018.0</v>
      </c>
      <c r="F4024" s="2">
        <v>2021.0</v>
      </c>
      <c r="G4024" s="2">
        <v>1.499E7</v>
      </c>
    </row>
    <row r="4025" ht="14.25" customHeight="1">
      <c r="A4025" s="1" t="s">
        <v>3499</v>
      </c>
      <c r="B4025" s="1" t="s">
        <v>8</v>
      </c>
      <c r="C4025" s="2" t="s">
        <v>262</v>
      </c>
      <c r="D4025" s="2">
        <v>7.6</v>
      </c>
      <c r="E4025" s="2">
        <v>2018.0</v>
      </c>
      <c r="F4025" s="2">
        <v>2021.0</v>
      </c>
      <c r="G4025" s="2">
        <v>2.087E7</v>
      </c>
    </row>
    <row r="4026" ht="14.25" customHeight="1">
      <c r="A4026" s="1" t="s">
        <v>3499</v>
      </c>
      <c r="B4026" s="1" t="s">
        <v>8</v>
      </c>
      <c r="C4026" s="2" t="s">
        <v>262</v>
      </c>
      <c r="D4026" s="2">
        <v>7.6</v>
      </c>
      <c r="E4026" s="2">
        <v>2018.0</v>
      </c>
      <c r="F4026" s="2">
        <v>2021.0</v>
      </c>
      <c r="G4026" s="2">
        <v>3.302E7</v>
      </c>
    </row>
    <row r="4027" ht="14.25" customHeight="1">
      <c r="A4027" s="1" t="s">
        <v>3499</v>
      </c>
      <c r="B4027" s="1" t="s">
        <v>8</v>
      </c>
      <c r="C4027" s="2" t="s">
        <v>262</v>
      </c>
      <c r="D4027" s="2">
        <v>7.6</v>
      </c>
      <c r="E4027" s="2">
        <v>2018.0</v>
      </c>
      <c r="F4027" s="2">
        <v>2021.0</v>
      </c>
      <c r="G4027" s="2">
        <v>4.397E7</v>
      </c>
    </row>
    <row r="4028" ht="14.25" customHeight="1">
      <c r="A4028" s="1" t="s">
        <v>3500</v>
      </c>
      <c r="B4028" s="1" t="s">
        <v>20</v>
      </c>
      <c r="C4028" s="2" t="s">
        <v>132</v>
      </c>
      <c r="D4028" s="2">
        <v>7.6</v>
      </c>
      <c r="E4028" s="2">
        <v>2015.0</v>
      </c>
      <c r="F4028" s="2">
        <v>2015.0</v>
      </c>
      <c r="G4028" s="2" t="s">
        <v>10</v>
      </c>
    </row>
    <row r="4029" ht="14.25" customHeight="1">
      <c r="A4029" s="1" t="s">
        <v>3501</v>
      </c>
      <c r="B4029" s="1" t="s">
        <v>8</v>
      </c>
      <c r="C4029" s="2" t="s">
        <v>154</v>
      </c>
      <c r="D4029" s="2">
        <v>7.6</v>
      </c>
      <c r="E4029" s="2">
        <v>2001.0</v>
      </c>
      <c r="F4029" s="2" t="s">
        <v>10</v>
      </c>
      <c r="G4029" s="2" t="s">
        <v>10</v>
      </c>
    </row>
    <row r="4030" ht="14.25" customHeight="1">
      <c r="A4030" s="1" t="s">
        <v>3502</v>
      </c>
      <c r="B4030" s="1" t="s">
        <v>8</v>
      </c>
      <c r="C4030" s="2" t="s">
        <v>530</v>
      </c>
      <c r="D4030" s="2">
        <v>7.6</v>
      </c>
      <c r="E4030" s="2">
        <v>2020.0</v>
      </c>
      <c r="F4030" s="2">
        <v>2020.0</v>
      </c>
      <c r="G4030" s="2" t="s">
        <v>10</v>
      </c>
    </row>
    <row r="4031" ht="14.25" customHeight="1">
      <c r="A4031" s="1" t="s">
        <v>3503</v>
      </c>
      <c r="B4031" s="1" t="s">
        <v>8</v>
      </c>
      <c r="C4031" s="2" t="s">
        <v>231</v>
      </c>
      <c r="D4031" s="2">
        <v>7.6</v>
      </c>
      <c r="E4031" s="2">
        <v>2019.0</v>
      </c>
      <c r="F4031" s="2" t="s">
        <v>10</v>
      </c>
      <c r="G4031" s="2" t="s">
        <v>10</v>
      </c>
    </row>
    <row r="4032" ht="14.25" customHeight="1">
      <c r="A4032" s="1" t="s">
        <v>3504</v>
      </c>
      <c r="B4032" s="1" t="s">
        <v>20</v>
      </c>
      <c r="C4032" s="2" t="s">
        <v>154</v>
      </c>
      <c r="D4032" s="2">
        <v>7.6</v>
      </c>
      <c r="E4032" s="2">
        <v>2019.0</v>
      </c>
      <c r="F4032" s="2" t="s">
        <v>10</v>
      </c>
      <c r="G4032" s="2" t="s">
        <v>10</v>
      </c>
    </row>
    <row r="4033" ht="14.25" customHeight="1">
      <c r="A4033" s="1" t="s">
        <v>3505</v>
      </c>
      <c r="B4033" s="1" t="s">
        <v>20</v>
      </c>
      <c r="C4033" s="2" t="s">
        <v>78</v>
      </c>
      <c r="D4033" s="2">
        <v>7.6</v>
      </c>
      <c r="E4033" s="2">
        <v>1937.0</v>
      </c>
      <c r="F4033" s="2" t="s">
        <v>10</v>
      </c>
      <c r="G4033" s="2" t="s">
        <v>10</v>
      </c>
    </row>
    <row r="4034" ht="14.25" customHeight="1">
      <c r="A4034" s="1" t="s">
        <v>3506</v>
      </c>
      <c r="B4034" s="1" t="s">
        <v>20</v>
      </c>
      <c r="C4034" s="2" t="s">
        <v>299</v>
      </c>
      <c r="D4034" s="2">
        <v>7.6</v>
      </c>
      <c r="E4034" s="2">
        <v>1971.0</v>
      </c>
      <c r="F4034" s="2" t="s">
        <v>10</v>
      </c>
      <c r="G4034" s="2" t="s">
        <v>10</v>
      </c>
    </row>
    <row r="4035" ht="14.25" customHeight="1">
      <c r="A4035" s="1" t="s">
        <v>3507</v>
      </c>
      <c r="B4035" s="1" t="s">
        <v>20</v>
      </c>
      <c r="C4035" s="2" t="s">
        <v>1784</v>
      </c>
      <c r="D4035" s="2">
        <v>7.6</v>
      </c>
      <c r="E4035" s="2">
        <v>2015.0</v>
      </c>
      <c r="F4035" s="2">
        <v>2016.0</v>
      </c>
      <c r="G4035" s="2" t="s">
        <v>10</v>
      </c>
    </row>
    <row r="4036" ht="14.25" customHeight="1">
      <c r="A4036" s="1" t="s">
        <v>3508</v>
      </c>
      <c r="B4036" s="1" t="s">
        <v>8</v>
      </c>
      <c r="C4036" s="2" t="s">
        <v>530</v>
      </c>
      <c r="D4036" s="2">
        <v>7.6</v>
      </c>
      <c r="E4036" s="2">
        <v>2011.0</v>
      </c>
      <c r="F4036" s="2" t="s">
        <v>10</v>
      </c>
      <c r="G4036" s="2" t="s">
        <v>10</v>
      </c>
    </row>
    <row r="4037" ht="14.25" customHeight="1">
      <c r="A4037" s="1" t="s">
        <v>3509</v>
      </c>
      <c r="B4037" s="1" t="s">
        <v>8</v>
      </c>
      <c r="C4037" s="2" t="s">
        <v>40</v>
      </c>
      <c r="D4037" s="2">
        <v>7.6</v>
      </c>
      <c r="E4037" s="2">
        <v>2010.0</v>
      </c>
      <c r="F4037" s="2" t="s">
        <v>10</v>
      </c>
      <c r="G4037" s="2" t="s">
        <v>10</v>
      </c>
    </row>
    <row r="4038" ht="14.25" customHeight="1">
      <c r="A4038" s="1" t="s">
        <v>3510</v>
      </c>
      <c r="B4038" s="1" t="s">
        <v>20</v>
      </c>
      <c r="C4038" s="2" t="s">
        <v>18</v>
      </c>
      <c r="D4038" s="2">
        <v>7.6</v>
      </c>
      <c r="E4038" s="2">
        <v>1968.0</v>
      </c>
      <c r="F4038" s="2" t="s">
        <v>10</v>
      </c>
      <c r="G4038" s="2" t="s">
        <v>10</v>
      </c>
    </row>
    <row r="4039" ht="14.25" customHeight="1">
      <c r="A4039" s="1" t="s">
        <v>3511</v>
      </c>
      <c r="B4039" s="1" t="s">
        <v>8</v>
      </c>
      <c r="C4039" s="2" t="s">
        <v>53</v>
      </c>
      <c r="D4039" s="2">
        <v>7.6</v>
      </c>
      <c r="E4039" s="2">
        <v>2023.0</v>
      </c>
      <c r="F4039" s="2" t="s">
        <v>10</v>
      </c>
      <c r="G4039" s="2" t="s">
        <v>10</v>
      </c>
    </row>
    <row r="4040" ht="14.25" customHeight="1">
      <c r="A4040" s="1" t="s">
        <v>3512</v>
      </c>
      <c r="B4040" s="1" t="s">
        <v>20</v>
      </c>
      <c r="C4040" s="2" t="s">
        <v>80</v>
      </c>
      <c r="D4040" s="2">
        <v>7.6</v>
      </c>
      <c r="E4040" s="2">
        <v>1969.0</v>
      </c>
      <c r="F4040" s="2" t="s">
        <v>10</v>
      </c>
      <c r="G4040" s="2" t="s">
        <v>10</v>
      </c>
    </row>
    <row r="4041" ht="14.25" customHeight="1">
      <c r="A4041" s="1" t="s">
        <v>1582</v>
      </c>
      <c r="B4041" s="1" t="s">
        <v>20</v>
      </c>
      <c r="C4041" s="2" t="s">
        <v>18</v>
      </c>
      <c r="D4041" s="2">
        <v>7.6</v>
      </c>
      <c r="E4041" s="2">
        <v>1985.0</v>
      </c>
      <c r="F4041" s="2">
        <v>2019.0</v>
      </c>
      <c r="G4041" s="2" t="s">
        <v>10</v>
      </c>
    </row>
    <row r="4042" ht="14.25" customHeight="1">
      <c r="A4042" s="1" t="s">
        <v>654</v>
      </c>
      <c r="B4042" s="1" t="s">
        <v>20</v>
      </c>
      <c r="C4042" s="2" t="s">
        <v>591</v>
      </c>
      <c r="D4042" s="2">
        <v>7.6</v>
      </c>
      <c r="E4042" s="2">
        <v>1998.0</v>
      </c>
      <c r="F4042" s="2">
        <v>2020.0</v>
      </c>
      <c r="G4042" s="2" t="s">
        <v>10</v>
      </c>
    </row>
    <row r="4043" ht="14.25" customHeight="1">
      <c r="A4043" s="1" t="s">
        <v>3513</v>
      </c>
      <c r="B4043" s="1" t="s">
        <v>20</v>
      </c>
      <c r="C4043" s="2" t="s">
        <v>192</v>
      </c>
      <c r="D4043" s="2">
        <v>7.6</v>
      </c>
      <c r="E4043" s="2">
        <v>2019.0</v>
      </c>
      <c r="F4043" s="2" t="s">
        <v>10</v>
      </c>
      <c r="G4043" s="2" t="s">
        <v>10</v>
      </c>
    </row>
    <row r="4044" ht="14.25" customHeight="1">
      <c r="A4044" s="1" t="s">
        <v>3514</v>
      </c>
      <c r="B4044" s="1" t="s">
        <v>20</v>
      </c>
      <c r="C4044" s="2" t="s">
        <v>18</v>
      </c>
      <c r="D4044" s="2">
        <v>7.6</v>
      </c>
      <c r="E4044" s="2">
        <v>2023.0</v>
      </c>
      <c r="F4044" s="2" t="s">
        <v>10</v>
      </c>
      <c r="G4044" s="2" t="s">
        <v>10</v>
      </c>
    </row>
    <row r="4045" ht="14.25" customHeight="1">
      <c r="A4045" s="1" t="s">
        <v>3515</v>
      </c>
      <c r="B4045" s="1" t="s">
        <v>20</v>
      </c>
      <c r="C4045" s="2" t="s">
        <v>187</v>
      </c>
      <c r="D4045" s="2">
        <v>7.6</v>
      </c>
      <c r="E4045" s="2">
        <v>1966.0</v>
      </c>
      <c r="F4045" s="2" t="s">
        <v>10</v>
      </c>
      <c r="G4045" s="2" t="s">
        <v>10</v>
      </c>
    </row>
    <row r="4046" ht="14.25" customHeight="1">
      <c r="A4046" s="1" t="s">
        <v>3516</v>
      </c>
      <c r="B4046" s="1" t="s">
        <v>20</v>
      </c>
      <c r="C4046" s="2" t="s">
        <v>1240</v>
      </c>
      <c r="D4046" s="2">
        <v>7.6</v>
      </c>
      <c r="E4046" s="2">
        <v>2024.0</v>
      </c>
      <c r="F4046" s="2" t="s">
        <v>10</v>
      </c>
      <c r="G4046" s="2" t="s">
        <v>10</v>
      </c>
    </row>
    <row r="4047" ht="14.25" customHeight="1">
      <c r="A4047" s="1" t="s">
        <v>3517</v>
      </c>
      <c r="B4047" s="1" t="s">
        <v>20</v>
      </c>
      <c r="C4047" s="2" t="s">
        <v>1336</v>
      </c>
      <c r="D4047" s="2">
        <v>7.6</v>
      </c>
      <c r="E4047" s="2">
        <v>1977.0</v>
      </c>
      <c r="F4047" s="2" t="s">
        <v>10</v>
      </c>
      <c r="G4047" s="2" t="s">
        <v>10</v>
      </c>
    </row>
    <row r="4048" ht="14.25" customHeight="1">
      <c r="A4048" s="1" t="s">
        <v>3518</v>
      </c>
      <c r="B4048" s="1" t="s">
        <v>8</v>
      </c>
      <c r="C4048" s="2" t="s">
        <v>530</v>
      </c>
      <c r="D4048" s="2">
        <v>7.6</v>
      </c>
      <c r="E4048" s="2">
        <v>2016.0</v>
      </c>
      <c r="F4048" s="2">
        <v>2014.0</v>
      </c>
      <c r="G4048" s="2" t="s">
        <v>10</v>
      </c>
    </row>
    <row r="4049" ht="14.25" customHeight="1">
      <c r="A4049" s="1" t="s">
        <v>3519</v>
      </c>
      <c r="B4049" s="1" t="s">
        <v>20</v>
      </c>
      <c r="C4049" s="2" t="s">
        <v>80</v>
      </c>
      <c r="D4049" s="2">
        <v>7.6</v>
      </c>
      <c r="E4049" s="2">
        <v>1964.0</v>
      </c>
      <c r="F4049" s="2" t="s">
        <v>10</v>
      </c>
      <c r="G4049" s="2" t="s">
        <v>10</v>
      </c>
    </row>
    <row r="4050" ht="14.25" customHeight="1">
      <c r="A4050" s="1" t="s">
        <v>3520</v>
      </c>
      <c r="B4050" s="1" t="s">
        <v>8</v>
      </c>
      <c r="C4050" s="2" t="s">
        <v>3521</v>
      </c>
      <c r="D4050" s="2">
        <v>7.6</v>
      </c>
      <c r="E4050" s="2">
        <v>2012.0</v>
      </c>
      <c r="F4050" s="2" t="s">
        <v>10</v>
      </c>
      <c r="G4050" s="2" t="s">
        <v>10</v>
      </c>
    </row>
    <row r="4051" ht="14.25" customHeight="1">
      <c r="A4051" s="1" t="s">
        <v>3522</v>
      </c>
      <c r="B4051" s="1" t="s">
        <v>20</v>
      </c>
      <c r="C4051" s="2" t="s">
        <v>1060</v>
      </c>
      <c r="D4051" s="2">
        <v>7.6</v>
      </c>
      <c r="E4051" s="2">
        <v>2006.0</v>
      </c>
      <c r="F4051" s="2" t="s">
        <v>10</v>
      </c>
      <c r="G4051" s="2" t="s">
        <v>10</v>
      </c>
    </row>
    <row r="4052" ht="14.25" customHeight="1">
      <c r="A4052" s="1" t="s">
        <v>3523</v>
      </c>
      <c r="B4052" s="1" t="s">
        <v>20</v>
      </c>
      <c r="C4052" s="2" t="s">
        <v>18</v>
      </c>
      <c r="D4052" s="2">
        <v>7.6</v>
      </c>
      <c r="E4052" s="2">
        <v>2024.0</v>
      </c>
      <c r="F4052" s="2" t="s">
        <v>10</v>
      </c>
      <c r="G4052" s="2" t="s">
        <v>10</v>
      </c>
    </row>
    <row r="4053" ht="14.25" customHeight="1">
      <c r="A4053" s="1" t="s">
        <v>3524</v>
      </c>
      <c r="B4053" s="1" t="s">
        <v>20</v>
      </c>
      <c r="C4053" s="2" t="s">
        <v>12</v>
      </c>
      <c r="D4053" s="2">
        <v>7.6</v>
      </c>
      <c r="E4053" s="2">
        <v>1922.0</v>
      </c>
      <c r="F4053" s="2" t="s">
        <v>10</v>
      </c>
      <c r="G4053" s="2" t="s">
        <v>10</v>
      </c>
    </row>
    <row r="4054" ht="14.25" customHeight="1">
      <c r="A4054" s="1" t="s">
        <v>3525</v>
      </c>
      <c r="B4054" s="1" t="s">
        <v>20</v>
      </c>
      <c r="C4054" s="2" t="s">
        <v>12</v>
      </c>
      <c r="D4054" s="2">
        <v>7.6</v>
      </c>
      <c r="E4054" s="2">
        <v>2012.0</v>
      </c>
      <c r="F4054" s="2" t="s">
        <v>10</v>
      </c>
      <c r="G4054" s="2" t="s">
        <v>10</v>
      </c>
    </row>
    <row r="4055" ht="14.25" customHeight="1">
      <c r="A4055" s="1" t="s">
        <v>3526</v>
      </c>
      <c r="B4055" s="1" t="s">
        <v>20</v>
      </c>
      <c r="C4055" s="2" t="s">
        <v>192</v>
      </c>
      <c r="D4055" s="2">
        <v>7.6</v>
      </c>
      <c r="E4055" s="2">
        <v>1948.0</v>
      </c>
      <c r="F4055" s="2" t="s">
        <v>10</v>
      </c>
      <c r="G4055" s="2" t="s">
        <v>10</v>
      </c>
    </row>
    <row r="4056" ht="14.25" customHeight="1">
      <c r="A4056" s="1" t="s">
        <v>3527</v>
      </c>
      <c r="B4056" s="1" t="s">
        <v>20</v>
      </c>
      <c r="C4056" s="2" t="s">
        <v>9</v>
      </c>
      <c r="D4056" s="2">
        <v>7.6</v>
      </c>
      <c r="E4056" s="2">
        <v>1956.0</v>
      </c>
      <c r="F4056" s="2" t="s">
        <v>10</v>
      </c>
      <c r="G4056" s="2" t="s">
        <v>10</v>
      </c>
    </row>
    <row r="4057" ht="14.25" customHeight="1">
      <c r="A4057" s="1" t="s">
        <v>3528</v>
      </c>
      <c r="B4057" s="1" t="s">
        <v>20</v>
      </c>
      <c r="C4057" s="2" t="s">
        <v>282</v>
      </c>
      <c r="D4057" s="2">
        <v>7.6</v>
      </c>
      <c r="E4057" s="2">
        <v>2008.0</v>
      </c>
      <c r="F4057" s="2" t="s">
        <v>10</v>
      </c>
      <c r="G4057" s="2" t="s">
        <v>10</v>
      </c>
    </row>
    <row r="4058" ht="14.25" customHeight="1">
      <c r="A4058" s="1" t="s">
        <v>3529</v>
      </c>
      <c r="B4058" s="1" t="s">
        <v>20</v>
      </c>
      <c r="C4058" s="2" t="s">
        <v>3530</v>
      </c>
      <c r="D4058" s="2">
        <v>7.6</v>
      </c>
      <c r="E4058" s="2">
        <v>2014.0</v>
      </c>
      <c r="F4058" s="2">
        <v>2014.0</v>
      </c>
      <c r="G4058" s="2" t="s">
        <v>10</v>
      </c>
    </row>
    <row r="4059" ht="14.25" customHeight="1">
      <c r="A4059" s="1" t="s">
        <v>3531</v>
      </c>
      <c r="B4059" s="1" t="s">
        <v>20</v>
      </c>
      <c r="C4059" s="2" t="s">
        <v>36</v>
      </c>
      <c r="D4059" s="2">
        <v>7.6</v>
      </c>
      <c r="E4059" s="2">
        <v>1979.0</v>
      </c>
      <c r="F4059" s="2" t="s">
        <v>10</v>
      </c>
      <c r="G4059" s="2" t="s">
        <v>10</v>
      </c>
    </row>
    <row r="4060" ht="14.25" customHeight="1">
      <c r="A4060" s="1" t="s">
        <v>3532</v>
      </c>
      <c r="B4060" s="1" t="s">
        <v>20</v>
      </c>
      <c r="C4060" s="2" t="s">
        <v>69</v>
      </c>
      <c r="D4060" s="2">
        <v>7.6</v>
      </c>
      <c r="E4060" s="2">
        <v>2022.0</v>
      </c>
      <c r="F4060" s="2" t="s">
        <v>10</v>
      </c>
      <c r="G4060" s="2" t="s">
        <v>10</v>
      </c>
    </row>
    <row r="4061" ht="14.25" customHeight="1">
      <c r="A4061" s="1" t="s">
        <v>3533</v>
      </c>
      <c r="B4061" s="1" t="s">
        <v>20</v>
      </c>
      <c r="C4061" s="2" t="s">
        <v>524</v>
      </c>
      <c r="D4061" s="2">
        <v>7.6</v>
      </c>
      <c r="E4061" s="2">
        <v>2001.0</v>
      </c>
      <c r="F4061" s="2" t="s">
        <v>10</v>
      </c>
      <c r="G4061" s="2" t="s">
        <v>10</v>
      </c>
    </row>
    <row r="4062" ht="14.25" customHeight="1">
      <c r="A4062" s="1" t="s">
        <v>3534</v>
      </c>
      <c r="B4062" s="1" t="s">
        <v>8</v>
      </c>
      <c r="C4062" s="2" t="s">
        <v>36</v>
      </c>
      <c r="D4062" s="2">
        <v>7.6</v>
      </c>
      <c r="E4062" s="2">
        <v>2012.0</v>
      </c>
      <c r="F4062" s="2" t="s">
        <v>10</v>
      </c>
      <c r="G4062" s="2" t="s">
        <v>10</v>
      </c>
    </row>
    <row r="4063" ht="14.25" customHeight="1">
      <c r="A4063" s="1" t="s">
        <v>3535</v>
      </c>
      <c r="B4063" s="1" t="s">
        <v>20</v>
      </c>
      <c r="C4063" s="2" t="s">
        <v>18</v>
      </c>
      <c r="D4063" s="2">
        <v>7.6</v>
      </c>
      <c r="E4063" s="2">
        <v>1964.0</v>
      </c>
      <c r="F4063" s="2" t="s">
        <v>10</v>
      </c>
      <c r="G4063" s="2" t="s">
        <v>10</v>
      </c>
    </row>
    <row r="4064" ht="14.25" customHeight="1">
      <c r="A4064" s="1" t="s">
        <v>3536</v>
      </c>
      <c r="B4064" s="1" t="s">
        <v>8</v>
      </c>
      <c r="C4064" s="2" t="s">
        <v>25</v>
      </c>
      <c r="D4064" s="2">
        <v>7.6</v>
      </c>
      <c r="E4064" s="2">
        <v>1995.0</v>
      </c>
      <c r="F4064" s="2" t="s">
        <v>10</v>
      </c>
      <c r="G4064" s="2" t="s">
        <v>10</v>
      </c>
    </row>
    <row r="4065" ht="14.25" customHeight="1">
      <c r="A4065" s="1" t="s">
        <v>3537</v>
      </c>
      <c r="B4065" s="1" t="s">
        <v>20</v>
      </c>
      <c r="C4065" s="2" t="s">
        <v>339</v>
      </c>
      <c r="D4065" s="2">
        <v>7.6</v>
      </c>
      <c r="E4065" s="2">
        <v>2024.0</v>
      </c>
      <c r="F4065" s="2" t="s">
        <v>10</v>
      </c>
      <c r="G4065" s="2" t="s">
        <v>10</v>
      </c>
    </row>
    <row r="4066" ht="14.25" customHeight="1">
      <c r="A4066" s="1" t="s">
        <v>3538</v>
      </c>
      <c r="B4066" s="1" t="s">
        <v>20</v>
      </c>
      <c r="C4066" s="2" t="s">
        <v>25</v>
      </c>
      <c r="D4066" s="2">
        <v>7.6</v>
      </c>
      <c r="E4066" s="2">
        <v>2023.0</v>
      </c>
      <c r="F4066" s="2" t="s">
        <v>10</v>
      </c>
      <c r="G4066" s="2" t="s">
        <v>10</v>
      </c>
    </row>
    <row r="4067" ht="14.25" customHeight="1">
      <c r="A4067" s="1" t="s">
        <v>3539</v>
      </c>
      <c r="B4067" s="1" t="s">
        <v>8</v>
      </c>
      <c r="C4067" s="2" t="s">
        <v>60</v>
      </c>
      <c r="D4067" s="2">
        <v>7.6</v>
      </c>
      <c r="E4067" s="2">
        <v>1996.0</v>
      </c>
      <c r="F4067" s="2" t="s">
        <v>10</v>
      </c>
      <c r="G4067" s="2" t="s">
        <v>10</v>
      </c>
    </row>
    <row r="4068" ht="14.25" customHeight="1">
      <c r="A4068" s="1" t="s">
        <v>3540</v>
      </c>
      <c r="B4068" s="1" t="s">
        <v>8</v>
      </c>
      <c r="C4068" s="2" t="s">
        <v>63</v>
      </c>
      <c r="D4068" s="2">
        <v>7.6</v>
      </c>
      <c r="E4068" s="2">
        <v>2016.0</v>
      </c>
      <c r="F4068" s="2" t="s">
        <v>10</v>
      </c>
      <c r="G4068" s="2" t="s">
        <v>10</v>
      </c>
    </row>
    <row r="4069" ht="14.25" customHeight="1">
      <c r="A4069" s="1" t="s">
        <v>3541</v>
      </c>
      <c r="B4069" s="1" t="s">
        <v>8</v>
      </c>
      <c r="C4069" s="2" t="s">
        <v>69</v>
      </c>
      <c r="D4069" s="2">
        <v>7.6</v>
      </c>
      <c r="E4069" s="2">
        <v>2021.0</v>
      </c>
      <c r="F4069" s="2" t="s">
        <v>10</v>
      </c>
      <c r="G4069" s="2" t="s">
        <v>10</v>
      </c>
    </row>
    <row r="4070" ht="14.25" customHeight="1">
      <c r="A4070" s="1" t="s">
        <v>3542</v>
      </c>
      <c r="B4070" s="1" t="s">
        <v>20</v>
      </c>
      <c r="C4070" s="2" t="s">
        <v>3543</v>
      </c>
      <c r="D4070" s="2">
        <v>7.6</v>
      </c>
      <c r="E4070" s="2">
        <v>2020.0</v>
      </c>
      <c r="F4070" s="2">
        <v>2020.0</v>
      </c>
      <c r="G4070" s="2" t="s">
        <v>10</v>
      </c>
    </row>
    <row r="4071" ht="14.25" customHeight="1">
      <c r="A4071" s="1" t="s">
        <v>3544</v>
      </c>
      <c r="B4071" s="1" t="s">
        <v>20</v>
      </c>
      <c r="C4071" s="2" t="s">
        <v>1037</v>
      </c>
      <c r="D4071" s="2">
        <v>7.6</v>
      </c>
      <c r="E4071" s="2">
        <v>2011.0</v>
      </c>
      <c r="F4071" s="2">
        <v>2015.0</v>
      </c>
      <c r="G4071" s="2" t="s">
        <v>10</v>
      </c>
    </row>
    <row r="4072" ht="14.25" customHeight="1">
      <c r="A4072" s="1" t="s">
        <v>3545</v>
      </c>
      <c r="B4072" s="1" t="s">
        <v>20</v>
      </c>
      <c r="C4072" s="2" t="s">
        <v>2758</v>
      </c>
      <c r="D4072" s="2">
        <v>7.6</v>
      </c>
      <c r="E4072" s="2">
        <v>1939.0</v>
      </c>
      <c r="F4072" s="2" t="s">
        <v>10</v>
      </c>
      <c r="G4072" s="2" t="s">
        <v>10</v>
      </c>
    </row>
    <row r="4073" ht="14.25" customHeight="1">
      <c r="A4073" s="1" t="s">
        <v>3546</v>
      </c>
      <c r="B4073" s="1" t="s">
        <v>8</v>
      </c>
      <c r="C4073" s="2" t="s">
        <v>32</v>
      </c>
      <c r="D4073" s="2">
        <v>7.6</v>
      </c>
      <c r="E4073" s="2">
        <v>2010.0</v>
      </c>
      <c r="F4073" s="2" t="s">
        <v>10</v>
      </c>
      <c r="G4073" s="2" t="s">
        <v>10</v>
      </c>
    </row>
    <row r="4074" ht="14.25" customHeight="1">
      <c r="A4074" s="1" t="s">
        <v>3547</v>
      </c>
      <c r="B4074" s="1" t="s">
        <v>20</v>
      </c>
      <c r="C4074" s="2" t="s">
        <v>12</v>
      </c>
      <c r="D4074" s="2">
        <v>7.6</v>
      </c>
      <c r="E4074" s="2">
        <v>2006.0</v>
      </c>
      <c r="F4074" s="2" t="s">
        <v>10</v>
      </c>
      <c r="G4074" s="2" t="s">
        <v>10</v>
      </c>
    </row>
    <row r="4075" ht="14.25" customHeight="1">
      <c r="A4075" s="1" t="s">
        <v>3548</v>
      </c>
      <c r="B4075" s="1" t="s">
        <v>8</v>
      </c>
      <c r="C4075" s="2" t="s">
        <v>32</v>
      </c>
      <c r="D4075" s="2">
        <v>7.6</v>
      </c>
      <c r="E4075" s="2">
        <v>2022.0</v>
      </c>
      <c r="F4075" s="2" t="s">
        <v>10</v>
      </c>
      <c r="G4075" s="2" t="s">
        <v>10</v>
      </c>
    </row>
    <row r="4076" ht="14.25" customHeight="1">
      <c r="A4076" s="1" t="s">
        <v>3549</v>
      </c>
      <c r="B4076" s="1" t="s">
        <v>20</v>
      </c>
      <c r="C4076" s="2" t="s">
        <v>262</v>
      </c>
      <c r="D4076" s="2">
        <v>7.6</v>
      </c>
      <c r="E4076" s="2">
        <v>2016.0</v>
      </c>
      <c r="F4076" s="2" t="s">
        <v>10</v>
      </c>
      <c r="G4076" s="2" t="s">
        <v>10</v>
      </c>
    </row>
    <row r="4077" ht="14.25" customHeight="1">
      <c r="A4077" s="1" t="s">
        <v>3550</v>
      </c>
      <c r="B4077" s="1" t="s">
        <v>8</v>
      </c>
      <c r="C4077" s="2" t="s">
        <v>53</v>
      </c>
      <c r="D4077" s="2">
        <v>7.6</v>
      </c>
      <c r="E4077" s="2">
        <v>2016.0</v>
      </c>
      <c r="F4077" s="2">
        <v>2019.0</v>
      </c>
      <c r="G4077" s="2" t="s">
        <v>10</v>
      </c>
    </row>
    <row r="4078" ht="14.25" customHeight="1">
      <c r="A4078" s="1" t="s">
        <v>3551</v>
      </c>
      <c r="B4078" s="1" t="s">
        <v>20</v>
      </c>
      <c r="C4078" s="2" t="s">
        <v>3552</v>
      </c>
      <c r="D4078" s="2">
        <v>7.6</v>
      </c>
      <c r="E4078" s="2">
        <v>1995.0</v>
      </c>
      <c r="F4078" s="2" t="s">
        <v>10</v>
      </c>
      <c r="G4078" s="2" t="s">
        <v>10</v>
      </c>
    </row>
    <row r="4079" ht="14.25" customHeight="1">
      <c r="A4079" s="1" t="s">
        <v>3553</v>
      </c>
      <c r="B4079" s="1" t="s">
        <v>20</v>
      </c>
      <c r="C4079" s="2" t="s">
        <v>3554</v>
      </c>
      <c r="D4079" s="2">
        <v>7.6</v>
      </c>
      <c r="E4079" s="2">
        <v>2002.0</v>
      </c>
      <c r="F4079" s="2" t="s">
        <v>10</v>
      </c>
      <c r="G4079" s="2" t="s">
        <v>10</v>
      </c>
    </row>
    <row r="4080" ht="14.25" customHeight="1">
      <c r="A4080" s="1" t="s">
        <v>3555</v>
      </c>
      <c r="B4080" s="1" t="s">
        <v>8</v>
      </c>
      <c r="C4080" s="2" t="s">
        <v>258</v>
      </c>
      <c r="D4080" s="2">
        <v>7.6</v>
      </c>
      <c r="E4080" s="2">
        <v>2019.0</v>
      </c>
      <c r="F4080" s="2" t="s">
        <v>10</v>
      </c>
      <c r="G4080" s="2" t="s">
        <v>10</v>
      </c>
    </row>
    <row r="4081" ht="14.25" customHeight="1">
      <c r="A4081" s="1" t="s">
        <v>3556</v>
      </c>
      <c r="B4081" s="1" t="s">
        <v>20</v>
      </c>
      <c r="C4081" s="2" t="s">
        <v>262</v>
      </c>
      <c r="D4081" s="2">
        <v>7.6</v>
      </c>
      <c r="E4081" s="2">
        <v>2023.0</v>
      </c>
      <c r="F4081" s="2" t="s">
        <v>10</v>
      </c>
      <c r="G4081" s="2" t="s">
        <v>10</v>
      </c>
    </row>
    <row r="4082" ht="14.25" customHeight="1">
      <c r="A4082" s="1" t="s">
        <v>3557</v>
      </c>
      <c r="B4082" s="1" t="s">
        <v>20</v>
      </c>
      <c r="C4082" s="2" t="s">
        <v>663</v>
      </c>
      <c r="D4082" s="2">
        <v>7.6</v>
      </c>
      <c r="E4082" s="2">
        <v>1936.0</v>
      </c>
      <c r="F4082" s="2" t="s">
        <v>10</v>
      </c>
      <c r="G4082" s="2" t="s">
        <v>10</v>
      </c>
    </row>
    <row r="4083" ht="14.25" customHeight="1">
      <c r="A4083" s="1" t="s">
        <v>3558</v>
      </c>
      <c r="B4083" s="1" t="s">
        <v>20</v>
      </c>
      <c r="C4083" s="2" t="s">
        <v>63</v>
      </c>
      <c r="D4083" s="2">
        <v>7.6</v>
      </c>
      <c r="E4083" s="2">
        <v>2007.0</v>
      </c>
      <c r="F4083" s="2" t="s">
        <v>10</v>
      </c>
      <c r="G4083" s="2" t="s">
        <v>10</v>
      </c>
    </row>
    <row r="4084" ht="14.25" customHeight="1">
      <c r="A4084" s="1" t="s">
        <v>3559</v>
      </c>
      <c r="B4084" s="1" t="s">
        <v>20</v>
      </c>
      <c r="C4084" s="2" t="s">
        <v>1240</v>
      </c>
      <c r="D4084" s="2">
        <v>7.6</v>
      </c>
      <c r="E4084" s="2">
        <v>1942.0</v>
      </c>
      <c r="F4084" s="2" t="s">
        <v>10</v>
      </c>
      <c r="G4084" s="2" t="s">
        <v>10</v>
      </c>
    </row>
    <row r="4085" ht="14.25" customHeight="1">
      <c r="A4085" s="1" t="s">
        <v>3560</v>
      </c>
      <c r="B4085" s="1" t="s">
        <v>20</v>
      </c>
      <c r="C4085" s="2" t="s">
        <v>192</v>
      </c>
      <c r="D4085" s="2">
        <v>7.6</v>
      </c>
      <c r="E4085" s="2">
        <v>1997.0</v>
      </c>
      <c r="F4085" s="2" t="s">
        <v>10</v>
      </c>
      <c r="G4085" s="2" t="s">
        <v>10</v>
      </c>
    </row>
    <row r="4086" ht="14.25" customHeight="1">
      <c r="A4086" s="1" t="s">
        <v>3561</v>
      </c>
      <c r="B4086" s="1" t="s">
        <v>8</v>
      </c>
      <c r="C4086" s="2" t="s">
        <v>179</v>
      </c>
      <c r="D4086" s="2">
        <v>7.6</v>
      </c>
      <c r="E4086" s="2">
        <v>2007.0</v>
      </c>
      <c r="F4086" s="2" t="s">
        <v>10</v>
      </c>
      <c r="G4086" s="2" t="s">
        <v>10</v>
      </c>
    </row>
    <row r="4087" ht="14.25" customHeight="1">
      <c r="A4087" s="1" t="s">
        <v>3562</v>
      </c>
      <c r="B4087" s="1" t="s">
        <v>20</v>
      </c>
      <c r="C4087" s="2" t="s">
        <v>112</v>
      </c>
      <c r="D4087" s="2">
        <v>7.6</v>
      </c>
      <c r="E4087" s="2">
        <v>2005.0</v>
      </c>
      <c r="F4087" s="2" t="s">
        <v>10</v>
      </c>
      <c r="G4087" s="2" t="s">
        <v>10</v>
      </c>
    </row>
    <row r="4088" ht="14.25" customHeight="1">
      <c r="A4088" s="1" t="s">
        <v>3563</v>
      </c>
      <c r="B4088" s="1" t="s">
        <v>20</v>
      </c>
      <c r="C4088" s="2" t="s">
        <v>105</v>
      </c>
      <c r="D4088" s="2">
        <v>7.6</v>
      </c>
      <c r="E4088" s="2">
        <v>1973.0</v>
      </c>
      <c r="F4088" s="2" t="s">
        <v>10</v>
      </c>
      <c r="G4088" s="2" t="s">
        <v>10</v>
      </c>
    </row>
    <row r="4089" ht="14.25" customHeight="1">
      <c r="A4089" s="1" t="s">
        <v>3564</v>
      </c>
      <c r="B4089" s="1" t="s">
        <v>20</v>
      </c>
      <c r="C4089" s="2" t="s">
        <v>844</v>
      </c>
      <c r="D4089" s="2">
        <v>7.6</v>
      </c>
      <c r="E4089" s="2">
        <v>1947.0</v>
      </c>
      <c r="F4089" s="2" t="s">
        <v>10</v>
      </c>
      <c r="G4089" s="2" t="s">
        <v>10</v>
      </c>
    </row>
    <row r="4090" ht="14.25" customHeight="1">
      <c r="A4090" s="1" t="s">
        <v>3565</v>
      </c>
      <c r="B4090" s="1" t="s">
        <v>20</v>
      </c>
      <c r="C4090" s="2" t="s">
        <v>69</v>
      </c>
      <c r="D4090" s="2">
        <v>7.6</v>
      </c>
      <c r="E4090" s="2">
        <v>2009.0</v>
      </c>
      <c r="F4090" s="2" t="s">
        <v>10</v>
      </c>
      <c r="G4090" s="2" t="s">
        <v>10</v>
      </c>
    </row>
    <row r="4091" ht="14.25" customHeight="1">
      <c r="A4091" s="1" t="s">
        <v>3566</v>
      </c>
      <c r="B4091" s="1" t="s">
        <v>20</v>
      </c>
      <c r="C4091" s="2" t="s">
        <v>187</v>
      </c>
      <c r="D4091" s="2">
        <v>7.6</v>
      </c>
      <c r="E4091" s="2">
        <v>2011.0</v>
      </c>
      <c r="F4091" s="2" t="s">
        <v>10</v>
      </c>
      <c r="G4091" s="2" t="s">
        <v>10</v>
      </c>
    </row>
    <row r="4092" ht="14.25" customHeight="1">
      <c r="A4092" s="1" t="s">
        <v>3567</v>
      </c>
      <c r="B4092" s="1" t="s">
        <v>8</v>
      </c>
      <c r="C4092" s="2" t="s">
        <v>325</v>
      </c>
      <c r="D4092" s="2">
        <v>7.6</v>
      </c>
      <c r="E4092" s="2">
        <v>2007.0</v>
      </c>
      <c r="F4092" s="2" t="s">
        <v>10</v>
      </c>
      <c r="G4092" s="2" t="s">
        <v>10</v>
      </c>
    </row>
    <row r="4093" ht="14.25" customHeight="1">
      <c r="A4093" s="1" t="s">
        <v>3568</v>
      </c>
      <c r="B4093" s="1" t="s">
        <v>20</v>
      </c>
      <c r="C4093" s="2" t="s">
        <v>69</v>
      </c>
      <c r="D4093" s="2">
        <v>7.6</v>
      </c>
      <c r="E4093" s="2">
        <v>2008.0</v>
      </c>
      <c r="F4093" s="2">
        <v>2008.0</v>
      </c>
      <c r="G4093" s="2" t="s">
        <v>10</v>
      </c>
    </row>
    <row r="4094" ht="14.25" customHeight="1">
      <c r="A4094" s="1" t="s">
        <v>3569</v>
      </c>
      <c r="B4094" s="1" t="s">
        <v>8</v>
      </c>
      <c r="C4094" s="2" t="s">
        <v>249</v>
      </c>
      <c r="D4094" s="2">
        <v>7.6</v>
      </c>
      <c r="E4094" s="2">
        <v>2021.0</v>
      </c>
      <c r="F4094" s="2" t="s">
        <v>10</v>
      </c>
      <c r="G4094" s="2" t="s">
        <v>10</v>
      </c>
    </row>
    <row r="4095" ht="14.25" customHeight="1">
      <c r="A4095" s="1" t="s">
        <v>3570</v>
      </c>
      <c r="B4095" s="1" t="s">
        <v>8</v>
      </c>
      <c r="C4095" s="2" t="s">
        <v>686</v>
      </c>
      <c r="D4095" s="2">
        <v>7.6</v>
      </c>
      <c r="E4095" s="2">
        <v>2023.0</v>
      </c>
      <c r="F4095" s="2" t="s">
        <v>10</v>
      </c>
      <c r="G4095" s="2">
        <v>8900000.0</v>
      </c>
    </row>
    <row r="4096" ht="14.25" customHeight="1">
      <c r="A4096" s="1" t="s">
        <v>3571</v>
      </c>
      <c r="B4096" s="1" t="s">
        <v>20</v>
      </c>
      <c r="C4096" s="2" t="s">
        <v>530</v>
      </c>
      <c r="D4096" s="2">
        <v>7.6</v>
      </c>
      <c r="E4096" s="2">
        <v>2003.0</v>
      </c>
      <c r="F4096" s="2" t="s">
        <v>10</v>
      </c>
      <c r="G4096" s="2" t="s">
        <v>10</v>
      </c>
    </row>
    <row r="4097" ht="14.25" customHeight="1">
      <c r="A4097" s="1" t="s">
        <v>3572</v>
      </c>
      <c r="B4097" s="1" t="s">
        <v>20</v>
      </c>
      <c r="C4097" s="2" t="s">
        <v>18</v>
      </c>
      <c r="D4097" s="2">
        <v>7.6</v>
      </c>
      <c r="E4097" s="2">
        <v>1996.0</v>
      </c>
      <c r="F4097" s="2" t="s">
        <v>10</v>
      </c>
      <c r="G4097" s="2" t="s">
        <v>10</v>
      </c>
    </row>
    <row r="4098" ht="14.25" customHeight="1">
      <c r="A4098" s="1" t="s">
        <v>3573</v>
      </c>
      <c r="B4098" s="1" t="s">
        <v>8</v>
      </c>
      <c r="C4098" s="2" t="s">
        <v>203</v>
      </c>
      <c r="D4098" s="2">
        <v>7.6</v>
      </c>
      <c r="E4098" s="2">
        <v>1986.0</v>
      </c>
      <c r="F4098" s="2" t="s">
        <v>10</v>
      </c>
      <c r="G4098" s="2" t="s">
        <v>10</v>
      </c>
    </row>
    <row r="4099" ht="14.25" customHeight="1">
      <c r="A4099" s="1" t="s">
        <v>3574</v>
      </c>
      <c r="B4099" s="1" t="s">
        <v>8</v>
      </c>
      <c r="C4099" s="2" t="s">
        <v>40</v>
      </c>
      <c r="D4099" s="2">
        <v>7.6</v>
      </c>
      <c r="E4099" s="2">
        <v>2019.0</v>
      </c>
      <c r="F4099" s="2" t="s">
        <v>10</v>
      </c>
      <c r="G4099" s="2" t="s">
        <v>10</v>
      </c>
    </row>
    <row r="4100" ht="14.25" customHeight="1">
      <c r="A4100" s="1" t="s">
        <v>1402</v>
      </c>
      <c r="B4100" s="1" t="s">
        <v>8</v>
      </c>
      <c r="C4100" s="2" t="s">
        <v>40</v>
      </c>
      <c r="D4100" s="2">
        <v>7.6</v>
      </c>
      <c r="E4100" s="2">
        <v>2019.0</v>
      </c>
      <c r="F4100" s="2">
        <v>2017.0</v>
      </c>
      <c r="G4100" s="2" t="s">
        <v>10</v>
      </c>
    </row>
    <row r="4101" ht="14.25" customHeight="1">
      <c r="A4101" s="1" t="s">
        <v>3575</v>
      </c>
      <c r="B4101" s="1" t="s">
        <v>20</v>
      </c>
      <c r="C4101" s="2" t="s">
        <v>18</v>
      </c>
      <c r="D4101" s="2">
        <v>7.6</v>
      </c>
      <c r="E4101" s="2">
        <v>1999.0</v>
      </c>
      <c r="F4101" s="2" t="s">
        <v>10</v>
      </c>
      <c r="G4101" s="2" t="s">
        <v>10</v>
      </c>
    </row>
    <row r="4102" ht="14.25" customHeight="1">
      <c r="A4102" s="1" t="s">
        <v>3576</v>
      </c>
      <c r="B4102" s="1" t="s">
        <v>20</v>
      </c>
      <c r="C4102" s="2" t="s">
        <v>12</v>
      </c>
      <c r="D4102" s="2">
        <v>7.6</v>
      </c>
      <c r="E4102" s="2">
        <v>2010.0</v>
      </c>
      <c r="F4102" s="2" t="s">
        <v>10</v>
      </c>
      <c r="G4102" s="2" t="s">
        <v>10</v>
      </c>
    </row>
    <row r="4103" ht="14.25" customHeight="1">
      <c r="A4103" s="1" t="s">
        <v>3577</v>
      </c>
      <c r="B4103" s="1" t="s">
        <v>8</v>
      </c>
      <c r="C4103" s="2" t="s">
        <v>468</v>
      </c>
      <c r="D4103" s="2">
        <v>7.6</v>
      </c>
      <c r="E4103" s="2">
        <v>2016.0</v>
      </c>
      <c r="F4103" s="2" t="s">
        <v>10</v>
      </c>
      <c r="G4103" s="2" t="s">
        <v>10</v>
      </c>
    </row>
    <row r="4104" ht="14.25" customHeight="1">
      <c r="A4104" s="1" t="s">
        <v>3578</v>
      </c>
      <c r="B4104" s="1" t="s">
        <v>20</v>
      </c>
      <c r="C4104" s="2" t="s">
        <v>411</v>
      </c>
      <c r="D4104" s="2">
        <v>7.6</v>
      </c>
      <c r="E4104" s="2">
        <v>1992.0</v>
      </c>
      <c r="F4104" s="2" t="s">
        <v>10</v>
      </c>
      <c r="G4104" s="2" t="s">
        <v>10</v>
      </c>
    </row>
    <row r="4105" ht="14.25" customHeight="1">
      <c r="A4105" s="1" t="s">
        <v>3579</v>
      </c>
      <c r="B4105" s="1" t="s">
        <v>20</v>
      </c>
      <c r="C4105" s="2" t="s">
        <v>18</v>
      </c>
      <c r="D4105" s="2">
        <v>7.6</v>
      </c>
      <c r="E4105" s="2">
        <v>1964.0</v>
      </c>
      <c r="F4105" s="2" t="s">
        <v>10</v>
      </c>
      <c r="G4105" s="2" t="s">
        <v>10</v>
      </c>
    </row>
    <row r="4106" ht="14.25" customHeight="1">
      <c r="A4106" s="1" t="s">
        <v>3580</v>
      </c>
      <c r="B4106" s="1" t="s">
        <v>20</v>
      </c>
      <c r="C4106" s="2" t="s">
        <v>3001</v>
      </c>
      <c r="D4106" s="2">
        <v>7.6</v>
      </c>
      <c r="E4106" s="2">
        <v>1940.0</v>
      </c>
      <c r="F4106" s="2" t="s">
        <v>10</v>
      </c>
      <c r="G4106" s="2" t="s">
        <v>10</v>
      </c>
    </row>
    <row r="4107" ht="14.25" customHeight="1">
      <c r="A4107" s="1" t="s">
        <v>3581</v>
      </c>
      <c r="B4107" s="1" t="s">
        <v>20</v>
      </c>
      <c r="C4107" s="2" t="s">
        <v>154</v>
      </c>
      <c r="D4107" s="2">
        <v>7.6</v>
      </c>
      <c r="E4107" s="2">
        <v>1986.0</v>
      </c>
      <c r="F4107" s="2" t="s">
        <v>10</v>
      </c>
      <c r="G4107" s="2" t="s">
        <v>10</v>
      </c>
    </row>
    <row r="4108" ht="14.25" customHeight="1">
      <c r="A4108" s="1" t="s">
        <v>3582</v>
      </c>
      <c r="B4108" s="1" t="s">
        <v>8</v>
      </c>
      <c r="C4108" s="2" t="s">
        <v>507</v>
      </c>
      <c r="D4108" s="2">
        <v>7.6</v>
      </c>
      <c r="E4108" s="2">
        <v>2016.0</v>
      </c>
      <c r="F4108" s="2" t="s">
        <v>10</v>
      </c>
      <c r="G4108" s="2" t="s">
        <v>10</v>
      </c>
    </row>
    <row r="4109" ht="14.25" customHeight="1">
      <c r="A4109" s="1" t="s">
        <v>3583</v>
      </c>
      <c r="B4109" s="1" t="s">
        <v>8</v>
      </c>
      <c r="C4109" s="2" t="s">
        <v>53</v>
      </c>
      <c r="D4109" s="2">
        <v>7.6</v>
      </c>
      <c r="E4109" s="2">
        <v>2018.0</v>
      </c>
      <c r="F4109" s="2" t="s">
        <v>10</v>
      </c>
      <c r="G4109" s="2" t="s">
        <v>10</v>
      </c>
    </row>
    <row r="4110" ht="14.25" customHeight="1">
      <c r="A4110" s="1" t="s">
        <v>3584</v>
      </c>
      <c r="B4110" s="1" t="s">
        <v>20</v>
      </c>
      <c r="C4110" s="2" t="s">
        <v>18</v>
      </c>
      <c r="D4110" s="2">
        <v>7.6</v>
      </c>
      <c r="E4110" s="2">
        <v>1969.0</v>
      </c>
      <c r="F4110" s="2" t="s">
        <v>10</v>
      </c>
      <c r="G4110" s="2" t="s">
        <v>10</v>
      </c>
    </row>
    <row r="4111" ht="14.25" customHeight="1">
      <c r="A4111" s="1" t="s">
        <v>3585</v>
      </c>
      <c r="B4111" s="1" t="s">
        <v>20</v>
      </c>
      <c r="C4111" s="2" t="s">
        <v>187</v>
      </c>
      <c r="D4111" s="2">
        <v>7.6</v>
      </c>
      <c r="E4111" s="2">
        <v>1996.0</v>
      </c>
      <c r="F4111" s="2" t="s">
        <v>10</v>
      </c>
      <c r="G4111" s="2" t="s">
        <v>10</v>
      </c>
    </row>
    <row r="4112" ht="14.25" customHeight="1">
      <c r="A4112" s="1">
        <v>1776.0</v>
      </c>
      <c r="B4112" s="1" t="s">
        <v>20</v>
      </c>
      <c r="C4112" s="2" t="s">
        <v>3586</v>
      </c>
      <c r="D4112" s="2">
        <v>7.6</v>
      </c>
      <c r="E4112" s="2">
        <v>1972.0</v>
      </c>
      <c r="F4112" s="2" t="s">
        <v>10</v>
      </c>
      <c r="G4112" s="2" t="s">
        <v>10</v>
      </c>
    </row>
    <row r="4113" ht="14.25" customHeight="1">
      <c r="A4113" s="1" t="s">
        <v>3587</v>
      </c>
      <c r="B4113" s="1" t="s">
        <v>20</v>
      </c>
      <c r="C4113" s="2" t="s">
        <v>36</v>
      </c>
      <c r="D4113" s="2">
        <v>7.6</v>
      </c>
      <c r="E4113" s="2">
        <v>2019.0</v>
      </c>
      <c r="F4113" s="2">
        <v>2019.0</v>
      </c>
      <c r="G4113" s="2" t="s">
        <v>10</v>
      </c>
    </row>
    <row r="4114" ht="14.25" customHeight="1">
      <c r="A4114" s="1" t="s">
        <v>3588</v>
      </c>
      <c r="B4114" s="1" t="s">
        <v>20</v>
      </c>
      <c r="C4114" s="2" t="s">
        <v>12</v>
      </c>
      <c r="D4114" s="2">
        <v>7.6</v>
      </c>
      <c r="E4114" s="2">
        <v>2016.0</v>
      </c>
      <c r="F4114" s="2" t="s">
        <v>10</v>
      </c>
      <c r="G4114" s="2" t="s">
        <v>10</v>
      </c>
    </row>
    <row r="4115" ht="14.25" customHeight="1">
      <c r="A4115" s="1" t="s">
        <v>3589</v>
      </c>
      <c r="B4115" s="1" t="s">
        <v>20</v>
      </c>
      <c r="C4115" s="2" t="s">
        <v>339</v>
      </c>
      <c r="D4115" s="2">
        <v>7.6</v>
      </c>
      <c r="E4115" s="2">
        <v>2018.0</v>
      </c>
      <c r="F4115" s="2">
        <v>2018.0</v>
      </c>
      <c r="G4115" s="2" t="s">
        <v>10</v>
      </c>
    </row>
    <row r="4116" ht="14.25" customHeight="1">
      <c r="A4116" s="1" t="s">
        <v>3590</v>
      </c>
      <c r="B4116" s="1" t="s">
        <v>20</v>
      </c>
      <c r="C4116" s="2" t="s">
        <v>187</v>
      </c>
      <c r="D4116" s="2">
        <v>7.6</v>
      </c>
      <c r="E4116" s="2">
        <v>1969.0</v>
      </c>
      <c r="F4116" s="2" t="s">
        <v>10</v>
      </c>
      <c r="G4116" s="2" t="s">
        <v>10</v>
      </c>
    </row>
    <row r="4117" ht="14.25" customHeight="1">
      <c r="A4117" s="1" t="s">
        <v>3591</v>
      </c>
      <c r="B4117" s="1" t="s">
        <v>20</v>
      </c>
      <c r="C4117" s="2" t="s">
        <v>1784</v>
      </c>
      <c r="D4117" s="2">
        <v>7.6</v>
      </c>
      <c r="E4117" s="2">
        <v>1965.0</v>
      </c>
      <c r="F4117" s="2" t="s">
        <v>10</v>
      </c>
      <c r="G4117" s="2" t="s">
        <v>10</v>
      </c>
    </row>
    <row r="4118" ht="14.25" customHeight="1">
      <c r="A4118" s="1" t="s">
        <v>3592</v>
      </c>
      <c r="B4118" s="1" t="s">
        <v>20</v>
      </c>
      <c r="C4118" s="2" t="s">
        <v>18</v>
      </c>
      <c r="D4118" s="2">
        <v>7.6</v>
      </c>
      <c r="E4118" s="2">
        <v>1961.0</v>
      </c>
      <c r="F4118" s="2" t="s">
        <v>10</v>
      </c>
      <c r="G4118" s="2" t="s">
        <v>10</v>
      </c>
    </row>
    <row r="4119" ht="14.25" customHeight="1">
      <c r="A4119" s="1" t="s">
        <v>3593</v>
      </c>
      <c r="B4119" s="1" t="s">
        <v>8</v>
      </c>
      <c r="C4119" s="2" t="s">
        <v>63</v>
      </c>
      <c r="D4119" s="2">
        <v>7.6</v>
      </c>
      <c r="E4119" s="2">
        <v>2019.0</v>
      </c>
      <c r="F4119" s="2">
        <v>2021.0</v>
      </c>
      <c r="G4119" s="2" t="s">
        <v>10</v>
      </c>
    </row>
    <row r="4120" ht="14.25" customHeight="1">
      <c r="A4120" s="1" t="s">
        <v>3594</v>
      </c>
      <c r="B4120" s="1" t="s">
        <v>20</v>
      </c>
      <c r="C4120" s="2" t="s">
        <v>282</v>
      </c>
      <c r="D4120" s="2">
        <v>7.6</v>
      </c>
      <c r="E4120" s="2">
        <v>2009.0</v>
      </c>
      <c r="F4120" s="2" t="s">
        <v>10</v>
      </c>
      <c r="G4120" s="2" t="s">
        <v>10</v>
      </c>
    </row>
    <row r="4121" ht="14.25" customHeight="1">
      <c r="A4121" s="1" t="s">
        <v>3595</v>
      </c>
      <c r="B4121" s="1" t="s">
        <v>20</v>
      </c>
      <c r="C4121" s="2" t="s">
        <v>12</v>
      </c>
      <c r="D4121" s="2">
        <v>7.6</v>
      </c>
      <c r="E4121" s="2">
        <v>2024.0</v>
      </c>
      <c r="F4121" s="2" t="s">
        <v>10</v>
      </c>
      <c r="G4121" s="2" t="s">
        <v>10</v>
      </c>
    </row>
    <row r="4122" ht="14.25" customHeight="1">
      <c r="A4122" s="1" t="s">
        <v>3596</v>
      </c>
      <c r="B4122" s="1" t="s">
        <v>20</v>
      </c>
      <c r="C4122" s="2" t="s">
        <v>249</v>
      </c>
      <c r="D4122" s="2">
        <v>7.6</v>
      </c>
      <c r="E4122" s="2">
        <v>1962.0</v>
      </c>
      <c r="F4122" s="2" t="s">
        <v>10</v>
      </c>
      <c r="G4122" s="2" t="s">
        <v>10</v>
      </c>
    </row>
    <row r="4123" ht="14.25" customHeight="1">
      <c r="A4123" s="1" t="s">
        <v>3597</v>
      </c>
      <c r="B4123" s="1" t="s">
        <v>20</v>
      </c>
      <c r="C4123" s="2" t="s">
        <v>844</v>
      </c>
      <c r="D4123" s="2">
        <v>7.6</v>
      </c>
      <c r="E4123" s="2">
        <v>1950.0</v>
      </c>
      <c r="F4123" s="2" t="s">
        <v>10</v>
      </c>
      <c r="G4123" s="2" t="s">
        <v>10</v>
      </c>
    </row>
    <row r="4124" ht="14.25" customHeight="1">
      <c r="A4124" s="1" t="s">
        <v>3598</v>
      </c>
      <c r="B4124" s="1" t="s">
        <v>20</v>
      </c>
      <c r="C4124" s="2" t="s">
        <v>588</v>
      </c>
      <c r="D4124" s="2">
        <v>7.6</v>
      </c>
      <c r="E4124" s="2">
        <v>2010.0</v>
      </c>
      <c r="F4124" s="2" t="s">
        <v>10</v>
      </c>
      <c r="G4124" s="2" t="s">
        <v>10</v>
      </c>
    </row>
    <row r="4125" ht="14.25" customHeight="1">
      <c r="A4125" s="1" t="s">
        <v>3599</v>
      </c>
      <c r="B4125" s="1" t="s">
        <v>8</v>
      </c>
      <c r="C4125" s="2" t="s">
        <v>53</v>
      </c>
      <c r="D4125" s="2">
        <v>7.6</v>
      </c>
      <c r="E4125" s="2">
        <v>2022.0</v>
      </c>
      <c r="F4125" s="2" t="s">
        <v>10</v>
      </c>
      <c r="G4125" s="2" t="s">
        <v>10</v>
      </c>
    </row>
    <row r="4126" ht="14.25" customHeight="1">
      <c r="A4126" s="1" t="s">
        <v>3600</v>
      </c>
      <c r="B4126" s="1" t="s">
        <v>8</v>
      </c>
      <c r="C4126" s="2" t="s">
        <v>530</v>
      </c>
      <c r="D4126" s="2">
        <v>7.6</v>
      </c>
      <c r="E4126" s="2">
        <v>2024.0</v>
      </c>
      <c r="F4126" s="2" t="s">
        <v>10</v>
      </c>
      <c r="G4126" s="2" t="s">
        <v>10</v>
      </c>
    </row>
    <row r="4127" ht="14.25" customHeight="1">
      <c r="A4127" s="1" t="s">
        <v>2651</v>
      </c>
      <c r="B4127" s="1" t="s">
        <v>20</v>
      </c>
      <c r="C4127" s="2" t="s">
        <v>154</v>
      </c>
      <c r="D4127" s="2">
        <v>7.6</v>
      </c>
      <c r="E4127" s="2">
        <v>1965.0</v>
      </c>
      <c r="F4127" s="2" t="s">
        <v>10</v>
      </c>
      <c r="G4127" s="2">
        <v>1.082E7</v>
      </c>
    </row>
    <row r="4128" ht="14.25" customHeight="1">
      <c r="A4128" s="1" t="s">
        <v>2651</v>
      </c>
      <c r="B4128" s="1" t="s">
        <v>20</v>
      </c>
      <c r="C4128" s="2" t="s">
        <v>154</v>
      </c>
      <c r="D4128" s="2">
        <v>7.6</v>
      </c>
      <c r="E4128" s="2">
        <v>1965.0</v>
      </c>
      <c r="F4128" s="2" t="s">
        <v>10</v>
      </c>
      <c r="G4128" s="2">
        <v>1.094E7</v>
      </c>
    </row>
    <row r="4129" ht="14.25" customHeight="1">
      <c r="A4129" s="1" t="s">
        <v>3601</v>
      </c>
      <c r="B4129" s="1" t="s">
        <v>8</v>
      </c>
      <c r="C4129" s="2" t="s">
        <v>36</v>
      </c>
      <c r="D4129" s="2">
        <v>7.6</v>
      </c>
      <c r="E4129" s="2">
        <v>2020.0</v>
      </c>
      <c r="F4129" s="2">
        <v>2020.0</v>
      </c>
      <c r="G4129" s="2" t="s">
        <v>10</v>
      </c>
    </row>
    <row r="4130" ht="14.25" customHeight="1">
      <c r="A4130" s="1" t="s">
        <v>3602</v>
      </c>
      <c r="B4130" s="1" t="s">
        <v>20</v>
      </c>
      <c r="C4130" s="2" t="s">
        <v>118</v>
      </c>
      <c r="D4130" s="2">
        <v>7.6</v>
      </c>
      <c r="E4130" s="2">
        <v>1980.0</v>
      </c>
      <c r="F4130" s="2" t="s">
        <v>10</v>
      </c>
      <c r="G4130" s="2" t="s">
        <v>10</v>
      </c>
    </row>
    <row r="4131" ht="14.25" customHeight="1">
      <c r="A4131" s="1" t="s">
        <v>3603</v>
      </c>
      <c r="B4131" s="1" t="s">
        <v>20</v>
      </c>
      <c r="C4131" s="2" t="s">
        <v>154</v>
      </c>
      <c r="D4131" s="2">
        <v>7.6</v>
      </c>
      <c r="E4131" s="2">
        <v>2019.0</v>
      </c>
      <c r="F4131" s="2">
        <v>2019.0</v>
      </c>
      <c r="G4131" s="2" t="s">
        <v>10</v>
      </c>
    </row>
    <row r="4132" ht="14.25" customHeight="1">
      <c r="A4132" s="1" t="s">
        <v>3604</v>
      </c>
      <c r="B4132" s="1" t="s">
        <v>20</v>
      </c>
      <c r="C4132" s="2" t="s">
        <v>184</v>
      </c>
      <c r="D4132" s="2">
        <v>7.6</v>
      </c>
      <c r="E4132" s="2">
        <v>1999.0</v>
      </c>
      <c r="F4132" s="2" t="s">
        <v>10</v>
      </c>
      <c r="G4132" s="2" t="s">
        <v>10</v>
      </c>
    </row>
    <row r="4133" ht="14.25" customHeight="1">
      <c r="A4133" s="1" t="s">
        <v>3605</v>
      </c>
      <c r="B4133" s="1" t="s">
        <v>20</v>
      </c>
      <c r="C4133" s="2" t="s">
        <v>1334</v>
      </c>
      <c r="D4133" s="2">
        <v>7.6</v>
      </c>
      <c r="E4133" s="2">
        <v>1948.0</v>
      </c>
      <c r="F4133" s="2" t="s">
        <v>10</v>
      </c>
      <c r="G4133" s="2" t="s">
        <v>10</v>
      </c>
    </row>
    <row r="4134" ht="14.25" customHeight="1">
      <c r="A4134" s="1" t="s">
        <v>3606</v>
      </c>
      <c r="B4134" s="1" t="s">
        <v>20</v>
      </c>
      <c r="C4134" s="2" t="s">
        <v>212</v>
      </c>
      <c r="D4134" s="2">
        <v>7.5</v>
      </c>
      <c r="E4134" s="2">
        <v>2016.0</v>
      </c>
      <c r="F4134" s="2" t="s">
        <v>10</v>
      </c>
      <c r="G4134" s="2" t="s">
        <v>10</v>
      </c>
    </row>
    <row r="4135" ht="14.25" customHeight="1">
      <c r="A4135" s="1" t="s">
        <v>3607</v>
      </c>
      <c r="B4135" s="1" t="s">
        <v>20</v>
      </c>
      <c r="C4135" s="2" t="s">
        <v>151</v>
      </c>
      <c r="D4135" s="2">
        <v>7.5</v>
      </c>
      <c r="E4135" s="2">
        <v>2013.0</v>
      </c>
      <c r="F4135" s="2" t="s">
        <v>10</v>
      </c>
      <c r="G4135" s="2">
        <v>5010000.0</v>
      </c>
    </row>
    <row r="4136" ht="14.25" customHeight="1">
      <c r="A4136" s="1" t="s">
        <v>3607</v>
      </c>
      <c r="B4136" s="1" t="s">
        <v>20</v>
      </c>
      <c r="C4136" s="2" t="s">
        <v>151</v>
      </c>
      <c r="D4136" s="2">
        <v>7.5</v>
      </c>
      <c r="E4136" s="2">
        <v>2013.0</v>
      </c>
      <c r="F4136" s="2" t="s">
        <v>10</v>
      </c>
      <c r="G4136" s="2">
        <v>7340000.0</v>
      </c>
    </row>
    <row r="4137" ht="14.25" customHeight="1">
      <c r="A4137" s="1" t="s">
        <v>3608</v>
      </c>
      <c r="B4137" s="1" t="s">
        <v>20</v>
      </c>
      <c r="C4137" s="2" t="s">
        <v>151</v>
      </c>
      <c r="D4137" s="2">
        <v>7.5</v>
      </c>
      <c r="E4137" s="2">
        <v>2004.0</v>
      </c>
      <c r="F4137" s="2" t="s">
        <v>10</v>
      </c>
      <c r="G4137" s="2" t="s">
        <v>10</v>
      </c>
    </row>
    <row r="4138" ht="14.25" customHeight="1">
      <c r="A4138" s="1" t="s">
        <v>3609</v>
      </c>
      <c r="B4138" s="1" t="s">
        <v>20</v>
      </c>
      <c r="C4138" s="2" t="s">
        <v>3117</v>
      </c>
      <c r="D4138" s="2">
        <v>7.5</v>
      </c>
      <c r="E4138" s="2">
        <v>2007.0</v>
      </c>
      <c r="F4138" s="2" t="s">
        <v>10</v>
      </c>
      <c r="G4138" s="2" t="s">
        <v>10</v>
      </c>
    </row>
    <row r="4139" ht="14.25" customHeight="1">
      <c r="A4139" s="1" t="s">
        <v>3610</v>
      </c>
      <c r="B4139" s="1" t="s">
        <v>20</v>
      </c>
      <c r="C4139" s="2" t="s">
        <v>673</v>
      </c>
      <c r="D4139" s="2">
        <v>7.5</v>
      </c>
      <c r="E4139" s="2">
        <v>2009.0</v>
      </c>
      <c r="F4139" s="2">
        <v>2009.0</v>
      </c>
      <c r="G4139" s="2" t="s">
        <v>10</v>
      </c>
    </row>
    <row r="4140" ht="14.25" customHeight="1">
      <c r="A4140" s="1" t="s">
        <v>3611</v>
      </c>
      <c r="B4140" s="1" t="s">
        <v>20</v>
      </c>
      <c r="C4140" s="2" t="s">
        <v>69</v>
      </c>
      <c r="D4140" s="2">
        <v>7.5</v>
      </c>
      <c r="E4140" s="2">
        <v>2017.0</v>
      </c>
      <c r="F4140" s="2" t="s">
        <v>10</v>
      </c>
      <c r="G4140" s="2" t="s">
        <v>10</v>
      </c>
    </row>
    <row r="4141" ht="14.25" customHeight="1">
      <c r="A4141" s="1" t="s">
        <v>3612</v>
      </c>
      <c r="B4141" s="1" t="s">
        <v>20</v>
      </c>
      <c r="C4141" s="2" t="s">
        <v>1982</v>
      </c>
      <c r="D4141" s="2">
        <v>7.5</v>
      </c>
      <c r="E4141" s="2">
        <v>2018.0</v>
      </c>
      <c r="F4141" s="2" t="s">
        <v>10</v>
      </c>
      <c r="G4141" s="2" t="s">
        <v>10</v>
      </c>
    </row>
    <row r="4142" ht="14.25" customHeight="1">
      <c r="A4142" s="1" t="s">
        <v>3613</v>
      </c>
      <c r="B4142" s="1" t="s">
        <v>20</v>
      </c>
      <c r="C4142" s="2" t="s">
        <v>459</v>
      </c>
      <c r="D4142" s="2">
        <v>7.5</v>
      </c>
      <c r="E4142" s="2">
        <v>2013.0</v>
      </c>
      <c r="F4142" s="2">
        <v>2013.0</v>
      </c>
      <c r="G4142" s="2" t="s">
        <v>10</v>
      </c>
    </row>
    <row r="4143" ht="14.25" customHeight="1">
      <c r="A4143" s="1" t="s">
        <v>3614</v>
      </c>
      <c r="B4143" s="1" t="s">
        <v>20</v>
      </c>
      <c r="C4143" s="2" t="s">
        <v>507</v>
      </c>
      <c r="D4143" s="2">
        <v>7.5</v>
      </c>
      <c r="E4143" s="2">
        <v>2011.0</v>
      </c>
      <c r="F4143" s="2" t="s">
        <v>10</v>
      </c>
      <c r="G4143" s="2" t="s">
        <v>10</v>
      </c>
    </row>
    <row r="4144" ht="14.25" customHeight="1">
      <c r="A4144" s="1" t="s">
        <v>3615</v>
      </c>
      <c r="B4144" s="1" t="s">
        <v>20</v>
      </c>
      <c r="C4144" s="2" t="s">
        <v>623</v>
      </c>
      <c r="D4144" s="2">
        <v>7.5</v>
      </c>
      <c r="E4144" s="2">
        <v>1984.0</v>
      </c>
      <c r="F4144" s="2">
        <v>1984.0</v>
      </c>
      <c r="G4144" s="2" t="s">
        <v>10</v>
      </c>
    </row>
    <row r="4145" ht="14.25" customHeight="1">
      <c r="A4145" s="1" t="s">
        <v>3616</v>
      </c>
      <c r="B4145" s="1" t="s">
        <v>20</v>
      </c>
      <c r="C4145" s="2" t="s">
        <v>55</v>
      </c>
      <c r="D4145" s="2">
        <v>7.5</v>
      </c>
      <c r="E4145" s="2">
        <v>2002.0</v>
      </c>
      <c r="F4145" s="2" t="s">
        <v>10</v>
      </c>
      <c r="G4145" s="2" t="s">
        <v>10</v>
      </c>
    </row>
    <row r="4146" ht="14.25" customHeight="1">
      <c r="A4146" s="1" t="s">
        <v>3617</v>
      </c>
      <c r="B4146" s="1" t="s">
        <v>20</v>
      </c>
      <c r="C4146" s="2" t="s">
        <v>212</v>
      </c>
      <c r="D4146" s="2">
        <v>7.5</v>
      </c>
      <c r="E4146" s="2">
        <v>2022.0</v>
      </c>
      <c r="F4146" s="2" t="s">
        <v>10</v>
      </c>
      <c r="G4146" s="2" t="s">
        <v>10</v>
      </c>
    </row>
    <row r="4147" ht="14.25" customHeight="1">
      <c r="A4147" s="1" t="s">
        <v>3618</v>
      </c>
      <c r="B4147" s="1" t="s">
        <v>20</v>
      </c>
      <c r="C4147" s="2" t="s">
        <v>36</v>
      </c>
      <c r="D4147" s="2">
        <v>7.5</v>
      </c>
      <c r="E4147" s="2">
        <v>2002.0</v>
      </c>
      <c r="F4147" s="2">
        <v>2002.0</v>
      </c>
      <c r="G4147" s="2" t="s">
        <v>10</v>
      </c>
    </row>
    <row r="4148" ht="14.25" customHeight="1">
      <c r="A4148" s="1" t="s">
        <v>3619</v>
      </c>
      <c r="B4148" s="1" t="s">
        <v>20</v>
      </c>
      <c r="C4148" s="2" t="s">
        <v>863</v>
      </c>
      <c r="D4148" s="2">
        <v>7.5</v>
      </c>
      <c r="E4148" s="2">
        <v>2008.0</v>
      </c>
      <c r="F4148" s="2" t="s">
        <v>10</v>
      </c>
      <c r="G4148" s="2" t="s">
        <v>10</v>
      </c>
    </row>
    <row r="4149" ht="14.25" customHeight="1">
      <c r="A4149" s="1" t="s">
        <v>3620</v>
      </c>
      <c r="B4149" s="1" t="s">
        <v>20</v>
      </c>
      <c r="C4149" s="2" t="s">
        <v>1982</v>
      </c>
      <c r="D4149" s="2">
        <v>7.5</v>
      </c>
      <c r="E4149" s="2">
        <v>2002.0</v>
      </c>
      <c r="F4149" s="2" t="s">
        <v>10</v>
      </c>
      <c r="G4149" s="2" t="s">
        <v>10</v>
      </c>
    </row>
    <row r="4150" ht="14.25" customHeight="1">
      <c r="A4150" s="1" t="s">
        <v>3621</v>
      </c>
      <c r="B4150" s="1" t="s">
        <v>8</v>
      </c>
      <c r="C4150" s="2" t="s">
        <v>2237</v>
      </c>
      <c r="D4150" s="2">
        <v>7.5</v>
      </c>
      <c r="E4150" s="2">
        <v>2012.0</v>
      </c>
      <c r="F4150" s="2">
        <v>2019.0</v>
      </c>
      <c r="G4150" s="2" t="s">
        <v>10</v>
      </c>
    </row>
    <row r="4151" ht="14.25" customHeight="1">
      <c r="A4151" s="1" t="s">
        <v>3622</v>
      </c>
      <c r="B4151" s="1" t="s">
        <v>20</v>
      </c>
      <c r="C4151" s="2" t="s">
        <v>69</v>
      </c>
      <c r="D4151" s="2">
        <v>7.5</v>
      </c>
      <c r="E4151" s="2">
        <v>2004.0</v>
      </c>
      <c r="F4151" s="2">
        <v>2018.0</v>
      </c>
      <c r="G4151" s="2">
        <v>6100000.0</v>
      </c>
    </row>
    <row r="4152" ht="14.25" customHeight="1">
      <c r="A4152" s="1" t="s">
        <v>3623</v>
      </c>
      <c r="B4152" s="1" t="s">
        <v>20</v>
      </c>
      <c r="C4152" s="2" t="s">
        <v>9</v>
      </c>
      <c r="D4152" s="2">
        <v>7.5</v>
      </c>
      <c r="E4152" s="2">
        <v>2010.0</v>
      </c>
      <c r="F4152" s="2" t="s">
        <v>10</v>
      </c>
      <c r="G4152" s="2" t="s">
        <v>10</v>
      </c>
    </row>
    <row r="4153" ht="14.25" customHeight="1">
      <c r="A4153" s="1" t="s">
        <v>3624</v>
      </c>
      <c r="B4153" s="1" t="s">
        <v>20</v>
      </c>
      <c r="C4153" s="2" t="s">
        <v>623</v>
      </c>
      <c r="D4153" s="2">
        <v>7.5</v>
      </c>
      <c r="E4153" s="2">
        <v>1989.0</v>
      </c>
      <c r="F4153" s="2" t="s">
        <v>10</v>
      </c>
      <c r="G4153" s="2" t="s">
        <v>10</v>
      </c>
    </row>
    <row r="4154" ht="14.25" customHeight="1">
      <c r="A4154" s="1" t="s">
        <v>3625</v>
      </c>
      <c r="B4154" s="1" t="s">
        <v>20</v>
      </c>
      <c r="C4154" s="2" t="s">
        <v>686</v>
      </c>
      <c r="D4154" s="2">
        <v>7.5</v>
      </c>
      <c r="E4154" s="2">
        <v>1997.0</v>
      </c>
      <c r="F4154" s="2" t="s">
        <v>10</v>
      </c>
      <c r="G4154" s="2" t="s">
        <v>10</v>
      </c>
    </row>
    <row r="4155" ht="14.25" customHeight="1">
      <c r="A4155" s="1" t="s">
        <v>3626</v>
      </c>
      <c r="B4155" s="1" t="s">
        <v>20</v>
      </c>
      <c r="C4155" s="2" t="s">
        <v>169</v>
      </c>
      <c r="D4155" s="2">
        <v>7.5</v>
      </c>
      <c r="E4155" s="2">
        <v>2010.0</v>
      </c>
      <c r="F4155" s="2" t="s">
        <v>10</v>
      </c>
      <c r="G4155" s="2" t="s">
        <v>10</v>
      </c>
    </row>
    <row r="4156" ht="14.25" customHeight="1">
      <c r="A4156" s="1" t="s">
        <v>3627</v>
      </c>
      <c r="B4156" s="1" t="s">
        <v>20</v>
      </c>
      <c r="C4156" s="2" t="s">
        <v>686</v>
      </c>
      <c r="D4156" s="2">
        <v>7.5</v>
      </c>
      <c r="E4156" s="2">
        <v>2006.0</v>
      </c>
      <c r="F4156" s="2" t="s">
        <v>10</v>
      </c>
      <c r="G4156" s="2" t="s">
        <v>10</v>
      </c>
    </row>
    <row r="4157" ht="14.25" customHeight="1">
      <c r="A4157" s="1" t="s">
        <v>3628</v>
      </c>
      <c r="B4157" s="1" t="s">
        <v>20</v>
      </c>
      <c r="C4157" s="2" t="s">
        <v>717</v>
      </c>
      <c r="D4157" s="2">
        <v>7.5</v>
      </c>
      <c r="E4157" s="2">
        <v>1988.0</v>
      </c>
      <c r="F4157" s="2" t="s">
        <v>10</v>
      </c>
      <c r="G4157" s="2" t="s">
        <v>10</v>
      </c>
    </row>
    <row r="4158" ht="14.25" customHeight="1">
      <c r="A4158" s="1" t="s">
        <v>3629</v>
      </c>
      <c r="B4158" s="1" t="s">
        <v>20</v>
      </c>
      <c r="C4158" s="2" t="s">
        <v>169</v>
      </c>
      <c r="D4158" s="2">
        <v>7.5</v>
      </c>
      <c r="E4158" s="2">
        <v>2004.0</v>
      </c>
      <c r="F4158" s="2" t="s">
        <v>10</v>
      </c>
      <c r="G4158" s="2" t="s">
        <v>10</v>
      </c>
    </row>
    <row r="4159" ht="14.25" customHeight="1">
      <c r="A4159" s="1" t="s">
        <v>3630</v>
      </c>
      <c r="B4159" s="1" t="s">
        <v>20</v>
      </c>
      <c r="C4159" s="2" t="s">
        <v>468</v>
      </c>
      <c r="D4159" s="2">
        <v>7.5</v>
      </c>
      <c r="E4159" s="2">
        <v>1999.0</v>
      </c>
      <c r="F4159" s="2" t="s">
        <v>10</v>
      </c>
      <c r="G4159" s="2" t="s">
        <v>10</v>
      </c>
    </row>
    <row r="4160" ht="14.25" customHeight="1">
      <c r="A4160" s="1" t="s">
        <v>3631</v>
      </c>
      <c r="B4160" s="1" t="s">
        <v>20</v>
      </c>
      <c r="C4160" s="2" t="s">
        <v>9</v>
      </c>
      <c r="D4160" s="2">
        <v>7.5</v>
      </c>
      <c r="E4160" s="2">
        <v>1997.0</v>
      </c>
      <c r="F4160" s="2">
        <v>1997.0</v>
      </c>
      <c r="G4160" s="2" t="s">
        <v>10</v>
      </c>
    </row>
    <row r="4161" ht="14.25" customHeight="1">
      <c r="A4161" s="1" t="s">
        <v>3632</v>
      </c>
      <c r="B4161" s="1" t="s">
        <v>8</v>
      </c>
      <c r="C4161" s="2" t="s">
        <v>34</v>
      </c>
      <c r="D4161" s="2">
        <v>7.5</v>
      </c>
      <c r="E4161" s="2">
        <v>2014.0</v>
      </c>
      <c r="F4161" s="2">
        <v>2021.0</v>
      </c>
      <c r="G4161" s="2" t="s">
        <v>10</v>
      </c>
    </row>
    <row r="4162" ht="14.25" customHeight="1">
      <c r="A4162" s="1" t="s">
        <v>3633</v>
      </c>
      <c r="B4162" s="1" t="s">
        <v>20</v>
      </c>
      <c r="C4162" s="2" t="s">
        <v>151</v>
      </c>
      <c r="D4162" s="2">
        <v>7.5</v>
      </c>
      <c r="E4162" s="2">
        <v>1990.0</v>
      </c>
      <c r="F4162" s="2">
        <v>1990.0</v>
      </c>
      <c r="G4162" s="2" t="s">
        <v>10</v>
      </c>
    </row>
    <row r="4163" ht="14.25" customHeight="1">
      <c r="A4163" s="1" t="s">
        <v>3634</v>
      </c>
      <c r="B4163" s="1" t="s">
        <v>20</v>
      </c>
      <c r="C4163" s="2" t="s">
        <v>92</v>
      </c>
      <c r="D4163" s="2">
        <v>7.5</v>
      </c>
      <c r="E4163" s="2">
        <v>1994.0</v>
      </c>
      <c r="F4163" s="2" t="s">
        <v>10</v>
      </c>
      <c r="G4163" s="2" t="s">
        <v>10</v>
      </c>
    </row>
    <row r="4164" ht="14.25" customHeight="1">
      <c r="A4164" s="1" t="s">
        <v>3357</v>
      </c>
      <c r="B4164" s="1" t="s">
        <v>20</v>
      </c>
      <c r="C4164" s="2" t="s">
        <v>207</v>
      </c>
      <c r="D4164" s="2">
        <v>7.5</v>
      </c>
      <c r="E4164" s="2">
        <v>2012.0</v>
      </c>
      <c r="F4164" s="2" t="s">
        <v>10</v>
      </c>
      <c r="G4164" s="2" t="s">
        <v>10</v>
      </c>
    </row>
    <row r="4165" ht="14.25" customHeight="1">
      <c r="A4165" s="1" t="s">
        <v>3635</v>
      </c>
      <c r="B4165" s="1" t="s">
        <v>20</v>
      </c>
      <c r="C4165" s="2" t="s">
        <v>25</v>
      </c>
      <c r="D4165" s="2">
        <v>7.5</v>
      </c>
      <c r="E4165" s="2">
        <v>2018.0</v>
      </c>
      <c r="F4165" s="2" t="s">
        <v>10</v>
      </c>
      <c r="G4165" s="2" t="s">
        <v>10</v>
      </c>
    </row>
    <row r="4166" ht="14.25" customHeight="1">
      <c r="A4166" s="1" t="s">
        <v>3636</v>
      </c>
      <c r="B4166" s="1" t="s">
        <v>20</v>
      </c>
      <c r="C4166" s="2" t="s">
        <v>105</v>
      </c>
      <c r="D4166" s="2">
        <v>7.5</v>
      </c>
      <c r="E4166" s="2">
        <v>2011.0</v>
      </c>
      <c r="F4166" s="2">
        <v>2011.0</v>
      </c>
      <c r="G4166" s="2" t="s">
        <v>10</v>
      </c>
    </row>
    <row r="4167" ht="14.25" customHeight="1">
      <c r="A4167" s="1" t="s">
        <v>3637</v>
      </c>
      <c r="B4167" s="1" t="s">
        <v>8</v>
      </c>
      <c r="C4167" s="2" t="s">
        <v>468</v>
      </c>
      <c r="D4167" s="2">
        <v>7.5</v>
      </c>
      <c r="E4167" s="2">
        <v>2017.0</v>
      </c>
      <c r="F4167" s="2">
        <v>2020.0</v>
      </c>
      <c r="G4167" s="2" t="s">
        <v>10</v>
      </c>
    </row>
    <row r="4168" ht="14.25" customHeight="1">
      <c r="A4168" s="1" t="s">
        <v>3638</v>
      </c>
      <c r="B4168" s="1" t="s">
        <v>20</v>
      </c>
      <c r="C4168" s="2" t="s">
        <v>3639</v>
      </c>
      <c r="D4168" s="2">
        <v>7.5</v>
      </c>
      <c r="E4168" s="2">
        <v>2017.0</v>
      </c>
      <c r="F4168" s="2" t="s">
        <v>10</v>
      </c>
      <c r="G4168" s="2" t="s">
        <v>10</v>
      </c>
    </row>
    <row r="4169" ht="14.25" customHeight="1">
      <c r="A4169" s="1" t="s">
        <v>3640</v>
      </c>
      <c r="B4169" s="1" t="s">
        <v>20</v>
      </c>
      <c r="C4169" s="2" t="s">
        <v>18</v>
      </c>
      <c r="D4169" s="2">
        <v>7.5</v>
      </c>
      <c r="E4169" s="2">
        <v>2006.0</v>
      </c>
      <c r="F4169" s="2">
        <v>2006.0</v>
      </c>
      <c r="G4169" s="2" t="s">
        <v>10</v>
      </c>
    </row>
    <row r="4170" ht="14.25" customHeight="1">
      <c r="A4170" s="1" t="s">
        <v>3641</v>
      </c>
      <c r="B4170" s="1" t="s">
        <v>20</v>
      </c>
      <c r="C4170" s="2" t="s">
        <v>833</v>
      </c>
      <c r="D4170" s="2">
        <v>7.5</v>
      </c>
      <c r="E4170" s="2">
        <v>2013.0</v>
      </c>
      <c r="F4170" s="2" t="s">
        <v>10</v>
      </c>
      <c r="G4170" s="2">
        <v>5500000.0</v>
      </c>
    </row>
    <row r="4171" ht="14.25" customHeight="1">
      <c r="A4171" s="1" t="s">
        <v>3641</v>
      </c>
      <c r="B4171" s="1" t="s">
        <v>20</v>
      </c>
      <c r="C4171" s="2" t="s">
        <v>833</v>
      </c>
      <c r="D4171" s="2">
        <v>7.5</v>
      </c>
      <c r="E4171" s="2">
        <v>2013.0</v>
      </c>
      <c r="F4171" s="2" t="s">
        <v>10</v>
      </c>
      <c r="G4171" s="3">
        <v>8000000.0</v>
      </c>
    </row>
    <row r="4172" ht="14.25" customHeight="1">
      <c r="A4172" s="1" t="s">
        <v>3642</v>
      </c>
      <c r="B4172" s="1" t="s">
        <v>20</v>
      </c>
      <c r="C4172" s="2" t="s">
        <v>60</v>
      </c>
      <c r="D4172" s="2">
        <v>7.5</v>
      </c>
      <c r="E4172" s="2">
        <v>1998.0</v>
      </c>
      <c r="F4172" s="2">
        <v>1998.0</v>
      </c>
      <c r="G4172" s="2" t="s">
        <v>10</v>
      </c>
    </row>
    <row r="4173" ht="14.25" customHeight="1">
      <c r="A4173" s="1" t="s">
        <v>3643</v>
      </c>
      <c r="B4173" s="1" t="s">
        <v>20</v>
      </c>
      <c r="C4173" s="2" t="s">
        <v>231</v>
      </c>
      <c r="D4173" s="2">
        <v>7.5</v>
      </c>
      <c r="E4173" s="2">
        <v>1997.0</v>
      </c>
      <c r="F4173" s="2" t="s">
        <v>10</v>
      </c>
      <c r="G4173" s="2" t="s">
        <v>10</v>
      </c>
    </row>
    <row r="4174" ht="14.25" customHeight="1">
      <c r="A4174" s="1" t="s">
        <v>3644</v>
      </c>
      <c r="B4174" s="1" t="s">
        <v>20</v>
      </c>
      <c r="C4174" s="2" t="s">
        <v>1013</v>
      </c>
      <c r="D4174" s="2">
        <v>7.5</v>
      </c>
      <c r="E4174" s="2">
        <v>2018.0</v>
      </c>
      <c r="F4174" s="2" t="s">
        <v>10</v>
      </c>
      <c r="G4174" s="2" t="s">
        <v>10</v>
      </c>
    </row>
    <row r="4175" ht="14.25" customHeight="1">
      <c r="A4175" s="1" t="s">
        <v>3645</v>
      </c>
      <c r="B4175" s="1" t="s">
        <v>8</v>
      </c>
      <c r="C4175" s="2" t="s">
        <v>1267</v>
      </c>
      <c r="D4175" s="2">
        <v>7.5</v>
      </c>
      <c r="E4175" s="2">
        <v>2014.0</v>
      </c>
      <c r="F4175" s="2">
        <v>2020.0</v>
      </c>
      <c r="G4175" s="2">
        <v>1.299E7</v>
      </c>
    </row>
    <row r="4176" ht="14.25" customHeight="1">
      <c r="A4176" s="1" t="s">
        <v>3645</v>
      </c>
      <c r="B4176" s="1" t="s">
        <v>8</v>
      </c>
      <c r="C4176" s="2" t="s">
        <v>1267</v>
      </c>
      <c r="D4176" s="2">
        <v>7.5</v>
      </c>
      <c r="E4176" s="2">
        <v>2014.0</v>
      </c>
      <c r="F4176" s="2">
        <v>2020.0</v>
      </c>
      <c r="G4176" s="2">
        <v>1.359E7</v>
      </c>
    </row>
    <row r="4177" ht="14.25" customHeight="1">
      <c r="A4177" s="1" t="s">
        <v>3646</v>
      </c>
      <c r="B4177" s="1" t="s">
        <v>20</v>
      </c>
      <c r="C4177" s="2" t="s">
        <v>1037</v>
      </c>
      <c r="D4177" s="2">
        <v>7.5</v>
      </c>
      <c r="E4177" s="2">
        <v>2001.0</v>
      </c>
      <c r="F4177" s="2" t="s">
        <v>10</v>
      </c>
      <c r="G4177" s="2" t="s">
        <v>10</v>
      </c>
    </row>
    <row r="4178" ht="14.25" customHeight="1">
      <c r="A4178" s="1" t="s">
        <v>3647</v>
      </c>
      <c r="B4178" s="1" t="s">
        <v>20</v>
      </c>
      <c r="C4178" s="2" t="s">
        <v>40</v>
      </c>
      <c r="D4178" s="2">
        <v>7.5</v>
      </c>
      <c r="E4178" s="2">
        <v>2001.0</v>
      </c>
      <c r="F4178" s="2">
        <v>2001.0</v>
      </c>
      <c r="G4178" s="2" t="s">
        <v>10</v>
      </c>
    </row>
    <row r="4179" ht="14.25" customHeight="1">
      <c r="A4179" s="1" t="s">
        <v>3648</v>
      </c>
      <c r="B4179" s="1" t="s">
        <v>20</v>
      </c>
      <c r="C4179" s="2" t="s">
        <v>325</v>
      </c>
      <c r="D4179" s="2">
        <v>7.5</v>
      </c>
      <c r="E4179" s="2">
        <v>2006.0</v>
      </c>
      <c r="F4179" s="2" t="s">
        <v>10</v>
      </c>
      <c r="G4179" s="2">
        <v>4450000.0</v>
      </c>
    </row>
    <row r="4180" ht="14.25" customHeight="1">
      <c r="A4180" s="1" t="s">
        <v>3649</v>
      </c>
      <c r="B4180" s="1" t="s">
        <v>8</v>
      </c>
      <c r="C4180" s="2" t="s">
        <v>325</v>
      </c>
      <c r="D4180" s="2">
        <v>7.5</v>
      </c>
      <c r="E4180" s="2">
        <v>2006.0</v>
      </c>
      <c r="F4180" s="2" t="s">
        <v>10</v>
      </c>
      <c r="G4180" s="2" t="s">
        <v>10</v>
      </c>
    </row>
    <row r="4181" ht="14.25" customHeight="1">
      <c r="A4181" s="1" t="s">
        <v>3650</v>
      </c>
      <c r="B4181" s="1" t="s">
        <v>20</v>
      </c>
      <c r="C4181" s="2" t="s">
        <v>22</v>
      </c>
      <c r="D4181" s="2">
        <v>7.5</v>
      </c>
      <c r="E4181" s="2">
        <v>2012.0</v>
      </c>
      <c r="F4181" s="2">
        <v>2012.0</v>
      </c>
      <c r="G4181" s="2" t="s">
        <v>10</v>
      </c>
    </row>
    <row r="4182" ht="14.25" customHeight="1">
      <c r="A4182" s="1" t="s">
        <v>3651</v>
      </c>
      <c r="B4182" s="1" t="s">
        <v>20</v>
      </c>
      <c r="C4182" s="2" t="s">
        <v>742</v>
      </c>
      <c r="D4182" s="2">
        <v>7.5</v>
      </c>
      <c r="E4182" s="2">
        <v>2017.0</v>
      </c>
      <c r="F4182" s="2" t="s">
        <v>10</v>
      </c>
      <c r="G4182" s="2" t="s">
        <v>10</v>
      </c>
    </row>
    <row r="4183" ht="14.25" customHeight="1">
      <c r="A4183" s="1" t="s">
        <v>3652</v>
      </c>
      <c r="B4183" s="1" t="s">
        <v>20</v>
      </c>
      <c r="C4183" s="2" t="s">
        <v>22</v>
      </c>
      <c r="D4183" s="2">
        <v>7.5</v>
      </c>
      <c r="E4183" s="2">
        <v>2005.0</v>
      </c>
      <c r="F4183" s="2" t="s">
        <v>10</v>
      </c>
      <c r="G4183" s="2" t="s">
        <v>10</v>
      </c>
    </row>
    <row r="4184" ht="14.25" customHeight="1">
      <c r="A4184" s="1" t="s">
        <v>3653</v>
      </c>
      <c r="B4184" s="1" t="s">
        <v>20</v>
      </c>
      <c r="C4184" s="2" t="s">
        <v>34</v>
      </c>
      <c r="D4184" s="2">
        <v>7.5</v>
      </c>
      <c r="E4184" s="2">
        <v>2003.0</v>
      </c>
      <c r="F4184" s="2" t="s">
        <v>10</v>
      </c>
      <c r="G4184" s="2" t="s">
        <v>10</v>
      </c>
    </row>
    <row r="4185" ht="14.25" customHeight="1">
      <c r="A4185" s="1" t="s">
        <v>3654</v>
      </c>
      <c r="B4185" s="1" t="s">
        <v>20</v>
      </c>
      <c r="C4185" s="2" t="s">
        <v>742</v>
      </c>
      <c r="D4185" s="2">
        <v>7.5</v>
      </c>
      <c r="E4185" s="2">
        <v>2018.0</v>
      </c>
      <c r="F4185" s="2" t="s">
        <v>10</v>
      </c>
      <c r="G4185" s="2" t="s">
        <v>10</v>
      </c>
    </row>
    <row r="4186" ht="14.25" customHeight="1">
      <c r="A4186" s="1" t="s">
        <v>3655</v>
      </c>
      <c r="B4186" s="1" t="s">
        <v>20</v>
      </c>
      <c r="C4186" s="2" t="s">
        <v>9</v>
      </c>
      <c r="D4186" s="2">
        <v>7.5</v>
      </c>
      <c r="E4186" s="2">
        <v>1996.0</v>
      </c>
      <c r="F4186" s="2" t="s">
        <v>10</v>
      </c>
      <c r="G4186" s="2" t="s">
        <v>10</v>
      </c>
    </row>
    <row r="4187" ht="14.25" customHeight="1">
      <c r="A4187" s="1" t="s">
        <v>3656</v>
      </c>
      <c r="B4187" s="1" t="s">
        <v>20</v>
      </c>
      <c r="C4187" s="2" t="s">
        <v>151</v>
      </c>
      <c r="D4187" s="2">
        <v>7.5</v>
      </c>
      <c r="E4187" s="2">
        <v>2024.0</v>
      </c>
      <c r="F4187" s="2" t="s">
        <v>10</v>
      </c>
      <c r="G4187" s="2" t="s">
        <v>10</v>
      </c>
    </row>
    <row r="4188" ht="14.25" customHeight="1">
      <c r="A4188" s="1" t="s">
        <v>3657</v>
      </c>
      <c r="B4188" s="1" t="s">
        <v>20</v>
      </c>
      <c r="C4188" s="2" t="s">
        <v>663</v>
      </c>
      <c r="D4188" s="2">
        <v>7.5</v>
      </c>
      <c r="E4188" s="2">
        <v>2005.0</v>
      </c>
      <c r="F4188" s="2" t="s">
        <v>10</v>
      </c>
      <c r="G4188" s="2" t="s">
        <v>10</v>
      </c>
    </row>
    <row r="4189" ht="14.25" customHeight="1">
      <c r="A4189" s="1" t="s">
        <v>3658</v>
      </c>
      <c r="B4189" s="1" t="s">
        <v>20</v>
      </c>
      <c r="C4189" s="2" t="s">
        <v>284</v>
      </c>
      <c r="D4189" s="2">
        <v>7.5</v>
      </c>
      <c r="E4189" s="2">
        <v>2006.0</v>
      </c>
      <c r="F4189" s="2">
        <v>2006.0</v>
      </c>
      <c r="G4189" s="2" t="s">
        <v>10</v>
      </c>
    </row>
    <row r="4190" ht="14.25" customHeight="1">
      <c r="A4190" s="1" t="s">
        <v>3659</v>
      </c>
      <c r="B4190" s="1" t="s">
        <v>20</v>
      </c>
      <c r="C4190" s="2" t="s">
        <v>63</v>
      </c>
      <c r="D4190" s="2">
        <v>7.5</v>
      </c>
      <c r="E4190" s="2">
        <v>2005.0</v>
      </c>
      <c r="F4190" s="2" t="s">
        <v>10</v>
      </c>
      <c r="G4190" s="2" t="s">
        <v>10</v>
      </c>
    </row>
    <row r="4191" ht="14.25" customHeight="1">
      <c r="A4191" s="1" t="s">
        <v>3660</v>
      </c>
      <c r="B4191" s="1" t="s">
        <v>8</v>
      </c>
      <c r="C4191" s="2" t="s">
        <v>34</v>
      </c>
      <c r="D4191" s="2">
        <v>7.5</v>
      </c>
      <c r="E4191" s="2">
        <v>2013.0</v>
      </c>
      <c r="F4191" s="2" t="s">
        <v>10</v>
      </c>
      <c r="G4191" s="2" t="s">
        <v>10</v>
      </c>
    </row>
    <row r="4192" ht="14.25" customHeight="1">
      <c r="A4192" s="1" t="s">
        <v>3661</v>
      </c>
      <c r="B4192" s="1" t="s">
        <v>20</v>
      </c>
      <c r="C4192" s="2" t="s">
        <v>32</v>
      </c>
      <c r="D4192" s="2">
        <v>7.5</v>
      </c>
      <c r="E4192" s="2">
        <v>1989.0</v>
      </c>
      <c r="F4192" s="2" t="s">
        <v>10</v>
      </c>
      <c r="G4192" s="2" t="s">
        <v>10</v>
      </c>
    </row>
    <row r="4193" ht="14.25" customHeight="1">
      <c r="A4193" s="1" t="s">
        <v>3662</v>
      </c>
      <c r="B4193" s="1" t="s">
        <v>8</v>
      </c>
      <c r="C4193" s="2" t="s">
        <v>2237</v>
      </c>
      <c r="D4193" s="2">
        <v>7.5</v>
      </c>
      <c r="E4193" s="2">
        <v>2021.0</v>
      </c>
      <c r="F4193" s="2" t="s">
        <v>10</v>
      </c>
      <c r="G4193" s="2" t="s">
        <v>10</v>
      </c>
    </row>
    <row r="4194" ht="14.25" customHeight="1">
      <c r="A4194" s="1" t="s">
        <v>3663</v>
      </c>
      <c r="B4194" s="1" t="s">
        <v>20</v>
      </c>
      <c r="C4194" s="2" t="s">
        <v>1622</v>
      </c>
      <c r="D4194" s="2">
        <v>7.5</v>
      </c>
      <c r="E4194" s="2">
        <v>1990.0</v>
      </c>
      <c r="F4194" s="2" t="s">
        <v>10</v>
      </c>
      <c r="G4194" s="2" t="s">
        <v>10</v>
      </c>
    </row>
    <row r="4195" ht="14.25" customHeight="1">
      <c r="A4195" s="1" t="s">
        <v>3664</v>
      </c>
      <c r="B4195" s="1" t="s">
        <v>20</v>
      </c>
      <c r="C4195" s="2" t="s">
        <v>53</v>
      </c>
      <c r="D4195" s="2">
        <v>7.5</v>
      </c>
      <c r="E4195" s="2">
        <v>2020.0</v>
      </c>
      <c r="F4195" s="2" t="s">
        <v>10</v>
      </c>
      <c r="G4195" s="2" t="s">
        <v>10</v>
      </c>
    </row>
    <row r="4196" ht="14.25" customHeight="1">
      <c r="A4196" s="1" t="s">
        <v>3665</v>
      </c>
      <c r="B4196" s="1" t="s">
        <v>20</v>
      </c>
      <c r="C4196" s="2" t="s">
        <v>69</v>
      </c>
      <c r="D4196" s="2">
        <v>7.5</v>
      </c>
      <c r="E4196" s="2">
        <v>1994.0</v>
      </c>
      <c r="F4196" s="2">
        <v>1994.0</v>
      </c>
      <c r="G4196" s="2" t="s">
        <v>10</v>
      </c>
    </row>
    <row r="4197" ht="14.25" customHeight="1">
      <c r="A4197" s="1" t="s">
        <v>3666</v>
      </c>
      <c r="B4197" s="1" t="s">
        <v>20</v>
      </c>
      <c r="C4197" s="2" t="s">
        <v>1959</v>
      </c>
      <c r="D4197" s="2">
        <v>7.5</v>
      </c>
      <c r="E4197" s="2">
        <v>2018.0</v>
      </c>
      <c r="F4197" s="2" t="s">
        <v>10</v>
      </c>
      <c r="G4197" s="2" t="s">
        <v>10</v>
      </c>
    </row>
    <row r="4198" ht="14.25" customHeight="1">
      <c r="A4198" s="1" t="s">
        <v>3667</v>
      </c>
      <c r="B4198" s="1" t="s">
        <v>20</v>
      </c>
      <c r="C4198" s="2" t="s">
        <v>187</v>
      </c>
      <c r="D4198" s="2">
        <v>7.5</v>
      </c>
      <c r="E4198" s="2">
        <v>2004.0</v>
      </c>
      <c r="F4198" s="2" t="s">
        <v>10</v>
      </c>
      <c r="G4198" s="2" t="s">
        <v>10</v>
      </c>
    </row>
    <row r="4199" ht="14.25" customHeight="1">
      <c r="A4199" s="1" t="s">
        <v>3668</v>
      </c>
      <c r="B4199" s="1" t="s">
        <v>8</v>
      </c>
      <c r="C4199" s="2" t="s">
        <v>154</v>
      </c>
      <c r="D4199" s="2">
        <v>7.5</v>
      </c>
      <c r="E4199" s="2">
        <v>2007.0</v>
      </c>
      <c r="F4199" s="2">
        <v>2012.0</v>
      </c>
      <c r="G4199" s="2" t="s">
        <v>10</v>
      </c>
    </row>
    <row r="4200" ht="14.25" customHeight="1">
      <c r="A4200" s="1" t="s">
        <v>3669</v>
      </c>
      <c r="B4200" s="1" t="s">
        <v>20</v>
      </c>
      <c r="C4200" s="2" t="s">
        <v>766</v>
      </c>
      <c r="D4200" s="2">
        <v>7.5</v>
      </c>
      <c r="E4200" s="2">
        <v>2010.0</v>
      </c>
      <c r="F4200" s="2" t="s">
        <v>10</v>
      </c>
      <c r="G4200" s="2" t="s">
        <v>10</v>
      </c>
    </row>
    <row r="4201" ht="14.25" customHeight="1">
      <c r="A4201" s="1" t="s">
        <v>3670</v>
      </c>
      <c r="B4201" s="1" t="s">
        <v>20</v>
      </c>
      <c r="C4201" s="2" t="s">
        <v>822</v>
      </c>
      <c r="D4201" s="2">
        <v>7.5</v>
      </c>
      <c r="E4201" s="2">
        <v>1989.0</v>
      </c>
      <c r="F4201" s="2" t="s">
        <v>10</v>
      </c>
      <c r="G4201" s="2" t="s">
        <v>10</v>
      </c>
    </row>
    <row r="4202" ht="14.25" customHeight="1">
      <c r="A4202" s="1" t="s">
        <v>3671</v>
      </c>
      <c r="B4202" s="1" t="s">
        <v>20</v>
      </c>
      <c r="C4202" s="2" t="s">
        <v>1058</v>
      </c>
      <c r="D4202" s="2">
        <v>7.5</v>
      </c>
      <c r="E4202" s="2">
        <v>2000.0</v>
      </c>
      <c r="F4202" s="2" t="s">
        <v>10</v>
      </c>
      <c r="G4202" s="2" t="s">
        <v>10</v>
      </c>
    </row>
    <row r="4203" ht="14.25" customHeight="1">
      <c r="A4203" s="1" t="s">
        <v>3672</v>
      </c>
      <c r="B4203" s="1" t="s">
        <v>20</v>
      </c>
      <c r="C4203" s="2" t="s">
        <v>40</v>
      </c>
      <c r="D4203" s="2">
        <v>7.5</v>
      </c>
      <c r="E4203" s="2">
        <v>2007.0</v>
      </c>
      <c r="F4203" s="2" t="s">
        <v>10</v>
      </c>
      <c r="G4203" s="2" t="s">
        <v>10</v>
      </c>
    </row>
    <row r="4204" ht="14.25" customHeight="1">
      <c r="A4204" s="1" t="s">
        <v>3673</v>
      </c>
      <c r="B4204" s="1" t="s">
        <v>20</v>
      </c>
      <c r="C4204" s="2" t="s">
        <v>2363</v>
      </c>
      <c r="D4204" s="2">
        <v>7.5</v>
      </c>
      <c r="E4204" s="2">
        <v>2007.0</v>
      </c>
      <c r="F4204" s="2" t="s">
        <v>10</v>
      </c>
      <c r="G4204" s="2" t="s">
        <v>10</v>
      </c>
    </row>
    <row r="4205" ht="14.25" customHeight="1">
      <c r="A4205" s="1" t="s">
        <v>3674</v>
      </c>
      <c r="B4205" s="1" t="s">
        <v>20</v>
      </c>
      <c r="C4205" s="2" t="s">
        <v>461</v>
      </c>
      <c r="D4205" s="2">
        <v>7.5</v>
      </c>
      <c r="E4205" s="2">
        <v>1994.0</v>
      </c>
      <c r="F4205" s="2" t="s">
        <v>10</v>
      </c>
      <c r="G4205" s="2" t="s">
        <v>10</v>
      </c>
    </row>
    <row r="4206" ht="14.25" customHeight="1">
      <c r="A4206" s="1" t="s">
        <v>3675</v>
      </c>
      <c r="B4206" s="1" t="s">
        <v>20</v>
      </c>
      <c r="C4206" s="2" t="s">
        <v>9</v>
      </c>
      <c r="D4206" s="2">
        <v>7.5</v>
      </c>
      <c r="E4206" s="2">
        <v>1996.0</v>
      </c>
      <c r="F4206" s="2" t="s">
        <v>10</v>
      </c>
      <c r="G4206" s="2" t="s">
        <v>10</v>
      </c>
    </row>
    <row r="4207" ht="14.25" customHeight="1">
      <c r="A4207" s="1" t="s">
        <v>3676</v>
      </c>
      <c r="B4207" s="1" t="s">
        <v>20</v>
      </c>
      <c r="C4207" s="2" t="s">
        <v>63</v>
      </c>
      <c r="D4207" s="2">
        <v>7.5</v>
      </c>
      <c r="E4207" s="2">
        <v>2022.0</v>
      </c>
      <c r="F4207" s="2" t="s">
        <v>10</v>
      </c>
      <c r="G4207" s="2">
        <v>5350000.0</v>
      </c>
    </row>
    <row r="4208" ht="14.25" customHeight="1">
      <c r="A4208" s="1" t="s">
        <v>3676</v>
      </c>
      <c r="B4208" s="1" t="s">
        <v>20</v>
      </c>
      <c r="C4208" s="2" t="s">
        <v>63</v>
      </c>
      <c r="D4208" s="2">
        <v>7.5</v>
      </c>
      <c r="E4208" s="2">
        <v>2022.0</v>
      </c>
      <c r="F4208" s="2" t="s">
        <v>10</v>
      </c>
      <c r="G4208" s="2">
        <v>1.064E7</v>
      </c>
    </row>
    <row r="4209" ht="14.25" customHeight="1">
      <c r="A4209" s="1" t="s">
        <v>3676</v>
      </c>
      <c r="B4209" s="1" t="s">
        <v>20</v>
      </c>
      <c r="C4209" s="2" t="s">
        <v>63</v>
      </c>
      <c r="D4209" s="2">
        <v>7.5</v>
      </c>
      <c r="E4209" s="2">
        <v>2022.0</v>
      </c>
      <c r="F4209" s="2" t="s">
        <v>10</v>
      </c>
      <c r="G4209" s="2">
        <v>1.988E7</v>
      </c>
    </row>
    <row r="4210" ht="14.25" customHeight="1">
      <c r="A4210" s="1" t="s">
        <v>3676</v>
      </c>
      <c r="B4210" s="1" t="s">
        <v>20</v>
      </c>
      <c r="C4210" s="2" t="s">
        <v>63</v>
      </c>
      <c r="D4210" s="2">
        <v>7.5</v>
      </c>
      <c r="E4210" s="2">
        <v>2022.0</v>
      </c>
      <c r="F4210" s="2" t="s">
        <v>10</v>
      </c>
      <c r="G4210" s="2">
        <v>1.348E7</v>
      </c>
    </row>
    <row r="4211" ht="14.25" customHeight="1">
      <c r="A4211" s="1" t="s">
        <v>3677</v>
      </c>
      <c r="B4211" s="1" t="s">
        <v>20</v>
      </c>
      <c r="C4211" s="2" t="s">
        <v>80</v>
      </c>
      <c r="D4211" s="2">
        <v>7.5</v>
      </c>
      <c r="E4211" s="2">
        <v>2008.0</v>
      </c>
      <c r="F4211" s="2">
        <v>2008.0</v>
      </c>
      <c r="G4211" s="2" t="s">
        <v>10</v>
      </c>
    </row>
    <row r="4212" ht="14.25" customHeight="1">
      <c r="A4212" s="1" t="s">
        <v>3678</v>
      </c>
      <c r="B4212" s="1" t="s">
        <v>20</v>
      </c>
      <c r="C4212" s="2" t="s">
        <v>611</v>
      </c>
      <c r="D4212" s="2">
        <v>7.5</v>
      </c>
      <c r="E4212" s="2">
        <v>2023.0</v>
      </c>
      <c r="F4212" s="2" t="s">
        <v>10</v>
      </c>
      <c r="G4212" s="2" t="s">
        <v>10</v>
      </c>
    </row>
    <row r="4213" ht="14.25" customHeight="1">
      <c r="A4213" s="1" t="s">
        <v>3679</v>
      </c>
      <c r="B4213" s="1" t="s">
        <v>20</v>
      </c>
      <c r="C4213" s="2" t="s">
        <v>468</v>
      </c>
      <c r="D4213" s="2">
        <v>7.5</v>
      </c>
      <c r="E4213" s="2">
        <v>2011.0</v>
      </c>
      <c r="F4213" s="2" t="s">
        <v>10</v>
      </c>
      <c r="G4213" s="2" t="s">
        <v>10</v>
      </c>
    </row>
    <row r="4214" ht="14.25" customHeight="1">
      <c r="A4214" s="1" t="s">
        <v>3680</v>
      </c>
      <c r="B4214" s="1" t="s">
        <v>20</v>
      </c>
      <c r="C4214" s="2" t="s">
        <v>742</v>
      </c>
      <c r="D4214" s="2">
        <v>7.5</v>
      </c>
      <c r="E4214" s="2">
        <v>2013.0</v>
      </c>
      <c r="F4214" s="2">
        <v>2013.0</v>
      </c>
      <c r="G4214" s="2" t="s">
        <v>10</v>
      </c>
    </row>
    <row r="4215" ht="14.25" customHeight="1">
      <c r="A4215" s="1" t="s">
        <v>3681</v>
      </c>
      <c r="B4215" s="1" t="s">
        <v>20</v>
      </c>
      <c r="C4215" s="2" t="s">
        <v>32</v>
      </c>
      <c r="D4215" s="2">
        <v>7.5</v>
      </c>
      <c r="E4215" s="2">
        <v>1983.0</v>
      </c>
      <c r="F4215" s="2" t="s">
        <v>10</v>
      </c>
      <c r="G4215" s="2" t="s">
        <v>10</v>
      </c>
    </row>
    <row r="4216" ht="14.25" customHeight="1">
      <c r="A4216" s="1" t="s">
        <v>3682</v>
      </c>
      <c r="B4216" s="1" t="s">
        <v>20</v>
      </c>
      <c r="C4216" s="2" t="s">
        <v>55</v>
      </c>
      <c r="D4216" s="2">
        <v>7.5</v>
      </c>
      <c r="E4216" s="2">
        <v>1940.0</v>
      </c>
      <c r="F4216" s="2" t="s">
        <v>10</v>
      </c>
      <c r="G4216" s="2" t="s">
        <v>10</v>
      </c>
    </row>
    <row r="4217" ht="14.25" customHeight="1">
      <c r="A4217" s="1" t="s">
        <v>3683</v>
      </c>
      <c r="B4217" s="1" t="s">
        <v>20</v>
      </c>
      <c r="C4217" s="2" t="s">
        <v>527</v>
      </c>
      <c r="D4217" s="2">
        <v>7.5</v>
      </c>
      <c r="E4217" s="2">
        <v>1988.0</v>
      </c>
      <c r="F4217" s="2" t="s">
        <v>10</v>
      </c>
      <c r="G4217" s="2" t="s">
        <v>10</v>
      </c>
    </row>
    <row r="4218" ht="14.25" customHeight="1">
      <c r="A4218" s="1" t="s">
        <v>3684</v>
      </c>
      <c r="B4218" s="1" t="s">
        <v>20</v>
      </c>
      <c r="C4218" s="2" t="s">
        <v>154</v>
      </c>
      <c r="D4218" s="2">
        <v>7.5</v>
      </c>
      <c r="E4218" s="2">
        <v>2015.0</v>
      </c>
      <c r="F4218" s="2" t="s">
        <v>10</v>
      </c>
      <c r="G4218" s="2" t="s">
        <v>10</v>
      </c>
    </row>
    <row r="4219" ht="14.25" customHeight="1">
      <c r="A4219" s="1" t="s">
        <v>3685</v>
      </c>
      <c r="B4219" s="1" t="s">
        <v>8</v>
      </c>
      <c r="C4219" s="2" t="s">
        <v>78</v>
      </c>
      <c r="D4219" s="2">
        <v>7.5</v>
      </c>
      <c r="E4219" s="2">
        <v>2024.0</v>
      </c>
      <c r="F4219" s="2" t="s">
        <v>10</v>
      </c>
      <c r="G4219" s="2" t="s">
        <v>10</v>
      </c>
    </row>
    <row r="4220" ht="14.25" customHeight="1">
      <c r="A4220" s="1" t="s">
        <v>3686</v>
      </c>
      <c r="B4220" s="1" t="s">
        <v>20</v>
      </c>
      <c r="C4220" s="2" t="s">
        <v>55</v>
      </c>
      <c r="D4220" s="2">
        <v>7.5</v>
      </c>
      <c r="E4220" s="2">
        <v>2005.0</v>
      </c>
      <c r="F4220" s="2" t="s">
        <v>10</v>
      </c>
      <c r="G4220" s="2" t="s">
        <v>10</v>
      </c>
    </row>
    <row r="4221" ht="14.25" customHeight="1">
      <c r="A4221" s="1" t="s">
        <v>3687</v>
      </c>
      <c r="B4221" s="1" t="s">
        <v>20</v>
      </c>
      <c r="C4221" s="2" t="s">
        <v>187</v>
      </c>
      <c r="D4221" s="2">
        <v>7.5</v>
      </c>
      <c r="E4221" s="2">
        <v>2017.0</v>
      </c>
      <c r="F4221" s="2" t="s">
        <v>10</v>
      </c>
      <c r="G4221" s="2" t="s">
        <v>10</v>
      </c>
    </row>
    <row r="4222" ht="14.25" customHeight="1">
      <c r="A4222" s="1" t="s">
        <v>3688</v>
      </c>
      <c r="B4222" s="1" t="s">
        <v>20</v>
      </c>
      <c r="C4222" s="2" t="s">
        <v>18</v>
      </c>
      <c r="D4222" s="2">
        <v>7.5</v>
      </c>
      <c r="E4222" s="2">
        <v>2014.0</v>
      </c>
      <c r="F4222" s="2" t="s">
        <v>10</v>
      </c>
      <c r="G4222" s="2" t="s">
        <v>10</v>
      </c>
    </row>
    <row r="4223" ht="14.25" customHeight="1">
      <c r="A4223" s="1" t="s">
        <v>3689</v>
      </c>
      <c r="B4223" s="1" t="s">
        <v>8</v>
      </c>
      <c r="C4223" s="2" t="s">
        <v>69</v>
      </c>
      <c r="D4223" s="2">
        <v>7.5</v>
      </c>
      <c r="E4223" s="2">
        <v>2021.0</v>
      </c>
      <c r="F4223" s="2">
        <v>2021.0</v>
      </c>
      <c r="G4223" s="2">
        <v>8500000.0</v>
      </c>
    </row>
    <row r="4224" ht="14.25" customHeight="1">
      <c r="A4224" s="1" t="s">
        <v>3689</v>
      </c>
      <c r="B4224" s="1" t="s">
        <v>8</v>
      </c>
      <c r="C4224" s="2" t="s">
        <v>69</v>
      </c>
      <c r="D4224" s="2">
        <v>7.5</v>
      </c>
      <c r="E4224" s="2">
        <v>2021.0</v>
      </c>
      <c r="F4224" s="2">
        <v>2021.0</v>
      </c>
      <c r="G4224" s="2">
        <v>1.11E7</v>
      </c>
    </row>
    <row r="4225" ht="14.25" customHeight="1">
      <c r="A4225" s="1" t="s">
        <v>3689</v>
      </c>
      <c r="B4225" s="1" t="s">
        <v>8</v>
      </c>
      <c r="C4225" s="2" t="s">
        <v>69</v>
      </c>
      <c r="D4225" s="2">
        <v>7.5</v>
      </c>
      <c r="E4225" s="2">
        <v>2021.0</v>
      </c>
      <c r="F4225" s="2">
        <v>2021.0</v>
      </c>
      <c r="G4225" s="2">
        <v>1.81E7</v>
      </c>
    </row>
    <row r="4226" ht="14.25" customHeight="1">
      <c r="A4226" s="1" t="s">
        <v>3689</v>
      </c>
      <c r="B4226" s="1" t="s">
        <v>8</v>
      </c>
      <c r="C4226" s="2" t="s">
        <v>69</v>
      </c>
      <c r="D4226" s="2">
        <v>7.5</v>
      </c>
      <c r="E4226" s="2">
        <v>2021.0</v>
      </c>
      <c r="F4226" s="2">
        <v>2021.0</v>
      </c>
      <c r="G4226" s="2">
        <v>5900000.0</v>
      </c>
    </row>
    <row r="4227" ht="14.25" customHeight="1">
      <c r="A4227" s="1" t="s">
        <v>3689</v>
      </c>
      <c r="B4227" s="1" t="s">
        <v>8</v>
      </c>
      <c r="C4227" s="2" t="s">
        <v>69</v>
      </c>
      <c r="D4227" s="2">
        <v>7.5</v>
      </c>
      <c r="E4227" s="2">
        <v>2021.0</v>
      </c>
      <c r="F4227" s="2">
        <v>2021.0</v>
      </c>
      <c r="G4227" s="2">
        <v>2.58E7</v>
      </c>
    </row>
    <row r="4228" ht="14.25" customHeight="1">
      <c r="A4228" s="1" t="s">
        <v>3689</v>
      </c>
      <c r="B4228" s="1" t="s">
        <v>8</v>
      </c>
      <c r="C4228" s="2" t="s">
        <v>69</v>
      </c>
      <c r="D4228" s="2">
        <v>7.5</v>
      </c>
      <c r="E4228" s="2">
        <v>2021.0</v>
      </c>
      <c r="F4228" s="2">
        <v>2021.0</v>
      </c>
      <c r="G4228" s="2">
        <v>8100000.0</v>
      </c>
    </row>
    <row r="4229" ht="14.25" customHeight="1">
      <c r="A4229" s="1" t="s">
        <v>3689</v>
      </c>
      <c r="B4229" s="1" t="s">
        <v>8</v>
      </c>
      <c r="C4229" s="2" t="s">
        <v>69</v>
      </c>
      <c r="D4229" s="2">
        <v>7.5</v>
      </c>
      <c r="E4229" s="2">
        <v>2021.0</v>
      </c>
      <c r="F4229" s="2">
        <v>2021.0</v>
      </c>
      <c r="G4229" s="2">
        <v>7400000.0</v>
      </c>
    </row>
    <row r="4230" ht="14.25" customHeight="1">
      <c r="A4230" s="1" t="s">
        <v>3689</v>
      </c>
      <c r="B4230" s="1" t="s">
        <v>8</v>
      </c>
      <c r="C4230" s="2" t="s">
        <v>69</v>
      </c>
      <c r="D4230" s="2">
        <v>7.5</v>
      </c>
      <c r="E4230" s="2">
        <v>2021.0</v>
      </c>
      <c r="F4230" s="2">
        <v>2021.0</v>
      </c>
      <c r="G4230" s="2">
        <v>4.27E7</v>
      </c>
    </row>
    <row r="4231" ht="14.25" customHeight="1">
      <c r="A4231" s="1" t="s">
        <v>3689</v>
      </c>
      <c r="B4231" s="1" t="s">
        <v>8</v>
      </c>
      <c r="C4231" s="2" t="s">
        <v>69</v>
      </c>
      <c r="D4231" s="2">
        <v>7.5</v>
      </c>
      <c r="E4231" s="2">
        <v>2021.0</v>
      </c>
      <c r="F4231" s="2">
        <v>2021.0</v>
      </c>
      <c r="G4231" s="2">
        <v>1.29E7</v>
      </c>
    </row>
    <row r="4232" ht="14.25" customHeight="1">
      <c r="A4232" s="1" t="s">
        <v>3689</v>
      </c>
      <c r="B4232" s="1" t="s">
        <v>8</v>
      </c>
      <c r="C4232" s="2" t="s">
        <v>69</v>
      </c>
      <c r="D4232" s="2">
        <v>7.5</v>
      </c>
      <c r="E4232" s="2">
        <v>2021.0</v>
      </c>
      <c r="F4232" s="2">
        <v>2021.0</v>
      </c>
      <c r="G4232" s="2">
        <v>1.15E7</v>
      </c>
    </row>
    <row r="4233" ht="14.25" customHeight="1">
      <c r="A4233" s="1" t="s">
        <v>3689</v>
      </c>
      <c r="B4233" s="1" t="s">
        <v>8</v>
      </c>
      <c r="C4233" s="2" t="s">
        <v>69</v>
      </c>
      <c r="D4233" s="2">
        <v>7.5</v>
      </c>
      <c r="E4233" s="2">
        <v>2021.0</v>
      </c>
      <c r="F4233" s="2">
        <v>2021.0</v>
      </c>
      <c r="G4233" s="2">
        <v>7.79E7</v>
      </c>
    </row>
    <row r="4234" ht="14.25" customHeight="1">
      <c r="A4234" s="1" t="s">
        <v>3689</v>
      </c>
      <c r="B4234" s="1" t="s">
        <v>8</v>
      </c>
      <c r="C4234" s="2" t="s">
        <v>69</v>
      </c>
      <c r="D4234" s="2">
        <v>7.5</v>
      </c>
      <c r="E4234" s="2">
        <v>2021.0</v>
      </c>
      <c r="F4234" s="2">
        <v>2021.0</v>
      </c>
      <c r="G4234" s="2">
        <v>1.87E7</v>
      </c>
    </row>
    <row r="4235" ht="14.25" customHeight="1">
      <c r="A4235" s="1" t="s">
        <v>3689</v>
      </c>
      <c r="B4235" s="1" t="s">
        <v>8</v>
      </c>
      <c r="C4235" s="2" t="s">
        <v>69</v>
      </c>
      <c r="D4235" s="2">
        <v>7.5</v>
      </c>
      <c r="E4235" s="2">
        <v>2021.0</v>
      </c>
      <c r="F4235" s="2">
        <v>2021.0</v>
      </c>
      <c r="G4235" s="2">
        <v>1.61E7</v>
      </c>
    </row>
    <row r="4236" ht="14.25" customHeight="1">
      <c r="A4236" s="1" t="s">
        <v>3689</v>
      </c>
      <c r="B4236" s="1" t="s">
        <v>8</v>
      </c>
      <c r="C4236" s="2" t="s">
        <v>69</v>
      </c>
      <c r="D4236" s="2">
        <v>7.5</v>
      </c>
      <c r="E4236" s="2">
        <v>2021.0</v>
      </c>
      <c r="F4236" s="2">
        <v>2021.0</v>
      </c>
      <c r="G4236" s="2">
        <v>6.39E7</v>
      </c>
    </row>
    <row r="4237" ht="14.25" customHeight="1">
      <c r="A4237" s="1" t="s">
        <v>3689</v>
      </c>
      <c r="B4237" s="1" t="s">
        <v>8</v>
      </c>
      <c r="C4237" s="2" t="s">
        <v>69</v>
      </c>
      <c r="D4237" s="2">
        <v>7.5</v>
      </c>
      <c r="E4237" s="2">
        <v>2021.0</v>
      </c>
      <c r="F4237" s="2">
        <v>2021.0</v>
      </c>
      <c r="G4237" s="2">
        <v>1.39E7</v>
      </c>
    </row>
    <row r="4238" ht="14.25" customHeight="1">
      <c r="A4238" s="1" t="s">
        <v>3689</v>
      </c>
      <c r="B4238" s="1" t="s">
        <v>8</v>
      </c>
      <c r="C4238" s="2" t="s">
        <v>69</v>
      </c>
      <c r="D4238" s="2">
        <v>7.5</v>
      </c>
      <c r="E4238" s="2">
        <v>2021.0</v>
      </c>
      <c r="F4238" s="2">
        <v>2021.0</v>
      </c>
      <c r="G4238" s="2">
        <v>1.02E7</v>
      </c>
    </row>
    <row r="4239" ht="14.25" customHeight="1">
      <c r="A4239" s="1" t="s">
        <v>3689</v>
      </c>
      <c r="B4239" s="1" t="s">
        <v>8</v>
      </c>
      <c r="C4239" s="2" t="s">
        <v>69</v>
      </c>
      <c r="D4239" s="2">
        <v>7.5</v>
      </c>
      <c r="E4239" s="2">
        <v>2021.0</v>
      </c>
      <c r="F4239" s="2">
        <v>2021.0</v>
      </c>
      <c r="G4239" s="2">
        <v>6840000.0</v>
      </c>
    </row>
    <row r="4240" ht="14.25" customHeight="1">
      <c r="A4240" s="1" t="s">
        <v>3689</v>
      </c>
      <c r="B4240" s="1" t="s">
        <v>8</v>
      </c>
      <c r="C4240" s="2" t="s">
        <v>69</v>
      </c>
      <c r="D4240" s="2">
        <v>7.5</v>
      </c>
      <c r="E4240" s="2">
        <v>2021.0</v>
      </c>
      <c r="F4240" s="2">
        <v>2021.0</v>
      </c>
      <c r="G4240" s="2">
        <v>9280000.0</v>
      </c>
    </row>
    <row r="4241" ht="14.25" customHeight="1">
      <c r="A4241" s="1" t="s">
        <v>3689</v>
      </c>
      <c r="B4241" s="1" t="s">
        <v>8</v>
      </c>
      <c r="C4241" s="2" t="s">
        <v>69</v>
      </c>
      <c r="D4241" s="2">
        <v>7.5</v>
      </c>
      <c r="E4241" s="2">
        <v>2021.0</v>
      </c>
      <c r="F4241" s="2">
        <v>2021.0</v>
      </c>
      <c r="G4241" s="2">
        <v>1.315E7</v>
      </c>
    </row>
    <row r="4242" ht="14.25" customHeight="1">
      <c r="A4242" s="1" t="s">
        <v>3689</v>
      </c>
      <c r="B4242" s="1" t="s">
        <v>8</v>
      </c>
      <c r="C4242" s="2" t="s">
        <v>69</v>
      </c>
      <c r="D4242" s="2">
        <v>7.5</v>
      </c>
      <c r="E4242" s="2">
        <v>2021.0</v>
      </c>
      <c r="F4242" s="2">
        <v>2021.0</v>
      </c>
      <c r="G4242" s="2">
        <v>2.097E7</v>
      </c>
    </row>
    <row r="4243" ht="14.25" customHeight="1">
      <c r="A4243" s="1" t="s">
        <v>3690</v>
      </c>
      <c r="B4243" s="1" t="s">
        <v>20</v>
      </c>
      <c r="C4243" s="2" t="s">
        <v>184</v>
      </c>
      <c r="D4243" s="2">
        <v>7.5</v>
      </c>
      <c r="E4243" s="2">
        <v>2013.0</v>
      </c>
      <c r="F4243" s="2" t="s">
        <v>10</v>
      </c>
      <c r="G4243" s="2" t="s">
        <v>10</v>
      </c>
    </row>
    <row r="4244" ht="14.25" customHeight="1">
      <c r="A4244" s="1" t="s">
        <v>3691</v>
      </c>
      <c r="B4244" s="1" t="s">
        <v>20</v>
      </c>
      <c r="C4244" s="2" t="s">
        <v>910</v>
      </c>
      <c r="D4244" s="2">
        <v>7.5</v>
      </c>
      <c r="E4244" s="2">
        <v>2021.0</v>
      </c>
      <c r="F4244" s="2" t="s">
        <v>10</v>
      </c>
      <c r="G4244" s="2" t="s">
        <v>10</v>
      </c>
    </row>
    <row r="4245" ht="14.25" customHeight="1">
      <c r="A4245" s="1" t="s">
        <v>3692</v>
      </c>
      <c r="B4245" s="1" t="s">
        <v>20</v>
      </c>
      <c r="C4245" s="2" t="s">
        <v>154</v>
      </c>
      <c r="D4245" s="2">
        <v>7.5</v>
      </c>
      <c r="E4245" s="2">
        <v>2002.0</v>
      </c>
      <c r="F4245" s="2" t="s">
        <v>10</v>
      </c>
      <c r="G4245" s="2" t="s">
        <v>10</v>
      </c>
    </row>
    <row r="4246" ht="14.25" customHeight="1">
      <c r="A4246" s="1" t="s">
        <v>3693</v>
      </c>
      <c r="B4246" s="1" t="s">
        <v>20</v>
      </c>
      <c r="C4246" s="2" t="s">
        <v>55</v>
      </c>
      <c r="D4246" s="2">
        <v>7.5</v>
      </c>
      <c r="E4246" s="2">
        <v>1973.0</v>
      </c>
      <c r="F4246" s="2" t="s">
        <v>10</v>
      </c>
      <c r="G4246" s="2" t="s">
        <v>10</v>
      </c>
    </row>
    <row r="4247" ht="14.25" customHeight="1">
      <c r="A4247" s="1" t="s">
        <v>3694</v>
      </c>
      <c r="B4247" s="1" t="s">
        <v>8</v>
      </c>
      <c r="C4247" s="2" t="s">
        <v>34</v>
      </c>
      <c r="D4247" s="2">
        <v>7.5</v>
      </c>
      <c r="E4247" s="2">
        <v>2001.0</v>
      </c>
      <c r="F4247" s="2" t="s">
        <v>10</v>
      </c>
      <c r="G4247" s="2" t="s">
        <v>10</v>
      </c>
    </row>
    <row r="4248" ht="14.25" customHeight="1">
      <c r="A4248" s="1" t="s">
        <v>3695</v>
      </c>
      <c r="B4248" s="1" t="s">
        <v>20</v>
      </c>
      <c r="C4248" s="2" t="s">
        <v>3696</v>
      </c>
      <c r="D4248" s="2">
        <v>7.5</v>
      </c>
      <c r="E4248" s="2">
        <v>1976.0</v>
      </c>
      <c r="F4248" s="2" t="s">
        <v>10</v>
      </c>
      <c r="G4248" s="2" t="s">
        <v>10</v>
      </c>
    </row>
    <row r="4249" ht="14.25" customHeight="1">
      <c r="A4249" s="1" t="s">
        <v>3697</v>
      </c>
      <c r="B4249" s="1" t="s">
        <v>20</v>
      </c>
      <c r="C4249" s="2" t="s">
        <v>222</v>
      </c>
      <c r="D4249" s="2">
        <v>7.5</v>
      </c>
      <c r="E4249" s="2">
        <v>2008.0</v>
      </c>
      <c r="F4249" s="2">
        <v>2008.0</v>
      </c>
      <c r="G4249" s="2" t="s">
        <v>10</v>
      </c>
    </row>
    <row r="4250" ht="14.25" customHeight="1">
      <c r="A4250" s="1" t="s">
        <v>3698</v>
      </c>
      <c r="B4250" s="1" t="s">
        <v>20</v>
      </c>
      <c r="C4250" s="2" t="s">
        <v>284</v>
      </c>
      <c r="D4250" s="2">
        <v>7.5</v>
      </c>
      <c r="E4250" s="2">
        <v>1998.0</v>
      </c>
      <c r="F4250" s="2" t="s">
        <v>10</v>
      </c>
      <c r="G4250" s="2" t="s">
        <v>10</v>
      </c>
    </row>
    <row r="4251" ht="14.25" customHeight="1">
      <c r="A4251" s="1" t="s">
        <v>3699</v>
      </c>
      <c r="B4251" s="1" t="s">
        <v>20</v>
      </c>
      <c r="C4251" s="2" t="s">
        <v>154</v>
      </c>
      <c r="D4251" s="2">
        <v>7.5</v>
      </c>
      <c r="E4251" s="2">
        <v>1995.0</v>
      </c>
      <c r="F4251" s="2" t="s">
        <v>10</v>
      </c>
      <c r="G4251" s="2" t="s">
        <v>10</v>
      </c>
    </row>
    <row r="4252" ht="14.25" customHeight="1">
      <c r="A4252" s="1" t="s">
        <v>3700</v>
      </c>
      <c r="B4252" s="1" t="s">
        <v>20</v>
      </c>
      <c r="C4252" s="2" t="s">
        <v>3701</v>
      </c>
      <c r="D4252" s="2">
        <v>7.5</v>
      </c>
      <c r="E4252" s="2">
        <v>2004.0</v>
      </c>
      <c r="F4252" s="2" t="s">
        <v>10</v>
      </c>
      <c r="G4252" s="2" t="s">
        <v>10</v>
      </c>
    </row>
    <row r="4253" ht="14.25" customHeight="1">
      <c r="A4253" s="1" t="s">
        <v>3702</v>
      </c>
      <c r="B4253" s="1" t="s">
        <v>20</v>
      </c>
      <c r="C4253" s="2" t="s">
        <v>335</v>
      </c>
      <c r="D4253" s="2">
        <v>7.5</v>
      </c>
      <c r="E4253" s="2">
        <v>1989.0</v>
      </c>
      <c r="F4253" s="2" t="s">
        <v>10</v>
      </c>
      <c r="G4253" s="2" t="s">
        <v>10</v>
      </c>
    </row>
    <row r="4254" ht="14.25" customHeight="1">
      <c r="A4254" s="1" t="s">
        <v>3703</v>
      </c>
      <c r="B4254" s="1" t="s">
        <v>20</v>
      </c>
      <c r="C4254" s="2" t="s">
        <v>187</v>
      </c>
      <c r="D4254" s="2">
        <v>7.5</v>
      </c>
      <c r="E4254" s="2">
        <v>2018.0</v>
      </c>
      <c r="F4254" s="2" t="s">
        <v>10</v>
      </c>
      <c r="G4254" s="2" t="s">
        <v>10</v>
      </c>
    </row>
    <row r="4255" ht="14.25" customHeight="1">
      <c r="A4255" s="1" t="s">
        <v>3704</v>
      </c>
      <c r="B4255" s="1" t="s">
        <v>20</v>
      </c>
      <c r="C4255" s="2" t="s">
        <v>53</v>
      </c>
      <c r="D4255" s="2">
        <v>7.5</v>
      </c>
      <c r="E4255" s="2">
        <v>2003.0</v>
      </c>
      <c r="F4255" s="2">
        <v>2003.0</v>
      </c>
      <c r="G4255" s="2" t="s">
        <v>10</v>
      </c>
    </row>
    <row r="4256" ht="14.25" customHeight="1">
      <c r="A4256" s="1" t="s">
        <v>3705</v>
      </c>
      <c r="B4256" s="1" t="s">
        <v>20</v>
      </c>
      <c r="C4256" s="2" t="s">
        <v>2152</v>
      </c>
      <c r="D4256" s="2">
        <v>7.5</v>
      </c>
      <c r="E4256" s="2">
        <v>1983.0</v>
      </c>
      <c r="F4256" s="2" t="s">
        <v>10</v>
      </c>
      <c r="G4256" s="2" t="s">
        <v>10</v>
      </c>
    </row>
    <row r="4257" ht="14.25" customHeight="1">
      <c r="A4257" s="1" t="s">
        <v>3706</v>
      </c>
      <c r="B4257" s="1" t="s">
        <v>20</v>
      </c>
      <c r="C4257" s="2" t="s">
        <v>766</v>
      </c>
      <c r="D4257" s="2">
        <v>7.5</v>
      </c>
      <c r="E4257" s="2">
        <v>1981.0</v>
      </c>
      <c r="F4257" s="2" t="s">
        <v>10</v>
      </c>
      <c r="G4257" s="2" t="s">
        <v>10</v>
      </c>
    </row>
    <row r="4258" ht="14.25" customHeight="1">
      <c r="A4258" s="1" t="s">
        <v>3707</v>
      </c>
      <c r="B4258" s="1" t="s">
        <v>8</v>
      </c>
      <c r="C4258" s="2" t="s">
        <v>34</v>
      </c>
      <c r="D4258" s="2">
        <v>7.5</v>
      </c>
      <c r="E4258" s="2">
        <v>2023.0</v>
      </c>
      <c r="F4258" s="2" t="s">
        <v>10</v>
      </c>
      <c r="G4258" s="2" t="s">
        <v>10</v>
      </c>
    </row>
    <row r="4259" ht="14.25" customHeight="1">
      <c r="A4259" s="1" t="s">
        <v>3708</v>
      </c>
      <c r="B4259" s="1" t="s">
        <v>20</v>
      </c>
      <c r="C4259" s="2" t="s">
        <v>18</v>
      </c>
      <c r="D4259" s="2">
        <v>7.5</v>
      </c>
      <c r="E4259" s="2">
        <v>2022.0</v>
      </c>
      <c r="F4259" s="2" t="s">
        <v>10</v>
      </c>
      <c r="G4259" s="2" t="s">
        <v>10</v>
      </c>
    </row>
    <row r="4260" ht="14.25" customHeight="1">
      <c r="A4260" s="1" t="s">
        <v>3709</v>
      </c>
      <c r="B4260" s="1" t="s">
        <v>20</v>
      </c>
      <c r="C4260" s="2" t="s">
        <v>742</v>
      </c>
      <c r="D4260" s="2">
        <v>7.5</v>
      </c>
      <c r="E4260" s="2">
        <v>2021.0</v>
      </c>
      <c r="F4260" s="2" t="s">
        <v>10</v>
      </c>
      <c r="G4260" s="2" t="s">
        <v>10</v>
      </c>
    </row>
    <row r="4261" ht="14.25" customHeight="1">
      <c r="A4261" s="1" t="s">
        <v>3710</v>
      </c>
      <c r="B4261" s="1" t="s">
        <v>20</v>
      </c>
      <c r="C4261" s="2" t="s">
        <v>1336</v>
      </c>
      <c r="D4261" s="2">
        <v>7.5</v>
      </c>
      <c r="E4261" s="2">
        <v>2009.0</v>
      </c>
      <c r="F4261" s="2">
        <v>2009.0</v>
      </c>
      <c r="G4261" s="2" t="s">
        <v>10</v>
      </c>
    </row>
    <row r="4262" ht="14.25" customHeight="1">
      <c r="A4262" s="1" t="s">
        <v>3711</v>
      </c>
      <c r="B4262" s="1" t="s">
        <v>8</v>
      </c>
      <c r="C4262" s="2" t="s">
        <v>611</v>
      </c>
      <c r="D4262" s="2">
        <v>7.5</v>
      </c>
      <c r="E4262" s="2">
        <v>2023.0</v>
      </c>
      <c r="F4262" s="2" t="s">
        <v>10</v>
      </c>
      <c r="G4262" s="2">
        <v>1.265E7</v>
      </c>
    </row>
    <row r="4263" ht="14.25" customHeight="1">
      <c r="A4263" s="1" t="s">
        <v>3711</v>
      </c>
      <c r="B4263" s="1" t="s">
        <v>8</v>
      </c>
      <c r="C4263" s="2" t="s">
        <v>611</v>
      </c>
      <c r="D4263" s="2">
        <v>7.5</v>
      </c>
      <c r="E4263" s="2">
        <v>2023.0</v>
      </c>
      <c r="F4263" s="2" t="s">
        <v>10</v>
      </c>
      <c r="G4263" s="2">
        <v>1.68E7</v>
      </c>
    </row>
    <row r="4264" ht="14.25" customHeight="1">
      <c r="A4264" s="1" t="s">
        <v>3711</v>
      </c>
      <c r="B4264" s="1" t="s">
        <v>8</v>
      </c>
      <c r="C4264" s="2" t="s">
        <v>611</v>
      </c>
      <c r="D4264" s="2">
        <v>7.5</v>
      </c>
      <c r="E4264" s="2">
        <v>2023.0</v>
      </c>
      <c r="F4264" s="2" t="s">
        <v>10</v>
      </c>
      <c r="G4264" s="2">
        <v>2.034E7</v>
      </c>
    </row>
    <row r="4265" ht="14.25" customHeight="1">
      <c r="A4265" s="1" t="s">
        <v>3711</v>
      </c>
      <c r="B4265" s="1" t="s">
        <v>8</v>
      </c>
      <c r="C4265" s="2" t="s">
        <v>611</v>
      </c>
      <c r="D4265" s="2">
        <v>7.5</v>
      </c>
      <c r="E4265" s="2">
        <v>2023.0</v>
      </c>
      <c r="F4265" s="2" t="s">
        <v>10</v>
      </c>
      <c r="G4265" s="2">
        <v>2.688E7</v>
      </c>
    </row>
    <row r="4266" ht="14.25" customHeight="1">
      <c r="A4266" s="1" t="s">
        <v>3711</v>
      </c>
      <c r="B4266" s="1" t="s">
        <v>8</v>
      </c>
      <c r="C4266" s="2" t="s">
        <v>611</v>
      </c>
      <c r="D4266" s="2">
        <v>7.5</v>
      </c>
      <c r="E4266" s="2">
        <v>2023.0</v>
      </c>
      <c r="F4266" s="2" t="s">
        <v>10</v>
      </c>
      <c r="G4266" s="2">
        <v>3.768E7</v>
      </c>
    </row>
    <row r="4267" ht="14.25" customHeight="1">
      <c r="A4267" s="1" t="s">
        <v>3711</v>
      </c>
      <c r="B4267" s="1" t="s">
        <v>8</v>
      </c>
      <c r="C4267" s="2" t="s">
        <v>611</v>
      </c>
      <c r="D4267" s="2">
        <v>7.5</v>
      </c>
      <c r="E4267" s="2">
        <v>2023.0</v>
      </c>
      <c r="F4267" s="2" t="s">
        <v>10</v>
      </c>
      <c r="G4267" s="2">
        <v>5.665E7</v>
      </c>
    </row>
    <row r="4268" ht="14.25" customHeight="1">
      <c r="A4268" s="1" t="s">
        <v>3711</v>
      </c>
      <c r="B4268" s="1" t="s">
        <v>8</v>
      </c>
      <c r="C4268" s="2" t="s">
        <v>611</v>
      </c>
      <c r="D4268" s="2">
        <v>7.5</v>
      </c>
      <c r="E4268" s="2">
        <v>2023.0</v>
      </c>
      <c r="F4268" s="2" t="s">
        <v>10</v>
      </c>
      <c r="G4268" s="2">
        <v>9.004E7</v>
      </c>
    </row>
    <row r="4269" ht="14.25" customHeight="1">
      <c r="A4269" s="1" t="s">
        <v>3711</v>
      </c>
      <c r="B4269" s="1" t="s">
        <v>8</v>
      </c>
      <c r="C4269" s="2" t="s">
        <v>611</v>
      </c>
      <c r="D4269" s="2">
        <v>7.5</v>
      </c>
      <c r="E4269" s="2">
        <v>2023.0</v>
      </c>
      <c r="F4269" s="2" t="s">
        <v>10</v>
      </c>
      <c r="G4269" s="2">
        <v>1.3048E8</v>
      </c>
    </row>
    <row r="4270" ht="14.25" customHeight="1">
      <c r="A4270" s="1" t="s">
        <v>3711</v>
      </c>
      <c r="B4270" s="1" t="s">
        <v>8</v>
      </c>
      <c r="C4270" s="2" t="s">
        <v>611</v>
      </c>
      <c r="D4270" s="2">
        <v>7.5</v>
      </c>
      <c r="E4270" s="2">
        <v>2023.0</v>
      </c>
      <c r="F4270" s="2" t="s">
        <v>10</v>
      </c>
      <c r="G4270" s="2">
        <v>2.1639E8</v>
      </c>
    </row>
    <row r="4271" ht="14.25" customHeight="1">
      <c r="A4271" s="1" t="s">
        <v>3711</v>
      </c>
      <c r="B4271" s="1" t="s">
        <v>8</v>
      </c>
      <c r="C4271" s="2" t="s">
        <v>611</v>
      </c>
      <c r="D4271" s="2">
        <v>7.5</v>
      </c>
      <c r="E4271" s="2">
        <v>2023.0</v>
      </c>
      <c r="F4271" s="2" t="s">
        <v>10</v>
      </c>
      <c r="G4271" s="2">
        <v>1.6871E8</v>
      </c>
    </row>
    <row r="4272" ht="14.25" customHeight="1">
      <c r="A4272" s="1" t="s">
        <v>3712</v>
      </c>
      <c r="B4272" s="1" t="s">
        <v>8</v>
      </c>
      <c r="C4272" s="2" t="s">
        <v>34</v>
      </c>
      <c r="D4272" s="2">
        <v>7.5</v>
      </c>
      <c r="E4272" s="2">
        <v>2021.0</v>
      </c>
      <c r="F4272" s="2">
        <v>2021.0</v>
      </c>
      <c r="G4272" s="2">
        <v>1.162E7</v>
      </c>
    </row>
    <row r="4273" ht="14.25" customHeight="1">
      <c r="A4273" s="1" t="s">
        <v>3712</v>
      </c>
      <c r="B4273" s="1" t="s">
        <v>8</v>
      </c>
      <c r="C4273" s="2" t="s">
        <v>34</v>
      </c>
      <c r="D4273" s="2">
        <v>7.5</v>
      </c>
      <c r="E4273" s="2">
        <v>2021.0</v>
      </c>
      <c r="F4273" s="2">
        <v>2021.0</v>
      </c>
      <c r="G4273" s="2">
        <v>1.674E7</v>
      </c>
    </row>
    <row r="4274" ht="14.25" customHeight="1">
      <c r="A4274" s="1" t="s">
        <v>3712</v>
      </c>
      <c r="B4274" s="1" t="s">
        <v>8</v>
      </c>
      <c r="C4274" s="2" t="s">
        <v>34</v>
      </c>
      <c r="D4274" s="2">
        <v>7.5</v>
      </c>
      <c r="E4274" s="2">
        <v>2021.0</v>
      </c>
      <c r="F4274" s="2">
        <v>2021.0</v>
      </c>
      <c r="G4274" s="3">
        <v>2.7E7</v>
      </c>
    </row>
    <row r="4275" ht="14.25" customHeight="1">
      <c r="A4275" s="1" t="s">
        <v>3712</v>
      </c>
      <c r="B4275" s="1" t="s">
        <v>8</v>
      </c>
      <c r="C4275" s="2" t="s">
        <v>34</v>
      </c>
      <c r="D4275" s="2">
        <v>7.5</v>
      </c>
      <c r="E4275" s="2">
        <v>2021.0</v>
      </c>
      <c r="F4275" s="2">
        <v>2021.0</v>
      </c>
      <c r="G4275" s="2">
        <v>5.503E7</v>
      </c>
    </row>
    <row r="4276" ht="14.25" customHeight="1">
      <c r="A4276" s="1" t="s">
        <v>3712</v>
      </c>
      <c r="B4276" s="1" t="s">
        <v>8</v>
      </c>
      <c r="C4276" s="2" t="s">
        <v>34</v>
      </c>
      <c r="D4276" s="2">
        <v>7.5</v>
      </c>
      <c r="E4276" s="2">
        <v>2021.0</v>
      </c>
      <c r="F4276" s="2">
        <v>2021.0</v>
      </c>
      <c r="G4276" s="2">
        <v>2.13E7</v>
      </c>
    </row>
    <row r="4277" ht="14.25" customHeight="1">
      <c r="A4277" s="1" t="s">
        <v>3712</v>
      </c>
      <c r="B4277" s="1" t="s">
        <v>8</v>
      </c>
      <c r="C4277" s="2" t="s">
        <v>34</v>
      </c>
      <c r="D4277" s="2">
        <v>7.5</v>
      </c>
      <c r="E4277" s="2">
        <v>2021.0</v>
      </c>
      <c r="F4277" s="2">
        <v>2021.0</v>
      </c>
      <c r="G4277" s="2">
        <v>5.04E7</v>
      </c>
    </row>
    <row r="4278" ht="14.25" customHeight="1">
      <c r="A4278" s="1" t="s">
        <v>3712</v>
      </c>
      <c r="B4278" s="1" t="s">
        <v>8</v>
      </c>
      <c r="C4278" s="2" t="s">
        <v>34</v>
      </c>
      <c r="D4278" s="2">
        <v>7.5</v>
      </c>
      <c r="E4278" s="2">
        <v>2021.0</v>
      </c>
      <c r="F4278" s="2">
        <v>2021.0</v>
      </c>
      <c r="G4278" s="2">
        <v>2.407E7</v>
      </c>
    </row>
    <row r="4279" ht="14.25" customHeight="1">
      <c r="A4279" s="1" t="s">
        <v>3713</v>
      </c>
      <c r="B4279" s="1" t="s">
        <v>20</v>
      </c>
      <c r="C4279" s="2" t="s">
        <v>154</v>
      </c>
      <c r="D4279" s="2">
        <v>7.5</v>
      </c>
      <c r="E4279" s="2">
        <v>2006.0</v>
      </c>
      <c r="F4279" s="2" t="s">
        <v>10</v>
      </c>
      <c r="G4279" s="2" t="s">
        <v>10</v>
      </c>
    </row>
    <row r="4280" ht="14.25" customHeight="1">
      <c r="A4280" s="1" t="s">
        <v>3714</v>
      </c>
      <c r="B4280" s="1" t="s">
        <v>20</v>
      </c>
      <c r="C4280" s="2" t="s">
        <v>34</v>
      </c>
      <c r="D4280" s="2">
        <v>7.5</v>
      </c>
      <c r="E4280" s="2">
        <v>2004.0</v>
      </c>
      <c r="F4280" s="2" t="s">
        <v>10</v>
      </c>
      <c r="G4280" s="2" t="s">
        <v>10</v>
      </c>
    </row>
    <row r="4281" ht="14.25" customHeight="1">
      <c r="A4281" s="1" t="s">
        <v>3715</v>
      </c>
      <c r="B4281" s="1" t="s">
        <v>20</v>
      </c>
      <c r="C4281" s="2" t="s">
        <v>36</v>
      </c>
      <c r="D4281" s="2">
        <v>7.5</v>
      </c>
      <c r="E4281" s="2">
        <v>2001.0</v>
      </c>
      <c r="F4281" s="2" t="s">
        <v>10</v>
      </c>
      <c r="G4281" s="2" t="s">
        <v>10</v>
      </c>
    </row>
    <row r="4282" ht="14.25" customHeight="1">
      <c r="A4282" s="1" t="s">
        <v>3716</v>
      </c>
      <c r="B4282" s="1" t="s">
        <v>8</v>
      </c>
      <c r="C4282" s="2" t="s">
        <v>2237</v>
      </c>
      <c r="D4282" s="2">
        <v>7.5</v>
      </c>
      <c r="E4282" s="2">
        <v>2018.0</v>
      </c>
      <c r="F4282" s="2" t="s">
        <v>10</v>
      </c>
      <c r="G4282" s="2">
        <v>2.14E7</v>
      </c>
    </row>
    <row r="4283" ht="14.25" customHeight="1">
      <c r="A4283" s="1" t="s">
        <v>3716</v>
      </c>
      <c r="B4283" s="1" t="s">
        <v>8</v>
      </c>
      <c r="C4283" s="2" t="s">
        <v>2237</v>
      </c>
      <c r="D4283" s="2">
        <v>7.5</v>
      </c>
      <c r="E4283" s="2">
        <v>2018.0</v>
      </c>
      <c r="F4283" s="2" t="s">
        <v>10</v>
      </c>
      <c r="G4283" s="2">
        <v>1.256E7</v>
      </c>
    </row>
    <row r="4284" ht="14.25" customHeight="1">
      <c r="A4284" s="1" t="s">
        <v>3716</v>
      </c>
      <c r="B4284" s="1" t="s">
        <v>8</v>
      </c>
      <c r="C4284" s="2" t="s">
        <v>2237</v>
      </c>
      <c r="D4284" s="2">
        <v>7.5</v>
      </c>
      <c r="E4284" s="2">
        <v>2018.0</v>
      </c>
      <c r="F4284" s="2" t="s">
        <v>10</v>
      </c>
      <c r="G4284" s="2">
        <v>2.381E7</v>
      </c>
    </row>
    <row r="4285" ht="14.25" customHeight="1">
      <c r="A4285" s="1" t="s">
        <v>3716</v>
      </c>
      <c r="B4285" s="1" t="s">
        <v>8</v>
      </c>
      <c r="C4285" s="2" t="s">
        <v>2237</v>
      </c>
      <c r="D4285" s="2">
        <v>7.5</v>
      </c>
      <c r="E4285" s="2">
        <v>2018.0</v>
      </c>
      <c r="F4285" s="2" t="s">
        <v>10</v>
      </c>
      <c r="G4285" s="2">
        <v>1.034E7</v>
      </c>
    </row>
    <row r="4286" ht="14.25" customHeight="1">
      <c r="A4286" s="1" t="s">
        <v>3716</v>
      </c>
      <c r="B4286" s="1" t="s">
        <v>8</v>
      </c>
      <c r="C4286" s="2" t="s">
        <v>2237</v>
      </c>
      <c r="D4286" s="2">
        <v>7.5</v>
      </c>
      <c r="E4286" s="2">
        <v>2018.0</v>
      </c>
      <c r="F4286" s="2" t="s">
        <v>10</v>
      </c>
      <c r="G4286" s="3">
        <v>2.6E7</v>
      </c>
    </row>
    <row r="4287" ht="14.25" customHeight="1">
      <c r="A4287" s="1" t="s">
        <v>3717</v>
      </c>
      <c r="B4287" s="1" t="s">
        <v>20</v>
      </c>
      <c r="C4287" s="2" t="s">
        <v>291</v>
      </c>
      <c r="D4287" s="2">
        <v>7.5</v>
      </c>
      <c r="E4287" s="2">
        <v>1979.0</v>
      </c>
      <c r="F4287" s="2" t="s">
        <v>10</v>
      </c>
      <c r="G4287" s="2" t="s">
        <v>10</v>
      </c>
    </row>
    <row r="4288" ht="14.25" customHeight="1">
      <c r="A4288" s="1" t="s">
        <v>3718</v>
      </c>
      <c r="B4288" s="1" t="s">
        <v>20</v>
      </c>
      <c r="C4288" s="2" t="s">
        <v>833</v>
      </c>
      <c r="D4288" s="2">
        <v>7.5</v>
      </c>
      <c r="E4288" s="2">
        <v>2010.0</v>
      </c>
      <c r="F4288" s="2">
        <v>2010.0</v>
      </c>
      <c r="G4288" s="2" t="s">
        <v>10</v>
      </c>
    </row>
    <row r="4289" ht="14.25" customHeight="1">
      <c r="A4289" s="1" t="s">
        <v>3719</v>
      </c>
      <c r="B4289" s="1" t="s">
        <v>20</v>
      </c>
      <c r="C4289" s="2" t="s">
        <v>192</v>
      </c>
      <c r="D4289" s="2">
        <v>7.5</v>
      </c>
      <c r="E4289" s="2">
        <v>1962.0</v>
      </c>
      <c r="F4289" s="2">
        <v>1962.0</v>
      </c>
      <c r="G4289" s="2" t="s">
        <v>10</v>
      </c>
    </row>
    <row r="4290" ht="14.25" customHeight="1">
      <c r="A4290" s="1" t="s">
        <v>3720</v>
      </c>
      <c r="B4290" s="1" t="s">
        <v>20</v>
      </c>
      <c r="C4290" s="2" t="s">
        <v>291</v>
      </c>
      <c r="D4290" s="2">
        <v>7.5</v>
      </c>
      <c r="E4290" s="2">
        <v>2011.0</v>
      </c>
      <c r="F4290" s="2" t="s">
        <v>10</v>
      </c>
      <c r="G4290" s="2" t="s">
        <v>10</v>
      </c>
    </row>
    <row r="4291" ht="14.25" customHeight="1">
      <c r="A4291" s="1" t="s">
        <v>3721</v>
      </c>
      <c r="B4291" s="1" t="s">
        <v>20</v>
      </c>
      <c r="C4291" s="2" t="s">
        <v>9</v>
      </c>
      <c r="D4291" s="2">
        <v>7.5</v>
      </c>
      <c r="E4291" s="2">
        <v>1984.0</v>
      </c>
      <c r="F4291" s="2" t="s">
        <v>10</v>
      </c>
      <c r="G4291" s="2" t="s">
        <v>10</v>
      </c>
    </row>
    <row r="4292" ht="14.25" customHeight="1">
      <c r="A4292" s="1" t="s">
        <v>3722</v>
      </c>
      <c r="B4292" s="1" t="s">
        <v>20</v>
      </c>
      <c r="C4292" s="2" t="s">
        <v>359</v>
      </c>
      <c r="D4292" s="2">
        <v>7.5</v>
      </c>
      <c r="E4292" s="2">
        <v>1992.0</v>
      </c>
      <c r="F4292" s="2" t="s">
        <v>10</v>
      </c>
      <c r="G4292" s="2" t="s">
        <v>10</v>
      </c>
    </row>
    <row r="4293" ht="14.25" customHeight="1">
      <c r="A4293" s="1" t="s">
        <v>3723</v>
      </c>
      <c r="B4293" s="1" t="s">
        <v>20</v>
      </c>
      <c r="C4293" s="2" t="s">
        <v>40</v>
      </c>
      <c r="D4293" s="2">
        <v>7.5</v>
      </c>
      <c r="E4293" s="2">
        <v>1999.0</v>
      </c>
      <c r="F4293" s="2" t="s">
        <v>10</v>
      </c>
      <c r="G4293" s="2" t="s">
        <v>10</v>
      </c>
    </row>
    <row r="4294" ht="14.25" customHeight="1">
      <c r="A4294" s="1" t="s">
        <v>3724</v>
      </c>
      <c r="B4294" s="1" t="s">
        <v>20</v>
      </c>
      <c r="C4294" s="2" t="s">
        <v>60</v>
      </c>
      <c r="D4294" s="2">
        <v>7.5</v>
      </c>
      <c r="E4294" s="2">
        <v>1995.0</v>
      </c>
      <c r="F4294" s="2" t="s">
        <v>10</v>
      </c>
      <c r="G4294" s="2" t="s">
        <v>10</v>
      </c>
    </row>
    <row r="4295" ht="14.25" customHeight="1">
      <c r="A4295" s="1">
        <v>42.0</v>
      </c>
      <c r="B4295" s="1" t="s">
        <v>20</v>
      </c>
      <c r="C4295" s="2" t="s">
        <v>910</v>
      </c>
      <c r="D4295" s="2">
        <v>7.5</v>
      </c>
      <c r="E4295" s="2">
        <v>2013.0</v>
      </c>
      <c r="F4295" s="2" t="s">
        <v>10</v>
      </c>
      <c r="G4295" s="2" t="s">
        <v>10</v>
      </c>
    </row>
    <row r="4296" ht="14.25" customHeight="1">
      <c r="A4296" s="1" t="s">
        <v>3725</v>
      </c>
      <c r="B4296" s="1" t="s">
        <v>20</v>
      </c>
      <c r="C4296" s="2" t="s">
        <v>36</v>
      </c>
      <c r="D4296" s="2">
        <v>7.5</v>
      </c>
      <c r="E4296" s="2">
        <v>1995.0</v>
      </c>
      <c r="F4296" s="2" t="s">
        <v>10</v>
      </c>
      <c r="G4296" s="2" t="s">
        <v>10</v>
      </c>
    </row>
    <row r="4297" ht="14.25" customHeight="1">
      <c r="A4297" s="1" t="s">
        <v>3726</v>
      </c>
      <c r="B4297" s="1" t="s">
        <v>20</v>
      </c>
      <c r="C4297" s="2" t="s">
        <v>63</v>
      </c>
      <c r="D4297" s="2">
        <v>7.5</v>
      </c>
      <c r="E4297" s="2">
        <v>2023.0</v>
      </c>
      <c r="F4297" s="2" t="s">
        <v>10</v>
      </c>
      <c r="G4297" s="2" t="s">
        <v>10</v>
      </c>
    </row>
    <row r="4298" ht="14.25" customHeight="1">
      <c r="A4298" s="1" t="s">
        <v>3727</v>
      </c>
      <c r="B4298" s="1" t="s">
        <v>20</v>
      </c>
      <c r="C4298" s="2" t="s">
        <v>40</v>
      </c>
      <c r="D4298" s="2">
        <v>7.5</v>
      </c>
      <c r="E4298" s="2">
        <v>2019.0</v>
      </c>
      <c r="F4298" s="2" t="s">
        <v>10</v>
      </c>
      <c r="G4298" s="2" t="s">
        <v>10</v>
      </c>
    </row>
    <row r="4299" ht="14.25" customHeight="1">
      <c r="A4299" s="1" t="s">
        <v>3728</v>
      </c>
      <c r="B4299" s="1" t="s">
        <v>20</v>
      </c>
      <c r="C4299" s="2" t="s">
        <v>18</v>
      </c>
      <c r="D4299" s="2">
        <v>7.5</v>
      </c>
      <c r="E4299" s="2">
        <v>2008.0</v>
      </c>
      <c r="F4299" s="2" t="s">
        <v>10</v>
      </c>
      <c r="G4299" s="2" t="s">
        <v>10</v>
      </c>
    </row>
    <row r="4300" ht="14.25" customHeight="1">
      <c r="A4300" s="1" t="s">
        <v>3729</v>
      </c>
      <c r="B4300" s="1" t="s">
        <v>20</v>
      </c>
      <c r="C4300" s="2" t="s">
        <v>36</v>
      </c>
      <c r="D4300" s="2">
        <v>7.5</v>
      </c>
      <c r="E4300" s="2">
        <v>1999.0</v>
      </c>
      <c r="F4300" s="2" t="s">
        <v>10</v>
      </c>
      <c r="G4300" s="2" t="s">
        <v>10</v>
      </c>
    </row>
    <row r="4301" ht="14.25" customHeight="1">
      <c r="A4301" s="1" t="s">
        <v>3730</v>
      </c>
      <c r="B4301" s="1" t="s">
        <v>20</v>
      </c>
      <c r="C4301" s="2" t="s">
        <v>217</v>
      </c>
      <c r="D4301" s="2">
        <v>7.5</v>
      </c>
      <c r="E4301" s="2">
        <v>1988.0</v>
      </c>
      <c r="F4301" s="2">
        <v>1988.0</v>
      </c>
      <c r="G4301" s="2" t="s">
        <v>10</v>
      </c>
    </row>
    <row r="4302" ht="14.25" customHeight="1">
      <c r="A4302" s="1" t="s">
        <v>3731</v>
      </c>
      <c r="B4302" s="1" t="s">
        <v>20</v>
      </c>
      <c r="C4302" s="2" t="s">
        <v>459</v>
      </c>
      <c r="D4302" s="2">
        <v>7.5</v>
      </c>
      <c r="E4302" s="2">
        <v>1973.0</v>
      </c>
      <c r="F4302" s="2" t="s">
        <v>10</v>
      </c>
      <c r="G4302" s="2" t="s">
        <v>10</v>
      </c>
    </row>
    <row r="4303" ht="14.25" customHeight="1">
      <c r="A4303" s="1" t="s">
        <v>3732</v>
      </c>
      <c r="B4303" s="1" t="s">
        <v>20</v>
      </c>
      <c r="C4303" s="2" t="s">
        <v>411</v>
      </c>
      <c r="D4303" s="2">
        <v>7.5</v>
      </c>
      <c r="E4303" s="2">
        <v>1993.0</v>
      </c>
      <c r="F4303" s="2">
        <v>1993.0</v>
      </c>
      <c r="G4303" s="2" t="s">
        <v>10</v>
      </c>
    </row>
    <row r="4304" ht="14.25" customHeight="1">
      <c r="A4304" s="1" t="s">
        <v>3733</v>
      </c>
      <c r="B4304" s="1" t="s">
        <v>8</v>
      </c>
      <c r="C4304" s="2" t="s">
        <v>34</v>
      </c>
      <c r="D4304" s="2">
        <v>7.5</v>
      </c>
      <c r="E4304" s="2">
        <v>2020.0</v>
      </c>
      <c r="F4304" s="2" t="s">
        <v>10</v>
      </c>
      <c r="G4304" s="2" t="s">
        <v>10</v>
      </c>
    </row>
    <row r="4305" ht="14.25" customHeight="1">
      <c r="A4305" s="1" t="s">
        <v>3734</v>
      </c>
      <c r="B4305" s="1" t="s">
        <v>20</v>
      </c>
      <c r="C4305" s="2" t="s">
        <v>80</v>
      </c>
      <c r="D4305" s="2">
        <v>7.5</v>
      </c>
      <c r="E4305" s="2">
        <v>2014.0</v>
      </c>
      <c r="F4305" s="2" t="s">
        <v>10</v>
      </c>
      <c r="G4305" s="2" t="s">
        <v>10</v>
      </c>
    </row>
    <row r="4306" ht="14.25" customHeight="1">
      <c r="A4306" s="1" t="s">
        <v>3735</v>
      </c>
      <c r="B4306" s="1" t="s">
        <v>20</v>
      </c>
      <c r="C4306" s="2" t="s">
        <v>284</v>
      </c>
      <c r="D4306" s="2">
        <v>7.5</v>
      </c>
      <c r="E4306" s="2">
        <v>1991.0</v>
      </c>
      <c r="F4306" s="2" t="s">
        <v>10</v>
      </c>
      <c r="G4306" s="2" t="s">
        <v>10</v>
      </c>
    </row>
    <row r="4307" ht="14.25" customHeight="1">
      <c r="A4307" s="1" t="s">
        <v>3736</v>
      </c>
      <c r="B4307" s="1" t="s">
        <v>20</v>
      </c>
      <c r="C4307" s="2" t="s">
        <v>311</v>
      </c>
      <c r="D4307" s="2">
        <v>7.5</v>
      </c>
      <c r="E4307" s="2">
        <v>2007.0</v>
      </c>
      <c r="F4307" s="2" t="s">
        <v>10</v>
      </c>
      <c r="G4307" s="2" t="s">
        <v>10</v>
      </c>
    </row>
    <row r="4308" ht="14.25" customHeight="1">
      <c r="A4308" s="1" t="s">
        <v>3737</v>
      </c>
      <c r="B4308" s="1" t="s">
        <v>20</v>
      </c>
      <c r="C4308" s="2" t="s">
        <v>527</v>
      </c>
      <c r="D4308" s="2">
        <v>7.5</v>
      </c>
      <c r="E4308" s="2">
        <v>1991.0</v>
      </c>
      <c r="F4308" s="2" t="s">
        <v>10</v>
      </c>
      <c r="G4308" s="2" t="s">
        <v>10</v>
      </c>
    </row>
    <row r="4309" ht="14.25" customHeight="1">
      <c r="A4309" s="1" t="s">
        <v>3738</v>
      </c>
      <c r="B4309" s="1" t="s">
        <v>8</v>
      </c>
      <c r="C4309" s="2" t="s">
        <v>69</v>
      </c>
      <c r="D4309" s="2">
        <v>7.5</v>
      </c>
      <c r="E4309" s="2">
        <v>2020.0</v>
      </c>
      <c r="F4309" s="2">
        <v>2021.0</v>
      </c>
      <c r="G4309" s="2">
        <v>1.131E7</v>
      </c>
    </row>
    <row r="4310" ht="14.25" customHeight="1">
      <c r="A4310" s="1" t="s">
        <v>3738</v>
      </c>
      <c r="B4310" s="1" t="s">
        <v>8</v>
      </c>
      <c r="C4310" s="2" t="s">
        <v>69</v>
      </c>
      <c r="D4310" s="2">
        <v>7.5</v>
      </c>
      <c r="E4310" s="2">
        <v>2020.0</v>
      </c>
      <c r="F4310" s="2">
        <v>2021.0</v>
      </c>
      <c r="G4310" s="2">
        <v>1.688E7</v>
      </c>
    </row>
    <row r="4311" ht="14.25" customHeight="1">
      <c r="A4311" s="1" t="s">
        <v>3738</v>
      </c>
      <c r="B4311" s="1" t="s">
        <v>8</v>
      </c>
      <c r="C4311" s="2" t="s">
        <v>69</v>
      </c>
      <c r="D4311" s="2">
        <v>7.5</v>
      </c>
      <c r="E4311" s="2">
        <v>2020.0</v>
      </c>
      <c r="F4311" s="2">
        <v>2021.0</v>
      </c>
      <c r="G4311" s="2">
        <v>2.595E7</v>
      </c>
    </row>
    <row r="4312" ht="14.25" customHeight="1">
      <c r="A4312" s="1" t="s">
        <v>3738</v>
      </c>
      <c r="B4312" s="1" t="s">
        <v>8</v>
      </c>
      <c r="C4312" s="2" t="s">
        <v>69</v>
      </c>
      <c r="D4312" s="2">
        <v>7.5</v>
      </c>
      <c r="E4312" s="2">
        <v>2020.0</v>
      </c>
      <c r="F4312" s="2">
        <v>2021.0</v>
      </c>
      <c r="G4312" s="2">
        <v>4.458E7</v>
      </c>
    </row>
    <row r="4313" ht="14.25" customHeight="1">
      <c r="A4313" s="1" t="s">
        <v>3738</v>
      </c>
      <c r="B4313" s="1" t="s">
        <v>8</v>
      </c>
      <c r="C4313" s="2" t="s">
        <v>69</v>
      </c>
      <c r="D4313" s="2">
        <v>7.5</v>
      </c>
      <c r="E4313" s="2">
        <v>2020.0</v>
      </c>
      <c r="F4313" s="2">
        <v>2021.0</v>
      </c>
      <c r="G4313" s="2">
        <v>1.636E7</v>
      </c>
    </row>
    <row r="4314" ht="14.25" customHeight="1">
      <c r="A4314" s="1" t="s">
        <v>3738</v>
      </c>
      <c r="B4314" s="1" t="s">
        <v>8</v>
      </c>
      <c r="C4314" s="2" t="s">
        <v>69</v>
      </c>
      <c r="D4314" s="2">
        <v>7.5</v>
      </c>
      <c r="E4314" s="2">
        <v>2020.0</v>
      </c>
      <c r="F4314" s="2">
        <v>2021.0</v>
      </c>
      <c r="G4314" s="2">
        <v>1.614E7</v>
      </c>
    </row>
    <row r="4315" ht="14.25" customHeight="1">
      <c r="A4315" s="1" t="s">
        <v>3738</v>
      </c>
      <c r="B4315" s="1" t="s">
        <v>8</v>
      </c>
      <c r="C4315" s="2" t="s">
        <v>69</v>
      </c>
      <c r="D4315" s="2">
        <v>7.5</v>
      </c>
      <c r="E4315" s="2">
        <v>2020.0</v>
      </c>
      <c r="F4315" s="2">
        <v>2021.0</v>
      </c>
      <c r="G4315" s="3">
        <v>9.9E7</v>
      </c>
    </row>
    <row r="4316" ht="14.25" customHeight="1">
      <c r="A4316" s="1" t="s">
        <v>3738</v>
      </c>
      <c r="B4316" s="1" t="s">
        <v>8</v>
      </c>
      <c r="C4316" s="2" t="s">
        <v>69</v>
      </c>
      <c r="D4316" s="2">
        <v>7.5</v>
      </c>
      <c r="E4316" s="2">
        <v>2020.0</v>
      </c>
      <c r="F4316" s="2">
        <v>2021.0</v>
      </c>
      <c r="G4316" s="2">
        <v>3.405E7</v>
      </c>
    </row>
    <row r="4317" ht="14.25" customHeight="1">
      <c r="A4317" s="1" t="s">
        <v>3738</v>
      </c>
      <c r="B4317" s="1" t="s">
        <v>8</v>
      </c>
      <c r="C4317" s="2" t="s">
        <v>69</v>
      </c>
      <c r="D4317" s="2">
        <v>7.5</v>
      </c>
      <c r="E4317" s="2">
        <v>2020.0</v>
      </c>
      <c r="F4317" s="2">
        <v>2021.0</v>
      </c>
      <c r="G4317" s="2">
        <v>2.775E7</v>
      </c>
    </row>
    <row r="4318" ht="14.25" customHeight="1">
      <c r="A4318" s="1" t="s">
        <v>3738</v>
      </c>
      <c r="B4318" s="1" t="s">
        <v>8</v>
      </c>
      <c r="C4318" s="2" t="s">
        <v>69</v>
      </c>
      <c r="D4318" s="2">
        <v>7.5</v>
      </c>
      <c r="E4318" s="2">
        <v>2020.0</v>
      </c>
      <c r="F4318" s="2">
        <v>2021.0</v>
      </c>
      <c r="G4318" s="2">
        <v>1.5497E8</v>
      </c>
    </row>
    <row r="4319" ht="14.25" customHeight="1">
      <c r="A4319" s="1" t="s">
        <v>3738</v>
      </c>
      <c r="B4319" s="1" t="s">
        <v>8</v>
      </c>
      <c r="C4319" s="2" t="s">
        <v>69</v>
      </c>
      <c r="D4319" s="2">
        <v>7.5</v>
      </c>
      <c r="E4319" s="2">
        <v>2020.0</v>
      </c>
      <c r="F4319" s="2">
        <v>2021.0</v>
      </c>
      <c r="G4319" s="2">
        <v>3.51E7</v>
      </c>
    </row>
    <row r="4320" ht="14.25" customHeight="1">
      <c r="A4320" s="1" t="s">
        <v>3738</v>
      </c>
      <c r="B4320" s="1" t="s">
        <v>8</v>
      </c>
      <c r="C4320" s="2" t="s">
        <v>69</v>
      </c>
      <c r="D4320" s="2">
        <v>7.5</v>
      </c>
      <c r="E4320" s="2">
        <v>2020.0</v>
      </c>
      <c r="F4320" s="2">
        <v>2021.0</v>
      </c>
      <c r="G4320" s="2">
        <v>2.386E7</v>
      </c>
    </row>
    <row r="4321" ht="14.25" customHeight="1">
      <c r="A4321" s="1" t="s">
        <v>3738</v>
      </c>
      <c r="B4321" s="1" t="s">
        <v>8</v>
      </c>
      <c r="C4321" s="2" t="s">
        <v>69</v>
      </c>
      <c r="D4321" s="2">
        <v>7.5</v>
      </c>
      <c r="E4321" s="2">
        <v>2020.0</v>
      </c>
      <c r="F4321" s="2">
        <v>2021.0</v>
      </c>
      <c r="G4321" s="2">
        <v>1.291E7</v>
      </c>
    </row>
    <row r="4322" ht="14.25" customHeight="1">
      <c r="A4322" s="1" t="s">
        <v>3738</v>
      </c>
      <c r="B4322" s="1" t="s">
        <v>8</v>
      </c>
      <c r="C4322" s="2" t="s">
        <v>69</v>
      </c>
      <c r="D4322" s="2">
        <v>7.5</v>
      </c>
      <c r="E4322" s="2">
        <v>2020.0</v>
      </c>
      <c r="F4322" s="2">
        <v>2021.0</v>
      </c>
      <c r="G4322" s="2">
        <v>2.079E7</v>
      </c>
    </row>
    <row r="4323" ht="14.25" customHeight="1">
      <c r="A4323" s="1" t="s">
        <v>3738</v>
      </c>
      <c r="B4323" s="1" t="s">
        <v>8</v>
      </c>
      <c r="C4323" s="2" t="s">
        <v>69</v>
      </c>
      <c r="D4323" s="2">
        <v>7.5</v>
      </c>
      <c r="E4323" s="2">
        <v>2020.0</v>
      </c>
      <c r="F4323" s="2">
        <v>2021.0</v>
      </c>
      <c r="G4323" s="2">
        <v>1.386E7</v>
      </c>
    </row>
    <row r="4324" ht="14.25" customHeight="1">
      <c r="A4324" s="1" t="s">
        <v>3738</v>
      </c>
      <c r="B4324" s="1" t="s">
        <v>8</v>
      </c>
      <c r="C4324" s="2" t="s">
        <v>69</v>
      </c>
      <c r="D4324" s="2">
        <v>7.5</v>
      </c>
      <c r="E4324" s="2">
        <v>2020.0</v>
      </c>
      <c r="F4324" s="2">
        <v>2021.0</v>
      </c>
      <c r="G4324" s="2">
        <v>3.18E7</v>
      </c>
    </row>
    <row r="4325" ht="14.25" customHeight="1">
      <c r="A4325" s="1" t="s">
        <v>3738</v>
      </c>
      <c r="B4325" s="1" t="s">
        <v>8</v>
      </c>
      <c r="C4325" s="2" t="s">
        <v>69</v>
      </c>
      <c r="D4325" s="2">
        <v>7.5</v>
      </c>
      <c r="E4325" s="2">
        <v>2020.0</v>
      </c>
      <c r="F4325" s="2">
        <v>2021.0</v>
      </c>
      <c r="G4325" s="2">
        <v>2.03E7</v>
      </c>
    </row>
    <row r="4326" ht="14.25" customHeight="1">
      <c r="A4326" s="1" t="s">
        <v>3738</v>
      </c>
      <c r="B4326" s="1" t="s">
        <v>8</v>
      </c>
      <c r="C4326" s="2" t="s">
        <v>69</v>
      </c>
      <c r="D4326" s="2">
        <v>7.5</v>
      </c>
      <c r="E4326" s="2">
        <v>2020.0</v>
      </c>
      <c r="F4326" s="2">
        <v>2021.0</v>
      </c>
      <c r="G4326" s="2">
        <v>5.16E7</v>
      </c>
    </row>
    <row r="4327" ht="14.25" customHeight="1">
      <c r="A4327" s="1" t="s">
        <v>3738</v>
      </c>
      <c r="B4327" s="1" t="s">
        <v>8</v>
      </c>
      <c r="C4327" s="2" t="s">
        <v>69</v>
      </c>
      <c r="D4327" s="2">
        <v>7.5</v>
      </c>
      <c r="E4327" s="2">
        <v>2020.0</v>
      </c>
      <c r="F4327" s="2">
        <v>2021.0</v>
      </c>
      <c r="G4327" s="2">
        <v>3.039E7</v>
      </c>
    </row>
    <row r="4328" ht="14.25" customHeight="1">
      <c r="A4328" s="1" t="s">
        <v>3738</v>
      </c>
      <c r="B4328" s="1" t="s">
        <v>8</v>
      </c>
      <c r="C4328" s="2" t="s">
        <v>69</v>
      </c>
      <c r="D4328" s="2">
        <v>7.5</v>
      </c>
      <c r="E4328" s="2">
        <v>2020.0</v>
      </c>
      <c r="F4328" s="2">
        <v>2021.0</v>
      </c>
      <c r="G4328" s="2">
        <v>1.0533E8</v>
      </c>
    </row>
    <row r="4329" ht="14.25" customHeight="1">
      <c r="A4329" s="1" t="s">
        <v>3738</v>
      </c>
      <c r="B4329" s="1" t="s">
        <v>8</v>
      </c>
      <c r="C4329" s="2" t="s">
        <v>69</v>
      </c>
      <c r="D4329" s="2">
        <v>7.5</v>
      </c>
      <c r="E4329" s="2">
        <v>2020.0</v>
      </c>
      <c r="F4329" s="2">
        <v>2021.0</v>
      </c>
      <c r="G4329" s="2">
        <v>4.508E7</v>
      </c>
    </row>
    <row r="4330" ht="14.25" customHeight="1">
      <c r="A4330" s="1" t="s">
        <v>3738</v>
      </c>
      <c r="B4330" s="1" t="s">
        <v>8</v>
      </c>
      <c r="C4330" s="2" t="s">
        <v>69</v>
      </c>
      <c r="D4330" s="2">
        <v>7.5</v>
      </c>
      <c r="E4330" s="2">
        <v>2020.0</v>
      </c>
      <c r="F4330" s="2">
        <v>2021.0</v>
      </c>
      <c r="G4330" s="2">
        <v>1.0016E8</v>
      </c>
    </row>
    <row r="4331" ht="14.25" customHeight="1">
      <c r="A4331" s="1" t="s">
        <v>3738</v>
      </c>
      <c r="B4331" s="1" t="s">
        <v>8</v>
      </c>
      <c r="C4331" s="2" t="s">
        <v>69</v>
      </c>
      <c r="D4331" s="2">
        <v>7.5</v>
      </c>
      <c r="E4331" s="2">
        <v>2020.0</v>
      </c>
      <c r="F4331" s="2">
        <v>2021.0</v>
      </c>
      <c r="G4331" s="2">
        <v>2.624E7</v>
      </c>
    </row>
    <row r="4332" ht="14.25" customHeight="1">
      <c r="A4332" s="1" t="s">
        <v>3739</v>
      </c>
      <c r="B4332" s="1" t="s">
        <v>20</v>
      </c>
      <c r="C4332" s="2" t="s">
        <v>40</v>
      </c>
      <c r="D4332" s="2">
        <v>7.5</v>
      </c>
      <c r="E4332" s="2">
        <v>1978.0</v>
      </c>
      <c r="F4332" s="2" t="s">
        <v>10</v>
      </c>
      <c r="G4332" s="2" t="s">
        <v>10</v>
      </c>
    </row>
    <row r="4333" ht="14.25" customHeight="1">
      <c r="A4333" s="1" t="s">
        <v>3740</v>
      </c>
      <c r="B4333" s="1" t="s">
        <v>20</v>
      </c>
      <c r="C4333" s="2" t="s">
        <v>9</v>
      </c>
      <c r="D4333" s="2">
        <v>7.5</v>
      </c>
      <c r="E4333" s="2">
        <v>1993.0</v>
      </c>
      <c r="F4333" s="2" t="s">
        <v>10</v>
      </c>
      <c r="G4333" s="2" t="s">
        <v>10</v>
      </c>
    </row>
    <row r="4334" ht="14.25" customHeight="1">
      <c r="A4334" s="1" t="s">
        <v>3741</v>
      </c>
      <c r="B4334" s="1" t="s">
        <v>8</v>
      </c>
      <c r="C4334" s="2" t="s">
        <v>142</v>
      </c>
      <c r="D4334" s="2">
        <v>7.5</v>
      </c>
      <c r="E4334" s="2">
        <v>2020.0</v>
      </c>
      <c r="F4334" s="2" t="s">
        <v>10</v>
      </c>
      <c r="G4334" s="2">
        <v>1.643E7</v>
      </c>
    </row>
    <row r="4335" ht="14.25" customHeight="1">
      <c r="A4335" s="1" t="s">
        <v>3741</v>
      </c>
      <c r="B4335" s="1" t="s">
        <v>8</v>
      </c>
      <c r="C4335" s="2" t="s">
        <v>142</v>
      </c>
      <c r="D4335" s="2">
        <v>7.5</v>
      </c>
      <c r="E4335" s="2">
        <v>2020.0</v>
      </c>
      <c r="F4335" s="2" t="s">
        <v>10</v>
      </c>
      <c r="G4335" s="2">
        <v>3.003E7</v>
      </c>
    </row>
    <row r="4336" ht="14.25" customHeight="1">
      <c r="A4336" s="1" t="s">
        <v>3742</v>
      </c>
      <c r="B4336" s="1" t="s">
        <v>20</v>
      </c>
      <c r="C4336" s="2" t="s">
        <v>9</v>
      </c>
      <c r="D4336" s="2">
        <v>7.5</v>
      </c>
      <c r="E4336" s="2">
        <v>1997.0</v>
      </c>
      <c r="F4336" s="2" t="s">
        <v>10</v>
      </c>
      <c r="G4336" s="2" t="s">
        <v>10</v>
      </c>
    </row>
    <row r="4337" ht="14.25" customHeight="1">
      <c r="A4337" s="1" t="s">
        <v>3743</v>
      </c>
      <c r="B4337" s="1" t="s">
        <v>20</v>
      </c>
      <c r="C4337" s="2" t="s">
        <v>9</v>
      </c>
      <c r="D4337" s="2">
        <v>7.5</v>
      </c>
      <c r="E4337" s="2">
        <v>2005.0</v>
      </c>
      <c r="F4337" s="2" t="s">
        <v>10</v>
      </c>
      <c r="G4337" s="2" t="s">
        <v>10</v>
      </c>
    </row>
    <row r="4338" ht="14.25" customHeight="1">
      <c r="A4338" s="1" t="s">
        <v>3744</v>
      </c>
      <c r="B4338" s="1" t="s">
        <v>8</v>
      </c>
      <c r="C4338" s="2" t="s">
        <v>63</v>
      </c>
      <c r="D4338" s="2">
        <v>7.5</v>
      </c>
      <c r="E4338" s="2">
        <v>2021.0</v>
      </c>
      <c r="F4338" s="2">
        <v>2021.0</v>
      </c>
      <c r="G4338" s="2">
        <v>1.851E7</v>
      </c>
    </row>
    <row r="4339" ht="14.25" customHeight="1">
      <c r="A4339" s="1" t="s">
        <v>3744</v>
      </c>
      <c r="B4339" s="1" t="s">
        <v>8</v>
      </c>
      <c r="C4339" s="2" t="s">
        <v>63</v>
      </c>
      <c r="D4339" s="2">
        <v>7.5</v>
      </c>
      <c r="E4339" s="2">
        <v>2021.0</v>
      </c>
      <c r="F4339" s="2">
        <v>2021.0</v>
      </c>
      <c r="G4339" s="2">
        <v>2.571E7</v>
      </c>
    </row>
    <row r="4340" ht="14.25" customHeight="1">
      <c r="A4340" s="1" t="s">
        <v>3744</v>
      </c>
      <c r="B4340" s="1" t="s">
        <v>8</v>
      </c>
      <c r="C4340" s="2" t="s">
        <v>63</v>
      </c>
      <c r="D4340" s="2">
        <v>7.5</v>
      </c>
      <c r="E4340" s="2">
        <v>2021.0</v>
      </c>
      <c r="F4340" s="2">
        <v>2021.0</v>
      </c>
      <c r="G4340" s="2">
        <v>1.579E7</v>
      </c>
    </row>
    <row r="4341" ht="14.25" customHeight="1">
      <c r="A4341" s="1" t="s">
        <v>3744</v>
      </c>
      <c r="B4341" s="1" t="s">
        <v>8</v>
      </c>
      <c r="C4341" s="2" t="s">
        <v>63</v>
      </c>
      <c r="D4341" s="2">
        <v>7.5</v>
      </c>
      <c r="E4341" s="2">
        <v>2021.0</v>
      </c>
      <c r="F4341" s="2">
        <v>2021.0</v>
      </c>
      <c r="G4341" s="2">
        <v>3.809E7</v>
      </c>
    </row>
    <row r="4342" ht="14.25" customHeight="1">
      <c r="A4342" s="1" t="s">
        <v>3744</v>
      </c>
      <c r="B4342" s="1" t="s">
        <v>8</v>
      </c>
      <c r="C4342" s="2" t="s">
        <v>63</v>
      </c>
      <c r="D4342" s="2">
        <v>7.5</v>
      </c>
      <c r="E4342" s="2">
        <v>2021.0</v>
      </c>
      <c r="F4342" s="2">
        <v>2021.0</v>
      </c>
      <c r="G4342" s="2">
        <v>2.255E7</v>
      </c>
    </row>
    <row r="4343" ht="14.25" customHeight="1">
      <c r="A4343" s="1" t="s">
        <v>3744</v>
      </c>
      <c r="B4343" s="1" t="s">
        <v>8</v>
      </c>
      <c r="C4343" s="2" t="s">
        <v>63</v>
      </c>
      <c r="D4343" s="2">
        <v>7.5</v>
      </c>
      <c r="E4343" s="2">
        <v>2021.0</v>
      </c>
      <c r="F4343" s="2">
        <v>2021.0</v>
      </c>
      <c r="G4343" s="2">
        <v>5.561E7</v>
      </c>
    </row>
    <row r="4344" ht="14.25" customHeight="1">
      <c r="A4344" s="1" t="s">
        <v>3744</v>
      </c>
      <c r="B4344" s="1" t="s">
        <v>8</v>
      </c>
      <c r="C4344" s="2" t="s">
        <v>63</v>
      </c>
      <c r="D4344" s="2">
        <v>7.5</v>
      </c>
      <c r="E4344" s="2">
        <v>2021.0</v>
      </c>
      <c r="F4344" s="2">
        <v>2021.0</v>
      </c>
      <c r="G4344" s="2">
        <v>3.114E7</v>
      </c>
    </row>
    <row r="4345" ht="14.25" customHeight="1">
      <c r="A4345" s="1" t="s">
        <v>3744</v>
      </c>
      <c r="B4345" s="1" t="s">
        <v>8</v>
      </c>
      <c r="C4345" s="2" t="s">
        <v>63</v>
      </c>
      <c r="D4345" s="2">
        <v>7.5</v>
      </c>
      <c r="E4345" s="2">
        <v>2021.0</v>
      </c>
      <c r="F4345" s="2">
        <v>2021.0</v>
      </c>
      <c r="G4345" s="2">
        <v>8.74E7</v>
      </c>
    </row>
    <row r="4346" ht="14.25" customHeight="1">
      <c r="A4346" s="1" t="s">
        <v>3744</v>
      </c>
      <c r="B4346" s="1" t="s">
        <v>8</v>
      </c>
      <c r="C4346" s="2" t="s">
        <v>63</v>
      </c>
      <c r="D4346" s="2">
        <v>7.5</v>
      </c>
      <c r="E4346" s="2">
        <v>2021.0</v>
      </c>
      <c r="F4346" s="2">
        <v>2021.0</v>
      </c>
      <c r="G4346" s="2">
        <v>4.329E7</v>
      </c>
    </row>
    <row r="4347" ht="14.25" customHeight="1">
      <c r="A4347" s="1" t="s">
        <v>3744</v>
      </c>
      <c r="B4347" s="1" t="s">
        <v>8</v>
      </c>
      <c r="C4347" s="2" t="s">
        <v>63</v>
      </c>
      <c r="D4347" s="2">
        <v>7.5</v>
      </c>
      <c r="E4347" s="2">
        <v>2021.0</v>
      </c>
      <c r="F4347" s="2">
        <v>2021.0</v>
      </c>
      <c r="G4347" s="2">
        <v>1.6272E8</v>
      </c>
    </row>
    <row r="4348" ht="14.25" customHeight="1">
      <c r="A4348" s="1" t="s">
        <v>3744</v>
      </c>
      <c r="B4348" s="1" t="s">
        <v>8</v>
      </c>
      <c r="C4348" s="2" t="s">
        <v>63</v>
      </c>
      <c r="D4348" s="2">
        <v>7.5</v>
      </c>
      <c r="E4348" s="2">
        <v>2021.0</v>
      </c>
      <c r="F4348" s="2">
        <v>2021.0</v>
      </c>
      <c r="G4348" s="2">
        <v>6.323E7</v>
      </c>
    </row>
    <row r="4349" ht="14.25" customHeight="1">
      <c r="A4349" s="1" t="s">
        <v>3744</v>
      </c>
      <c r="B4349" s="1" t="s">
        <v>8</v>
      </c>
      <c r="C4349" s="2" t="s">
        <v>63</v>
      </c>
      <c r="D4349" s="2">
        <v>7.5</v>
      </c>
      <c r="E4349" s="2">
        <v>2021.0</v>
      </c>
      <c r="F4349" s="2">
        <v>2021.0</v>
      </c>
      <c r="G4349" s="2">
        <v>1.8047E8</v>
      </c>
    </row>
    <row r="4350" ht="14.25" customHeight="1">
      <c r="A4350" s="1" t="s">
        <v>3744</v>
      </c>
      <c r="B4350" s="1" t="s">
        <v>8</v>
      </c>
      <c r="C4350" s="2" t="s">
        <v>63</v>
      </c>
      <c r="D4350" s="2">
        <v>7.5</v>
      </c>
      <c r="E4350" s="2">
        <v>2021.0</v>
      </c>
      <c r="F4350" s="2">
        <v>2021.0</v>
      </c>
      <c r="G4350" s="2">
        <v>4.437E7</v>
      </c>
    </row>
    <row r="4351" ht="14.25" customHeight="1">
      <c r="A4351" s="1" t="s">
        <v>3745</v>
      </c>
      <c r="B4351" s="1" t="s">
        <v>20</v>
      </c>
      <c r="C4351" s="2" t="s">
        <v>40</v>
      </c>
      <c r="D4351" s="2">
        <v>7.5</v>
      </c>
      <c r="E4351" s="2">
        <v>2013.0</v>
      </c>
      <c r="F4351" s="2">
        <v>2013.0</v>
      </c>
      <c r="G4351" s="2" t="s">
        <v>10</v>
      </c>
    </row>
    <row r="4352" ht="14.25" customHeight="1">
      <c r="A4352" s="1" t="s">
        <v>3746</v>
      </c>
      <c r="B4352" s="1" t="s">
        <v>20</v>
      </c>
      <c r="C4352" s="2" t="s">
        <v>18</v>
      </c>
      <c r="D4352" s="2">
        <v>7.5</v>
      </c>
      <c r="E4352" s="2">
        <v>2016.0</v>
      </c>
      <c r="F4352" s="2">
        <v>2016.0</v>
      </c>
      <c r="G4352" s="2" t="s">
        <v>10</v>
      </c>
    </row>
    <row r="4353" ht="14.25" customHeight="1">
      <c r="A4353" s="1" t="s">
        <v>3747</v>
      </c>
      <c r="B4353" s="1" t="s">
        <v>8</v>
      </c>
      <c r="C4353" s="2" t="s">
        <v>32</v>
      </c>
      <c r="D4353" s="2">
        <v>7.5</v>
      </c>
      <c r="E4353" s="2">
        <v>2015.0</v>
      </c>
      <c r="F4353" s="2">
        <v>2019.0</v>
      </c>
      <c r="G4353" s="2" t="s">
        <v>10</v>
      </c>
    </row>
    <row r="4354" ht="14.25" customHeight="1">
      <c r="A4354" s="1" t="s">
        <v>3748</v>
      </c>
      <c r="B4354" s="1" t="s">
        <v>20</v>
      </c>
      <c r="C4354" s="2" t="s">
        <v>53</v>
      </c>
      <c r="D4354" s="2">
        <v>7.5</v>
      </c>
      <c r="E4354" s="2">
        <v>2012.0</v>
      </c>
      <c r="F4354" s="2">
        <v>2018.0</v>
      </c>
      <c r="G4354" s="2" t="s">
        <v>10</v>
      </c>
    </row>
    <row r="4355" ht="14.25" customHeight="1">
      <c r="A4355" s="1" t="s">
        <v>3749</v>
      </c>
      <c r="B4355" s="1" t="s">
        <v>20</v>
      </c>
      <c r="C4355" s="2" t="s">
        <v>9</v>
      </c>
      <c r="D4355" s="2">
        <v>7.5</v>
      </c>
      <c r="E4355" s="2">
        <v>1998.0</v>
      </c>
      <c r="F4355" s="2" t="s">
        <v>10</v>
      </c>
      <c r="G4355" s="2" t="s">
        <v>10</v>
      </c>
    </row>
    <row r="4356" ht="14.25" customHeight="1">
      <c r="A4356" s="1" t="s">
        <v>3750</v>
      </c>
      <c r="B4356" s="1" t="s">
        <v>8</v>
      </c>
      <c r="C4356" s="2" t="s">
        <v>284</v>
      </c>
      <c r="D4356" s="2">
        <v>7.5</v>
      </c>
      <c r="E4356" s="2">
        <v>2020.0</v>
      </c>
      <c r="F4356" s="2">
        <v>2020.0</v>
      </c>
      <c r="G4356" s="2" t="s">
        <v>10</v>
      </c>
    </row>
    <row r="4357" ht="14.25" customHeight="1">
      <c r="A4357" s="1" t="s">
        <v>3751</v>
      </c>
      <c r="B4357" s="1" t="s">
        <v>20</v>
      </c>
      <c r="C4357" s="2" t="s">
        <v>9</v>
      </c>
      <c r="D4357" s="2">
        <v>7.5</v>
      </c>
      <c r="E4357" s="2">
        <v>2002.0</v>
      </c>
      <c r="F4357" s="2" t="s">
        <v>10</v>
      </c>
      <c r="G4357" s="2" t="s">
        <v>10</v>
      </c>
    </row>
    <row r="4358" ht="14.25" customHeight="1">
      <c r="A4358" s="1" t="s">
        <v>3752</v>
      </c>
      <c r="B4358" s="1" t="s">
        <v>20</v>
      </c>
      <c r="C4358" s="2" t="s">
        <v>154</v>
      </c>
      <c r="D4358" s="2">
        <v>7.5</v>
      </c>
      <c r="E4358" s="2">
        <v>1988.0</v>
      </c>
      <c r="F4358" s="2" t="s">
        <v>10</v>
      </c>
      <c r="G4358" s="2">
        <v>2150000.0</v>
      </c>
    </row>
    <row r="4359" ht="14.25" customHeight="1">
      <c r="A4359" s="1" t="s">
        <v>3752</v>
      </c>
      <c r="B4359" s="1" t="s">
        <v>20</v>
      </c>
      <c r="C4359" s="2" t="s">
        <v>154</v>
      </c>
      <c r="D4359" s="2">
        <v>7.5</v>
      </c>
      <c r="E4359" s="2">
        <v>1988.0</v>
      </c>
      <c r="F4359" s="2" t="s">
        <v>10</v>
      </c>
      <c r="G4359" s="2">
        <v>4760000.0</v>
      </c>
    </row>
    <row r="4360" ht="14.25" customHeight="1">
      <c r="A4360" s="1" t="s">
        <v>3752</v>
      </c>
      <c r="B4360" s="1" t="s">
        <v>20</v>
      </c>
      <c r="C4360" s="2" t="s">
        <v>154</v>
      </c>
      <c r="D4360" s="2">
        <v>7.5</v>
      </c>
      <c r="E4360" s="2">
        <v>1988.0</v>
      </c>
      <c r="F4360" s="2" t="s">
        <v>10</v>
      </c>
      <c r="G4360" s="2">
        <v>1.623E7</v>
      </c>
    </row>
    <row r="4361" ht="14.25" customHeight="1">
      <c r="A4361" s="1" t="s">
        <v>3752</v>
      </c>
      <c r="B4361" s="1" t="s">
        <v>20</v>
      </c>
      <c r="C4361" s="2" t="s">
        <v>154</v>
      </c>
      <c r="D4361" s="2">
        <v>7.5</v>
      </c>
      <c r="E4361" s="2">
        <v>1988.0</v>
      </c>
      <c r="F4361" s="2" t="s">
        <v>10</v>
      </c>
      <c r="G4361" s="2">
        <v>1.101E7</v>
      </c>
    </row>
    <row r="4362" ht="14.25" customHeight="1">
      <c r="A4362" s="1" t="s">
        <v>3753</v>
      </c>
      <c r="B4362" s="1" t="s">
        <v>20</v>
      </c>
      <c r="C4362" s="2" t="s">
        <v>40</v>
      </c>
      <c r="D4362" s="2">
        <v>7.5</v>
      </c>
      <c r="E4362" s="2">
        <v>2008.0</v>
      </c>
      <c r="F4362" s="2" t="s">
        <v>10</v>
      </c>
      <c r="G4362" s="2">
        <v>2620000.0</v>
      </c>
    </row>
    <row r="4363" ht="14.25" customHeight="1">
      <c r="A4363" s="1" t="s">
        <v>3753</v>
      </c>
      <c r="B4363" s="1" t="s">
        <v>20</v>
      </c>
      <c r="C4363" s="2" t="s">
        <v>40</v>
      </c>
      <c r="D4363" s="2">
        <v>7.5</v>
      </c>
      <c r="E4363" s="2">
        <v>2008.0</v>
      </c>
      <c r="F4363" s="2" t="s">
        <v>10</v>
      </c>
      <c r="G4363" s="2">
        <v>5580000.0</v>
      </c>
    </row>
    <row r="4364" ht="14.25" customHeight="1">
      <c r="A4364" s="1" t="s">
        <v>3753</v>
      </c>
      <c r="B4364" s="1" t="s">
        <v>20</v>
      </c>
      <c r="C4364" s="2" t="s">
        <v>40</v>
      </c>
      <c r="D4364" s="2">
        <v>7.5</v>
      </c>
      <c r="E4364" s="2">
        <v>2008.0</v>
      </c>
      <c r="F4364" s="2" t="s">
        <v>10</v>
      </c>
      <c r="G4364" s="2">
        <v>8020000.0</v>
      </c>
    </row>
    <row r="4365" ht="14.25" customHeight="1">
      <c r="A4365" s="1" t="s">
        <v>3753</v>
      </c>
      <c r="B4365" s="1" t="s">
        <v>20</v>
      </c>
      <c r="C4365" s="2" t="s">
        <v>40</v>
      </c>
      <c r="D4365" s="2">
        <v>7.5</v>
      </c>
      <c r="E4365" s="2">
        <v>2008.0</v>
      </c>
      <c r="F4365" s="2" t="s">
        <v>10</v>
      </c>
      <c r="G4365" s="2">
        <v>1.408E7</v>
      </c>
    </row>
    <row r="4366" ht="14.25" customHeight="1">
      <c r="A4366" s="1" t="s">
        <v>3753</v>
      </c>
      <c r="B4366" s="1" t="s">
        <v>20</v>
      </c>
      <c r="C4366" s="2" t="s">
        <v>40</v>
      </c>
      <c r="D4366" s="2">
        <v>7.5</v>
      </c>
      <c r="E4366" s="2">
        <v>2008.0</v>
      </c>
      <c r="F4366" s="2" t="s">
        <v>10</v>
      </c>
      <c r="G4366" s="2">
        <v>4.358E7</v>
      </c>
    </row>
    <row r="4367" ht="14.25" customHeight="1">
      <c r="A4367" s="1" t="s">
        <v>3753</v>
      </c>
      <c r="B4367" s="1" t="s">
        <v>20</v>
      </c>
      <c r="C4367" s="2" t="s">
        <v>40</v>
      </c>
      <c r="D4367" s="2">
        <v>7.5</v>
      </c>
      <c r="E4367" s="2">
        <v>2008.0</v>
      </c>
      <c r="F4367" s="2" t="s">
        <v>10</v>
      </c>
      <c r="G4367" s="2">
        <v>1.123E7</v>
      </c>
    </row>
    <row r="4368" ht="14.25" customHeight="1">
      <c r="A4368" s="1" t="s">
        <v>3754</v>
      </c>
      <c r="B4368" s="1" t="s">
        <v>20</v>
      </c>
      <c r="C4368" s="2" t="s">
        <v>80</v>
      </c>
      <c r="D4368" s="2">
        <v>7.5</v>
      </c>
      <c r="E4368" s="2">
        <v>1994.0</v>
      </c>
      <c r="F4368" s="2" t="s">
        <v>10</v>
      </c>
      <c r="G4368" s="2" t="s">
        <v>10</v>
      </c>
    </row>
    <row r="4369" ht="14.25" customHeight="1">
      <c r="A4369" s="1" t="s">
        <v>3755</v>
      </c>
      <c r="B4369" s="1" t="s">
        <v>20</v>
      </c>
      <c r="C4369" s="2" t="s">
        <v>452</v>
      </c>
      <c r="D4369" s="2">
        <v>7.5</v>
      </c>
      <c r="E4369" s="2">
        <v>2001.0</v>
      </c>
      <c r="F4369" s="2" t="s">
        <v>10</v>
      </c>
      <c r="G4369" s="2" t="s">
        <v>10</v>
      </c>
    </row>
    <row r="4370" ht="14.25" customHeight="1">
      <c r="A4370" s="1" t="s">
        <v>3756</v>
      </c>
      <c r="B4370" s="1" t="s">
        <v>20</v>
      </c>
      <c r="C4370" s="2" t="s">
        <v>36</v>
      </c>
      <c r="D4370" s="2">
        <v>7.5</v>
      </c>
      <c r="E4370" s="2">
        <v>2003.0</v>
      </c>
      <c r="F4370" s="2" t="s">
        <v>10</v>
      </c>
      <c r="G4370" s="2" t="s">
        <v>10</v>
      </c>
    </row>
    <row r="4371" ht="14.25" customHeight="1">
      <c r="A4371" s="1" t="s">
        <v>3757</v>
      </c>
      <c r="B4371" s="1" t="s">
        <v>20</v>
      </c>
      <c r="C4371" s="2" t="s">
        <v>187</v>
      </c>
      <c r="D4371" s="2">
        <v>7.5</v>
      </c>
      <c r="E4371" s="2">
        <v>2003.0</v>
      </c>
      <c r="F4371" s="2" t="s">
        <v>10</v>
      </c>
      <c r="G4371" s="2" t="s">
        <v>10</v>
      </c>
    </row>
    <row r="4372" ht="14.25" customHeight="1">
      <c r="A4372" s="1" t="s">
        <v>3758</v>
      </c>
      <c r="B4372" s="1" t="s">
        <v>20</v>
      </c>
      <c r="C4372" s="2" t="s">
        <v>63</v>
      </c>
      <c r="D4372" s="2">
        <v>7.5</v>
      </c>
      <c r="E4372" s="2">
        <v>2019.0</v>
      </c>
      <c r="F4372" s="2" t="s">
        <v>10</v>
      </c>
      <c r="G4372" s="2" t="s">
        <v>10</v>
      </c>
    </row>
    <row r="4373" ht="14.25" customHeight="1">
      <c r="A4373" s="1" t="s">
        <v>3759</v>
      </c>
      <c r="B4373" s="1" t="s">
        <v>8</v>
      </c>
      <c r="C4373" s="2" t="s">
        <v>287</v>
      </c>
      <c r="D4373" s="2">
        <v>7.5</v>
      </c>
      <c r="E4373" s="2">
        <v>2022.0</v>
      </c>
      <c r="F4373" s="2" t="s">
        <v>10</v>
      </c>
      <c r="G4373" s="2">
        <v>8130000.0</v>
      </c>
    </row>
    <row r="4374" ht="14.25" customHeight="1">
      <c r="A4374" s="1" t="s">
        <v>3759</v>
      </c>
      <c r="B4374" s="1" t="s">
        <v>8</v>
      </c>
      <c r="C4374" s="2" t="s">
        <v>287</v>
      </c>
      <c r="D4374" s="2">
        <v>7.5</v>
      </c>
      <c r="E4374" s="2">
        <v>2022.0</v>
      </c>
      <c r="F4374" s="2" t="s">
        <v>10</v>
      </c>
      <c r="G4374" s="2">
        <v>9430000.0</v>
      </c>
    </row>
    <row r="4375" ht="14.25" customHeight="1">
      <c r="A4375" s="1" t="s">
        <v>3759</v>
      </c>
      <c r="B4375" s="1" t="s">
        <v>8</v>
      </c>
      <c r="C4375" s="2" t="s">
        <v>287</v>
      </c>
      <c r="D4375" s="2">
        <v>7.5</v>
      </c>
      <c r="E4375" s="2">
        <v>2022.0</v>
      </c>
      <c r="F4375" s="2" t="s">
        <v>10</v>
      </c>
      <c r="G4375" s="2">
        <v>1.138E7</v>
      </c>
    </row>
    <row r="4376" ht="14.25" customHeight="1">
      <c r="A4376" s="1" t="s">
        <v>3759</v>
      </c>
      <c r="B4376" s="1" t="s">
        <v>8</v>
      </c>
      <c r="C4376" s="2" t="s">
        <v>287</v>
      </c>
      <c r="D4376" s="2">
        <v>7.5</v>
      </c>
      <c r="E4376" s="2">
        <v>2022.0</v>
      </c>
      <c r="F4376" s="2" t="s">
        <v>10</v>
      </c>
      <c r="G4376" s="2">
        <v>1.382E7</v>
      </c>
    </row>
    <row r="4377" ht="14.25" customHeight="1">
      <c r="A4377" s="1" t="s">
        <v>3759</v>
      </c>
      <c r="B4377" s="1" t="s">
        <v>8</v>
      </c>
      <c r="C4377" s="2" t="s">
        <v>287</v>
      </c>
      <c r="D4377" s="2">
        <v>7.5</v>
      </c>
      <c r="E4377" s="2">
        <v>2022.0</v>
      </c>
      <c r="F4377" s="2" t="s">
        <v>10</v>
      </c>
      <c r="G4377" s="2">
        <v>1.748E7</v>
      </c>
    </row>
    <row r="4378" ht="14.25" customHeight="1">
      <c r="A4378" s="1" t="s">
        <v>3759</v>
      </c>
      <c r="B4378" s="1" t="s">
        <v>8</v>
      </c>
      <c r="C4378" s="2" t="s">
        <v>287</v>
      </c>
      <c r="D4378" s="2">
        <v>7.5</v>
      </c>
      <c r="E4378" s="2">
        <v>2022.0</v>
      </c>
      <c r="F4378" s="2" t="s">
        <v>10</v>
      </c>
      <c r="G4378" s="2">
        <v>2.402E7</v>
      </c>
    </row>
    <row r="4379" ht="14.25" customHeight="1">
      <c r="A4379" s="1" t="s">
        <v>3759</v>
      </c>
      <c r="B4379" s="1" t="s">
        <v>8</v>
      </c>
      <c r="C4379" s="2" t="s">
        <v>287</v>
      </c>
      <c r="D4379" s="2">
        <v>7.5</v>
      </c>
      <c r="E4379" s="2">
        <v>2022.0</v>
      </c>
      <c r="F4379" s="2" t="s">
        <v>10</v>
      </c>
      <c r="G4379" s="2">
        <v>3.886E7</v>
      </c>
    </row>
    <row r="4380" ht="14.25" customHeight="1">
      <c r="A4380" s="1" t="s">
        <v>3759</v>
      </c>
      <c r="B4380" s="1" t="s">
        <v>8</v>
      </c>
      <c r="C4380" s="2" t="s">
        <v>287</v>
      </c>
      <c r="D4380" s="2">
        <v>7.5</v>
      </c>
      <c r="E4380" s="2">
        <v>2022.0</v>
      </c>
      <c r="F4380" s="2" t="s">
        <v>10</v>
      </c>
      <c r="G4380" s="2">
        <v>6.213E7</v>
      </c>
    </row>
    <row r="4381" ht="14.25" customHeight="1">
      <c r="A4381" s="1" t="s">
        <v>3759</v>
      </c>
      <c r="B4381" s="1" t="s">
        <v>8</v>
      </c>
      <c r="C4381" s="2" t="s">
        <v>287</v>
      </c>
      <c r="D4381" s="2">
        <v>7.5</v>
      </c>
      <c r="E4381" s="2">
        <v>2022.0</v>
      </c>
      <c r="F4381" s="2" t="s">
        <v>10</v>
      </c>
      <c r="G4381" s="2">
        <v>1.1324E8</v>
      </c>
    </row>
    <row r="4382" ht="14.25" customHeight="1">
      <c r="A4382" s="1" t="s">
        <v>3759</v>
      </c>
      <c r="B4382" s="1" t="s">
        <v>8</v>
      </c>
      <c r="C4382" s="2" t="s">
        <v>287</v>
      </c>
      <c r="D4382" s="2">
        <v>7.5</v>
      </c>
      <c r="E4382" s="2">
        <v>2022.0</v>
      </c>
      <c r="F4382" s="2" t="s">
        <v>10</v>
      </c>
      <c r="G4382" s="2">
        <v>2.3623E8</v>
      </c>
    </row>
    <row r="4383" ht="14.25" customHeight="1">
      <c r="A4383" s="1" t="s">
        <v>3759</v>
      </c>
      <c r="B4383" s="1" t="s">
        <v>8</v>
      </c>
      <c r="C4383" s="2" t="s">
        <v>287</v>
      </c>
      <c r="D4383" s="2">
        <v>7.5</v>
      </c>
      <c r="E4383" s="2">
        <v>2022.0</v>
      </c>
      <c r="F4383" s="2" t="s">
        <v>10</v>
      </c>
      <c r="G4383" s="2">
        <v>1.2479E8</v>
      </c>
    </row>
    <row r="4384" ht="14.25" customHeight="1">
      <c r="A4384" s="1" t="s">
        <v>3760</v>
      </c>
      <c r="B4384" s="1" t="s">
        <v>20</v>
      </c>
      <c r="C4384" s="2" t="s">
        <v>78</v>
      </c>
      <c r="D4384" s="2">
        <v>7.5</v>
      </c>
      <c r="E4384" s="2">
        <v>1995.0</v>
      </c>
      <c r="F4384" s="2" t="s">
        <v>10</v>
      </c>
      <c r="G4384" s="2" t="s">
        <v>10</v>
      </c>
    </row>
    <row r="4385" ht="14.25" customHeight="1">
      <c r="A4385" s="1" t="s">
        <v>3761</v>
      </c>
      <c r="B4385" s="1" t="s">
        <v>20</v>
      </c>
      <c r="C4385" s="2" t="s">
        <v>910</v>
      </c>
      <c r="D4385" s="2">
        <v>7.5</v>
      </c>
      <c r="E4385" s="2">
        <v>1993.0</v>
      </c>
      <c r="F4385" s="2" t="s">
        <v>10</v>
      </c>
      <c r="G4385" s="2" t="s">
        <v>10</v>
      </c>
    </row>
    <row r="4386" ht="14.25" customHeight="1">
      <c r="A4386" s="1" t="s">
        <v>3762</v>
      </c>
      <c r="B4386" s="1" t="s">
        <v>20</v>
      </c>
      <c r="C4386" s="2" t="s">
        <v>18</v>
      </c>
      <c r="D4386" s="2">
        <v>7.5</v>
      </c>
      <c r="E4386" s="2">
        <v>2021.0</v>
      </c>
      <c r="F4386" s="2" t="s">
        <v>10</v>
      </c>
      <c r="G4386" s="2" t="s">
        <v>10</v>
      </c>
    </row>
    <row r="4387" ht="14.25" customHeight="1">
      <c r="A4387" s="1" t="s">
        <v>3763</v>
      </c>
      <c r="B4387" s="1" t="s">
        <v>20</v>
      </c>
      <c r="C4387" s="2" t="s">
        <v>34</v>
      </c>
      <c r="D4387" s="2">
        <v>7.5</v>
      </c>
      <c r="E4387" s="2">
        <v>2010.0</v>
      </c>
      <c r="F4387" s="2" t="s">
        <v>10</v>
      </c>
      <c r="G4387" s="2" t="s">
        <v>10</v>
      </c>
    </row>
    <row r="4388" ht="14.25" customHeight="1">
      <c r="A4388" s="1" t="s">
        <v>3764</v>
      </c>
      <c r="B4388" s="1" t="s">
        <v>20</v>
      </c>
      <c r="C4388" s="2" t="s">
        <v>32</v>
      </c>
      <c r="D4388" s="2">
        <v>7.5</v>
      </c>
      <c r="E4388" s="2">
        <v>2000.0</v>
      </c>
      <c r="F4388" s="2" t="s">
        <v>10</v>
      </c>
      <c r="G4388" s="2" t="s">
        <v>10</v>
      </c>
    </row>
    <row r="4389" ht="14.25" customHeight="1">
      <c r="A4389" s="1" t="s">
        <v>3765</v>
      </c>
      <c r="B4389" s="1" t="s">
        <v>20</v>
      </c>
      <c r="C4389" s="2" t="s">
        <v>530</v>
      </c>
      <c r="D4389" s="2">
        <v>7.5</v>
      </c>
      <c r="E4389" s="2">
        <v>1992.0</v>
      </c>
      <c r="F4389" s="2">
        <v>2012.0</v>
      </c>
      <c r="G4389" s="2" t="s">
        <v>10</v>
      </c>
    </row>
    <row r="4390" ht="14.25" customHeight="1">
      <c r="A4390" s="1" t="s">
        <v>3766</v>
      </c>
      <c r="B4390" s="1" t="s">
        <v>20</v>
      </c>
      <c r="C4390" s="2" t="s">
        <v>253</v>
      </c>
      <c r="D4390" s="2">
        <v>7.5</v>
      </c>
      <c r="E4390" s="2">
        <v>2020.0</v>
      </c>
      <c r="F4390" s="2" t="s">
        <v>10</v>
      </c>
      <c r="G4390" s="2">
        <v>3710000.0</v>
      </c>
    </row>
    <row r="4391" ht="14.25" customHeight="1">
      <c r="A4391" s="1" t="s">
        <v>3767</v>
      </c>
      <c r="B4391" s="1" t="s">
        <v>20</v>
      </c>
      <c r="C4391" s="2" t="s">
        <v>9</v>
      </c>
      <c r="D4391" s="2">
        <v>7.5</v>
      </c>
      <c r="E4391" s="2">
        <v>2018.0</v>
      </c>
      <c r="F4391" s="2" t="s">
        <v>10</v>
      </c>
      <c r="G4391" s="2">
        <v>4400000.0</v>
      </c>
    </row>
    <row r="4392" ht="14.25" customHeight="1">
      <c r="A4392" s="1" t="s">
        <v>3767</v>
      </c>
      <c r="B4392" s="1" t="s">
        <v>20</v>
      </c>
      <c r="C4392" s="2" t="s">
        <v>9</v>
      </c>
      <c r="D4392" s="2">
        <v>7.5</v>
      </c>
      <c r="E4392" s="2">
        <v>2018.0</v>
      </c>
      <c r="F4392" s="2" t="s">
        <v>10</v>
      </c>
      <c r="G4392" s="2">
        <v>1.259E7</v>
      </c>
    </row>
    <row r="4393" ht="14.25" customHeight="1">
      <c r="A4393" s="1" t="s">
        <v>3767</v>
      </c>
      <c r="B4393" s="1" t="s">
        <v>20</v>
      </c>
      <c r="C4393" s="2" t="s">
        <v>9</v>
      </c>
      <c r="D4393" s="2">
        <v>7.5</v>
      </c>
      <c r="E4393" s="2">
        <v>2018.0</v>
      </c>
      <c r="F4393" s="2" t="s">
        <v>10</v>
      </c>
      <c r="G4393" s="2">
        <v>4.228E7</v>
      </c>
    </row>
    <row r="4394" ht="14.25" customHeight="1">
      <c r="A4394" s="1" t="s">
        <v>3767</v>
      </c>
      <c r="B4394" s="1" t="s">
        <v>20</v>
      </c>
      <c r="C4394" s="2" t="s">
        <v>9</v>
      </c>
      <c r="D4394" s="2">
        <v>7.5</v>
      </c>
      <c r="E4394" s="2">
        <v>2018.0</v>
      </c>
      <c r="F4394" s="2" t="s">
        <v>10</v>
      </c>
      <c r="G4394" s="2">
        <v>4.76E7</v>
      </c>
    </row>
    <row r="4395" ht="14.25" customHeight="1">
      <c r="A4395" s="1" t="s">
        <v>3768</v>
      </c>
      <c r="B4395" s="1" t="s">
        <v>20</v>
      </c>
      <c r="C4395" s="2" t="s">
        <v>710</v>
      </c>
      <c r="D4395" s="2">
        <v>7.5</v>
      </c>
      <c r="E4395" s="2">
        <v>2007.0</v>
      </c>
      <c r="F4395" s="2" t="s">
        <v>10</v>
      </c>
      <c r="G4395" s="2" t="s">
        <v>10</v>
      </c>
    </row>
    <row r="4396" ht="14.25" customHeight="1">
      <c r="A4396" s="1" t="s">
        <v>3769</v>
      </c>
      <c r="B4396" s="1" t="s">
        <v>20</v>
      </c>
      <c r="C4396" s="2" t="s">
        <v>9</v>
      </c>
      <c r="D4396" s="2">
        <v>7.5</v>
      </c>
      <c r="E4396" s="2">
        <v>1993.0</v>
      </c>
      <c r="F4396" s="2" t="s">
        <v>10</v>
      </c>
      <c r="G4396" s="2" t="s">
        <v>10</v>
      </c>
    </row>
    <row r="4397" ht="14.25" customHeight="1">
      <c r="A4397" s="1" t="s">
        <v>3770</v>
      </c>
      <c r="B4397" s="1" t="s">
        <v>20</v>
      </c>
      <c r="C4397" s="2" t="s">
        <v>40</v>
      </c>
      <c r="D4397" s="2">
        <v>7.5</v>
      </c>
      <c r="E4397" s="2">
        <v>2021.0</v>
      </c>
      <c r="F4397" s="2" t="s">
        <v>10</v>
      </c>
      <c r="G4397" s="2" t="s">
        <v>10</v>
      </c>
    </row>
    <row r="4398" ht="14.25" customHeight="1">
      <c r="A4398" s="1" t="s">
        <v>3771</v>
      </c>
      <c r="B4398" s="1" t="s">
        <v>20</v>
      </c>
      <c r="C4398" s="2" t="s">
        <v>18</v>
      </c>
      <c r="D4398" s="2">
        <v>7.5</v>
      </c>
      <c r="E4398" s="2">
        <v>2019.0</v>
      </c>
      <c r="F4398" s="2" t="s">
        <v>10</v>
      </c>
      <c r="G4398" s="2" t="s">
        <v>10</v>
      </c>
    </row>
    <row r="4399" ht="14.25" customHeight="1">
      <c r="A4399" s="1" t="s">
        <v>3772</v>
      </c>
      <c r="B4399" s="1" t="s">
        <v>20</v>
      </c>
      <c r="C4399" s="2" t="s">
        <v>18</v>
      </c>
      <c r="D4399" s="2">
        <v>7.5</v>
      </c>
      <c r="E4399" s="2">
        <v>1988.0</v>
      </c>
      <c r="F4399" s="2" t="s">
        <v>10</v>
      </c>
      <c r="G4399" s="2" t="s">
        <v>10</v>
      </c>
    </row>
    <row r="4400" ht="14.25" customHeight="1">
      <c r="A4400" s="1" t="s">
        <v>3773</v>
      </c>
      <c r="B4400" s="1" t="s">
        <v>20</v>
      </c>
      <c r="C4400" s="2" t="s">
        <v>1240</v>
      </c>
      <c r="D4400" s="2">
        <v>7.5</v>
      </c>
      <c r="E4400" s="2">
        <v>2007.0</v>
      </c>
      <c r="F4400" s="2" t="s">
        <v>10</v>
      </c>
      <c r="G4400" s="2" t="s">
        <v>10</v>
      </c>
    </row>
    <row r="4401" ht="14.25" customHeight="1">
      <c r="A4401" s="1" t="s">
        <v>3774</v>
      </c>
      <c r="B4401" s="1" t="s">
        <v>20</v>
      </c>
      <c r="C4401" s="2" t="s">
        <v>742</v>
      </c>
      <c r="D4401" s="2">
        <v>7.5</v>
      </c>
      <c r="E4401" s="2">
        <v>1992.0</v>
      </c>
      <c r="F4401" s="2" t="s">
        <v>10</v>
      </c>
      <c r="G4401" s="2" t="s">
        <v>10</v>
      </c>
    </row>
    <row r="4402" ht="14.25" customHeight="1">
      <c r="A4402" s="1" t="s">
        <v>3775</v>
      </c>
      <c r="B4402" s="1" t="s">
        <v>20</v>
      </c>
      <c r="C4402" s="2" t="s">
        <v>67</v>
      </c>
      <c r="D4402" s="2">
        <v>7.5</v>
      </c>
      <c r="E4402" s="2">
        <v>2003.0</v>
      </c>
      <c r="F4402" s="2" t="s">
        <v>10</v>
      </c>
      <c r="G4402" s="2" t="s">
        <v>10</v>
      </c>
    </row>
    <row r="4403" ht="14.25" customHeight="1">
      <c r="A4403" s="1" t="s">
        <v>3776</v>
      </c>
      <c r="B4403" s="1" t="s">
        <v>20</v>
      </c>
      <c r="C4403" s="2" t="s">
        <v>411</v>
      </c>
      <c r="D4403" s="2">
        <v>7.5</v>
      </c>
      <c r="E4403" s="2">
        <v>2018.0</v>
      </c>
      <c r="F4403" s="2" t="s">
        <v>10</v>
      </c>
      <c r="G4403" s="2" t="s">
        <v>10</v>
      </c>
    </row>
    <row r="4404" ht="14.25" customHeight="1">
      <c r="A4404" s="1" t="s">
        <v>3777</v>
      </c>
      <c r="B4404" s="1" t="s">
        <v>20</v>
      </c>
      <c r="C4404" s="2" t="s">
        <v>179</v>
      </c>
      <c r="D4404" s="2">
        <v>7.5</v>
      </c>
      <c r="E4404" s="2">
        <v>1967.0</v>
      </c>
      <c r="F4404" s="2" t="s">
        <v>10</v>
      </c>
      <c r="G4404" s="2" t="s">
        <v>10</v>
      </c>
    </row>
    <row r="4405" ht="14.25" customHeight="1">
      <c r="A4405" s="1" t="s">
        <v>3778</v>
      </c>
      <c r="B4405" s="1" t="s">
        <v>20</v>
      </c>
      <c r="C4405" s="2" t="s">
        <v>16</v>
      </c>
      <c r="D4405" s="2">
        <v>7.5</v>
      </c>
      <c r="E4405" s="2">
        <v>2005.0</v>
      </c>
      <c r="F4405" s="2" t="s">
        <v>10</v>
      </c>
      <c r="G4405" s="2" t="s">
        <v>10</v>
      </c>
    </row>
    <row r="4406" ht="14.25" customHeight="1">
      <c r="A4406" s="1" t="s">
        <v>3779</v>
      </c>
      <c r="B4406" s="1" t="s">
        <v>20</v>
      </c>
      <c r="C4406" s="2" t="s">
        <v>80</v>
      </c>
      <c r="D4406" s="2">
        <v>7.5</v>
      </c>
      <c r="E4406" s="2">
        <v>2004.0</v>
      </c>
      <c r="F4406" s="2">
        <v>2004.0</v>
      </c>
      <c r="G4406" s="2" t="s">
        <v>10</v>
      </c>
    </row>
    <row r="4407" ht="14.25" customHeight="1">
      <c r="A4407" s="1" t="s">
        <v>3780</v>
      </c>
      <c r="B4407" s="1" t="s">
        <v>8</v>
      </c>
      <c r="C4407" s="2" t="s">
        <v>163</v>
      </c>
      <c r="D4407" s="2">
        <v>7.5</v>
      </c>
      <c r="E4407" s="2">
        <v>1997.0</v>
      </c>
      <c r="F4407" s="2" t="s">
        <v>10</v>
      </c>
      <c r="G4407" s="2" t="s">
        <v>10</v>
      </c>
    </row>
    <row r="4408" ht="14.25" customHeight="1">
      <c r="A4408" s="1" t="s">
        <v>3781</v>
      </c>
      <c r="B4408" s="1" t="s">
        <v>20</v>
      </c>
      <c r="C4408" s="2" t="s">
        <v>597</v>
      </c>
      <c r="D4408" s="2">
        <v>7.5</v>
      </c>
      <c r="E4408" s="2">
        <v>2019.0</v>
      </c>
      <c r="F4408" s="2" t="s">
        <v>10</v>
      </c>
      <c r="G4408" s="2" t="s">
        <v>10</v>
      </c>
    </row>
    <row r="4409" ht="14.25" customHeight="1">
      <c r="A4409" s="1" t="s">
        <v>3782</v>
      </c>
      <c r="B4409" s="1" t="s">
        <v>20</v>
      </c>
      <c r="C4409" s="2" t="s">
        <v>9</v>
      </c>
      <c r="D4409" s="2">
        <v>7.5</v>
      </c>
      <c r="E4409" s="2">
        <v>2004.0</v>
      </c>
      <c r="F4409" s="2" t="s">
        <v>10</v>
      </c>
      <c r="G4409" s="2" t="s">
        <v>10</v>
      </c>
    </row>
    <row r="4410" ht="14.25" customHeight="1">
      <c r="A4410" s="1" t="s">
        <v>3783</v>
      </c>
      <c r="B4410" s="1" t="s">
        <v>20</v>
      </c>
      <c r="C4410" s="2" t="s">
        <v>53</v>
      </c>
      <c r="D4410" s="2">
        <v>7.5</v>
      </c>
      <c r="E4410" s="2">
        <v>2006.0</v>
      </c>
      <c r="F4410" s="2" t="s">
        <v>10</v>
      </c>
      <c r="G4410" s="2" t="s">
        <v>10</v>
      </c>
    </row>
    <row r="4411" ht="14.25" customHeight="1">
      <c r="A4411" s="1" t="s">
        <v>3784</v>
      </c>
      <c r="B4411" s="1" t="s">
        <v>20</v>
      </c>
      <c r="C4411" s="2" t="s">
        <v>1100</v>
      </c>
      <c r="D4411" s="2">
        <v>7.5</v>
      </c>
      <c r="E4411" s="2">
        <v>1998.0</v>
      </c>
      <c r="F4411" s="2">
        <v>1998.0</v>
      </c>
      <c r="G4411" s="2" t="s">
        <v>10</v>
      </c>
    </row>
    <row r="4412" ht="14.25" customHeight="1">
      <c r="A4412" s="1" t="s">
        <v>3785</v>
      </c>
      <c r="B4412" s="1" t="s">
        <v>8</v>
      </c>
      <c r="C4412" s="2" t="s">
        <v>325</v>
      </c>
      <c r="D4412" s="2">
        <v>7.5</v>
      </c>
      <c r="E4412" s="2">
        <v>2014.0</v>
      </c>
      <c r="F4412" s="2" t="s">
        <v>10</v>
      </c>
      <c r="G4412" s="2" t="s">
        <v>10</v>
      </c>
    </row>
    <row r="4413" ht="14.25" customHeight="1">
      <c r="A4413" s="1" t="s">
        <v>3786</v>
      </c>
      <c r="B4413" s="1" t="s">
        <v>20</v>
      </c>
      <c r="C4413" s="2" t="s">
        <v>179</v>
      </c>
      <c r="D4413" s="2">
        <v>7.5</v>
      </c>
      <c r="E4413" s="2">
        <v>1994.0</v>
      </c>
      <c r="F4413" s="2" t="s">
        <v>10</v>
      </c>
      <c r="G4413" s="2" t="s">
        <v>10</v>
      </c>
    </row>
    <row r="4414" ht="14.25" customHeight="1">
      <c r="A4414" s="1" t="s">
        <v>3787</v>
      </c>
      <c r="B4414" s="1" t="s">
        <v>20</v>
      </c>
      <c r="C4414" s="2" t="s">
        <v>34</v>
      </c>
      <c r="D4414" s="2">
        <v>7.5</v>
      </c>
      <c r="E4414" s="2">
        <v>1961.0</v>
      </c>
      <c r="F4414" s="2">
        <v>1961.0</v>
      </c>
      <c r="G4414" s="2" t="s">
        <v>10</v>
      </c>
    </row>
    <row r="4415" ht="14.25" customHeight="1">
      <c r="A4415" s="1" t="s">
        <v>3788</v>
      </c>
      <c r="B4415" s="1" t="s">
        <v>20</v>
      </c>
      <c r="C4415" s="2" t="s">
        <v>1375</v>
      </c>
      <c r="D4415" s="2">
        <v>7.5</v>
      </c>
      <c r="E4415" s="2">
        <v>2011.0</v>
      </c>
      <c r="F4415" s="2" t="s">
        <v>10</v>
      </c>
      <c r="G4415" s="2" t="s">
        <v>10</v>
      </c>
    </row>
    <row r="4416" ht="14.25" customHeight="1">
      <c r="A4416" s="1" t="s">
        <v>3789</v>
      </c>
      <c r="B4416" s="1" t="s">
        <v>20</v>
      </c>
      <c r="C4416" s="2" t="s">
        <v>187</v>
      </c>
      <c r="D4416" s="2">
        <v>7.5</v>
      </c>
      <c r="E4416" s="2">
        <v>1998.0</v>
      </c>
      <c r="F4416" s="2" t="s">
        <v>10</v>
      </c>
      <c r="G4416" s="2" t="s">
        <v>10</v>
      </c>
    </row>
    <row r="4417" ht="14.25" customHeight="1">
      <c r="A4417" s="1" t="s">
        <v>3790</v>
      </c>
      <c r="B4417" s="1" t="s">
        <v>20</v>
      </c>
      <c r="C4417" s="2" t="s">
        <v>3791</v>
      </c>
      <c r="D4417" s="2">
        <v>7.5</v>
      </c>
      <c r="E4417" s="2">
        <v>1988.0</v>
      </c>
      <c r="F4417" s="2" t="s">
        <v>10</v>
      </c>
      <c r="G4417" s="2" t="s">
        <v>10</v>
      </c>
    </row>
    <row r="4418" ht="14.25" customHeight="1">
      <c r="A4418" s="1" t="s">
        <v>3792</v>
      </c>
      <c r="B4418" s="1" t="s">
        <v>20</v>
      </c>
      <c r="C4418" s="2" t="s">
        <v>184</v>
      </c>
      <c r="D4418" s="2">
        <v>7.5</v>
      </c>
      <c r="E4418" s="2">
        <v>2006.0</v>
      </c>
      <c r="F4418" s="2" t="s">
        <v>10</v>
      </c>
      <c r="G4418" s="2" t="s">
        <v>10</v>
      </c>
    </row>
    <row r="4419" ht="14.25" customHeight="1">
      <c r="A4419" s="1" t="s">
        <v>3793</v>
      </c>
      <c r="B4419" s="1" t="s">
        <v>8</v>
      </c>
      <c r="C4419" s="2" t="s">
        <v>1375</v>
      </c>
      <c r="D4419" s="2">
        <v>7.5</v>
      </c>
      <c r="E4419" s="2">
        <v>2013.0</v>
      </c>
      <c r="F4419" s="2">
        <v>2017.0</v>
      </c>
      <c r="G4419" s="2" t="s">
        <v>10</v>
      </c>
    </row>
    <row r="4420" ht="14.25" customHeight="1">
      <c r="A4420" s="1" t="s">
        <v>3794</v>
      </c>
      <c r="B4420" s="1" t="s">
        <v>8</v>
      </c>
      <c r="C4420" s="2" t="s">
        <v>25</v>
      </c>
      <c r="D4420" s="2">
        <v>7.5</v>
      </c>
      <c r="E4420" s="2">
        <v>2012.0</v>
      </c>
      <c r="F4420" s="2">
        <v>2018.0</v>
      </c>
      <c r="G4420" s="2" t="s">
        <v>10</v>
      </c>
    </row>
    <row r="4421" ht="14.25" customHeight="1">
      <c r="A4421" s="1" t="s">
        <v>3795</v>
      </c>
      <c r="B4421" s="1" t="s">
        <v>20</v>
      </c>
      <c r="C4421" s="2" t="s">
        <v>806</v>
      </c>
      <c r="D4421" s="2">
        <v>7.5</v>
      </c>
      <c r="E4421" s="2">
        <v>1956.0</v>
      </c>
      <c r="F4421" s="2">
        <v>1956.0</v>
      </c>
      <c r="G4421" s="2" t="s">
        <v>10</v>
      </c>
    </row>
    <row r="4422" ht="14.25" customHeight="1">
      <c r="A4422" s="1" t="s">
        <v>3796</v>
      </c>
      <c r="B4422" s="1" t="s">
        <v>20</v>
      </c>
      <c r="C4422" s="2" t="s">
        <v>25</v>
      </c>
      <c r="D4422" s="2">
        <v>7.5</v>
      </c>
      <c r="E4422" s="2">
        <v>2023.0</v>
      </c>
      <c r="F4422" s="2" t="s">
        <v>10</v>
      </c>
      <c r="G4422" s="2">
        <v>5900000.0</v>
      </c>
    </row>
    <row r="4423" ht="14.25" customHeight="1">
      <c r="A4423" s="1" t="s">
        <v>3796</v>
      </c>
      <c r="B4423" s="1" t="s">
        <v>20</v>
      </c>
      <c r="C4423" s="2" t="s">
        <v>25</v>
      </c>
      <c r="D4423" s="2">
        <v>7.5</v>
      </c>
      <c r="E4423" s="2">
        <v>2023.0</v>
      </c>
      <c r="F4423" s="2" t="s">
        <v>10</v>
      </c>
      <c r="G4423" s="3">
        <v>8000000.0</v>
      </c>
    </row>
    <row r="4424" ht="14.25" customHeight="1">
      <c r="A4424" s="1" t="s">
        <v>3796</v>
      </c>
      <c r="B4424" s="1" t="s">
        <v>20</v>
      </c>
      <c r="C4424" s="2" t="s">
        <v>25</v>
      </c>
      <c r="D4424" s="2">
        <v>7.5</v>
      </c>
      <c r="E4424" s="2">
        <v>2023.0</v>
      </c>
      <c r="F4424" s="2" t="s">
        <v>10</v>
      </c>
      <c r="G4424" s="2">
        <v>1.15E7</v>
      </c>
    </row>
    <row r="4425" ht="14.25" customHeight="1">
      <c r="A4425" s="1" t="s">
        <v>3796</v>
      </c>
      <c r="B4425" s="1" t="s">
        <v>20</v>
      </c>
      <c r="C4425" s="2" t="s">
        <v>25</v>
      </c>
      <c r="D4425" s="2">
        <v>7.5</v>
      </c>
      <c r="E4425" s="2">
        <v>2023.0</v>
      </c>
      <c r="F4425" s="2" t="s">
        <v>10</v>
      </c>
      <c r="G4425" s="2">
        <v>5500000.0</v>
      </c>
    </row>
    <row r="4426" ht="14.25" customHeight="1">
      <c r="A4426" s="1" t="s">
        <v>3797</v>
      </c>
      <c r="B4426" s="1" t="s">
        <v>20</v>
      </c>
      <c r="C4426" s="2" t="s">
        <v>154</v>
      </c>
      <c r="D4426" s="2">
        <v>7.5</v>
      </c>
      <c r="E4426" s="2">
        <v>1982.0</v>
      </c>
      <c r="F4426" s="2" t="s">
        <v>10</v>
      </c>
      <c r="G4426" s="2" t="s">
        <v>10</v>
      </c>
    </row>
    <row r="4427" ht="14.25" customHeight="1">
      <c r="A4427" s="1" t="s">
        <v>3798</v>
      </c>
      <c r="B4427" s="1" t="s">
        <v>20</v>
      </c>
      <c r="C4427" s="2" t="s">
        <v>530</v>
      </c>
      <c r="D4427" s="2">
        <v>7.5</v>
      </c>
      <c r="E4427" s="2">
        <v>1995.0</v>
      </c>
      <c r="F4427" s="2" t="s">
        <v>10</v>
      </c>
      <c r="G4427" s="2" t="s">
        <v>10</v>
      </c>
    </row>
    <row r="4428" ht="14.25" customHeight="1">
      <c r="A4428" s="1" t="s">
        <v>3553</v>
      </c>
      <c r="B4428" s="1" t="s">
        <v>20</v>
      </c>
      <c r="C4428" s="2" t="s">
        <v>1334</v>
      </c>
      <c r="D4428" s="2">
        <v>7.5</v>
      </c>
      <c r="E4428" s="2">
        <v>1945.0</v>
      </c>
      <c r="F4428" s="2" t="s">
        <v>10</v>
      </c>
      <c r="G4428" s="2" t="s">
        <v>10</v>
      </c>
    </row>
    <row r="4429" ht="14.25" customHeight="1">
      <c r="A4429" s="1" t="s">
        <v>3799</v>
      </c>
      <c r="B4429" s="1" t="s">
        <v>8</v>
      </c>
      <c r="C4429" s="2" t="s">
        <v>92</v>
      </c>
      <c r="D4429" s="2">
        <v>7.5</v>
      </c>
      <c r="E4429" s="2">
        <v>2018.0</v>
      </c>
      <c r="F4429" s="2" t="s">
        <v>10</v>
      </c>
      <c r="G4429" s="2" t="s">
        <v>10</v>
      </c>
    </row>
    <row r="4430" ht="14.25" customHeight="1">
      <c r="A4430" s="1" t="s">
        <v>3800</v>
      </c>
      <c r="B4430" s="1" t="s">
        <v>20</v>
      </c>
      <c r="C4430" s="2" t="s">
        <v>80</v>
      </c>
      <c r="D4430" s="2">
        <v>7.5</v>
      </c>
      <c r="E4430" s="2">
        <v>2012.0</v>
      </c>
      <c r="F4430" s="2" t="s">
        <v>10</v>
      </c>
      <c r="G4430" s="2" t="s">
        <v>10</v>
      </c>
    </row>
    <row r="4431" ht="14.25" customHeight="1">
      <c r="A4431" s="1" t="s">
        <v>3801</v>
      </c>
      <c r="B4431" s="1" t="s">
        <v>20</v>
      </c>
      <c r="C4431" s="2" t="s">
        <v>142</v>
      </c>
      <c r="D4431" s="2">
        <v>7.5</v>
      </c>
      <c r="E4431" s="2">
        <v>2012.0</v>
      </c>
      <c r="F4431" s="2" t="s">
        <v>10</v>
      </c>
      <c r="G4431" s="2" t="s">
        <v>10</v>
      </c>
    </row>
    <row r="4432" ht="14.25" customHeight="1">
      <c r="A4432" s="1" t="s">
        <v>3802</v>
      </c>
      <c r="B4432" s="1" t="s">
        <v>20</v>
      </c>
      <c r="C4432" s="2" t="s">
        <v>945</v>
      </c>
      <c r="D4432" s="2">
        <v>7.5</v>
      </c>
      <c r="E4432" s="2">
        <v>1994.0</v>
      </c>
      <c r="F4432" s="2" t="s">
        <v>10</v>
      </c>
      <c r="G4432" s="2" t="s">
        <v>10</v>
      </c>
    </row>
    <row r="4433" ht="14.25" customHeight="1">
      <c r="A4433" s="1" t="s">
        <v>3803</v>
      </c>
      <c r="B4433" s="1" t="s">
        <v>20</v>
      </c>
      <c r="C4433" s="2" t="s">
        <v>63</v>
      </c>
      <c r="D4433" s="2">
        <v>7.5</v>
      </c>
      <c r="E4433" s="2">
        <v>1987.0</v>
      </c>
      <c r="F4433" s="2" t="s">
        <v>10</v>
      </c>
      <c r="G4433" s="2" t="s">
        <v>10</v>
      </c>
    </row>
    <row r="4434" ht="14.25" customHeight="1">
      <c r="A4434" s="1" t="s">
        <v>3804</v>
      </c>
      <c r="B4434" s="1" t="s">
        <v>20</v>
      </c>
      <c r="C4434" s="2" t="s">
        <v>2152</v>
      </c>
      <c r="D4434" s="2">
        <v>7.5</v>
      </c>
      <c r="E4434" s="2">
        <v>1964.0</v>
      </c>
      <c r="F4434" s="2" t="s">
        <v>10</v>
      </c>
      <c r="G4434" s="2" t="s">
        <v>10</v>
      </c>
    </row>
    <row r="4435" ht="14.25" customHeight="1">
      <c r="A4435" s="1" t="s">
        <v>3805</v>
      </c>
      <c r="B4435" s="1" t="s">
        <v>20</v>
      </c>
      <c r="C4435" s="2" t="s">
        <v>299</v>
      </c>
      <c r="D4435" s="2">
        <v>7.5</v>
      </c>
      <c r="E4435" s="2">
        <v>1976.0</v>
      </c>
      <c r="F4435" s="2" t="s">
        <v>10</v>
      </c>
      <c r="G4435" s="2" t="s">
        <v>10</v>
      </c>
    </row>
    <row r="4436" ht="14.25" customHeight="1">
      <c r="A4436" s="1" t="s">
        <v>3806</v>
      </c>
      <c r="B4436" s="1" t="s">
        <v>8</v>
      </c>
      <c r="C4436" s="2" t="s">
        <v>112</v>
      </c>
      <c r="D4436" s="2">
        <v>7.5</v>
      </c>
      <c r="E4436" s="2">
        <v>2023.0</v>
      </c>
      <c r="F4436" s="2" t="s">
        <v>10</v>
      </c>
      <c r="G4436" s="2">
        <v>7600000.0</v>
      </c>
    </row>
    <row r="4437" ht="14.25" customHeight="1">
      <c r="A4437" s="1" t="s">
        <v>3806</v>
      </c>
      <c r="B4437" s="1" t="s">
        <v>8</v>
      </c>
      <c r="C4437" s="2" t="s">
        <v>112</v>
      </c>
      <c r="D4437" s="2">
        <v>7.5</v>
      </c>
      <c r="E4437" s="2">
        <v>2023.0</v>
      </c>
      <c r="F4437" s="2" t="s">
        <v>10</v>
      </c>
      <c r="G4437" s="2">
        <v>1.26E7</v>
      </c>
    </row>
    <row r="4438" ht="14.25" customHeight="1">
      <c r="A4438" s="1" t="s">
        <v>3806</v>
      </c>
      <c r="B4438" s="1" t="s">
        <v>8</v>
      </c>
      <c r="C4438" s="2" t="s">
        <v>112</v>
      </c>
      <c r="D4438" s="2">
        <v>7.5</v>
      </c>
      <c r="E4438" s="2">
        <v>2023.0</v>
      </c>
      <c r="F4438" s="2" t="s">
        <v>10</v>
      </c>
      <c r="G4438" s="2">
        <v>2.17E7</v>
      </c>
    </row>
    <row r="4439" ht="14.25" customHeight="1">
      <c r="A4439" s="1" t="s">
        <v>3806</v>
      </c>
      <c r="B4439" s="1" t="s">
        <v>8</v>
      </c>
      <c r="C4439" s="2" t="s">
        <v>112</v>
      </c>
      <c r="D4439" s="2">
        <v>7.5</v>
      </c>
      <c r="E4439" s="2">
        <v>2023.0</v>
      </c>
      <c r="F4439" s="2" t="s">
        <v>10</v>
      </c>
      <c r="G4439" s="2">
        <v>3.87E7</v>
      </c>
    </row>
    <row r="4440" ht="14.25" customHeight="1">
      <c r="A4440" s="1" t="s">
        <v>3806</v>
      </c>
      <c r="B4440" s="1" t="s">
        <v>8</v>
      </c>
      <c r="C4440" s="2" t="s">
        <v>112</v>
      </c>
      <c r="D4440" s="2">
        <v>7.5</v>
      </c>
      <c r="E4440" s="2">
        <v>2023.0</v>
      </c>
      <c r="F4440" s="2" t="s">
        <v>10</v>
      </c>
      <c r="G4440" s="2">
        <v>3.76E7</v>
      </c>
    </row>
    <row r="4441" ht="14.25" customHeight="1">
      <c r="A4441" s="1" t="s">
        <v>3807</v>
      </c>
      <c r="B4441" s="1" t="s">
        <v>20</v>
      </c>
      <c r="C4441" s="2" t="s">
        <v>207</v>
      </c>
      <c r="D4441" s="2">
        <v>7.5</v>
      </c>
      <c r="E4441" s="2">
        <v>2002.0</v>
      </c>
      <c r="F4441" s="2" t="s">
        <v>10</v>
      </c>
      <c r="G4441" s="2" t="s">
        <v>10</v>
      </c>
    </row>
    <row r="4442" ht="14.25" customHeight="1">
      <c r="A4442" s="1" t="s">
        <v>3808</v>
      </c>
      <c r="B4442" s="1" t="s">
        <v>20</v>
      </c>
      <c r="C4442" s="2" t="s">
        <v>63</v>
      </c>
      <c r="D4442" s="2">
        <v>7.5</v>
      </c>
      <c r="E4442" s="2">
        <v>1988.0</v>
      </c>
      <c r="F4442" s="2" t="s">
        <v>10</v>
      </c>
      <c r="G4442" s="2" t="s">
        <v>10</v>
      </c>
    </row>
    <row r="4443" ht="14.25" customHeight="1">
      <c r="A4443" s="1" t="s">
        <v>3809</v>
      </c>
      <c r="B4443" s="1" t="s">
        <v>20</v>
      </c>
      <c r="C4443" s="2" t="s">
        <v>356</v>
      </c>
      <c r="D4443" s="2">
        <v>7.5</v>
      </c>
      <c r="E4443" s="2">
        <v>2007.0</v>
      </c>
      <c r="F4443" s="2" t="s">
        <v>10</v>
      </c>
      <c r="G4443" s="2" t="s">
        <v>10</v>
      </c>
    </row>
    <row r="4444" ht="14.25" customHeight="1">
      <c r="A4444" s="1" t="s">
        <v>3810</v>
      </c>
      <c r="B4444" s="1" t="s">
        <v>20</v>
      </c>
      <c r="C4444" s="2" t="s">
        <v>845</v>
      </c>
      <c r="D4444" s="2">
        <v>7.5</v>
      </c>
      <c r="E4444" s="2">
        <v>1963.0</v>
      </c>
      <c r="F4444" s="2" t="s">
        <v>10</v>
      </c>
      <c r="G4444" s="2" t="s">
        <v>10</v>
      </c>
    </row>
    <row r="4445" ht="14.25" customHeight="1">
      <c r="A4445" s="1" t="s">
        <v>3811</v>
      </c>
      <c r="B4445" s="1" t="s">
        <v>20</v>
      </c>
      <c r="C4445" s="2" t="s">
        <v>395</v>
      </c>
      <c r="D4445" s="2">
        <v>7.5</v>
      </c>
      <c r="E4445" s="2">
        <v>1982.0</v>
      </c>
      <c r="F4445" s="2" t="s">
        <v>10</v>
      </c>
      <c r="G4445" s="2" t="s">
        <v>10</v>
      </c>
    </row>
    <row r="4446" ht="14.25" customHeight="1">
      <c r="A4446" s="1" t="s">
        <v>3812</v>
      </c>
      <c r="B4446" s="1" t="s">
        <v>20</v>
      </c>
      <c r="C4446" s="2" t="s">
        <v>910</v>
      </c>
      <c r="D4446" s="2">
        <v>7.5</v>
      </c>
      <c r="E4446" s="2">
        <v>2009.0</v>
      </c>
      <c r="F4446" s="2" t="s">
        <v>10</v>
      </c>
      <c r="G4446" s="2" t="s">
        <v>10</v>
      </c>
    </row>
    <row r="4447" ht="14.25" customHeight="1">
      <c r="A4447" s="1" t="s">
        <v>3813</v>
      </c>
      <c r="B4447" s="1" t="s">
        <v>8</v>
      </c>
      <c r="C4447" s="2" t="s">
        <v>63</v>
      </c>
      <c r="D4447" s="2">
        <v>7.5</v>
      </c>
      <c r="E4447" s="2">
        <v>2016.0</v>
      </c>
      <c r="F4447" s="2">
        <v>2016.0</v>
      </c>
      <c r="G4447" s="2" t="s">
        <v>10</v>
      </c>
    </row>
    <row r="4448" ht="14.25" customHeight="1">
      <c r="A4448" s="1" t="s">
        <v>3814</v>
      </c>
      <c r="B4448" s="1" t="s">
        <v>20</v>
      </c>
      <c r="C4448" s="2" t="s">
        <v>1375</v>
      </c>
      <c r="D4448" s="2">
        <v>7.5</v>
      </c>
      <c r="E4448" s="2">
        <v>2007.0</v>
      </c>
      <c r="F4448" s="2" t="s">
        <v>10</v>
      </c>
      <c r="G4448" s="2" t="s">
        <v>10</v>
      </c>
    </row>
    <row r="4449" ht="14.25" customHeight="1">
      <c r="A4449" s="1" t="s">
        <v>2846</v>
      </c>
      <c r="B4449" s="1" t="s">
        <v>8</v>
      </c>
      <c r="C4449" s="2" t="s">
        <v>822</v>
      </c>
      <c r="D4449" s="2">
        <v>7.5</v>
      </c>
      <c r="E4449" s="2">
        <v>2015.0</v>
      </c>
      <c r="F4449" s="2">
        <v>2017.0</v>
      </c>
      <c r="G4449" s="2" t="s">
        <v>10</v>
      </c>
    </row>
    <row r="4450" ht="14.25" customHeight="1">
      <c r="A4450" s="1" t="s">
        <v>3815</v>
      </c>
      <c r="B4450" s="1" t="s">
        <v>8</v>
      </c>
      <c r="C4450" s="2" t="s">
        <v>187</v>
      </c>
      <c r="D4450" s="2">
        <v>7.5</v>
      </c>
      <c r="E4450" s="2">
        <v>2011.0</v>
      </c>
      <c r="F4450" s="2" t="s">
        <v>10</v>
      </c>
      <c r="G4450" s="2" t="s">
        <v>10</v>
      </c>
    </row>
    <row r="4451" ht="14.25" customHeight="1">
      <c r="A4451" s="1" t="s">
        <v>3816</v>
      </c>
      <c r="B4451" s="1" t="s">
        <v>20</v>
      </c>
      <c r="C4451" s="2" t="s">
        <v>3817</v>
      </c>
      <c r="D4451" s="2">
        <v>7.5</v>
      </c>
      <c r="E4451" s="2">
        <v>1960.0</v>
      </c>
      <c r="F4451" s="2">
        <v>2002.0</v>
      </c>
      <c r="G4451" s="2" t="s">
        <v>10</v>
      </c>
    </row>
    <row r="4452" ht="14.25" customHeight="1">
      <c r="A4452" s="1" t="s">
        <v>3818</v>
      </c>
      <c r="B4452" s="1" t="s">
        <v>20</v>
      </c>
      <c r="C4452" s="2" t="s">
        <v>299</v>
      </c>
      <c r="D4452" s="2">
        <v>7.5</v>
      </c>
      <c r="E4452" s="2">
        <v>2021.0</v>
      </c>
      <c r="F4452" s="2" t="s">
        <v>10</v>
      </c>
      <c r="G4452" s="2" t="s">
        <v>10</v>
      </c>
    </row>
    <row r="4453" ht="14.25" customHeight="1">
      <c r="A4453" s="1" t="s">
        <v>3819</v>
      </c>
      <c r="B4453" s="1" t="s">
        <v>20</v>
      </c>
      <c r="C4453" s="2" t="s">
        <v>114</v>
      </c>
      <c r="D4453" s="2">
        <v>7.5</v>
      </c>
      <c r="E4453" s="2">
        <v>2002.0</v>
      </c>
      <c r="F4453" s="2" t="s">
        <v>10</v>
      </c>
      <c r="G4453" s="2" t="s">
        <v>10</v>
      </c>
    </row>
    <row r="4454" ht="14.25" customHeight="1">
      <c r="A4454" s="1" t="s">
        <v>3820</v>
      </c>
      <c r="B4454" s="1" t="s">
        <v>20</v>
      </c>
      <c r="C4454" s="2" t="s">
        <v>459</v>
      </c>
      <c r="D4454" s="2">
        <v>7.5</v>
      </c>
      <c r="E4454" s="2">
        <v>1975.0</v>
      </c>
      <c r="F4454" s="2" t="s">
        <v>10</v>
      </c>
      <c r="G4454" s="2" t="s">
        <v>10</v>
      </c>
    </row>
    <row r="4455" ht="14.25" customHeight="1">
      <c r="A4455" s="1" t="s">
        <v>3821</v>
      </c>
      <c r="B4455" s="1" t="s">
        <v>20</v>
      </c>
      <c r="C4455" s="2" t="s">
        <v>63</v>
      </c>
      <c r="D4455" s="2">
        <v>7.5</v>
      </c>
      <c r="E4455" s="2">
        <v>2023.0</v>
      </c>
      <c r="F4455" s="2" t="s">
        <v>10</v>
      </c>
      <c r="G4455" s="2">
        <v>3500000.0</v>
      </c>
    </row>
    <row r="4456" ht="14.25" customHeight="1">
      <c r="A4456" s="1" t="s">
        <v>3821</v>
      </c>
      <c r="B4456" s="1" t="s">
        <v>20</v>
      </c>
      <c r="C4456" s="2" t="s">
        <v>63</v>
      </c>
      <c r="D4456" s="2">
        <v>7.5</v>
      </c>
      <c r="E4456" s="2">
        <v>2023.0</v>
      </c>
      <c r="F4456" s="2" t="s">
        <v>10</v>
      </c>
      <c r="G4456" s="2">
        <v>1.15E7</v>
      </c>
    </row>
    <row r="4457" ht="14.25" customHeight="1">
      <c r="A4457" s="1" t="s">
        <v>3821</v>
      </c>
      <c r="B4457" s="1" t="s">
        <v>20</v>
      </c>
      <c r="C4457" s="2" t="s">
        <v>63</v>
      </c>
      <c r="D4457" s="2">
        <v>7.5</v>
      </c>
      <c r="E4457" s="2">
        <v>2023.0</v>
      </c>
      <c r="F4457" s="2" t="s">
        <v>10</v>
      </c>
      <c r="G4457" s="2">
        <v>6200000.0</v>
      </c>
    </row>
    <row r="4458" ht="14.25" customHeight="1">
      <c r="A4458" s="1" t="s">
        <v>3822</v>
      </c>
      <c r="B4458" s="1" t="s">
        <v>20</v>
      </c>
      <c r="C4458" s="2" t="s">
        <v>69</v>
      </c>
      <c r="D4458" s="2">
        <v>7.5</v>
      </c>
      <c r="E4458" s="2">
        <v>2005.0</v>
      </c>
      <c r="F4458" s="2" t="s">
        <v>10</v>
      </c>
      <c r="G4458" s="2" t="s">
        <v>10</v>
      </c>
    </row>
    <row r="4459" ht="14.25" customHeight="1">
      <c r="A4459" s="1" t="s">
        <v>3823</v>
      </c>
      <c r="B4459" s="1" t="s">
        <v>20</v>
      </c>
      <c r="C4459" s="2" t="s">
        <v>766</v>
      </c>
      <c r="D4459" s="2">
        <v>7.5</v>
      </c>
      <c r="E4459" s="2">
        <v>2018.0</v>
      </c>
      <c r="F4459" s="2">
        <v>2018.0</v>
      </c>
      <c r="G4459" s="2" t="s">
        <v>10</v>
      </c>
    </row>
    <row r="4460" ht="14.25" customHeight="1">
      <c r="A4460" s="1" t="s">
        <v>3824</v>
      </c>
      <c r="B4460" s="1" t="s">
        <v>8</v>
      </c>
      <c r="C4460" s="2" t="s">
        <v>441</v>
      </c>
      <c r="D4460" s="2">
        <v>7.5</v>
      </c>
      <c r="E4460" s="2">
        <v>2016.0</v>
      </c>
      <c r="F4460" s="2">
        <v>2020.0</v>
      </c>
      <c r="G4460" s="2" t="s">
        <v>10</v>
      </c>
    </row>
    <row r="4461" ht="14.25" customHeight="1">
      <c r="A4461" s="1" t="s">
        <v>3825</v>
      </c>
      <c r="B4461" s="1" t="s">
        <v>20</v>
      </c>
      <c r="C4461" s="2" t="s">
        <v>217</v>
      </c>
      <c r="D4461" s="2">
        <v>7.5</v>
      </c>
      <c r="E4461" s="2">
        <v>1985.0</v>
      </c>
      <c r="F4461" s="2" t="s">
        <v>10</v>
      </c>
      <c r="G4461" s="2" t="s">
        <v>10</v>
      </c>
    </row>
    <row r="4462" ht="14.25" customHeight="1">
      <c r="A4462" s="1" t="s">
        <v>3826</v>
      </c>
      <c r="B4462" s="1" t="s">
        <v>8</v>
      </c>
      <c r="C4462" s="2" t="s">
        <v>339</v>
      </c>
      <c r="D4462" s="2">
        <v>7.5</v>
      </c>
      <c r="E4462" s="2">
        <v>2016.0</v>
      </c>
      <c r="F4462" s="2">
        <v>2018.0</v>
      </c>
      <c r="G4462" s="2">
        <v>4700000.0</v>
      </c>
    </row>
    <row r="4463" ht="14.25" customHeight="1">
      <c r="A4463" s="1" t="s">
        <v>3826</v>
      </c>
      <c r="B4463" s="1" t="s">
        <v>8</v>
      </c>
      <c r="C4463" s="2" t="s">
        <v>339</v>
      </c>
      <c r="D4463" s="2">
        <v>7.5</v>
      </c>
      <c r="E4463" s="2">
        <v>2016.0</v>
      </c>
      <c r="F4463" s="2">
        <v>2018.0</v>
      </c>
      <c r="G4463" s="2">
        <v>1.277E7</v>
      </c>
    </row>
    <row r="4464" ht="14.25" customHeight="1">
      <c r="A4464" s="1" t="s">
        <v>3826</v>
      </c>
      <c r="B4464" s="1" t="s">
        <v>8</v>
      </c>
      <c r="C4464" s="2" t="s">
        <v>339</v>
      </c>
      <c r="D4464" s="2">
        <v>7.5</v>
      </c>
      <c r="E4464" s="2">
        <v>2016.0</v>
      </c>
      <c r="F4464" s="2">
        <v>2018.0</v>
      </c>
      <c r="G4464" s="2">
        <v>7480000.0</v>
      </c>
    </row>
    <row r="4465" ht="14.25" customHeight="1">
      <c r="A4465" s="1" t="s">
        <v>3826</v>
      </c>
      <c r="B4465" s="1" t="s">
        <v>8</v>
      </c>
      <c r="C4465" s="2" t="s">
        <v>339</v>
      </c>
      <c r="D4465" s="2">
        <v>7.5</v>
      </c>
      <c r="E4465" s="2">
        <v>2016.0</v>
      </c>
      <c r="F4465" s="2">
        <v>2018.0</v>
      </c>
      <c r="G4465" s="2">
        <v>7390000.0</v>
      </c>
    </row>
    <row r="4466" ht="14.25" customHeight="1">
      <c r="A4466" s="1" t="s">
        <v>3827</v>
      </c>
      <c r="B4466" s="1" t="s">
        <v>8</v>
      </c>
      <c r="C4466" s="2" t="s">
        <v>2237</v>
      </c>
      <c r="D4466" s="2">
        <v>7.5</v>
      </c>
      <c r="E4466" s="2">
        <v>1983.0</v>
      </c>
      <c r="F4466" s="2" t="s">
        <v>10</v>
      </c>
      <c r="G4466" s="2" t="s">
        <v>10</v>
      </c>
    </row>
    <row r="4467" ht="14.25" customHeight="1">
      <c r="A4467" s="1" t="s">
        <v>3828</v>
      </c>
      <c r="B4467" s="1" t="s">
        <v>20</v>
      </c>
      <c r="C4467" s="2" t="s">
        <v>36</v>
      </c>
      <c r="D4467" s="2">
        <v>7.5</v>
      </c>
      <c r="E4467" s="2">
        <v>1989.0</v>
      </c>
      <c r="F4467" s="2" t="s">
        <v>10</v>
      </c>
      <c r="G4467" s="2" t="s">
        <v>10</v>
      </c>
    </row>
    <row r="4468" ht="14.25" customHeight="1">
      <c r="A4468" s="1" t="s">
        <v>3829</v>
      </c>
      <c r="B4468" s="1" t="s">
        <v>8</v>
      </c>
      <c r="C4468" s="2" t="s">
        <v>325</v>
      </c>
      <c r="D4468" s="2">
        <v>7.5</v>
      </c>
      <c r="E4468" s="2">
        <v>2010.0</v>
      </c>
      <c r="F4468" s="2">
        <v>2015.0</v>
      </c>
      <c r="G4468" s="2" t="s">
        <v>10</v>
      </c>
    </row>
    <row r="4469" ht="14.25" customHeight="1">
      <c r="A4469" s="1" t="s">
        <v>3830</v>
      </c>
      <c r="B4469" s="1" t="s">
        <v>8</v>
      </c>
      <c r="C4469" s="2" t="s">
        <v>55</v>
      </c>
      <c r="D4469" s="2">
        <v>7.5</v>
      </c>
      <c r="E4469" s="2">
        <v>1960.0</v>
      </c>
      <c r="F4469" s="2">
        <v>1994.0</v>
      </c>
      <c r="G4469" s="2" t="s">
        <v>10</v>
      </c>
    </row>
    <row r="4470" ht="14.25" customHeight="1">
      <c r="A4470" s="1" t="s">
        <v>3831</v>
      </c>
      <c r="B4470" s="1" t="s">
        <v>20</v>
      </c>
      <c r="C4470" s="2" t="s">
        <v>455</v>
      </c>
      <c r="D4470" s="2">
        <v>7.5</v>
      </c>
      <c r="E4470" s="2">
        <v>1954.0</v>
      </c>
      <c r="F4470" s="2">
        <v>2017.0</v>
      </c>
      <c r="G4470" s="2" t="s">
        <v>10</v>
      </c>
    </row>
    <row r="4471" ht="14.25" customHeight="1">
      <c r="A4471" s="1" t="s">
        <v>3832</v>
      </c>
      <c r="B4471" s="1" t="s">
        <v>20</v>
      </c>
      <c r="C4471" s="2" t="s">
        <v>1100</v>
      </c>
      <c r="D4471" s="2">
        <v>7.5</v>
      </c>
      <c r="E4471" s="2">
        <v>1979.0</v>
      </c>
      <c r="F4471" s="2" t="s">
        <v>10</v>
      </c>
      <c r="G4471" s="2" t="s">
        <v>10</v>
      </c>
    </row>
    <row r="4472" ht="14.25" customHeight="1">
      <c r="A4472" s="1" t="s">
        <v>3833</v>
      </c>
      <c r="B4472" s="1" t="s">
        <v>8</v>
      </c>
      <c r="C4472" s="2" t="s">
        <v>44</v>
      </c>
      <c r="D4472" s="2">
        <v>7.5</v>
      </c>
      <c r="E4472" s="2">
        <v>2020.0</v>
      </c>
      <c r="F4472" s="2">
        <v>2020.0</v>
      </c>
      <c r="G4472" s="2" t="s">
        <v>10</v>
      </c>
    </row>
    <row r="4473" ht="14.25" customHeight="1">
      <c r="A4473" s="1" t="s">
        <v>3834</v>
      </c>
      <c r="B4473" s="1" t="s">
        <v>20</v>
      </c>
      <c r="C4473" s="2" t="s">
        <v>36</v>
      </c>
      <c r="D4473" s="2">
        <v>7.5</v>
      </c>
      <c r="E4473" s="2">
        <v>2018.0</v>
      </c>
      <c r="F4473" s="2" t="s">
        <v>10</v>
      </c>
      <c r="G4473" s="2" t="s">
        <v>10</v>
      </c>
    </row>
    <row r="4474" ht="14.25" customHeight="1">
      <c r="A4474" s="1">
        <v>83.0</v>
      </c>
      <c r="B4474" s="1" t="s">
        <v>20</v>
      </c>
      <c r="C4474" s="2" t="s">
        <v>80</v>
      </c>
      <c r="D4474" s="2">
        <v>7.5</v>
      </c>
      <c r="E4474" s="2">
        <v>2021.0</v>
      </c>
      <c r="F4474" s="2" t="s">
        <v>10</v>
      </c>
      <c r="G4474" s="2">
        <v>3120000.0</v>
      </c>
    </row>
    <row r="4475" ht="14.25" customHeight="1">
      <c r="A4475" s="1">
        <v>83.0</v>
      </c>
      <c r="B4475" s="1" t="s">
        <v>20</v>
      </c>
      <c r="C4475" s="2" t="s">
        <v>80</v>
      </c>
      <c r="D4475" s="2">
        <v>7.5</v>
      </c>
      <c r="E4475" s="2">
        <v>2021.0</v>
      </c>
      <c r="F4475" s="2" t="s">
        <v>10</v>
      </c>
      <c r="G4475" s="2">
        <v>1.053E7</v>
      </c>
    </row>
    <row r="4476" ht="14.25" customHeight="1">
      <c r="A4476" s="1" t="s">
        <v>3835</v>
      </c>
      <c r="B4476" s="1" t="s">
        <v>8</v>
      </c>
      <c r="C4476" s="2" t="s">
        <v>40</v>
      </c>
      <c r="D4476" s="2">
        <v>7.5</v>
      </c>
      <c r="E4476" s="2">
        <v>2023.0</v>
      </c>
      <c r="F4476" s="2" t="s">
        <v>10</v>
      </c>
      <c r="G4476" s="2" t="s">
        <v>10</v>
      </c>
    </row>
    <row r="4477" ht="14.25" customHeight="1">
      <c r="A4477" s="1" t="s">
        <v>3836</v>
      </c>
      <c r="B4477" s="1" t="s">
        <v>20</v>
      </c>
      <c r="C4477" s="2" t="s">
        <v>756</v>
      </c>
      <c r="D4477" s="2">
        <v>7.5</v>
      </c>
      <c r="E4477" s="2">
        <v>1977.0</v>
      </c>
      <c r="F4477" s="2" t="s">
        <v>10</v>
      </c>
      <c r="G4477" s="2" t="s">
        <v>10</v>
      </c>
    </row>
    <row r="4478" ht="14.25" customHeight="1">
      <c r="A4478" s="1" t="s">
        <v>3837</v>
      </c>
      <c r="B4478" s="1" t="s">
        <v>20</v>
      </c>
      <c r="C4478" s="2" t="s">
        <v>710</v>
      </c>
      <c r="D4478" s="2">
        <v>7.5</v>
      </c>
      <c r="E4478" s="2">
        <v>2016.0</v>
      </c>
      <c r="F4478" s="2" t="s">
        <v>10</v>
      </c>
      <c r="G4478" s="2" t="s">
        <v>10</v>
      </c>
    </row>
    <row r="4479" ht="14.25" customHeight="1">
      <c r="A4479" s="1" t="s">
        <v>3838</v>
      </c>
      <c r="B4479" s="1" t="s">
        <v>20</v>
      </c>
      <c r="C4479" s="2" t="s">
        <v>530</v>
      </c>
      <c r="D4479" s="2">
        <v>7.5</v>
      </c>
      <c r="E4479" s="2">
        <v>1973.0</v>
      </c>
      <c r="F4479" s="2" t="s">
        <v>10</v>
      </c>
      <c r="G4479" s="2" t="s">
        <v>10</v>
      </c>
    </row>
    <row r="4480" ht="14.25" customHeight="1">
      <c r="A4480" s="1" t="s">
        <v>3839</v>
      </c>
      <c r="B4480" s="1" t="s">
        <v>20</v>
      </c>
      <c r="C4480" s="2" t="s">
        <v>291</v>
      </c>
      <c r="D4480" s="2">
        <v>7.5</v>
      </c>
      <c r="E4480" s="2">
        <v>2017.0</v>
      </c>
      <c r="F4480" s="2">
        <v>2017.0</v>
      </c>
      <c r="G4480" s="2" t="s">
        <v>10</v>
      </c>
    </row>
    <row r="4481" ht="14.25" customHeight="1">
      <c r="A4481" s="1" t="s">
        <v>3840</v>
      </c>
      <c r="B4481" s="1" t="s">
        <v>20</v>
      </c>
      <c r="C4481" s="2" t="s">
        <v>328</v>
      </c>
      <c r="D4481" s="2">
        <v>7.5</v>
      </c>
      <c r="E4481" s="2">
        <v>2009.0</v>
      </c>
      <c r="F4481" s="2" t="s">
        <v>10</v>
      </c>
      <c r="G4481" s="2" t="s">
        <v>10</v>
      </c>
    </row>
    <row r="4482" ht="14.25" customHeight="1">
      <c r="A4482" s="1" t="s">
        <v>3841</v>
      </c>
      <c r="B4482" s="1" t="s">
        <v>8</v>
      </c>
      <c r="C4482" s="2" t="s">
        <v>3842</v>
      </c>
      <c r="D4482" s="2">
        <v>7.5</v>
      </c>
      <c r="E4482" s="2">
        <v>2024.0</v>
      </c>
      <c r="F4482" s="2" t="s">
        <v>10</v>
      </c>
      <c r="G4482" s="2" t="s">
        <v>10</v>
      </c>
    </row>
    <row r="4483" ht="14.25" customHeight="1">
      <c r="A4483" s="1" t="s">
        <v>3843</v>
      </c>
      <c r="B4483" s="1" t="s">
        <v>20</v>
      </c>
      <c r="C4483" s="2" t="s">
        <v>60</v>
      </c>
      <c r="D4483" s="2">
        <v>7.5</v>
      </c>
      <c r="E4483" s="2">
        <v>1970.0</v>
      </c>
      <c r="F4483" s="2" t="s">
        <v>10</v>
      </c>
      <c r="G4483" s="2" t="s">
        <v>10</v>
      </c>
    </row>
    <row r="4484" ht="14.25" customHeight="1">
      <c r="A4484" s="1" t="s">
        <v>3844</v>
      </c>
      <c r="B4484" s="1" t="s">
        <v>8</v>
      </c>
      <c r="C4484" s="2" t="s">
        <v>169</v>
      </c>
      <c r="D4484" s="2">
        <v>7.5</v>
      </c>
      <c r="E4484" s="2">
        <v>2022.0</v>
      </c>
      <c r="F4484" s="2" t="s">
        <v>10</v>
      </c>
      <c r="G4484" s="2" t="s">
        <v>10</v>
      </c>
    </row>
    <row r="4485" ht="14.25" customHeight="1">
      <c r="A4485" s="1" t="s">
        <v>3845</v>
      </c>
      <c r="B4485" s="1" t="s">
        <v>20</v>
      </c>
      <c r="C4485" s="2" t="s">
        <v>184</v>
      </c>
      <c r="D4485" s="2">
        <v>7.5</v>
      </c>
      <c r="E4485" s="2">
        <v>1993.0</v>
      </c>
      <c r="F4485" s="2" t="s">
        <v>10</v>
      </c>
      <c r="G4485" s="2" t="s">
        <v>10</v>
      </c>
    </row>
    <row r="4486" ht="14.25" customHeight="1">
      <c r="A4486" s="1" t="s">
        <v>3846</v>
      </c>
      <c r="B4486" s="1" t="s">
        <v>8</v>
      </c>
      <c r="C4486" s="2" t="s">
        <v>32</v>
      </c>
      <c r="D4486" s="2">
        <v>7.5</v>
      </c>
      <c r="E4486" s="2">
        <v>2011.0</v>
      </c>
      <c r="F4486" s="2" t="s">
        <v>10</v>
      </c>
      <c r="G4486" s="2" t="s">
        <v>10</v>
      </c>
    </row>
    <row r="4487" ht="14.25" customHeight="1">
      <c r="A4487" s="1" t="s">
        <v>3847</v>
      </c>
      <c r="B4487" s="1" t="s">
        <v>20</v>
      </c>
      <c r="C4487" s="2" t="s">
        <v>14</v>
      </c>
      <c r="D4487" s="2">
        <v>7.5</v>
      </c>
      <c r="E4487" s="2">
        <v>1970.0</v>
      </c>
      <c r="F4487" s="2" t="s">
        <v>10</v>
      </c>
      <c r="G4487" s="2" t="s">
        <v>10</v>
      </c>
    </row>
    <row r="4488" ht="14.25" customHeight="1">
      <c r="A4488" s="1" t="s">
        <v>3848</v>
      </c>
      <c r="B4488" s="1" t="s">
        <v>20</v>
      </c>
      <c r="C4488" s="2" t="s">
        <v>60</v>
      </c>
      <c r="D4488" s="2">
        <v>7.5</v>
      </c>
      <c r="E4488" s="2">
        <v>2002.0</v>
      </c>
      <c r="F4488" s="2" t="s">
        <v>10</v>
      </c>
      <c r="G4488" s="2" t="s">
        <v>10</v>
      </c>
    </row>
    <row r="4489" ht="14.25" customHeight="1">
      <c r="A4489" s="1" t="s">
        <v>3849</v>
      </c>
      <c r="B4489" s="1" t="s">
        <v>8</v>
      </c>
      <c r="C4489" s="2" t="s">
        <v>53</v>
      </c>
      <c r="D4489" s="2">
        <v>7.5</v>
      </c>
      <c r="E4489" s="2">
        <v>2022.0</v>
      </c>
      <c r="F4489" s="2" t="s">
        <v>10</v>
      </c>
      <c r="G4489" s="2" t="s">
        <v>10</v>
      </c>
    </row>
    <row r="4490" ht="14.25" customHeight="1">
      <c r="A4490" s="1" t="s">
        <v>3850</v>
      </c>
      <c r="B4490" s="1" t="s">
        <v>20</v>
      </c>
      <c r="C4490" s="2" t="s">
        <v>597</v>
      </c>
      <c r="D4490" s="2">
        <v>7.5</v>
      </c>
      <c r="E4490" s="2">
        <v>2019.0</v>
      </c>
      <c r="F4490" s="2">
        <v>2019.0</v>
      </c>
      <c r="G4490" s="2" t="s">
        <v>10</v>
      </c>
    </row>
    <row r="4491" ht="14.25" customHeight="1">
      <c r="A4491" s="1" t="s">
        <v>2195</v>
      </c>
      <c r="B4491" s="1" t="s">
        <v>20</v>
      </c>
      <c r="C4491" s="2" t="s">
        <v>18</v>
      </c>
      <c r="D4491" s="2">
        <v>7.5</v>
      </c>
      <c r="E4491" s="2">
        <v>2008.0</v>
      </c>
      <c r="F4491" s="2" t="s">
        <v>10</v>
      </c>
      <c r="G4491" s="2" t="s">
        <v>10</v>
      </c>
    </row>
    <row r="4492" ht="14.25" customHeight="1">
      <c r="A4492" s="1" t="s">
        <v>3851</v>
      </c>
      <c r="B4492" s="1" t="s">
        <v>20</v>
      </c>
      <c r="C4492" s="2" t="s">
        <v>833</v>
      </c>
      <c r="D4492" s="2">
        <v>7.5</v>
      </c>
      <c r="E4492" s="2">
        <v>2020.0</v>
      </c>
      <c r="F4492" s="2" t="s">
        <v>10</v>
      </c>
      <c r="G4492" s="2" t="s">
        <v>10</v>
      </c>
    </row>
    <row r="4493" ht="14.25" customHeight="1">
      <c r="A4493" s="1" t="s">
        <v>3852</v>
      </c>
      <c r="B4493" s="1" t="s">
        <v>20</v>
      </c>
      <c r="C4493" s="2" t="s">
        <v>1142</v>
      </c>
      <c r="D4493" s="2">
        <v>7.5</v>
      </c>
      <c r="E4493" s="2">
        <v>2008.0</v>
      </c>
      <c r="F4493" s="2" t="s">
        <v>10</v>
      </c>
      <c r="G4493" s="2" t="s">
        <v>10</v>
      </c>
    </row>
    <row r="4494" ht="14.25" customHeight="1">
      <c r="A4494" s="1" t="s">
        <v>3853</v>
      </c>
      <c r="B4494" s="1" t="s">
        <v>8</v>
      </c>
      <c r="C4494" s="2" t="s">
        <v>32</v>
      </c>
      <c r="D4494" s="2">
        <v>7.5</v>
      </c>
      <c r="E4494" s="2">
        <v>2012.0</v>
      </c>
      <c r="F4494" s="2" t="s">
        <v>10</v>
      </c>
      <c r="G4494" s="2" t="s">
        <v>10</v>
      </c>
    </row>
    <row r="4495" ht="14.25" customHeight="1">
      <c r="A4495" s="1" t="s">
        <v>3854</v>
      </c>
      <c r="B4495" s="1" t="s">
        <v>20</v>
      </c>
      <c r="C4495" s="2" t="s">
        <v>14</v>
      </c>
      <c r="D4495" s="2">
        <v>7.5</v>
      </c>
      <c r="E4495" s="2">
        <v>2008.0</v>
      </c>
      <c r="F4495" s="2">
        <v>2008.0</v>
      </c>
      <c r="G4495" s="2" t="s">
        <v>10</v>
      </c>
    </row>
    <row r="4496" ht="14.25" customHeight="1">
      <c r="A4496" s="1" t="s">
        <v>3855</v>
      </c>
      <c r="B4496" s="1" t="s">
        <v>8</v>
      </c>
      <c r="C4496" s="2" t="s">
        <v>952</v>
      </c>
      <c r="D4496" s="2">
        <v>7.5</v>
      </c>
      <c r="E4496" s="2">
        <v>1993.0</v>
      </c>
      <c r="F4496" s="2" t="s">
        <v>10</v>
      </c>
      <c r="G4496" s="2" t="s">
        <v>10</v>
      </c>
    </row>
    <row r="4497" ht="14.25" customHeight="1">
      <c r="A4497" s="1" t="s">
        <v>3856</v>
      </c>
      <c r="B4497" s="1" t="s">
        <v>20</v>
      </c>
      <c r="C4497" s="2" t="s">
        <v>309</v>
      </c>
      <c r="D4497" s="2">
        <v>7.5</v>
      </c>
      <c r="E4497" s="2">
        <v>2007.0</v>
      </c>
      <c r="F4497" s="2">
        <v>2007.0</v>
      </c>
      <c r="G4497" s="2" t="s">
        <v>10</v>
      </c>
    </row>
    <row r="4498" ht="14.25" customHeight="1">
      <c r="A4498" s="1" t="s">
        <v>3857</v>
      </c>
      <c r="B4498" s="1" t="s">
        <v>20</v>
      </c>
      <c r="C4498" s="2" t="s">
        <v>844</v>
      </c>
      <c r="D4498" s="2">
        <v>7.5</v>
      </c>
      <c r="E4498" s="2">
        <v>1947.0</v>
      </c>
      <c r="F4498" s="2" t="s">
        <v>10</v>
      </c>
      <c r="G4498" s="2" t="s">
        <v>10</v>
      </c>
    </row>
    <row r="4499" ht="14.25" customHeight="1">
      <c r="A4499" s="1" t="s">
        <v>3858</v>
      </c>
      <c r="B4499" s="1" t="s">
        <v>20</v>
      </c>
      <c r="C4499" s="2" t="s">
        <v>345</v>
      </c>
      <c r="D4499" s="2">
        <v>7.5</v>
      </c>
      <c r="E4499" s="2">
        <v>2009.0</v>
      </c>
      <c r="F4499" s="2" t="s">
        <v>10</v>
      </c>
      <c r="G4499" s="2">
        <v>1830000.0</v>
      </c>
    </row>
    <row r="4500" ht="14.25" customHeight="1">
      <c r="A4500" s="1" t="s">
        <v>3858</v>
      </c>
      <c r="B4500" s="1" t="s">
        <v>20</v>
      </c>
      <c r="C4500" s="2" t="s">
        <v>345</v>
      </c>
      <c r="D4500" s="2">
        <v>7.5</v>
      </c>
      <c r="E4500" s="2">
        <v>2009.0</v>
      </c>
      <c r="F4500" s="2" t="s">
        <v>10</v>
      </c>
      <c r="G4500" s="2">
        <v>2300000.0</v>
      </c>
    </row>
    <row r="4501" ht="14.25" customHeight="1">
      <c r="A4501" s="1" t="s">
        <v>3859</v>
      </c>
      <c r="B4501" s="1" t="s">
        <v>20</v>
      </c>
      <c r="C4501" s="2" t="s">
        <v>18</v>
      </c>
      <c r="D4501" s="2">
        <v>7.5</v>
      </c>
      <c r="E4501" s="2">
        <v>2011.0</v>
      </c>
      <c r="F4501" s="2" t="s">
        <v>10</v>
      </c>
      <c r="G4501" s="2" t="s">
        <v>10</v>
      </c>
    </row>
    <row r="4502" ht="14.25" customHeight="1">
      <c r="A4502" s="1" t="s">
        <v>3860</v>
      </c>
      <c r="B4502" s="1" t="s">
        <v>20</v>
      </c>
      <c r="C4502" s="2" t="s">
        <v>63</v>
      </c>
      <c r="D4502" s="2">
        <v>7.5</v>
      </c>
      <c r="E4502" s="2">
        <v>2013.0</v>
      </c>
      <c r="F4502" s="2">
        <v>2013.0</v>
      </c>
      <c r="G4502" s="2" t="s">
        <v>10</v>
      </c>
    </row>
    <row r="4503" ht="14.25" customHeight="1">
      <c r="A4503" s="1" t="s">
        <v>3861</v>
      </c>
      <c r="B4503" s="1" t="s">
        <v>20</v>
      </c>
      <c r="C4503" s="2" t="s">
        <v>2390</v>
      </c>
      <c r="D4503" s="2">
        <v>7.5</v>
      </c>
      <c r="E4503" s="2">
        <v>2019.0</v>
      </c>
      <c r="F4503" s="2" t="s">
        <v>10</v>
      </c>
      <c r="G4503" s="2" t="s">
        <v>10</v>
      </c>
    </row>
    <row r="4504" ht="14.25" customHeight="1">
      <c r="A4504" s="1" t="s">
        <v>3862</v>
      </c>
      <c r="B4504" s="1" t="s">
        <v>20</v>
      </c>
      <c r="C4504" s="2" t="s">
        <v>1741</v>
      </c>
      <c r="D4504" s="2">
        <v>7.5</v>
      </c>
      <c r="E4504" s="2">
        <v>2015.0</v>
      </c>
      <c r="F4504" s="2" t="s">
        <v>10</v>
      </c>
      <c r="G4504" s="2" t="s">
        <v>10</v>
      </c>
    </row>
    <row r="4505" ht="14.25" customHeight="1">
      <c r="A4505" s="1" t="s">
        <v>121</v>
      </c>
      <c r="B4505" s="1" t="s">
        <v>20</v>
      </c>
      <c r="C4505" s="2" t="s">
        <v>325</v>
      </c>
      <c r="D4505" s="2">
        <v>7.5</v>
      </c>
      <c r="E4505" s="2">
        <v>2006.0</v>
      </c>
      <c r="F4505" s="2">
        <v>2017.0</v>
      </c>
      <c r="G4505" s="2" t="s">
        <v>10</v>
      </c>
    </row>
    <row r="4506" ht="14.25" customHeight="1">
      <c r="A4506" s="1" t="s">
        <v>121</v>
      </c>
      <c r="B4506" s="1" t="s">
        <v>20</v>
      </c>
      <c r="C4506" s="2" t="s">
        <v>325</v>
      </c>
      <c r="D4506" s="2">
        <v>7.5</v>
      </c>
      <c r="E4506" s="2">
        <v>2006.0</v>
      </c>
      <c r="F4506" s="2">
        <v>2006.0</v>
      </c>
      <c r="G4506" s="2" t="s">
        <v>10</v>
      </c>
    </row>
    <row r="4507" ht="14.25" customHeight="1">
      <c r="A4507" s="1" t="s">
        <v>3863</v>
      </c>
      <c r="B4507" s="1" t="s">
        <v>20</v>
      </c>
      <c r="C4507" s="2" t="s">
        <v>80</v>
      </c>
      <c r="D4507" s="2">
        <v>7.5</v>
      </c>
      <c r="E4507" s="2">
        <v>1989.0</v>
      </c>
      <c r="F4507" s="2" t="s">
        <v>10</v>
      </c>
      <c r="G4507" s="2" t="s">
        <v>10</v>
      </c>
    </row>
    <row r="4508" ht="14.25" customHeight="1">
      <c r="A4508" s="1" t="s">
        <v>3864</v>
      </c>
      <c r="B4508" s="1" t="s">
        <v>20</v>
      </c>
      <c r="C4508" s="2" t="s">
        <v>154</v>
      </c>
      <c r="D4508" s="2">
        <v>7.5</v>
      </c>
      <c r="E4508" s="2">
        <v>1998.0</v>
      </c>
      <c r="F4508" s="2" t="s">
        <v>10</v>
      </c>
      <c r="G4508" s="2" t="s">
        <v>10</v>
      </c>
    </row>
    <row r="4509" ht="14.25" customHeight="1">
      <c r="A4509" s="1" t="s">
        <v>3865</v>
      </c>
      <c r="B4509" s="1" t="s">
        <v>20</v>
      </c>
      <c r="C4509" s="2" t="s">
        <v>18</v>
      </c>
      <c r="D4509" s="2">
        <v>7.5</v>
      </c>
      <c r="E4509" s="2">
        <v>2000.0</v>
      </c>
      <c r="F4509" s="2" t="s">
        <v>10</v>
      </c>
      <c r="G4509" s="2" t="s">
        <v>10</v>
      </c>
    </row>
    <row r="4510" ht="14.25" customHeight="1">
      <c r="A4510" s="1" t="s">
        <v>3866</v>
      </c>
      <c r="B4510" s="1" t="s">
        <v>20</v>
      </c>
      <c r="C4510" s="2" t="s">
        <v>32</v>
      </c>
      <c r="D4510" s="2">
        <v>7.5</v>
      </c>
      <c r="E4510" s="2">
        <v>1971.0</v>
      </c>
      <c r="F4510" s="2" t="s">
        <v>10</v>
      </c>
      <c r="G4510" s="2" t="s">
        <v>10</v>
      </c>
    </row>
    <row r="4511" ht="14.25" customHeight="1">
      <c r="A4511" s="1" t="s">
        <v>3867</v>
      </c>
      <c r="B4511" s="1" t="s">
        <v>20</v>
      </c>
      <c r="C4511" s="2" t="s">
        <v>187</v>
      </c>
      <c r="D4511" s="2">
        <v>7.5</v>
      </c>
      <c r="E4511" s="2">
        <v>1992.0</v>
      </c>
      <c r="F4511" s="2" t="s">
        <v>10</v>
      </c>
      <c r="G4511" s="2" t="s">
        <v>10</v>
      </c>
    </row>
    <row r="4512" ht="14.25" customHeight="1">
      <c r="A4512" s="1" t="s">
        <v>3868</v>
      </c>
      <c r="B4512" s="1" t="s">
        <v>8</v>
      </c>
      <c r="C4512" s="2" t="s">
        <v>497</v>
      </c>
      <c r="D4512" s="2">
        <v>7.5</v>
      </c>
      <c r="E4512" s="2">
        <v>2018.0</v>
      </c>
      <c r="F4512" s="2" t="s">
        <v>10</v>
      </c>
      <c r="G4512" s="2" t="s">
        <v>10</v>
      </c>
    </row>
    <row r="4513" ht="14.25" customHeight="1">
      <c r="A4513" s="1" t="s">
        <v>3869</v>
      </c>
      <c r="B4513" s="1" t="s">
        <v>8</v>
      </c>
      <c r="C4513" s="2" t="s">
        <v>1734</v>
      </c>
      <c r="D4513" s="2">
        <v>7.5</v>
      </c>
      <c r="E4513" s="2">
        <v>2021.0</v>
      </c>
      <c r="F4513" s="2">
        <v>2021.0</v>
      </c>
      <c r="G4513" s="2" t="s">
        <v>10</v>
      </c>
    </row>
    <row r="4514" ht="14.25" customHeight="1">
      <c r="A4514" s="1" t="s">
        <v>3870</v>
      </c>
      <c r="B4514" s="1" t="s">
        <v>20</v>
      </c>
      <c r="C4514" s="2" t="s">
        <v>530</v>
      </c>
      <c r="D4514" s="2">
        <v>7.5</v>
      </c>
      <c r="E4514" s="2">
        <v>1989.0</v>
      </c>
      <c r="F4514" s="2" t="s">
        <v>10</v>
      </c>
      <c r="G4514" s="2" t="s">
        <v>10</v>
      </c>
    </row>
    <row r="4515" ht="14.25" customHeight="1">
      <c r="A4515" s="1" t="s">
        <v>3871</v>
      </c>
      <c r="B4515" s="1" t="s">
        <v>20</v>
      </c>
      <c r="C4515" s="2" t="s">
        <v>2157</v>
      </c>
      <c r="D4515" s="2">
        <v>7.5</v>
      </c>
      <c r="E4515" s="2">
        <v>1966.0</v>
      </c>
      <c r="F4515" s="2" t="s">
        <v>10</v>
      </c>
      <c r="G4515" s="2" t="s">
        <v>10</v>
      </c>
    </row>
    <row r="4516" ht="14.25" customHeight="1">
      <c r="A4516" s="1" t="s">
        <v>3872</v>
      </c>
      <c r="B4516" s="1" t="s">
        <v>20</v>
      </c>
      <c r="C4516" s="2" t="s">
        <v>169</v>
      </c>
      <c r="D4516" s="2">
        <v>7.5</v>
      </c>
      <c r="E4516" s="2">
        <v>1981.0</v>
      </c>
      <c r="F4516" s="2" t="s">
        <v>10</v>
      </c>
      <c r="G4516" s="2" t="s">
        <v>10</v>
      </c>
    </row>
    <row r="4517" ht="14.25" customHeight="1">
      <c r="A4517" s="1" t="s">
        <v>3873</v>
      </c>
      <c r="B4517" s="1" t="s">
        <v>8</v>
      </c>
      <c r="C4517" s="2" t="s">
        <v>1060</v>
      </c>
      <c r="D4517" s="2">
        <v>7.5</v>
      </c>
      <c r="E4517" s="2">
        <v>1999.0</v>
      </c>
      <c r="F4517" s="2" t="s">
        <v>10</v>
      </c>
      <c r="G4517" s="2" t="s">
        <v>10</v>
      </c>
    </row>
    <row r="4518" ht="14.25" customHeight="1">
      <c r="A4518" s="1" t="s">
        <v>3874</v>
      </c>
      <c r="B4518" s="1" t="s">
        <v>20</v>
      </c>
      <c r="C4518" s="2" t="s">
        <v>18</v>
      </c>
      <c r="D4518" s="2">
        <v>7.5</v>
      </c>
      <c r="E4518" s="2">
        <v>2021.0</v>
      </c>
      <c r="F4518" s="2" t="s">
        <v>10</v>
      </c>
      <c r="G4518" s="2" t="s">
        <v>10</v>
      </c>
    </row>
    <row r="4519" ht="14.25" customHeight="1">
      <c r="A4519" s="1" t="s">
        <v>3875</v>
      </c>
      <c r="B4519" s="1" t="s">
        <v>8</v>
      </c>
      <c r="C4519" s="2" t="s">
        <v>1271</v>
      </c>
      <c r="D4519" s="2">
        <v>7.5</v>
      </c>
      <c r="E4519" s="2">
        <v>2021.0</v>
      </c>
      <c r="F4519" s="2" t="s">
        <v>10</v>
      </c>
      <c r="G4519" s="2" t="s">
        <v>10</v>
      </c>
    </row>
    <row r="4520" ht="14.25" customHeight="1">
      <c r="A4520" s="1" t="s">
        <v>3876</v>
      </c>
      <c r="B4520" s="1" t="s">
        <v>20</v>
      </c>
      <c r="C4520" s="2" t="s">
        <v>1749</v>
      </c>
      <c r="D4520" s="2">
        <v>7.5</v>
      </c>
      <c r="E4520" s="2">
        <v>1966.0</v>
      </c>
      <c r="F4520" s="2" t="s">
        <v>10</v>
      </c>
      <c r="G4520" s="2" t="s">
        <v>10</v>
      </c>
    </row>
    <row r="4521" ht="14.25" customHeight="1">
      <c r="A4521" s="1" t="s">
        <v>3877</v>
      </c>
      <c r="B4521" s="1" t="s">
        <v>20</v>
      </c>
      <c r="C4521" s="2" t="s">
        <v>686</v>
      </c>
      <c r="D4521" s="2">
        <v>7.5</v>
      </c>
      <c r="E4521" s="2">
        <v>2017.0</v>
      </c>
      <c r="F4521" s="2">
        <v>2017.0</v>
      </c>
      <c r="G4521" s="2" t="s">
        <v>10</v>
      </c>
    </row>
    <row r="4522" ht="14.25" customHeight="1">
      <c r="A4522" s="1" t="s">
        <v>3878</v>
      </c>
      <c r="B4522" s="1" t="s">
        <v>20</v>
      </c>
      <c r="C4522" s="2" t="s">
        <v>530</v>
      </c>
      <c r="D4522" s="2">
        <v>7.5</v>
      </c>
      <c r="E4522" s="2">
        <v>2003.0</v>
      </c>
      <c r="F4522" s="2" t="s">
        <v>10</v>
      </c>
      <c r="G4522" s="2" t="s">
        <v>10</v>
      </c>
    </row>
    <row r="4523" ht="14.25" customHeight="1">
      <c r="A4523" s="1" t="s">
        <v>3879</v>
      </c>
      <c r="B4523" s="1" t="s">
        <v>8</v>
      </c>
      <c r="C4523" s="2" t="s">
        <v>25</v>
      </c>
      <c r="D4523" s="2">
        <v>7.5</v>
      </c>
      <c r="E4523" s="2">
        <v>2005.0</v>
      </c>
      <c r="F4523" s="2">
        <v>2016.0</v>
      </c>
      <c r="G4523" s="2" t="s">
        <v>10</v>
      </c>
    </row>
    <row r="4524" ht="14.25" customHeight="1">
      <c r="A4524" s="1" t="s">
        <v>3880</v>
      </c>
      <c r="B4524" s="1" t="s">
        <v>20</v>
      </c>
      <c r="C4524" s="2" t="s">
        <v>63</v>
      </c>
      <c r="D4524" s="2">
        <v>7.5</v>
      </c>
      <c r="E4524" s="2">
        <v>2010.0</v>
      </c>
      <c r="F4524" s="2" t="s">
        <v>10</v>
      </c>
      <c r="G4524" s="2" t="s">
        <v>10</v>
      </c>
    </row>
    <row r="4525" ht="14.25" customHeight="1">
      <c r="A4525" s="1" t="s">
        <v>3881</v>
      </c>
      <c r="B4525" s="1" t="s">
        <v>20</v>
      </c>
      <c r="C4525" s="2" t="s">
        <v>69</v>
      </c>
      <c r="D4525" s="2">
        <v>7.5</v>
      </c>
      <c r="E4525" s="2">
        <v>2013.0</v>
      </c>
      <c r="F4525" s="2" t="s">
        <v>10</v>
      </c>
      <c r="G4525" s="2" t="s">
        <v>10</v>
      </c>
    </row>
    <row r="4526" ht="14.25" customHeight="1">
      <c r="A4526" s="1" t="s">
        <v>3882</v>
      </c>
      <c r="B4526" s="1" t="s">
        <v>8</v>
      </c>
      <c r="C4526" s="2" t="s">
        <v>2237</v>
      </c>
      <c r="D4526" s="2">
        <v>7.5</v>
      </c>
      <c r="E4526" s="2">
        <v>1980.0</v>
      </c>
      <c r="F4526" s="2" t="s">
        <v>10</v>
      </c>
      <c r="G4526" s="2" t="s">
        <v>10</v>
      </c>
    </row>
    <row r="4527" ht="14.25" customHeight="1">
      <c r="A4527" s="1" t="s">
        <v>3883</v>
      </c>
      <c r="B4527" s="1" t="s">
        <v>20</v>
      </c>
      <c r="C4527" s="2" t="s">
        <v>80</v>
      </c>
      <c r="D4527" s="2">
        <v>7.5</v>
      </c>
      <c r="E4527" s="2">
        <v>2023.0</v>
      </c>
      <c r="F4527" s="2" t="s">
        <v>10</v>
      </c>
      <c r="G4527" s="2" t="s">
        <v>10</v>
      </c>
    </row>
    <row r="4528" ht="14.25" customHeight="1">
      <c r="A4528" s="1" t="s">
        <v>3884</v>
      </c>
      <c r="B4528" s="1" t="s">
        <v>8</v>
      </c>
      <c r="C4528" s="2" t="s">
        <v>621</v>
      </c>
      <c r="D4528" s="2">
        <v>7.5</v>
      </c>
      <c r="E4528" s="2">
        <v>2023.0</v>
      </c>
      <c r="F4528" s="2" t="s">
        <v>10</v>
      </c>
      <c r="G4528" s="2" t="s">
        <v>10</v>
      </c>
    </row>
    <row r="4529" ht="14.25" customHeight="1">
      <c r="A4529" s="1" t="s">
        <v>3885</v>
      </c>
      <c r="B4529" s="1" t="s">
        <v>20</v>
      </c>
      <c r="C4529" s="2" t="s">
        <v>63</v>
      </c>
      <c r="D4529" s="2">
        <v>7.5</v>
      </c>
      <c r="E4529" s="2">
        <v>1973.0</v>
      </c>
      <c r="F4529" s="2" t="s">
        <v>10</v>
      </c>
      <c r="G4529" s="2" t="s">
        <v>10</v>
      </c>
    </row>
    <row r="4530" ht="14.25" customHeight="1">
      <c r="A4530" s="1" t="s">
        <v>3886</v>
      </c>
      <c r="B4530" s="1" t="s">
        <v>20</v>
      </c>
      <c r="C4530" s="2" t="s">
        <v>258</v>
      </c>
      <c r="D4530" s="2">
        <v>7.5</v>
      </c>
      <c r="E4530" s="2">
        <v>2007.0</v>
      </c>
      <c r="F4530" s="2" t="s">
        <v>10</v>
      </c>
      <c r="G4530" s="2" t="s">
        <v>10</v>
      </c>
    </row>
    <row r="4531" ht="14.25" customHeight="1">
      <c r="A4531" s="1" t="s">
        <v>3887</v>
      </c>
      <c r="B4531" s="1" t="s">
        <v>20</v>
      </c>
      <c r="C4531" s="2" t="s">
        <v>67</v>
      </c>
      <c r="D4531" s="2">
        <v>7.5</v>
      </c>
      <c r="E4531" s="2">
        <v>1944.0</v>
      </c>
      <c r="F4531" s="2" t="s">
        <v>10</v>
      </c>
      <c r="G4531" s="2" t="s">
        <v>10</v>
      </c>
    </row>
    <row r="4532" ht="14.25" customHeight="1">
      <c r="A4532" s="1" t="s">
        <v>3888</v>
      </c>
      <c r="B4532" s="1" t="s">
        <v>20</v>
      </c>
      <c r="C4532" s="2" t="s">
        <v>468</v>
      </c>
      <c r="D4532" s="2">
        <v>7.5</v>
      </c>
      <c r="E4532" s="2">
        <v>2015.0</v>
      </c>
      <c r="F4532" s="2">
        <v>2015.0</v>
      </c>
      <c r="G4532" s="2" t="s">
        <v>10</v>
      </c>
    </row>
    <row r="4533" ht="14.25" customHeight="1">
      <c r="A4533" s="1" t="s">
        <v>3889</v>
      </c>
      <c r="B4533" s="1" t="s">
        <v>8</v>
      </c>
      <c r="C4533" s="2" t="s">
        <v>3890</v>
      </c>
      <c r="D4533" s="2">
        <v>7.5</v>
      </c>
      <c r="E4533" s="2">
        <v>2000.0</v>
      </c>
      <c r="F4533" s="2">
        <v>2014.0</v>
      </c>
      <c r="G4533" s="2" t="s">
        <v>10</v>
      </c>
    </row>
    <row r="4534" ht="14.25" customHeight="1">
      <c r="A4534" s="1" t="s">
        <v>3891</v>
      </c>
      <c r="B4534" s="1" t="s">
        <v>8</v>
      </c>
      <c r="C4534" s="2" t="s">
        <v>785</v>
      </c>
      <c r="D4534" s="2">
        <v>7.5</v>
      </c>
      <c r="E4534" s="2">
        <v>1974.0</v>
      </c>
      <c r="F4534" s="2" t="s">
        <v>10</v>
      </c>
      <c r="G4534" s="2" t="s">
        <v>10</v>
      </c>
    </row>
    <row r="4535" ht="14.25" customHeight="1">
      <c r="A4535" s="1" t="s">
        <v>3892</v>
      </c>
      <c r="B4535" s="1" t="s">
        <v>8</v>
      </c>
      <c r="C4535" s="2" t="s">
        <v>92</v>
      </c>
      <c r="D4535" s="2">
        <v>7.5</v>
      </c>
      <c r="E4535" s="2">
        <v>2013.0</v>
      </c>
      <c r="F4535" s="2" t="s">
        <v>10</v>
      </c>
      <c r="G4535" s="2" t="s">
        <v>10</v>
      </c>
    </row>
    <row r="4536" ht="14.25" customHeight="1">
      <c r="A4536" s="1" t="s">
        <v>3893</v>
      </c>
      <c r="B4536" s="1" t="s">
        <v>20</v>
      </c>
      <c r="C4536" s="2" t="s">
        <v>12</v>
      </c>
      <c r="D4536" s="2">
        <v>7.5</v>
      </c>
      <c r="E4536" s="2">
        <v>1989.0</v>
      </c>
      <c r="F4536" s="2" t="s">
        <v>10</v>
      </c>
      <c r="G4536" s="2" t="s">
        <v>10</v>
      </c>
    </row>
    <row r="4537" ht="14.25" customHeight="1">
      <c r="A4537" s="1" t="s">
        <v>3894</v>
      </c>
      <c r="B4537" s="1" t="s">
        <v>20</v>
      </c>
      <c r="C4537" s="2" t="s">
        <v>3895</v>
      </c>
      <c r="D4537" s="2">
        <v>7.5</v>
      </c>
      <c r="E4537" s="2">
        <v>1997.0</v>
      </c>
      <c r="F4537" s="2" t="s">
        <v>10</v>
      </c>
      <c r="G4537" s="2" t="s">
        <v>10</v>
      </c>
    </row>
    <row r="4538" ht="14.25" customHeight="1">
      <c r="A4538" s="1" t="s">
        <v>2516</v>
      </c>
      <c r="B4538" s="1" t="s">
        <v>8</v>
      </c>
      <c r="C4538" s="2" t="s">
        <v>92</v>
      </c>
      <c r="D4538" s="2">
        <v>7.5</v>
      </c>
      <c r="E4538" s="2">
        <v>2011.0</v>
      </c>
      <c r="F4538" s="2" t="s">
        <v>10</v>
      </c>
      <c r="G4538" s="2" t="s">
        <v>10</v>
      </c>
    </row>
    <row r="4539" ht="14.25" customHeight="1">
      <c r="A4539" s="1" t="s">
        <v>3624</v>
      </c>
      <c r="B4539" s="1" t="s">
        <v>8</v>
      </c>
      <c r="C4539" s="2" t="s">
        <v>3896</v>
      </c>
      <c r="D4539" s="2">
        <v>7.5</v>
      </c>
      <c r="E4539" s="2">
        <v>1966.0</v>
      </c>
      <c r="F4539" s="2" t="s">
        <v>10</v>
      </c>
      <c r="G4539" s="2" t="s">
        <v>10</v>
      </c>
    </row>
    <row r="4540" ht="14.25" customHeight="1">
      <c r="A4540" s="1" t="s">
        <v>3897</v>
      </c>
      <c r="B4540" s="1" t="s">
        <v>20</v>
      </c>
      <c r="C4540" s="2" t="s">
        <v>69</v>
      </c>
      <c r="D4540" s="2">
        <v>7.5</v>
      </c>
      <c r="E4540" s="2">
        <v>2013.0</v>
      </c>
      <c r="F4540" s="2" t="s">
        <v>10</v>
      </c>
      <c r="G4540" s="2" t="s">
        <v>10</v>
      </c>
    </row>
    <row r="4541" ht="14.25" customHeight="1">
      <c r="A4541" s="1" t="s">
        <v>3898</v>
      </c>
      <c r="B4541" s="1" t="s">
        <v>20</v>
      </c>
      <c r="C4541" s="2" t="s">
        <v>299</v>
      </c>
      <c r="D4541" s="2">
        <v>7.5</v>
      </c>
      <c r="E4541" s="2">
        <v>1975.0</v>
      </c>
      <c r="F4541" s="2" t="s">
        <v>10</v>
      </c>
      <c r="G4541" s="2" t="s">
        <v>10</v>
      </c>
    </row>
    <row r="4542" ht="14.25" customHeight="1">
      <c r="A4542" s="1" t="s">
        <v>3899</v>
      </c>
      <c r="B4542" s="1" t="s">
        <v>8</v>
      </c>
      <c r="C4542" s="2" t="s">
        <v>253</v>
      </c>
      <c r="D4542" s="2">
        <v>7.5</v>
      </c>
      <c r="E4542" s="2">
        <v>2024.0</v>
      </c>
      <c r="F4542" s="2" t="s">
        <v>10</v>
      </c>
      <c r="G4542" s="2" t="s">
        <v>10</v>
      </c>
    </row>
    <row r="4543" ht="14.25" customHeight="1">
      <c r="A4543" s="1" t="s">
        <v>3900</v>
      </c>
      <c r="B4543" s="1" t="s">
        <v>20</v>
      </c>
      <c r="C4543" s="2" t="s">
        <v>118</v>
      </c>
      <c r="D4543" s="2">
        <v>7.5</v>
      </c>
      <c r="E4543" s="2">
        <v>2017.0</v>
      </c>
      <c r="F4543" s="2" t="s">
        <v>10</v>
      </c>
      <c r="G4543" s="2" t="s">
        <v>10</v>
      </c>
    </row>
    <row r="4544" ht="14.25" customHeight="1">
      <c r="A4544" s="1" t="s">
        <v>3901</v>
      </c>
      <c r="B4544" s="1" t="s">
        <v>20</v>
      </c>
      <c r="C4544" s="2" t="s">
        <v>1784</v>
      </c>
      <c r="D4544" s="2">
        <v>7.5</v>
      </c>
      <c r="E4544" s="2">
        <v>1990.0</v>
      </c>
      <c r="F4544" s="2" t="s">
        <v>10</v>
      </c>
      <c r="G4544" s="2" t="s">
        <v>10</v>
      </c>
    </row>
    <row r="4545" ht="14.25" customHeight="1">
      <c r="A4545" s="1" t="s">
        <v>3902</v>
      </c>
      <c r="B4545" s="1" t="s">
        <v>8</v>
      </c>
      <c r="C4545" s="2" t="s">
        <v>18</v>
      </c>
      <c r="D4545" s="2">
        <v>7.5</v>
      </c>
      <c r="E4545" s="2">
        <v>2006.0</v>
      </c>
      <c r="F4545" s="2" t="s">
        <v>10</v>
      </c>
      <c r="G4545" s="2" t="s">
        <v>10</v>
      </c>
    </row>
    <row r="4546" ht="14.25" customHeight="1">
      <c r="A4546" s="1" t="s">
        <v>3903</v>
      </c>
      <c r="B4546" s="1" t="s">
        <v>20</v>
      </c>
      <c r="C4546" s="2" t="s">
        <v>130</v>
      </c>
      <c r="D4546" s="2">
        <v>7.5</v>
      </c>
      <c r="E4546" s="2">
        <v>2015.0</v>
      </c>
      <c r="F4546" s="2" t="s">
        <v>10</v>
      </c>
      <c r="G4546" s="2" t="s">
        <v>10</v>
      </c>
    </row>
    <row r="4547" ht="14.25" customHeight="1">
      <c r="A4547" s="1" t="s">
        <v>3904</v>
      </c>
      <c r="B4547" s="1" t="s">
        <v>20</v>
      </c>
      <c r="C4547" s="2" t="s">
        <v>476</v>
      </c>
      <c r="D4547" s="2">
        <v>7.5</v>
      </c>
      <c r="E4547" s="2">
        <v>2022.0</v>
      </c>
      <c r="F4547" s="2" t="s">
        <v>10</v>
      </c>
      <c r="G4547" s="2" t="s">
        <v>10</v>
      </c>
    </row>
    <row r="4548" ht="14.25" customHeight="1">
      <c r="A4548" s="1" t="s">
        <v>3905</v>
      </c>
      <c r="B4548" s="1" t="s">
        <v>20</v>
      </c>
      <c r="C4548" s="2" t="s">
        <v>34</v>
      </c>
      <c r="D4548" s="2">
        <v>7.5</v>
      </c>
      <c r="E4548" s="2">
        <v>2009.0</v>
      </c>
      <c r="F4548" s="2" t="s">
        <v>10</v>
      </c>
      <c r="G4548" s="2" t="s">
        <v>10</v>
      </c>
    </row>
    <row r="4549" ht="14.25" customHeight="1">
      <c r="A4549" s="1" t="s">
        <v>3906</v>
      </c>
      <c r="B4549" s="1" t="s">
        <v>8</v>
      </c>
      <c r="C4549" s="2" t="s">
        <v>9</v>
      </c>
      <c r="D4549" s="2">
        <v>7.5</v>
      </c>
      <c r="E4549" s="2">
        <v>2018.0</v>
      </c>
      <c r="F4549" s="2" t="s">
        <v>10</v>
      </c>
      <c r="G4549" s="2" t="s">
        <v>10</v>
      </c>
    </row>
    <row r="4550" ht="14.25" customHeight="1">
      <c r="A4550" s="1" t="s">
        <v>3907</v>
      </c>
      <c r="B4550" s="1" t="s">
        <v>20</v>
      </c>
      <c r="C4550" s="2" t="s">
        <v>339</v>
      </c>
      <c r="D4550" s="2">
        <v>7.5</v>
      </c>
      <c r="E4550" s="2">
        <v>1994.0</v>
      </c>
      <c r="F4550" s="2" t="s">
        <v>10</v>
      </c>
      <c r="G4550" s="2" t="s">
        <v>10</v>
      </c>
    </row>
    <row r="4551" ht="14.25" customHeight="1">
      <c r="A4551" s="1" t="s">
        <v>3908</v>
      </c>
      <c r="B4551" s="1" t="s">
        <v>8</v>
      </c>
      <c r="C4551" s="2" t="s">
        <v>55</v>
      </c>
      <c r="D4551" s="2">
        <v>7.5</v>
      </c>
      <c r="E4551" s="2">
        <v>1991.0</v>
      </c>
      <c r="F4551" s="2" t="s">
        <v>10</v>
      </c>
      <c r="G4551" s="2" t="s">
        <v>10</v>
      </c>
    </row>
    <row r="4552" ht="14.25" customHeight="1">
      <c r="A4552" s="1" t="s">
        <v>3909</v>
      </c>
      <c r="B4552" s="1" t="s">
        <v>8</v>
      </c>
      <c r="C4552" s="2" t="s">
        <v>63</v>
      </c>
      <c r="D4552" s="2">
        <v>7.5</v>
      </c>
      <c r="E4552" s="2">
        <v>2019.0</v>
      </c>
      <c r="F4552" s="2">
        <v>2020.0</v>
      </c>
      <c r="G4552" s="2" t="s">
        <v>10</v>
      </c>
    </row>
    <row r="4553" ht="14.25" customHeight="1">
      <c r="A4553" s="1" t="s">
        <v>3910</v>
      </c>
      <c r="B4553" s="1" t="s">
        <v>20</v>
      </c>
      <c r="C4553" s="2" t="s">
        <v>217</v>
      </c>
      <c r="D4553" s="2">
        <v>7.5</v>
      </c>
      <c r="E4553" s="2">
        <v>2000.0</v>
      </c>
      <c r="F4553" s="2" t="s">
        <v>10</v>
      </c>
      <c r="G4553" s="2" t="s">
        <v>10</v>
      </c>
    </row>
    <row r="4554" ht="14.25" customHeight="1">
      <c r="A4554" s="1" t="s">
        <v>3911</v>
      </c>
      <c r="B4554" s="1" t="s">
        <v>8</v>
      </c>
      <c r="C4554" s="2" t="s">
        <v>25</v>
      </c>
      <c r="D4554" s="2">
        <v>7.5</v>
      </c>
      <c r="E4554" s="2">
        <v>2020.0</v>
      </c>
      <c r="F4554" s="2">
        <v>2020.0</v>
      </c>
      <c r="G4554" s="2" t="s">
        <v>10</v>
      </c>
    </row>
    <row r="4555" ht="14.25" customHeight="1">
      <c r="A4555" s="1" t="s">
        <v>3912</v>
      </c>
      <c r="B4555" s="1" t="s">
        <v>20</v>
      </c>
      <c r="C4555" s="2" t="s">
        <v>1058</v>
      </c>
      <c r="D4555" s="2">
        <v>7.5</v>
      </c>
      <c r="E4555" s="2">
        <v>2012.0</v>
      </c>
      <c r="F4555" s="2" t="s">
        <v>10</v>
      </c>
      <c r="G4555" s="2" t="s">
        <v>10</v>
      </c>
    </row>
    <row r="4556" ht="14.25" customHeight="1">
      <c r="A4556" s="1" t="s">
        <v>3913</v>
      </c>
      <c r="B4556" s="1" t="s">
        <v>20</v>
      </c>
      <c r="C4556" s="2" t="s">
        <v>1271</v>
      </c>
      <c r="D4556" s="2">
        <v>7.5</v>
      </c>
      <c r="E4556" s="2">
        <v>1989.0</v>
      </c>
      <c r="F4556" s="2" t="s">
        <v>10</v>
      </c>
      <c r="G4556" s="2" t="s">
        <v>10</v>
      </c>
    </row>
    <row r="4557" ht="14.25" customHeight="1">
      <c r="A4557" s="1" t="s">
        <v>3914</v>
      </c>
      <c r="B4557" s="1" t="s">
        <v>8</v>
      </c>
      <c r="C4557" s="2" t="s">
        <v>187</v>
      </c>
      <c r="D4557" s="2">
        <v>7.5</v>
      </c>
      <c r="E4557" s="2">
        <v>2020.0</v>
      </c>
      <c r="F4557" s="2">
        <v>2020.0</v>
      </c>
      <c r="G4557" s="2" t="s">
        <v>10</v>
      </c>
    </row>
    <row r="4558" ht="14.25" customHeight="1">
      <c r="A4558" s="1" t="s">
        <v>3915</v>
      </c>
      <c r="B4558" s="1" t="s">
        <v>20</v>
      </c>
      <c r="C4558" s="2" t="s">
        <v>217</v>
      </c>
      <c r="D4558" s="2">
        <v>7.5</v>
      </c>
      <c r="E4558" s="2">
        <v>1993.0</v>
      </c>
      <c r="F4558" s="2" t="s">
        <v>10</v>
      </c>
      <c r="G4558" s="2" t="s">
        <v>10</v>
      </c>
    </row>
    <row r="4559" ht="14.25" customHeight="1">
      <c r="A4559" s="1" t="s">
        <v>3916</v>
      </c>
      <c r="B4559" s="1" t="s">
        <v>20</v>
      </c>
      <c r="C4559" s="2" t="s">
        <v>9</v>
      </c>
      <c r="D4559" s="2">
        <v>7.5</v>
      </c>
      <c r="E4559" s="2">
        <v>1991.0</v>
      </c>
      <c r="F4559" s="2" t="s">
        <v>10</v>
      </c>
      <c r="G4559" s="2" t="s">
        <v>10</v>
      </c>
    </row>
    <row r="4560" ht="14.25" customHeight="1">
      <c r="A4560" s="1" t="s">
        <v>3917</v>
      </c>
      <c r="B4560" s="1" t="s">
        <v>20</v>
      </c>
      <c r="C4560" s="2" t="s">
        <v>18</v>
      </c>
      <c r="D4560" s="2">
        <v>7.5</v>
      </c>
      <c r="E4560" s="2">
        <v>2002.0</v>
      </c>
      <c r="F4560" s="2" t="s">
        <v>10</v>
      </c>
      <c r="G4560" s="2" t="s">
        <v>10</v>
      </c>
    </row>
    <row r="4561" ht="14.25" customHeight="1">
      <c r="A4561" s="1" t="s">
        <v>3918</v>
      </c>
      <c r="B4561" s="1" t="s">
        <v>20</v>
      </c>
      <c r="C4561" s="2" t="s">
        <v>18</v>
      </c>
      <c r="D4561" s="2">
        <v>7.5</v>
      </c>
      <c r="E4561" s="2">
        <v>2006.0</v>
      </c>
      <c r="F4561" s="2" t="s">
        <v>10</v>
      </c>
      <c r="G4561" s="2" t="s">
        <v>10</v>
      </c>
    </row>
    <row r="4562" ht="14.25" customHeight="1">
      <c r="A4562" s="1" t="s">
        <v>3919</v>
      </c>
      <c r="B4562" s="1" t="s">
        <v>20</v>
      </c>
      <c r="C4562" s="2" t="s">
        <v>476</v>
      </c>
      <c r="D4562" s="2">
        <v>7.5</v>
      </c>
      <c r="E4562" s="2">
        <v>1968.0</v>
      </c>
      <c r="F4562" s="2" t="s">
        <v>10</v>
      </c>
      <c r="G4562" s="2" t="s">
        <v>10</v>
      </c>
    </row>
    <row r="4563" ht="14.25" customHeight="1">
      <c r="A4563" s="1" t="s">
        <v>3920</v>
      </c>
      <c r="B4563" s="1" t="s">
        <v>8</v>
      </c>
      <c r="C4563" s="2" t="s">
        <v>53</v>
      </c>
      <c r="D4563" s="2">
        <v>7.5</v>
      </c>
      <c r="E4563" s="2">
        <v>2012.0</v>
      </c>
      <c r="F4563" s="2" t="s">
        <v>10</v>
      </c>
      <c r="G4563" s="2" t="s">
        <v>10</v>
      </c>
    </row>
    <row r="4564" ht="14.25" customHeight="1">
      <c r="A4564" s="1" t="s">
        <v>3921</v>
      </c>
      <c r="B4564" s="1" t="s">
        <v>20</v>
      </c>
      <c r="C4564" s="2" t="s">
        <v>154</v>
      </c>
      <c r="D4564" s="2">
        <v>7.5</v>
      </c>
      <c r="E4564" s="2">
        <v>2013.0</v>
      </c>
      <c r="F4564" s="2" t="s">
        <v>10</v>
      </c>
      <c r="G4564" s="2" t="s">
        <v>10</v>
      </c>
    </row>
    <row r="4565" ht="14.25" customHeight="1">
      <c r="A4565" s="1" t="s">
        <v>3922</v>
      </c>
      <c r="B4565" s="1" t="s">
        <v>8</v>
      </c>
      <c r="C4565" s="2" t="s">
        <v>25</v>
      </c>
      <c r="D4565" s="2">
        <v>7.5</v>
      </c>
      <c r="E4565" s="2">
        <v>2008.0</v>
      </c>
      <c r="F4565" s="2" t="s">
        <v>10</v>
      </c>
      <c r="G4565" s="2" t="s">
        <v>10</v>
      </c>
    </row>
    <row r="4566" ht="14.25" customHeight="1">
      <c r="A4566" s="1" t="s">
        <v>3923</v>
      </c>
      <c r="B4566" s="1" t="s">
        <v>20</v>
      </c>
      <c r="C4566" s="2" t="s">
        <v>1100</v>
      </c>
      <c r="D4566" s="2">
        <v>7.5</v>
      </c>
      <c r="E4566" s="2">
        <v>1994.0</v>
      </c>
      <c r="F4566" s="2" t="s">
        <v>10</v>
      </c>
      <c r="G4566" s="2" t="s">
        <v>10</v>
      </c>
    </row>
    <row r="4567" ht="14.25" customHeight="1">
      <c r="A4567" s="1" t="s">
        <v>3924</v>
      </c>
      <c r="B4567" s="1" t="s">
        <v>20</v>
      </c>
      <c r="C4567" s="2" t="s">
        <v>307</v>
      </c>
      <c r="D4567" s="2">
        <v>7.5</v>
      </c>
      <c r="E4567" s="2">
        <v>1965.0</v>
      </c>
      <c r="F4567" s="2" t="s">
        <v>10</v>
      </c>
      <c r="G4567" s="2" t="s">
        <v>10</v>
      </c>
    </row>
    <row r="4568" ht="14.25" customHeight="1">
      <c r="A4568" s="1" t="s">
        <v>3925</v>
      </c>
      <c r="B4568" s="1" t="s">
        <v>20</v>
      </c>
      <c r="C4568" s="2" t="s">
        <v>2413</v>
      </c>
      <c r="D4568" s="2">
        <v>7.5</v>
      </c>
      <c r="E4568" s="2">
        <v>1947.0</v>
      </c>
      <c r="F4568" s="2" t="s">
        <v>10</v>
      </c>
      <c r="G4568" s="2" t="s">
        <v>10</v>
      </c>
    </row>
    <row r="4569" ht="14.25" customHeight="1">
      <c r="A4569" s="1" t="s">
        <v>3926</v>
      </c>
      <c r="B4569" s="1" t="s">
        <v>20</v>
      </c>
      <c r="C4569" s="2" t="s">
        <v>63</v>
      </c>
      <c r="D4569" s="2">
        <v>7.5</v>
      </c>
      <c r="E4569" s="2">
        <v>2009.0</v>
      </c>
      <c r="F4569" s="2" t="s">
        <v>10</v>
      </c>
      <c r="G4569" s="2" t="s">
        <v>10</v>
      </c>
    </row>
    <row r="4570" ht="14.25" customHeight="1">
      <c r="A4570" s="1" t="s">
        <v>3927</v>
      </c>
      <c r="B4570" s="1" t="s">
        <v>20</v>
      </c>
      <c r="C4570" s="2" t="s">
        <v>2001</v>
      </c>
      <c r="D4570" s="2">
        <v>7.5</v>
      </c>
      <c r="E4570" s="2">
        <v>1955.0</v>
      </c>
      <c r="F4570" s="2" t="s">
        <v>10</v>
      </c>
      <c r="G4570" s="2" t="s">
        <v>10</v>
      </c>
    </row>
    <row r="4571" ht="14.25" customHeight="1">
      <c r="A4571" s="1" t="s">
        <v>3928</v>
      </c>
      <c r="B4571" s="1" t="s">
        <v>8</v>
      </c>
      <c r="C4571" s="2" t="s">
        <v>2342</v>
      </c>
      <c r="D4571" s="2">
        <v>7.5</v>
      </c>
      <c r="E4571" s="2">
        <v>1991.0</v>
      </c>
      <c r="F4571" s="2" t="s">
        <v>10</v>
      </c>
      <c r="G4571" s="2" t="s">
        <v>10</v>
      </c>
    </row>
    <row r="4572" ht="14.25" customHeight="1">
      <c r="A4572" s="1" t="s">
        <v>3929</v>
      </c>
      <c r="B4572" s="1" t="s">
        <v>20</v>
      </c>
      <c r="C4572" s="2" t="s">
        <v>1533</v>
      </c>
      <c r="D4572" s="2">
        <v>7.5</v>
      </c>
      <c r="E4572" s="2">
        <v>1995.0</v>
      </c>
      <c r="F4572" s="2" t="s">
        <v>10</v>
      </c>
      <c r="G4572" s="2" t="s">
        <v>10</v>
      </c>
    </row>
    <row r="4573" ht="14.25" customHeight="1">
      <c r="A4573" s="1" t="s">
        <v>3930</v>
      </c>
      <c r="B4573" s="1" t="s">
        <v>20</v>
      </c>
      <c r="C4573" s="2" t="s">
        <v>69</v>
      </c>
      <c r="D4573" s="2">
        <v>7.5</v>
      </c>
      <c r="E4573" s="2">
        <v>2007.0</v>
      </c>
      <c r="F4573" s="2" t="s">
        <v>10</v>
      </c>
      <c r="G4573" s="2" t="s">
        <v>10</v>
      </c>
    </row>
    <row r="4574" ht="14.25" customHeight="1">
      <c r="A4574" s="1" t="s">
        <v>3931</v>
      </c>
      <c r="B4574" s="1" t="s">
        <v>20</v>
      </c>
      <c r="C4574" s="2" t="s">
        <v>18</v>
      </c>
      <c r="D4574" s="2">
        <v>7.5</v>
      </c>
      <c r="E4574" s="2">
        <v>2006.0</v>
      </c>
      <c r="F4574" s="2" t="s">
        <v>10</v>
      </c>
      <c r="G4574" s="2" t="s">
        <v>10</v>
      </c>
    </row>
    <row r="4575" ht="14.25" customHeight="1">
      <c r="A4575" s="1" t="s">
        <v>3932</v>
      </c>
      <c r="B4575" s="1" t="s">
        <v>20</v>
      </c>
      <c r="C4575" s="2" t="s">
        <v>530</v>
      </c>
      <c r="D4575" s="2">
        <v>7.5</v>
      </c>
      <c r="E4575" s="2">
        <v>2013.0</v>
      </c>
      <c r="F4575" s="2" t="s">
        <v>10</v>
      </c>
      <c r="G4575" s="2" t="s">
        <v>10</v>
      </c>
    </row>
    <row r="4576" ht="14.25" customHeight="1">
      <c r="A4576" s="1" t="s">
        <v>3933</v>
      </c>
      <c r="B4576" s="1" t="s">
        <v>8</v>
      </c>
      <c r="C4576" s="2" t="s">
        <v>1734</v>
      </c>
      <c r="D4576" s="2">
        <v>7.5</v>
      </c>
      <c r="E4576" s="2">
        <v>2024.0</v>
      </c>
      <c r="F4576" s="2" t="s">
        <v>10</v>
      </c>
      <c r="G4576" s="2" t="s">
        <v>10</v>
      </c>
    </row>
    <row r="4577" ht="14.25" customHeight="1">
      <c r="A4577" s="1" t="s">
        <v>3934</v>
      </c>
      <c r="B4577" s="1" t="s">
        <v>20</v>
      </c>
      <c r="C4577" s="2" t="s">
        <v>63</v>
      </c>
      <c r="D4577" s="2">
        <v>7.5</v>
      </c>
      <c r="E4577" s="2">
        <v>2012.0</v>
      </c>
      <c r="F4577" s="2">
        <v>2012.0</v>
      </c>
      <c r="G4577" s="2" t="s">
        <v>10</v>
      </c>
    </row>
    <row r="4578" ht="14.25" customHeight="1">
      <c r="A4578" s="1" t="s">
        <v>3935</v>
      </c>
      <c r="B4578" s="1" t="s">
        <v>20</v>
      </c>
      <c r="C4578" s="2" t="s">
        <v>686</v>
      </c>
      <c r="D4578" s="2">
        <v>7.5</v>
      </c>
      <c r="E4578" s="2">
        <v>2018.0</v>
      </c>
      <c r="F4578" s="2">
        <v>2018.0</v>
      </c>
      <c r="G4578" s="2" t="s">
        <v>10</v>
      </c>
    </row>
    <row r="4579" ht="14.25" customHeight="1">
      <c r="A4579" s="1" t="s">
        <v>3936</v>
      </c>
      <c r="B4579" s="1" t="s">
        <v>20</v>
      </c>
      <c r="C4579" s="2" t="s">
        <v>1734</v>
      </c>
      <c r="D4579" s="2">
        <v>7.5</v>
      </c>
      <c r="E4579" s="2">
        <v>2016.0</v>
      </c>
      <c r="F4579" s="2" t="s">
        <v>10</v>
      </c>
      <c r="G4579" s="2" t="s">
        <v>10</v>
      </c>
    </row>
    <row r="4580" ht="14.25" customHeight="1">
      <c r="A4580" s="1" t="s">
        <v>3937</v>
      </c>
      <c r="B4580" s="1" t="s">
        <v>20</v>
      </c>
      <c r="C4580" s="2" t="s">
        <v>299</v>
      </c>
      <c r="D4580" s="2">
        <v>7.5</v>
      </c>
      <c r="E4580" s="2">
        <v>2022.0</v>
      </c>
      <c r="F4580" s="2" t="s">
        <v>10</v>
      </c>
      <c r="G4580" s="2" t="s">
        <v>10</v>
      </c>
    </row>
    <row r="4581" ht="14.25" customHeight="1">
      <c r="A4581" s="1" t="s">
        <v>3938</v>
      </c>
      <c r="B4581" s="1" t="s">
        <v>20</v>
      </c>
      <c r="C4581" s="2" t="s">
        <v>187</v>
      </c>
      <c r="D4581" s="2">
        <v>7.5</v>
      </c>
      <c r="E4581" s="2">
        <v>2015.0</v>
      </c>
      <c r="F4581" s="2" t="s">
        <v>10</v>
      </c>
      <c r="G4581" s="2" t="s">
        <v>10</v>
      </c>
    </row>
    <row r="4582" ht="14.25" customHeight="1">
      <c r="A4582" s="1" t="s">
        <v>3939</v>
      </c>
      <c r="B4582" s="1" t="s">
        <v>20</v>
      </c>
      <c r="C4582" s="2" t="s">
        <v>63</v>
      </c>
      <c r="D4582" s="2">
        <v>7.5</v>
      </c>
      <c r="E4582" s="2">
        <v>2011.0</v>
      </c>
      <c r="F4582" s="2" t="s">
        <v>10</v>
      </c>
      <c r="G4582" s="2" t="s">
        <v>10</v>
      </c>
    </row>
    <row r="4583" ht="14.25" customHeight="1">
      <c r="A4583" s="1" t="s">
        <v>3940</v>
      </c>
      <c r="B4583" s="1" t="s">
        <v>8</v>
      </c>
      <c r="C4583" s="2" t="s">
        <v>63</v>
      </c>
      <c r="D4583" s="2">
        <v>7.5</v>
      </c>
      <c r="E4583" s="2">
        <v>2009.0</v>
      </c>
      <c r="F4583" s="2" t="s">
        <v>10</v>
      </c>
      <c r="G4583" s="2" t="s">
        <v>10</v>
      </c>
    </row>
    <row r="4584" ht="14.25" customHeight="1">
      <c r="A4584" s="1" t="s">
        <v>3941</v>
      </c>
      <c r="B4584" s="1" t="s">
        <v>8</v>
      </c>
      <c r="C4584" s="2" t="s">
        <v>468</v>
      </c>
      <c r="D4584" s="2">
        <v>7.5</v>
      </c>
      <c r="E4584" s="2">
        <v>2024.0</v>
      </c>
      <c r="F4584" s="2" t="s">
        <v>10</v>
      </c>
      <c r="G4584" s="2" t="s">
        <v>10</v>
      </c>
    </row>
    <row r="4585" ht="14.25" customHeight="1">
      <c r="A4585" s="1" t="s">
        <v>3942</v>
      </c>
      <c r="B4585" s="1" t="s">
        <v>20</v>
      </c>
      <c r="C4585" s="2" t="s">
        <v>311</v>
      </c>
      <c r="D4585" s="2">
        <v>7.5</v>
      </c>
      <c r="E4585" s="2">
        <v>1980.0</v>
      </c>
      <c r="F4585" s="2" t="s">
        <v>10</v>
      </c>
      <c r="G4585" s="2" t="s">
        <v>10</v>
      </c>
    </row>
    <row r="4586" ht="14.25" customHeight="1">
      <c r="A4586" s="1" t="s">
        <v>3943</v>
      </c>
      <c r="B4586" s="1" t="s">
        <v>8</v>
      </c>
      <c r="C4586" s="2" t="s">
        <v>32</v>
      </c>
      <c r="D4586" s="2">
        <v>7.5</v>
      </c>
      <c r="E4586" s="2">
        <v>2012.0</v>
      </c>
      <c r="F4586" s="2" t="s">
        <v>10</v>
      </c>
      <c r="G4586" s="2" t="s">
        <v>10</v>
      </c>
    </row>
    <row r="4587" ht="14.25" customHeight="1">
      <c r="A4587" s="1" t="s">
        <v>3944</v>
      </c>
      <c r="B4587" s="1" t="s">
        <v>20</v>
      </c>
      <c r="C4587" s="2" t="s">
        <v>63</v>
      </c>
      <c r="D4587" s="2">
        <v>7.5</v>
      </c>
      <c r="E4587" s="2">
        <v>2000.0</v>
      </c>
      <c r="F4587" s="2" t="s">
        <v>10</v>
      </c>
      <c r="G4587" s="2" t="s">
        <v>10</v>
      </c>
    </row>
    <row r="4588" ht="14.25" customHeight="1">
      <c r="A4588" s="1" t="s">
        <v>3945</v>
      </c>
      <c r="B4588" s="1" t="s">
        <v>20</v>
      </c>
      <c r="C4588" s="2" t="s">
        <v>1301</v>
      </c>
      <c r="D4588" s="2">
        <v>7.5</v>
      </c>
      <c r="E4588" s="2">
        <v>1925.0</v>
      </c>
      <c r="F4588" s="2">
        <v>2004.0</v>
      </c>
      <c r="G4588" s="2" t="s">
        <v>10</v>
      </c>
    </row>
    <row r="4589" ht="14.25" customHeight="1">
      <c r="A4589" s="1" t="s">
        <v>3946</v>
      </c>
      <c r="B4589" s="1" t="s">
        <v>20</v>
      </c>
      <c r="C4589" s="2" t="s">
        <v>63</v>
      </c>
      <c r="D4589" s="2">
        <v>7.5</v>
      </c>
      <c r="E4589" s="2">
        <v>1995.0</v>
      </c>
      <c r="F4589" s="2" t="s">
        <v>10</v>
      </c>
      <c r="G4589" s="2" t="s">
        <v>10</v>
      </c>
    </row>
    <row r="4590" ht="14.25" customHeight="1">
      <c r="A4590" s="1" t="s">
        <v>3947</v>
      </c>
      <c r="B4590" s="1" t="s">
        <v>20</v>
      </c>
      <c r="C4590" s="2" t="s">
        <v>282</v>
      </c>
      <c r="D4590" s="2">
        <v>7.5</v>
      </c>
      <c r="E4590" s="2">
        <v>2004.0</v>
      </c>
      <c r="F4590" s="2">
        <v>2014.0</v>
      </c>
      <c r="G4590" s="2" t="s">
        <v>10</v>
      </c>
    </row>
    <row r="4591" ht="14.25" customHeight="1">
      <c r="A4591" s="1" t="s">
        <v>3948</v>
      </c>
      <c r="B4591" s="1" t="s">
        <v>8</v>
      </c>
      <c r="C4591" s="2" t="s">
        <v>25</v>
      </c>
      <c r="D4591" s="2">
        <v>7.5</v>
      </c>
      <c r="E4591" s="2">
        <v>1983.0</v>
      </c>
      <c r="F4591" s="2">
        <v>2021.0</v>
      </c>
      <c r="G4591" s="2" t="s">
        <v>10</v>
      </c>
    </row>
    <row r="4592" ht="14.25" customHeight="1">
      <c r="A4592" s="1" t="s">
        <v>3949</v>
      </c>
      <c r="B4592" s="1" t="s">
        <v>20</v>
      </c>
      <c r="C4592" s="2" t="s">
        <v>154</v>
      </c>
      <c r="D4592" s="2">
        <v>7.5</v>
      </c>
      <c r="E4592" s="2">
        <v>1939.0</v>
      </c>
      <c r="F4592" s="2" t="s">
        <v>10</v>
      </c>
      <c r="G4592" s="2" t="s">
        <v>10</v>
      </c>
    </row>
    <row r="4593" ht="14.25" customHeight="1">
      <c r="A4593" s="1" t="s">
        <v>3132</v>
      </c>
      <c r="B4593" s="1" t="s">
        <v>20</v>
      </c>
      <c r="C4593" s="2" t="s">
        <v>207</v>
      </c>
      <c r="D4593" s="2">
        <v>7.5</v>
      </c>
      <c r="E4593" s="2">
        <v>1954.0</v>
      </c>
      <c r="F4593" s="2" t="s">
        <v>10</v>
      </c>
      <c r="G4593" s="2" t="s">
        <v>10</v>
      </c>
    </row>
    <row r="4594" ht="14.25" customHeight="1">
      <c r="A4594" s="1" t="s">
        <v>3950</v>
      </c>
      <c r="B4594" s="1" t="s">
        <v>20</v>
      </c>
      <c r="C4594" s="2" t="s">
        <v>34</v>
      </c>
      <c r="D4594" s="2">
        <v>7.5</v>
      </c>
      <c r="E4594" s="2">
        <v>1940.0</v>
      </c>
      <c r="F4594" s="2" t="s">
        <v>10</v>
      </c>
      <c r="G4594" s="2" t="s">
        <v>10</v>
      </c>
    </row>
    <row r="4595" ht="14.25" customHeight="1">
      <c r="A4595" s="1" t="s">
        <v>3951</v>
      </c>
      <c r="B4595" s="1" t="s">
        <v>20</v>
      </c>
      <c r="C4595" s="2" t="s">
        <v>253</v>
      </c>
      <c r="D4595" s="2">
        <v>7.5</v>
      </c>
      <c r="E4595" s="2">
        <v>2006.0</v>
      </c>
      <c r="F4595" s="2">
        <v>2006.0</v>
      </c>
      <c r="G4595" s="2" t="s">
        <v>10</v>
      </c>
    </row>
    <row r="4596" ht="14.25" customHeight="1">
      <c r="A4596" s="1" t="s">
        <v>3952</v>
      </c>
      <c r="B4596" s="1" t="s">
        <v>8</v>
      </c>
      <c r="C4596" s="2" t="s">
        <v>845</v>
      </c>
      <c r="D4596" s="2">
        <v>7.5</v>
      </c>
      <c r="E4596" s="2">
        <v>2018.0</v>
      </c>
      <c r="F4596" s="2" t="s">
        <v>10</v>
      </c>
      <c r="G4596" s="2" t="s">
        <v>10</v>
      </c>
    </row>
    <row r="4597" ht="14.25" customHeight="1">
      <c r="A4597" s="1" t="s">
        <v>3953</v>
      </c>
      <c r="B4597" s="1" t="s">
        <v>8</v>
      </c>
      <c r="C4597" s="2" t="s">
        <v>845</v>
      </c>
      <c r="D4597" s="2">
        <v>7.5</v>
      </c>
      <c r="E4597" s="2">
        <v>2024.0</v>
      </c>
      <c r="F4597" s="2" t="s">
        <v>10</v>
      </c>
      <c r="G4597" s="2" t="s">
        <v>10</v>
      </c>
    </row>
    <row r="4598" ht="14.25" customHeight="1">
      <c r="A4598" s="1" t="s">
        <v>3954</v>
      </c>
      <c r="B4598" s="1" t="s">
        <v>8</v>
      </c>
      <c r="C4598" s="2" t="s">
        <v>597</v>
      </c>
      <c r="D4598" s="2">
        <v>7.5</v>
      </c>
      <c r="E4598" s="2">
        <v>2012.0</v>
      </c>
      <c r="F4598" s="2" t="s">
        <v>10</v>
      </c>
      <c r="G4598" s="2" t="s">
        <v>10</v>
      </c>
    </row>
    <row r="4599" ht="14.25" customHeight="1">
      <c r="A4599" s="1" t="s">
        <v>3955</v>
      </c>
      <c r="B4599" s="1" t="s">
        <v>20</v>
      </c>
      <c r="C4599" s="2" t="s">
        <v>845</v>
      </c>
      <c r="D4599" s="2">
        <v>7.5</v>
      </c>
      <c r="E4599" s="2">
        <v>2007.0</v>
      </c>
      <c r="F4599" s="2">
        <v>2007.0</v>
      </c>
      <c r="G4599" s="2" t="s">
        <v>10</v>
      </c>
    </row>
    <row r="4600" ht="14.25" customHeight="1">
      <c r="A4600" s="1" t="s">
        <v>3956</v>
      </c>
      <c r="B4600" s="1" t="s">
        <v>20</v>
      </c>
      <c r="C4600" s="2" t="s">
        <v>299</v>
      </c>
      <c r="D4600" s="2">
        <v>7.5</v>
      </c>
      <c r="E4600" s="2">
        <v>1965.0</v>
      </c>
      <c r="F4600" s="2" t="s">
        <v>10</v>
      </c>
      <c r="G4600" s="2" t="s">
        <v>10</v>
      </c>
    </row>
    <row r="4601" ht="14.25" customHeight="1">
      <c r="A4601" s="1" t="s">
        <v>3957</v>
      </c>
      <c r="B4601" s="1" t="s">
        <v>20</v>
      </c>
      <c r="C4601" s="2" t="s">
        <v>192</v>
      </c>
      <c r="D4601" s="2">
        <v>7.5</v>
      </c>
      <c r="E4601" s="2">
        <v>2012.0</v>
      </c>
      <c r="F4601" s="2" t="s">
        <v>10</v>
      </c>
      <c r="G4601" s="2" t="s">
        <v>10</v>
      </c>
    </row>
    <row r="4602" ht="14.25" customHeight="1">
      <c r="A4602" s="1" t="s">
        <v>3958</v>
      </c>
      <c r="B4602" s="1" t="s">
        <v>20</v>
      </c>
      <c r="C4602" s="2" t="s">
        <v>192</v>
      </c>
      <c r="D4602" s="2">
        <v>7.5</v>
      </c>
      <c r="E4602" s="2">
        <v>2004.0</v>
      </c>
      <c r="F4602" s="2" t="s">
        <v>10</v>
      </c>
      <c r="G4602" s="2" t="s">
        <v>10</v>
      </c>
    </row>
    <row r="4603" ht="14.25" customHeight="1">
      <c r="A4603" s="1" t="s">
        <v>3959</v>
      </c>
      <c r="B4603" s="1" t="s">
        <v>20</v>
      </c>
      <c r="C4603" s="2" t="s">
        <v>34</v>
      </c>
      <c r="D4603" s="2">
        <v>7.5</v>
      </c>
      <c r="E4603" s="2">
        <v>2014.0</v>
      </c>
      <c r="F4603" s="2" t="s">
        <v>10</v>
      </c>
      <c r="G4603" s="2" t="s">
        <v>10</v>
      </c>
    </row>
    <row r="4604" ht="14.25" customHeight="1">
      <c r="A4604" s="1" t="s">
        <v>3960</v>
      </c>
      <c r="B4604" s="1" t="s">
        <v>20</v>
      </c>
      <c r="C4604" s="2" t="s">
        <v>527</v>
      </c>
      <c r="D4604" s="2">
        <v>7.5</v>
      </c>
      <c r="E4604" s="2">
        <v>2020.0</v>
      </c>
      <c r="F4604" s="2" t="s">
        <v>10</v>
      </c>
      <c r="G4604" s="2" t="s">
        <v>10</v>
      </c>
    </row>
    <row r="4605" ht="14.25" customHeight="1">
      <c r="A4605" s="1" t="s">
        <v>3961</v>
      </c>
      <c r="B4605" s="1" t="s">
        <v>20</v>
      </c>
      <c r="C4605" s="2" t="s">
        <v>361</v>
      </c>
      <c r="D4605" s="2">
        <v>7.5</v>
      </c>
      <c r="E4605" s="2">
        <v>2009.0</v>
      </c>
      <c r="F4605" s="2" t="s">
        <v>10</v>
      </c>
      <c r="G4605" s="2" t="s">
        <v>10</v>
      </c>
    </row>
    <row r="4606" ht="14.25" customHeight="1">
      <c r="A4606" s="1" t="s">
        <v>3962</v>
      </c>
      <c r="B4606" s="1" t="s">
        <v>20</v>
      </c>
      <c r="C4606" s="2" t="s">
        <v>361</v>
      </c>
      <c r="D4606" s="2">
        <v>7.5</v>
      </c>
      <c r="E4606" s="2">
        <v>2004.0</v>
      </c>
      <c r="F4606" s="2" t="s">
        <v>10</v>
      </c>
      <c r="G4606" s="2" t="s">
        <v>10</v>
      </c>
    </row>
    <row r="4607" ht="14.25" customHeight="1">
      <c r="A4607" s="1" t="s">
        <v>3963</v>
      </c>
      <c r="B4607" s="1" t="s">
        <v>8</v>
      </c>
      <c r="C4607" s="2" t="s">
        <v>34</v>
      </c>
      <c r="D4607" s="2">
        <v>7.5</v>
      </c>
      <c r="E4607" s="2">
        <v>2020.0</v>
      </c>
      <c r="F4607" s="2" t="s">
        <v>10</v>
      </c>
      <c r="G4607" s="2" t="s">
        <v>10</v>
      </c>
    </row>
    <row r="4608" ht="14.25" customHeight="1">
      <c r="A4608" s="1" t="s">
        <v>3964</v>
      </c>
      <c r="B4608" s="1" t="s">
        <v>20</v>
      </c>
      <c r="C4608" s="2" t="s">
        <v>184</v>
      </c>
      <c r="D4608" s="2">
        <v>7.5</v>
      </c>
      <c r="E4608" s="2">
        <v>2010.0</v>
      </c>
      <c r="F4608" s="2">
        <v>2010.0</v>
      </c>
      <c r="G4608" s="2" t="s">
        <v>10</v>
      </c>
    </row>
    <row r="4609" ht="14.25" customHeight="1">
      <c r="A4609" s="1" t="s">
        <v>3965</v>
      </c>
      <c r="B4609" s="1" t="s">
        <v>20</v>
      </c>
      <c r="C4609" s="2" t="s">
        <v>3552</v>
      </c>
      <c r="D4609" s="2">
        <v>7.5</v>
      </c>
      <c r="E4609" s="2">
        <v>2009.0</v>
      </c>
      <c r="F4609" s="2" t="s">
        <v>10</v>
      </c>
      <c r="G4609" s="2" t="s">
        <v>10</v>
      </c>
    </row>
    <row r="4610" ht="14.25" customHeight="1">
      <c r="A4610" s="1" t="s">
        <v>3966</v>
      </c>
      <c r="B4610" s="1" t="s">
        <v>20</v>
      </c>
      <c r="C4610" s="2" t="s">
        <v>187</v>
      </c>
      <c r="D4610" s="2">
        <v>7.5</v>
      </c>
      <c r="E4610" s="2">
        <v>2017.0</v>
      </c>
      <c r="F4610" s="2" t="s">
        <v>10</v>
      </c>
      <c r="G4610" s="2" t="s">
        <v>10</v>
      </c>
    </row>
    <row r="4611" ht="14.25" customHeight="1">
      <c r="A4611" s="1" t="s">
        <v>3967</v>
      </c>
      <c r="B4611" s="1" t="s">
        <v>20</v>
      </c>
      <c r="C4611" s="2" t="s">
        <v>169</v>
      </c>
      <c r="D4611" s="2">
        <v>7.5</v>
      </c>
      <c r="E4611" s="2">
        <v>1974.0</v>
      </c>
      <c r="F4611" s="2" t="s">
        <v>10</v>
      </c>
      <c r="G4611" s="2" t="s">
        <v>10</v>
      </c>
    </row>
    <row r="4612" ht="14.25" customHeight="1">
      <c r="A4612" s="1" t="s">
        <v>1677</v>
      </c>
      <c r="B4612" s="1" t="s">
        <v>8</v>
      </c>
      <c r="C4612" s="2" t="s">
        <v>9</v>
      </c>
      <c r="D4612" s="2">
        <v>7.5</v>
      </c>
      <c r="E4612" s="2">
        <v>2014.0</v>
      </c>
      <c r="F4612" s="2" t="s">
        <v>10</v>
      </c>
      <c r="G4612" s="2" t="s">
        <v>10</v>
      </c>
    </row>
    <row r="4613" ht="14.25" customHeight="1">
      <c r="A4613" s="1" t="s">
        <v>3968</v>
      </c>
      <c r="B4613" s="1" t="s">
        <v>8</v>
      </c>
      <c r="C4613" s="2" t="s">
        <v>258</v>
      </c>
      <c r="D4613" s="2">
        <v>7.5</v>
      </c>
      <c r="E4613" s="2">
        <v>2015.0</v>
      </c>
      <c r="F4613" s="2" t="s">
        <v>10</v>
      </c>
      <c r="G4613" s="2" t="s">
        <v>10</v>
      </c>
    </row>
    <row r="4614" ht="14.25" customHeight="1">
      <c r="A4614" s="1" t="s">
        <v>3969</v>
      </c>
      <c r="B4614" s="1" t="s">
        <v>20</v>
      </c>
      <c r="C4614" s="2" t="s">
        <v>1375</v>
      </c>
      <c r="D4614" s="2">
        <v>7.5</v>
      </c>
      <c r="E4614" s="2">
        <v>2016.0</v>
      </c>
      <c r="F4614" s="2" t="s">
        <v>10</v>
      </c>
      <c r="G4614" s="2" t="s">
        <v>10</v>
      </c>
    </row>
    <row r="4615" ht="14.25" customHeight="1">
      <c r="A4615" s="1" t="s">
        <v>3970</v>
      </c>
      <c r="B4615" s="1" t="s">
        <v>20</v>
      </c>
      <c r="C4615" s="2" t="s">
        <v>468</v>
      </c>
      <c r="D4615" s="2">
        <v>7.5</v>
      </c>
      <c r="E4615" s="2">
        <v>1959.0</v>
      </c>
      <c r="F4615" s="2" t="s">
        <v>10</v>
      </c>
      <c r="G4615" s="2" t="s">
        <v>10</v>
      </c>
    </row>
    <row r="4616" ht="14.25" customHeight="1">
      <c r="A4616" s="1" t="s">
        <v>3971</v>
      </c>
      <c r="B4616" s="1" t="s">
        <v>8</v>
      </c>
      <c r="C4616" s="2" t="s">
        <v>32</v>
      </c>
      <c r="D4616" s="2">
        <v>7.5</v>
      </c>
      <c r="E4616" s="2">
        <v>1976.0</v>
      </c>
      <c r="F4616" s="2" t="s">
        <v>10</v>
      </c>
      <c r="G4616" s="2" t="s">
        <v>10</v>
      </c>
    </row>
    <row r="4617" ht="14.25" customHeight="1">
      <c r="A4617" s="1" t="s">
        <v>3972</v>
      </c>
      <c r="B4617" s="1" t="s">
        <v>20</v>
      </c>
      <c r="C4617" s="2" t="s">
        <v>112</v>
      </c>
      <c r="D4617" s="2">
        <v>7.5</v>
      </c>
      <c r="E4617" s="2">
        <v>1990.0</v>
      </c>
      <c r="F4617" s="2" t="s">
        <v>10</v>
      </c>
      <c r="G4617" s="2" t="s">
        <v>10</v>
      </c>
    </row>
    <row r="4618" ht="14.25" customHeight="1">
      <c r="A4618" s="1" t="s">
        <v>3973</v>
      </c>
      <c r="B4618" s="1" t="s">
        <v>20</v>
      </c>
      <c r="C4618" s="2" t="s">
        <v>154</v>
      </c>
      <c r="D4618" s="2">
        <v>7.5</v>
      </c>
      <c r="E4618" s="2">
        <v>2002.0</v>
      </c>
      <c r="F4618" s="2" t="s">
        <v>10</v>
      </c>
      <c r="G4618" s="2" t="s">
        <v>10</v>
      </c>
    </row>
    <row r="4619" ht="14.25" customHeight="1">
      <c r="A4619" s="1" t="s">
        <v>3974</v>
      </c>
      <c r="B4619" s="1" t="s">
        <v>20</v>
      </c>
      <c r="C4619" s="2" t="s">
        <v>69</v>
      </c>
      <c r="D4619" s="2">
        <v>7.5</v>
      </c>
      <c r="E4619" s="2">
        <v>1993.0</v>
      </c>
      <c r="F4619" s="2" t="s">
        <v>10</v>
      </c>
      <c r="G4619" s="2" t="s">
        <v>10</v>
      </c>
    </row>
    <row r="4620" ht="14.25" customHeight="1">
      <c r="A4620" s="1" t="s">
        <v>3975</v>
      </c>
      <c r="B4620" s="1" t="s">
        <v>20</v>
      </c>
      <c r="C4620" s="2" t="s">
        <v>114</v>
      </c>
      <c r="D4620" s="2">
        <v>7.5</v>
      </c>
      <c r="E4620" s="2">
        <v>2015.0</v>
      </c>
      <c r="F4620" s="2" t="s">
        <v>10</v>
      </c>
      <c r="G4620" s="2" t="s">
        <v>10</v>
      </c>
    </row>
    <row r="4621" ht="14.25" customHeight="1">
      <c r="A4621" s="1" t="s">
        <v>3976</v>
      </c>
      <c r="B4621" s="1" t="s">
        <v>8</v>
      </c>
      <c r="C4621" s="2" t="s">
        <v>169</v>
      </c>
      <c r="D4621" s="2">
        <v>7.5</v>
      </c>
      <c r="E4621" s="2">
        <v>2021.0</v>
      </c>
      <c r="F4621" s="2">
        <v>2021.0</v>
      </c>
      <c r="G4621" s="2" t="s">
        <v>10</v>
      </c>
    </row>
    <row r="4622" ht="14.25" customHeight="1">
      <c r="A4622" s="1" t="s">
        <v>3977</v>
      </c>
      <c r="B4622" s="1" t="s">
        <v>8</v>
      </c>
      <c r="C4622" s="2" t="s">
        <v>507</v>
      </c>
      <c r="D4622" s="2">
        <v>7.5</v>
      </c>
      <c r="E4622" s="2">
        <v>1996.0</v>
      </c>
      <c r="F4622" s="2" t="s">
        <v>10</v>
      </c>
      <c r="G4622" s="2" t="s">
        <v>10</v>
      </c>
    </row>
    <row r="4623" ht="14.25" customHeight="1">
      <c r="A4623" s="1" t="s">
        <v>3978</v>
      </c>
      <c r="B4623" s="1" t="s">
        <v>8</v>
      </c>
      <c r="C4623" s="2" t="s">
        <v>118</v>
      </c>
      <c r="D4623" s="2">
        <v>7.5</v>
      </c>
      <c r="E4623" s="2">
        <v>2020.0</v>
      </c>
      <c r="F4623" s="2" t="s">
        <v>10</v>
      </c>
      <c r="G4623" s="2" t="s">
        <v>10</v>
      </c>
    </row>
    <row r="4624" ht="14.25" customHeight="1">
      <c r="A4624" s="1" t="s">
        <v>3979</v>
      </c>
      <c r="B4624" s="1" t="s">
        <v>20</v>
      </c>
      <c r="C4624" s="2" t="s">
        <v>1144</v>
      </c>
      <c r="D4624" s="2">
        <v>7.5</v>
      </c>
      <c r="E4624" s="2">
        <v>2007.0</v>
      </c>
      <c r="F4624" s="2" t="s">
        <v>10</v>
      </c>
      <c r="G4624" s="2" t="s">
        <v>10</v>
      </c>
    </row>
    <row r="4625" ht="14.25" customHeight="1">
      <c r="A4625" s="1" t="s">
        <v>3980</v>
      </c>
      <c r="B4625" s="1" t="s">
        <v>20</v>
      </c>
      <c r="C4625" s="2" t="s">
        <v>1897</v>
      </c>
      <c r="D4625" s="2">
        <v>7.5</v>
      </c>
      <c r="E4625" s="2">
        <v>1966.0</v>
      </c>
      <c r="F4625" s="2" t="s">
        <v>10</v>
      </c>
      <c r="G4625" s="2" t="s">
        <v>10</v>
      </c>
    </row>
    <row r="4626" ht="14.25" customHeight="1">
      <c r="A4626" s="1" t="s">
        <v>3981</v>
      </c>
      <c r="B4626" s="1" t="s">
        <v>8</v>
      </c>
      <c r="C4626" s="2" t="s">
        <v>32</v>
      </c>
      <c r="D4626" s="2">
        <v>7.5</v>
      </c>
      <c r="E4626" s="2">
        <v>2011.0</v>
      </c>
      <c r="F4626" s="2" t="s">
        <v>10</v>
      </c>
      <c r="G4626" s="2" t="s">
        <v>10</v>
      </c>
    </row>
    <row r="4627" ht="14.25" customHeight="1">
      <c r="A4627" s="1" t="s">
        <v>3982</v>
      </c>
      <c r="B4627" s="1" t="s">
        <v>8</v>
      </c>
      <c r="C4627" s="2" t="s">
        <v>44</v>
      </c>
      <c r="D4627" s="2">
        <v>7.5</v>
      </c>
      <c r="E4627" s="2">
        <v>2017.0</v>
      </c>
      <c r="F4627" s="2">
        <v>2019.0</v>
      </c>
      <c r="G4627" s="2" t="s">
        <v>10</v>
      </c>
    </row>
    <row r="4628" ht="14.25" customHeight="1">
      <c r="A4628" s="1" t="s">
        <v>3983</v>
      </c>
      <c r="B4628" s="1" t="s">
        <v>20</v>
      </c>
      <c r="C4628" s="2" t="s">
        <v>154</v>
      </c>
      <c r="D4628" s="2">
        <v>7.5</v>
      </c>
      <c r="E4628" s="2">
        <v>1953.0</v>
      </c>
      <c r="F4628" s="2" t="s">
        <v>10</v>
      </c>
      <c r="G4628" s="2" t="s">
        <v>10</v>
      </c>
    </row>
    <row r="4629" ht="14.25" customHeight="1">
      <c r="A4629" s="1" t="s">
        <v>3984</v>
      </c>
      <c r="B4629" s="1" t="s">
        <v>8</v>
      </c>
      <c r="C4629" s="2" t="s">
        <v>25</v>
      </c>
      <c r="D4629" s="2">
        <v>7.5</v>
      </c>
      <c r="E4629" s="2">
        <v>2015.0</v>
      </c>
      <c r="F4629" s="2">
        <v>2019.0</v>
      </c>
      <c r="G4629" s="2" t="s">
        <v>10</v>
      </c>
    </row>
    <row r="4630" ht="14.25" customHeight="1">
      <c r="A4630" s="1" t="s">
        <v>3985</v>
      </c>
      <c r="B4630" s="1" t="s">
        <v>20</v>
      </c>
      <c r="C4630" s="2" t="s">
        <v>53</v>
      </c>
      <c r="D4630" s="2">
        <v>7.5</v>
      </c>
      <c r="E4630" s="2">
        <v>1964.0</v>
      </c>
      <c r="F4630" s="2" t="s">
        <v>10</v>
      </c>
      <c r="G4630" s="2" t="s">
        <v>10</v>
      </c>
    </row>
    <row r="4631" ht="14.25" customHeight="1">
      <c r="A4631" s="1" t="s">
        <v>3986</v>
      </c>
      <c r="B4631" s="1" t="s">
        <v>20</v>
      </c>
      <c r="C4631" s="2" t="s">
        <v>63</v>
      </c>
      <c r="D4631" s="2">
        <v>7.5</v>
      </c>
      <c r="E4631" s="2">
        <v>2011.0</v>
      </c>
      <c r="F4631" s="2" t="s">
        <v>10</v>
      </c>
      <c r="G4631" s="2" t="s">
        <v>10</v>
      </c>
    </row>
    <row r="4632" ht="14.25" customHeight="1">
      <c r="A4632" s="1" t="s">
        <v>3987</v>
      </c>
      <c r="B4632" s="1" t="s">
        <v>20</v>
      </c>
      <c r="C4632" s="2" t="s">
        <v>192</v>
      </c>
      <c r="D4632" s="2">
        <v>7.5</v>
      </c>
      <c r="E4632" s="2">
        <v>2008.0</v>
      </c>
      <c r="F4632" s="2" t="s">
        <v>10</v>
      </c>
      <c r="G4632" s="2" t="s">
        <v>10</v>
      </c>
    </row>
    <row r="4633" ht="14.25" customHeight="1">
      <c r="A4633" s="1" t="s">
        <v>3988</v>
      </c>
      <c r="B4633" s="1" t="s">
        <v>8</v>
      </c>
      <c r="C4633" s="2" t="s">
        <v>1375</v>
      </c>
      <c r="D4633" s="2">
        <v>7.5</v>
      </c>
      <c r="E4633" s="2">
        <v>2017.0</v>
      </c>
      <c r="F4633" s="2" t="s">
        <v>10</v>
      </c>
      <c r="G4633" s="2" t="s">
        <v>10</v>
      </c>
    </row>
    <row r="4634" ht="14.25" customHeight="1">
      <c r="A4634" s="1" t="s">
        <v>3989</v>
      </c>
      <c r="B4634" s="1" t="s">
        <v>8</v>
      </c>
      <c r="C4634" s="2" t="s">
        <v>25</v>
      </c>
      <c r="D4634" s="2">
        <v>7.5</v>
      </c>
      <c r="E4634" s="2">
        <v>1990.0</v>
      </c>
      <c r="F4634" s="2" t="s">
        <v>10</v>
      </c>
      <c r="G4634" s="2" t="s">
        <v>10</v>
      </c>
    </row>
    <row r="4635" ht="14.25" customHeight="1">
      <c r="A4635" s="1" t="s">
        <v>3990</v>
      </c>
      <c r="B4635" s="1" t="s">
        <v>20</v>
      </c>
      <c r="C4635" s="2" t="s">
        <v>411</v>
      </c>
      <c r="D4635" s="2">
        <v>7.5</v>
      </c>
      <c r="E4635" s="2">
        <v>2014.0</v>
      </c>
      <c r="F4635" s="2" t="s">
        <v>10</v>
      </c>
      <c r="G4635" s="2" t="s">
        <v>10</v>
      </c>
    </row>
    <row r="4636" ht="14.25" customHeight="1">
      <c r="A4636" s="1" t="s">
        <v>3991</v>
      </c>
      <c r="B4636" s="1" t="s">
        <v>8</v>
      </c>
      <c r="C4636" s="2" t="s">
        <v>32</v>
      </c>
      <c r="D4636" s="2">
        <v>7.5</v>
      </c>
      <c r="E4636" s="2">
        <v>2001.0</v>
      </c>
      <c r="F4636" s="2" t="s">
        <v>10</v>
      </c>
      <c r="G4636" s="2" t="s">
        <v>10</v>
      </c>
    </row>
    <row r="4637" ht="14.25" customHeight="1">
      <c r="A4637" s="1" t="s">
        <v>3992</v>
      </c>
      <c r="B4637" s="1" t="s">
        <v>8</v>
      </c>
      <c r="C4637" s="2" t="s">
        <v>69</v>
      </c>
      <c r="D4637" s="2">
        <v>7.5</v>
      </c>
      <c r="E4637" s="2">
        <v>2022.0</v>
      </c>
      <c r="F4637" s="2" t="s">
        <v>10</v>
      </c>
      <c r="G4637" s="2">
        <v>1.276E7</v>
      </c>
    </row>
    <row r="4638" ht="14.25" customHeight="1">
      <c r="A4638" s="1" t="s">
        <v>3992</v>
      </c>
      <c r="B4638" s="1" t="s">
        <v>8</v>
      </c>
      <c r="C4638" s="2" t="s">
        <v>69</v>
      </c>
      <c r="D4638" s="2">
        <v>7.5</v>
      </c>
      <c r="E4638" s="2">
        <v>2022.0</v>
      </c>
      <c r="F4638" s="2" t="s">
        <v>10</v>
      </c>
      <c r="G4638" s="2">
        <v>2.157E7</v>
      </c>
    </row>
    <row r="4639" ht="14.25" customHeight="1">
      <c r="A4639" s="1" t="s">
        <v>3993</v>
      </c>
      <c r="B4639" s="1" t="s">
        <v>20</v>
      </c>
      <c r="C4639" s="2" t="s">
        <v>63</v>
      </c>
      <c r="D4639" s="2">
        <v>7.5</v>
      </c>
      <c r="E4639" s="2">
        <v>2001.0</v>
      </c>
      <c r="F4639" s="2" t="s">
        <v>10</v>
      </c>
      <c r="G4639" s="2" t="s">
        <v>10</v>
      </c>
    </row>
    <row r="4640" ht="14.25" customHeight="1">
      <c r="A4640" s="1" t="s">
        <v>3994</v>
      </c>
      <c r="B4640" s="1" t="s">
        <v>20</v>
      </c>
      <c r="C4640" s="2" t="s">
        <v>527</v>
      </c>
      <c r="D4640" s="2">
        <v>7.5</v>
      </c>
      <c r="E4640" s="2">
        <v>1951.0</v>
      </c>
      <c r="F4640" s="2" t="s">
        <v>10</v>
      </c>
      <c r="G4640" s="2" t="s">
        <v>10</v>
      </c>
    </row>
    <row r="4641" ht="14.25" customHeight="1">
      <c r="A4641" s="1" t="s">
        <v>3995</v>
      </c>
      <c r="B4641" s="1" t="s">
        <v>20</v>
      </c>
      <c r="C4641" s="2" t="s">
        <v>1375</v>
      </c>
      <c r="D4641" s="2">
        <v>7.5</v>
      </c>
      <c r="E4641" s="2">
        <v>1999.0</v>
      </c>
      <c r="F4641" s="2" t="s">
        <v>10</v>
      </c>
      <c r="G4641" s="2" t="s">
        <v>10</v>
      </c>
    </row>
    <row r="4642" ht="14.25" customHeight="1">
      <c r="A4642" s="1" t="s">
        <v>3996</v>
      </c>
      <c r="B4642" s="1" t="s">
        <v>20</v>
      </c>
      <c r="C4642" s="2" t="s">
        <v>844</v>
      </c>
      <c r="D4642" s="2">
        <v>7.5</v>
      </c>
      <c r="E4642" s="2">
        <v>1948.0</v>
      </c>
      <c r="F4642" s="2" t="s">
        <v>10</v>
      </c>
      <c r="G4642" s="2" t="s">
        <v>10</v>
      </c>
    </row>
    <row r="4643" ht="14.25" customHeight="1">
      <c r="A4643" s="1" t="s">
        <v>3997</v>
      </c>
      <c r="B4643" s="1" t="s">
        <v>8</v>
      </c>
      <c r="C4643" s="2" t="s">
        <v>428</v>
      </c>
      <c r="D4643" s="2">
        <v>7.5</v>
      </c>
      <c r="E4643" s="2">
        <v>2019.0</v>
      </c>
      <c r="F4643" s="2">
        <v>2020.0</v>
      </c>
      <c r="G4643" s="2" t="s">
        <v>10</v>
      </c>
    </row>
    <row r="4644" ht="14.25" customHeight="1">
      <c r="A4644" s="1" t="s">
        <v>3998</v>
      </c>
      <c r="B4644" s="1" t="s">
        <v>20</v>
      </c>
      <c r="C4644" s="2" t="s">
        <v>192</v>
      </c>
      <c r="D4644" s="2">
        <v>7.5</v>
      </c>
      <c r="E4644" s="2">
        <v>2013.0</v>
      </c>
      <c r="F4644" s="2" t="s">
        <v>10</v>
      </c>
      <c r="G4644" s="2" t="s">
        <v>10</v>
      </c>
    </row>
    <row r="4645" ht="14.25" customHeight="1">
      <c r="A4645" s="1" t="s">
        <v>3999</v>
      </c>
      <c r="B4645" s="1" t="s">
        <v>20</v>
      </c>
      <c r="C4645" s="2" t="s">
        <v>4000</v>
      </c>
      <c r="D4645" s="2">
        <v>7.5</v>
      </c>
      <c r="E4645" s="2">
        <v>1975.0</v>
      </c>
      <c r="F4645" s="2" t="s">
        <v>10</v>
      </c>
      <c r="G4645" s="2" t="s">
        <v>10</v>
      </c>
    </row>
    <row r="4646" ht="14.25" customHeight="1">
      <c r="A4646" s="1" t="s">
        <v>4001</v>
      </c>
      <c r="B4646" s="1" t="s">
        <v>8</v>
      </c>
      <c r="C4646" s="2" t="s">
        <v>18</v>
      </c>
      <c r="D4646" s="2">
        <v>7.5</v>
      </c>
      <c r="E4646" s="2">
        <v>2010.0</v>
      </c>
      <c r="F4646" s="2" t="s">
        <v>10</v>
      </c>
      <c r="G4646" s="2" t="s">
        <v>10</v>
      </c>
    </row>
    <row r="4647" ht="14.25" customHeight="1">
      <c r="A4647" s="1" t="s">
        <v>4002</v>
      </c>
      <c r="B4647" s="1" t="s">
        <v>8</v>
      </c>
      <c r="C4647" s="2" t="s">
        <v>25</v>
      </c>
      <c r="D4647" s="2">
        <v>7.5</v>
      </c>
      <c r="E4647" s="2">
        <v>2008.0</v>
      </c>
      <c r="F4647" s="2" t="s">
        <v>10</v>
      </c>
      <c r="G4647" s="2" t="s">
        <v>10</v>
      </c>
    </row>
    <row r="4648" ht="14.25" customHeight="1">
      <c r="A4648" s="1" t="s">
        <v>4003</v>
      </c>
      <c r="B4648" s="1" t="s">
        <v>20</v>
      </c>
      <c r="C4648" s="2" t="s">
        <v>63</v>
      </c>
      <c r="D4648" s="2">
        <v>7.5</v>
      </c>
      <c r="E4648" s="2">
        <v>2002.0</v>
      </c>
      <c r="F4648" s="2" t="s">
        <v>10</v>
      </c>
      <c r="G4648" s="2" t="s">
        <v>10</v>
      </c>
    </row>
    <row r="4649" ht="14.25" customHeight="1">
      <c r="A4649" s="1" t="s">
        <v>4004</v>
      </c>
      <c r="B4649" s="1" t="s">
        <v>8</v>
      </c>
      <c r="C4649" s="2" t="s">
        <v>18</v>
      </c>
      <c r="D4649" s="2">
        <v>7.5</v>
      </c>
      <c r="E4649" s="2">
        <v>2002.0</v>
      </c>
      <c r="F4649" s="2" t="s">
        <v>10</v>
      </c>
      <c r="G4649" s="2" t="s">
        <v>10</v>
      </c>
    </row>
    <row r="4650" ht="14.25" customHeight="1">
      <c r="A4650" s="1" t="s">
        <v>4005</v>
      </c>
      <c r="B4650" s="1" t="s">
        <v>20</v>
      </c>
      <c r="C4650" s="2" t="s">
        <v>187</v>
      </c>
      <c r="D4650" s="2">
        <v>7.5</v>
      </c>
      <c r="E4650" s="2">
        <v>1968.0</v>
      </c>
      <c r="F4650" s="2" t="s">
        <v>10</v>
      </c>
      <c r="G4650" s="2" t="s">
        <v>10</v>
      </c>
    </row>
    <row r="4651" ht="14.25" customHeight="1">
      <c r="A4651" s="1" t="s">
        <v>4006</v>
      </c>
      <c r="B4651" s="1" t="s">
        <v>8</v>
      </c>
      <c r="C4651" s="2" t="s">
        <v>1144</v>
      </c>
      <c r="D4651" s="2">
        <v>7.5</v>
      </c>
      <c r="E4651" s="2">
        <v>2019.0</v>
      </c>
      <c r="F4651" s="2">
        <v>2019.0</v>
      </c>
      <c r="G4651" s="2" t="s">
        <v>10</v>
      </c>
    </row>
    <row r="4652" ht="14.25" customHeight="1">
      <c r="A4652" s="1" t="s">
        <v>4007</v>
      </c>
      <c r="B4652" s="1" t="s">
        <v>8</v>
      </c>
      <c r="C4652" s="2" t="s">
        <v>34</v>
      </c>
      <c r="D4652" s="2">
        <v>7.5</v>
      </c>
      <c r="E4652" s="2">
        <v>2022.0</v>
      </c>
      <c r="F4652" s="2" t="s">
        <v>10</v>
      </c>
      <c r="G4652" s="2" t="s">
        <v>10</v>
      </c>
    </row>
    <row r="4653" ht="14.25" customHeight="1">
      <c r="A4653" s="1" t="s">
        <v>4008</v>
      </c>
      <c r="B4653" s="1" t="s">
        <v>20</v>
      </c>
      <c r="C4653" s="2" t="s">
        <v>9</v>
      </c>
      <c r="D4653" s="2">
        <v>7.5</v>
      </c>
      <c r="E4653" s="2">
        <v>1994.0</v>
      </c>
      <c r="F4653" s="2" t="s">
        <v>10</v>
      </c>
      <c r="G4653" s="2" t="s">
        <v>10</v>
      </c>
    </row>
    <row r="4654" ht="14.25" customHeight="1">
      <c r="A4654" s="1" t="s">
        <v>4009</v>
      </c>
      <c r="B4654" s="1" t="s">
        <v>20</v>
      </c>
      <c r="C4654" s="2" t="s">
        <v>299</v>
      </c>
      <c r="D4654" s="2">
        <v>7.5</v>
      </c>
      <c r="E4654" s="2">
        <v>1936.0</v>
      </c>
      <c r="F4654" s="2" t="s">
        <v>10</v>
      </c>
      <c r="G4654" s="2" t="s">
        <v>10</v>
      </c>
    </row>
    <row r="4655" ht="14.25" customHeight="1">
      <c r="A4655" s="1" t="s">
        <v>4010</v>
      </c>
      <c r="B4655" s="1" t="s">
        <v>8</v>
      </c>
      <c r="C4655" s="2" t="s">
        <v>154</v>
      </c>
      <c r="D4655" s="2">
        <v>7.5</v>
      </c>
      <c r="E4655" s="2">
        <v>2024.0</v>
      </c>
      <c r="F4655" s="2" t="s">
        <v>10</v>
      </c>
      <c r="G4655" s="2" t="s">
        <v>10</v>
      </c>
    </row>
    <row r="4656" ht="14.25" customHeight="1">
      <c r="A4656" s="1" t="s">
        <v>4011</v>
      </c>
      <c r="B4656" s="1" t="s">
        <v>20</v>
      </c>
      <c r="C4656" s="2" t="s">
        <v>844</v>
      </c>
      <c r="D4656" s="2">
        <v>7.5</v>
      </c>
      <c r="E4656" s="2">
        <v>1944.0</v>
      </c>
      <c r="F4656" s="2" t="s">
        <v>10</v>
      </c>
      <c r="G4656" s="2" t="s">
        <v>10</v>
      </c>
    </row>
    <row r="4657" ht="14.25" customHeight="1">
      <c r="A4657" s="1" t="s">
        <v>4012</v>
      </c>
      <c r="B4657" s="1" t="s">
        <v>20</v>
      </c>
      <c r="C4657" s="2" t="s">
        <v>18</v>
      </c>
      <c r="D4657" s="2">
        <v>7.5</v>
      </c>
      <c r="E4657" s="2">
        <v>1975.0</v>
      </c>
      <c r="F4657" s="2" t="s">
        <v>10</v>
      </c>
      <c r="G4657" s="2" t="s">
        <v>10</v>
      </c>
    </row>
    <row r="4658" ht="14.25" customHeight="1">
      <c r="A4658" s="1" t="s">
        <v>4013</v>
      </c>
      <c r="B4658" s="1" t="s">
        <v>20</v>
      </c>
      <c r="C4658" s="2" t="s">
        <v>34</v>
      </c>
      <c r="D4658" s="2">
        <v>7.5</v>
      </c>
      <c r="E4658" s="2">
        <v>2014.0</v>
      </c>
      <c r="F4658" s="2" t="s">
        <v>10</v>
      </c>
      <c r="G4658" s="2" t="s">
        <v>10</v>
      </c>
    </row>
    <row r="4659" ht="14.25" customHeight="1">
      <c r="A4659" s="1" t="s">
        <v>4014</v>
      </c>
      <c r="B4659" s="1" t="s">
        <v>20</v>
      </c>
      <c r="C4659" s="2" t="s">
        <v>239</v>
      </c>
      <c r="D4659" s="2">
        <v>7.5</v>
      </c>
      <c r="E4659" s="2">
        <v>1927.0</v>
      </c>
      <c r="F4659" s="2" t="s">
        <v>10</v>
      </c>
      <c r="G4659" s="2" t="s">
        <v>10</v>
      </c>
    </row>
    <row r="4660" ht="14.25" customHeight="1">
      <c r="A4660" s="1" t="s">
        <v>4015</v>
      </c>
      <c r="B4660" s="1" t="s">
        <v>20</v>
      </c>
      <c r="C4660" s="2" t="s">
        <v>844</v>
      </c>
      <c r="D4660" s="2">
        <v>7.5</v>
      </c>
      <c r="E4660" s="2">
        <v>1940.0</v>
      </c>
      <c r="F4660" s="2" t="s">
        <v>10</v>
      </c>
      <c r="G4660" s="2" t="s">
        <v>10</v>
      </c>
    </row>
    <row r="4661" ht="14.25" customHeight="1">
      <c r="A4661" s="1" t="s">
        <v>4016</v>
      </c>
      <c r="B4661" s="1" t="s">
        <v>20</v>
      </c>
      <c r="C4661" s="2" t="s">
        <v>611</v>
      </c>
      <c r="D4661" s="2">
        <v>7.5</v>
      </c>
      <c r="E4661" s="2">
        <v>2017.0</v>
      </c>
      <c r="F4661" s="2" t="s">
        <v>10</v>
      </c>
      <c r="G4661" s="2" t="s">
        <v>10</v>
      </c>
    </row>
    <row r="4662" ht="14.25" customHeight="1">
      <c r="A4662" s="1" t="s">
        <v>4017</v>
      </c>
      <c r="B4662" s="1" t="s">
        <v>20</v>
      </c>
      <c r="C4662" s="2" t="s">
        <v>829</v>
      </c>
      <c r="D4662" s="2">
        <v>7.5</v>
      </c>
      <c r="E4662" s="2">
        <v>1936.0</v>
      </c>
      <c r="F4662" s="2" t="s">
        <v>10</v>
      </c>
      <c r="G4662" s="2" t="s">
        <v>10</v>
      </c>
    </row>
    <row r="4663" ht="14.25" customHeight="1">
      <c r="A4663" s="1" t="s">
        <v>4018</v>
      </c>
      <c r="B4663" s="1" t="s">
        <v>20</v>
      </c>
      <c r="C4663" s="2" t="s">
        <v>92</v>
      </c>
      <c r="D4663" s="2">
        <v>7.5</v>
      </c>
      <c r="E4663" s="2">
        <v>1945.0</v>
      </c>
      <c r="F4663" s="2" t="s">
        <v>10</v>
      </c>
      <c r="G4663" s="2" t="s">
        <v>10</v>
      </c>
    </row>
    <row r="4664" ht="14.25" customHeight="1">
      <c r="A4664" s="1" t="s">
        <v>4019</v>
      </c>
      <c r="B4664" s="1" t="s">
        <v>20</v>
      </c>
      <c r="C4664" s="2" t="s">
        <v>446</v>
      </c>
      <c r="D4664" s="2">
        <v>7.5</v>
      </c>
      <c r="E4664" s="2">
        <v>1984.0</v>
      </c>
      <c r="F4664" s="2" t="s">
        <v>10</v>
      </c>
      <c r="G4664" s="2" t="s">
        <v>10</v>
      </c>
    </row>
    <row r="4665" ht="14.25" customHeight="1">
      <c r="A4665" s="1" t="s">
        <v>4020</v>
      </c>
      <c r="B4665" s="1" t="s">
        <v>20</v>
      </c>
      <c r="C4665" s="2" t="s">
        <v>25</v>
      </c>
      <c r="D4665" s="2">
        <v>7.5</v>
      </c>
      <c r="E4665" s="2">
        <v>2006.0</v>
      </c>
      <c r="F4665" s="2" t="s">
        <v>10</v>
      </c>
      <c r="G4665" s="2" t="s">
        <v>10</v>
      </c>
    </row>
    <row r="4666" ht="14.25" customHeight="1">
      <c r="A4666" s="1" t="s">
        <v>4021</v>
      </c>
      <c r="B4666" s="1" t="s">
        <v>20</v>
      </c>
      <c r="C4666" s="2" t="s">
        <v>187</v>
      </c>
      <c r="D4666" s="2">
        <v>7.5</v>
      </c>
      <c r="E4666" s="2">
        <v>1998.0</v>
      </c>
      <c r="F4666" s="2" t="s">
        <v>10</v>
      </c>
      <c r="G4666" s="2" t="s">
        <v>10</v>
      </c>
    </row>
    <row r="4667" ht="14.25" customHeight="1">
      <c r="A4667" s="1" t="s">
        <v>4022</v>
      </c>
      <c r="B4667" s="1" t="s">
        <v>20</v>
      </c>
      <c r="C4667" s="2" t="s">
        <v>725</v>
      </c>
      <c r="D4667" s="2">
        <v>7.5</v>
      </c>
      <c r="E4667" s="2">
        <v>1937.0</v>
      </c>
      <c r="F4667" s="2" t="s">
        <v>10</v>
      </c>
      <c r="G4667" s="2" t="s">
        <v>10</v>
      </c>
    </row>
    <row r="4668" ht="14.25" customHeight="1">
      <c r="A4668" s="1" t="s">
        <v>4023</v>
      </c>
      <c r="B4668" s="1" t="s">
        <v>20</v>
      </c>
      <c r="C4668" s="2" t="s">
        <v>25</v>
      </c>
      <c r="D4668" s="2">
        <v>7.5</v>
      </c>
      <c r="E4668" s="2">
        <v>2012.0</v>
      </c>
      <c r="F4668" s="2">
        <v>2012.0</v>
      </c>
      <c r="G4668" s="2" t="s">
        <v>10</v>
      </c>
    </row>
    <row r="4669" ht="14.25" customHeight="1">
      <c r="A4669" s="1" t="s">
        <v>4024</v>
      </c>
      <c r="B4669" s="1" t="s">
        <v>8</v>
      </c>
      <c r="C4669" s="2" t="s">
        <v>564</v>
      </c>
      <c r="D4669" s="2">
        <v>7.5</v>
      </c>
      <c r="E4669" s="2">
        <v>2007.0</v>
      </c>
      <c r="F4669" s="2" t="s">
        <v>10</v>
      </c>
      <c r="G4669" s="2" t="s">
        <v>10</v>
      </c>
    </row>
    <row r="4670" ht="14.25" customHeight="1">
      <c r="A4670" s="1" t="s">
        <v>4025</v>
      </c>
      <c r="B4670" s="1" t="s">
        <v>20</v>
      </c>
      <c r="C4670" s="2" t="s">
        <v>621</v>
      </c>
      <c r="D4670" s="2">
        <v>7.5</v>
      </c>
      <c r="E4670" s="2">
        <v>1945.0</v>
      </c>
      <c r="F4670" s="2" t="s">
        <v>10</v>
      </c>
      <c r="G4670" s="2" t="s">
        <v>10</v>
      </c>
    </row>
    <row r="4671" ht="14.25" customHeight="1">
      <c r="A4671" s="1" t="s">
        <v>4026</v>
      </c>
      <c r="B4671" s="1" t="s">
        <v>20</v>
      </c>
      <c r="C4671" s="2" t="s">
        <v>584</v>
      </c>
      <c r="D4671" s="2">
        <v>7.5</v>
      </c>
      <c r="E4671" s="2">
        <v>2021.0</v>
      </c>
      <c r="F4671" s="2" t="s">
        <v>10</v>
      </c>
      <c r="G4671" s="2" t="s">
        <v>10</v>
      </c>
    </row>
    <row r="4672" ht="14.25" customHeight="1">
      <c r="A4672" s="1" t="s">
        <v>4027</v>
      </c>
      <c r="B4672" s="1" t="s">
        <v>8</v>
      </c>
      <c r="C4672" s="2" t="s">
        <v>69</v>
      </c>
      <c r="D4672" s="2">
        <v>7.5</v>
      </c>
      <c r="E4672" s="2">
        <v>2018.0</v>
      </c>
      <c r="F4672" s="2">
        <v>2018.0</v>
      </c>
      <c r="G4672" s="2" t="s">
        <v>10</v>
      </c>
    </row>
    <row r="4673" ht="14.25" customHeight="1">
      <c r="A4673" s="1" t="s">
        <v>4028</v>
      </c>
      <c r="B4673" s="1" t="s">
        <v>8</v>
      </c>
      <c r="C4673" s="2" t="s">
        <v>203</v>
      </c>
      <c r="D4673" s="2">
        <v>7.5</v>
      </c>
      <c r="E4673" s="2">
        <v>2012.0</v>
      </c>
      <c r="F4673" s="2" t="s">
        <v>10</v>
      </c>
      <c r="G4673" s="2" t="s">
        <v>10</v>
      </c>
    </row>
    <row r="4674" ht="14.25" customHeight="1">
      <c r="A4674" s="1" t="s">
        <v>4029</v>
      </c>
      <c r="B4674" s="1" t="s">
        <v>20</v>
      </c>
      <c r="C4674" s="2" t="s">
        <v>9</v>
      </c>
      <c r="D4674" s="2">
        <v>7.5</v>
      </c>
      <c r="E4674" s="2">
        <v>1973.0</v>
      </c>
      <c r="F4674" s="2" t="s">
        <v>10</v>
      </c>
      <c r="G4674" s="2" t="s">
        <v>10</v>
      </c>
    </row>
    <row r="4675" ht="14.25" customHeight="1">
      <c r="A4675" s="1" t="s">
        <v>4030</v>
      </c>
      <c r="B4675" s="1" t="s">
        <v>8</v>
      </c>
      <c r="C4675" s="2" t="s">
        <v>55</v>
      </c>
      <c r="D4675" s="2">
        <v>7.5</v>
      </c>
      <c r="E4675" s="2">
        <v>1990.0</v>
      </c>
      <c r="F4675" s="2" t="s">
        <v>10</v>
      </c>
      <c r="G4675" s="2" t="s">
        <v>10</v>
      </c>
    </row>
    <row r="4676" ht="14.25" customHeight="1">
      <c r="A4676" s="1" t="s">
        <v>4031</v>
      </c>
      <c r="B4676" s="1" t="s">
        <v>20</v>
      </c>
      <c r="C4676" s="2" t="s">
        <v>187</v>
      </c>
      <c r="D4676" s="2">
        <v>7.5</v>
      </c>
      <c r="E4676" s="2">
        <v>1999.0</v>
      </c>
      <c r="F4676" s="2" t="s">
        <v>10</v>
      </c>
      <c r="G4676" s="2" t="s">
        <v>10</v>
      </c>
    </row>
    <row r="4677" ht="14.25" customHeight="1">
      <c r="A4677" s="1" t="s">
        <v>4032</v>
      </c>
      <c r="B4677" s="1" t="s">
        <v>8</v>
      </c>
      <c r="C4677" s="2" t="s">
        <v>187</v>
      </c>
      <c r="D4677" s="2">
        <v>7.5</v>
      </c>
      <c r="E4677" s="2">
        <v>2013.0</v>
      </c>
      <c r="F4677" s="2" t="s">
        <v>10</v>
      </c>
      <c r="G4677" s="2" t="s">
        <v>10</v>
      </c>
    </row>
    <row r="4678" ht="14.25" customHeight="1">
      <c r="A4678" s="1" t="s">
        <v>4033</v>
      </c>
      <c r="B4678" s="1" t="s">
        <v>20</v>
      </c>
      <c r="C4678" s="2" t="s">
        <v>361</v>
      </c>
      <c r="D4678" s="2">
        <v>7.5</v>
      </c>
      <c r="E4678" s="2">
        <v>2007.0</v>
      </c>
      <c r="F4678" s="2" t="s">
        <v>10</v>
      </c>
      <c r="G4678" s="2" t="s">
        <v>10</v>
      </c>
    </row>
    <row r="4679" ht="14.25" customHeight="1">
      <c r="A4679" s="1" t="s">
        <v>4034</v>
      </c>
      <c r="B4679" s="1" t="s">
        <v>20</v>
      </c>
      <c r="C4679" s="2" t="s">
        <v>80</v>
      </c>
      <c r="D4679" s="2">
        <v>7.5</v>
      </c>
      <c r="E4679" s="2">
        <v>2001.0</v>
      </c>
      <c r="F4679" s="2" t="s">
        <v>10</v>
      </c>
      <c r="G4679" s="2" t="s">
        <v>10</v>
      </c>
    </row>
    <row r="4680" ht="14.25" customHeight="1">
      <c r="A4680" s="1" t="s">
        <v>4035</v>
      </c>
      <c r="B4680" s="1" t="s">
        <v>20</v>
      </c>
      <c r="C4680" s="2" t="s">
        <v>9</v>
      </c>
      <c r="D4680" s="2">
        <v>7.5</v>
      </c>
      <c r="E4680" s="2">
        <v>1995.0</v>
      </c>
      <c r="F4680" s="2" t="s">
        <v>10</v>
      </c>
      <c r="G4680" s="2" t="s">
        <v>10</v>
      </c>
    </row>
    <row r="4681" ht="14.25" customHeight="1">
      <c r="A4681" s="1" t="s">
        <v>4036</v>
      </c>
      <c r="B4681" s="1" t="s">
        <v>20</v>
      </c>
      <c r="C4681" s="2" t="s">
        <v>12</v>
      </c>
      <c r="D4681" s="2">
        <v>7.5</v>
      </c>
      <c r="E4681" s="2">
        <v>2012.0</v>
      </c>
      <c r="F4681" s="2" t="s">
        <v>10</v>
      </c>
      <c r="G4681" s="2" t="s">
        <v>10</v>
      </c>
    </row>
    <row r="4682" ht="14.25" customHeight="1">
      <c r="A4682" s="1" t="s">
        <v>4037</v>
      </c>
      <c r="B4682" s="1" t="s">
        <v>20</v>
      </c>
      <c r="C4682" s="2" t="s">
        <v>63</v>
      </c>
      <c r="D4682" s="2">
        <v>7.5</v>
      </c>
      <c r="E4682" s="2">
        <v>2018.0</v>
      </c>
      <c r="F4682" s="2" t="s">
        <v>10</v>
      </c>
      <c r="G4682" s="2" t="s">
        <v>10</v>
      </c>
    </row>
    <row r="4683" ht="14.25" customHeight="1">
      <c r="A4683" s="1" t="s">
        <v>4038</v>
      </c>
      <c r="B4683" s="1" t="s">
        <v>8</v>
      </c>
      <c r="C4683" s="2" t="s">
        <v>187</v>
      </c>
      <c r="D4683" s="2">
        <v>7.5</v>
      </c>
      <c r="E4683" s="2">
        <v>2020.0</v>
      </c>
      <c r="F4683" s="2">
        <v>2021.0</v>
      </c>
      <c r="G4683" s="2" t="s">
        <v>10</v>
      </c>
    </row>
    <row r="4684" ht="14.25" customHeight="1">
      <c r="A4684" s="1" t="s">
        <v>4039</v>
      </c>
      <c r="B4684" s="1" t="s">
        <v>20</v>
      </c>
      <c r="C4684" s="2" t="s">
        <v>291</v>
      </c>
      <c r="D4684" s="2">
        <v>7.5</v>
      </c>
      <c r="E4684" s="2">
        <v>2007.0</v>
      </c>
      <c r="F4684" s="2" t="s">
        <v>10</v>
      </c>
      <c r="G4684" s="2" t="s">
        <v>10</v>
      </c>
    </row>
    <row r="4685" ht="14.25" customHeight="1">
      <c r="A4685" s="1" t="s">
        <v>1814</v>
      </c>
      <c r="B4685" s="1" t="s">
        <v>20</v>
      </c>
      <c r="C4685" s="2" t="s">
        <v>299</v>
      </c>
      <c r="D4685" s="2">
        <v>7.5</v>
      </c>
      <c r="E4685" s="2">
        <v>2016.0</v>
      </c>
      <c r="F4685" s="2" t="s">
        <v>10</v>
      </c>
      <c r="G4685" s="2" t="s">
        <v>10</v>
      </c>
    </row>
    <row r="4686" ht="14.25" customHeight="1">
      <c r="A4686" s="1" t="s">
        <v>4040</v>
      </c>
      <c r="B4686" s="1" t="s">
        <v>20</v>
      </c>
      <c r="C4686" s="2" t="s">
        <v>18</v>
      </c>
      <c r="D4686" s="2">
        <v>7.5</v>
      </c>
      <c r="E4686" s="2">
        <v>1963.0</v>
      </c>
      <c r="F4686" s="2" t="s">
        <v>10</v>
      </c>
      <c r="G4686" s="2" t="s">
        <v>10</v>
      </c>
    </row>
    <row r="4687" ht="14.25" customHeight="1">
      <c r="A4687" s="1" t="s">
        <v>4041</v>
      </c>
      <c r="B4687" s="1" t="s">
        <v>20</v>
      </c>
      <c r="C4687" s="2" t="s">
        <v>895</v>
      </c>
      <c r="D4687" s="2">
        <v>7.5</v>
      </c>
      <c r="E4687" s="2">
        <v>2009.0</v>
      </c>
      <c r="F4687" s="2" t="s">
        <v>10</v>
      </c>
      <c r="G4687" s="2" t="s">
        <v>10</v>
      </c>
    </row>
    <row r="4688" ht="14.25" customHeight="1">
      <c r="A4688" s="1" t="s">
        <v>4042</v>
      </c>
      <c r="B4688" s="1" t="s">
        <v>20</v>
      </c>
      <c r="C4688" s="2" t="s">
        <v>524</v>
      </c>
      <c r="D4688" s="2">
        <v>7.5</v>
      </c>
      <c r="E4688" s="2">
        <v>2008.0</v>
      </c>
      <c r="F4688" s="2" t="s">
        <v>10</v>
      </c>
      <c r="G4688" s="2" t="s">
        <v>10</v>
      </c>
    </row>
    <row r="4689" ht="14.25" customHeight="1">
      <c r="A4689" s="1" t="s">
        <v>4043</v>
      </c>
      <c r="B4689" s="1" t="s">
        <v>20</v>
      </c>
      <c r="C4689" s="2" t="s">
        <v>22</v>
      </c>
      <c r="D4689" s="2">
        <v>7.5</v>
      </c>
      <c r="E4689" s="2">
        <v>2018.0</v>
      </c>
      <c r="F4689" s="2" t="s">
        <v>10</v>
      </c>
      <c r="G4689" s="2" t="s">
        <v>10</v>
      </c>
    </row>
    <row r="4690" ht="14.25" customHeight="1">
      <c r="A4690" s="1" t="s">
        <v>4044</v>
      </c>
      <c r="B4690" s="1" t="s">
        <v>20</v>
      </c>
      <c r="C4690" s="2" t="s">
        <v>63</v>
      </c>
      <c r="D4690" s="2">
        <v>7.5</v>
      </c>
      <c r="E4690" s="2">
        <v>2016.0</v>
      </c>
      <c r="F4690" s="2">
        <v>2016.0</v>
      </c>
      <c r="G4690" s="2" t="s">
        <v>10</v>
      </c>
    </row>
    <row r="4691" ht="14.25" customHeight="1">
      <c r="A4691" s="1" t="s">
        <v>4045</v>
      </c>
      <c r="B4691" s="1" t="s">
        <v>20</v>
      </c>
      <c r="C4691" s="2" t="s">
        <v>339</v>
      </c>
      <c r="D4691" s="2">
        <v>7.5</v>
      </c>
      <c r="E4691" s="2">
        <v>2015.0</v>
      </c>
      <c r="F4691" s="2" t="s">
        <v>10</v>
      </c>
      <c r="G4691" s="2" t="s">
        <v>10</v>
      </c>
    </row>
    <row r="4692" ht="14.25" customHeight="1">
      <c r="A4692" s="1" t="s">
        <v>4046</v>
      </c>
      <c r="B4692" s="1" t="s">
        <v>20</v>
      </c>
      <c r="C4692" s="2" t="s">
        <v>140</v>
      </c>
      <c r="D4692" s="2">
        <v>7.5</v>
      </c>
      <c r="E4692" s="2">
        <v>2006.0</v>
      </c>
      <c r="F4692" s="2" t="s">
        <v>10</v>
      </c>
      <c r="G4692" s="2" t="s">
        <v>10</v>
      </c>
    </row>
    <row r="4693" ht="14.25" customHeight="1">
      <c r="A4693" s="1" t="s">
        <v>4047</v>
      </c>
      <c r="B4693" s="1" t="s">
        <v>20</v>
      </c>
      <c r="C4693" s="2" t="s">
        <v>725</v>
      </c>
      <c r="D4693" s="2">
        <v>7.5</v>
      </c>
      <c r="E4693" s="2">
        <v>1932.0</v>
      </c>
      <c r="F4693" s="2" t="s">
        <v>10</v>
      </c>
      <c r="G4693" s="2" t="s">
        <v>10</v>
      </c>
    </row>
    <row r="4694" ht="14.25" customHeight="1">
      <c r="A4694" s="1" t="s">
        <v>4048</v>
      </c>
      <c r="B4694" s="1" t="s">
        <v>8</v>
      </c>
      <c r="C4694" s="2" t="s">
        <v>527</v>
      </c>
      <c r="D4694" s="2">
        <v>7.5</v>
      </c>
      <c r="E4694" s="2">
        <v>2023.0</v>
      </c>
      <c r="F4694" s="2" t="s">
        <v>10</v>
      </c>
      <c r="G4694" s="2" t="s">
        <v>10</v>
      </c>
    </row>
    <row r="4695" ht="14.25" customHeight="1">
      <c r="A4695" s="1" t="s">
        <v>4049</v>
      </c>
      <c r="B4695" s="1" t="s">
        <v>20</v>
      </c>
      <c r="C4695" s="2" t="s">
        <v>361</v>
      </c>
      <c r="D4695" s="2">
        <v>7.5</v>
      </c>
      <c r="E4695" s="2">
        <v>2004.0</v>
      </c>
      <c r="F4695" s="2" t="s">
        <v>10</v>
      </c>
      <c r="G4695" s="2" t="s">
        <v>10</v>
      </c>
    </row>
    <row r="4696" ht="14.25" customHeight="1">
      <c r="A4696" s="1" t="s">
        <v>4050</v>
      </c>
      <c r="B4696" s="1" t="s">
        <v>8</v>
      </c>
      <c r="C4696" s="2" t="s">
        <v>53</v>
      </c>
      <c r="D4696" s="2">
        <v>7.5</v>
      </c>
      <c r="E4696" s="2">
        <v>2019.0</v>
      </c>
      <c r="F4696" s="2" t="s">
        <v>10</v>
      </c>
      <c r="G4696" s="2" t="s">
        <v>10</v>
      </c>
    </row>
    <row r="4697" ht="14.25" customHeight="1">
      <c r="A4697" s="1" t="s">
        <v>4051</v>
      </c>
      <c r="B4697" s="1" t="s">
        <v>20</v>
      </c>
      <c r="C4697" s="2" t="s">
        <v>36</v>
      </c>
      <c r="D4697" s="2">
        <v>7.5</v>
      </c>
      <c r="E4697" s="2">
        <v>2018.0</v>
      </c>
      <c r="F4697" s="2" t="s">
        <v>10</v>
      </c>
      <c r="G4697" s="2" t="s">
        <v>10</v>
      </c>
    </row>
    <row r="4698" ht="14.25" customHeight="1">
      <c r="A4698" s="1" t="s">
        <v>4052</v>
      </c>
      <c r="B4698" s="1" t="s">
        <v>20</v>
      </c>
      <c r="C4698" s="2" t="s">
        <v>18</v>
      </c>
      <c r="D4698" s="2">
        <v>7.5</v>
      </c>
      <c r="E4698" s="2">
        <v>2012.0</v>
      </c>
      <c r="F4698" s="2" t="s">
        <v>10</v>
      </c>
      <c r="G4698" s="2" t="s">
        <v>10</v>
      </c>
    </row>
    <row r="4699" ht="14.25" customHeight="1">
      <c r="A4699" s="1" t="s">
        <v>4053</v>
      </c>
      <c r="B4699" s="1" t="s">
        <v>20</v>
      </c>
      <c r="C4699" s="2" t="s">
        <v>476</v>
      </c>
      <c r="D4699" s="2">
        <v>7.5</v>
      </c>
      <c r="E4699" s="2">
        <v>2014.0</v>
      </c>
      <c r="F4699" s="2" t="s">
        <v>10</v>
      </c>
      <c r="G4699" s="2" t="s">
        <v>10</v>
      </c>
    </row>
    <row r="4700" ht="14.25" customHeight="1">
      <c r="A4700" s="1" t="s">
        <v>4054</v>
      </c>
      <c r="B4700" s="1" t="s">
        <v>8</v>
      </c>
      <c r="C4700" s="2" t="s">
        <v>476</v>
      </c>
      <c r="D4700" s="2">
        <v>7.5</v>
      </c>
      <c r="E4700" s="2">
        <v>2005.0</v>
      </c>
      <c r="F4700" s="2" t="s">
        <v>10</v>
      </c>
      <c r="G4700" s="2">
        <v>2990000.0</v>
      </c>
    </row>
    <row r="4701" ht="14.25" customHeight="1">
      <c r="A4701" s="1" t="s">
        <v>4054</v>
      </c>
      <c r="B4701" s="1" t="s">
        <v>8</v>
      </c>
      <c r="C4701" s="2" t="s">
        <v>476</v>
      </c>
      <c r="D4701" s="2">
        <v>7.5</v>
      </c>
      <c r="E4701" s="2">
        <v>2005.0</v>
      </c>
      <c r="F4701" s="2" t="s">
        <v>10</v>
      </c>
      <c r="G4701" s="2">
        <v>7340000.0</v>
      </c>
    </row>
    <row r="4702" ht="14.25" customHeight="1">
      <c r="A4702" s="1" t="s">
        <v>4055</v>
      </c>
      <c r="B4702" s="1" t="s">
        <v>20</v>
      </c>
      <c r="C4702" s="2" t="s">
        <v>118</v>
      </c>
      <c r="D4702" s="2">
        <v>7.5</v>
      </c>
      <c r="E4702" s="2">
        <v>1942.0</v>
      </c>
      <c r="F4702" s="2" t="s">
        <v>10</v>
      </c>
      <c r="G4702" s="2" t="s">
        <v>10</v>
      </c>
    </row>
    <row r="4703" ht="14.25" customHeight="1">
      <c r="A4703" s="1" t="s">
        <v>4056</v>
      </c>
      <c r="B4703" s="1" t="s">
        <v>20</v>
      </c>
      <c r="C4703" s="2" t="s">
        <v>299</v>
      </c>
      <c r="D4703" s="2">
        <v>7.5</v>
      </c>
      <c r="E4703" s="2">
        <v>2022.0</v>
      </c>
      <c r="F4703" s="2" t="s">
        <v>10</v>
      </c>
      <c r="G4703" s="2" t="s">
        <v>10</v>
      </c>
    </row>
    <row r="4704" ht="14.25" customHeight="1">
      <c r="A4704" s="1" t="s">
        <v>1643</v>
      </c>
      <c r="B4704" s="1" t="s">
        <v>20</v>
      </c>
      <c r="C4704" s="2" t="s">
        <v>69</v>
      </c>
      <c r="D4704" s="2">
        <v>7.5</v>
      </c>
      <c r="E4704" s="2">
        <v>2019.0</v>
      </c>
      <c r="F4704" s="2">
        <v>2021.0</v>
      </c>
      <c r="G4704" s="2">
        <v>1.673E7</v>
      </c>
    </row>
    <row r="4705" ht="14.25" customHeight="1">
      <c r="A4705" s="1" t="s">
        <v>1643</v>
      </c>
      <c r="B4705" s="1" t="s">
        <v>20</v>
      </c>
      <c r="C4705" s="2" t="s">
        <v>69</v>
      </c>
      <c r="D4705" s="2">
        <v>7.5</v>
      </c>
      <c r="E4705" s="2">
        <v>2019.0</v>
      </c>
      <c r="F4705" s="2">
        <v>2021.0</v>
      </c>
      <c r="G4705" s="2">
        <v>2.511E7</v>
      </c>
    </row>
    <row r="4706" ht="14.25" customHeight="1">
      <c r="A4706" s="1" t="s">
        <v>1643</v>
      </c>
      <c r="B4706" s="1" t="s">
        <v>20</v>
      </c>
      <c r="C4706" s="2" t="s">
        <v>69</v>
      </c>
      <c r="D4706" s="2">
        <v>7.5</v>
      </c>
      <c r="E4706" s="2">
        <v>2019.0</v>
      </c>
      <c r="F4706" s="2">
        <v>2021.0</v>
      </c>
      <c r="G4706" s="2">
        <v>4.299E7</v>
      </c>
    </row>
    <row r="4707" ht="14.25" customHeight="1">
      <c r="A4707" s="1" t="s">
        <v>1643</v>
      </c>
      <c r="B4707" s="1" t="s">
        <v>20</v>
      </c>
      <c r="C4707" s="2" t="s">
        <v>69</v>
      </c>
      <c r="D4707" s="2">
        <v>7.5</v>
      </c>
      <c r="E4707" s="2">
        <v>2019.0</v>
      </c>
      <c r="F4707" s="2">
        <v>2021.0</v>
      </c>
      <c r="G4707" s="2">
        <v>1.218E7</v>
      </c>
    </row>
    <row r="4708" ht="14.25" customHeight="1">
      <c r="A4708" s="1" t="s">
        <v>1643</v>
      </c>
      <c r="B4708" s="1" t="s">
        <v>20</v>
      </c>
      <c r="C4708" s="2" t="s">
        <v>69</v>
      </c>
      <c r="D4708" s="2">
        <v>7.5</v>
      </c>
      <c r="E4708" s="2">
        <v>2019.0</v>
      </c>
      <c r="F4708" s="2">
        <v>2021.0</v>
      </c>
      <c r="G4708" s="2">
        <v>9.814E7</v>
      </c>
    </row>
    <row r="4709" ht="14.25" customHeight="1">
      <c r="A4709" s="1" t="s">
        <v>1643</v>
      </c>
      <c r="B4709" s="1" t="s">
        <v>20</v>
      </c>
      <c r="C4709" s="2" t="s">
        <v>69</v>
      </c>
      <c r="D4709" s="2">
        <v>7.5</v>
      </c>
      <c r="E4709" s="2">
        <v>2019.0</v>
      </c>
      <c r="F4709" s="2">
        <v>2021.0</v>
      </c>
      <c r="G4709" s="2">
        <v>1.624E7</v>
      </c>
    </row>
    <row r="4710" ht="14.25" customHeight="1">
      <c r="A4710" s="1" t="s">
        <v>1643</v>
      </c>
      <c r="B4710" s="1" t="s">
        <v>20</v>
      </c>
      <c r="C4710" s="2" t="s">
        <v>69</v>
      </c>
      <c r="D4710" s="2">
        <v>7.5</v>
      </c>
      <c r="E4710" s="2">
        <v>2019.0</v>
      </c>
      <c r="F4710" s="2">
        <v>2021.0</v>
      </c>
      <c r="G4710" s="2">
        <v>1.156E7</v>
      </c>
    </row>
    <row r="4711" ht="14.25" customHeight="1">
      <c r="A4711" s="1" t="s">
        <v>1643</v>
      </c>
      <c r="B4711" s="1" t="s">
        <v>20</v>
      </c>
      <c r="C4711" s="2" t="s">
        <v>69</v>
      </c>
      <c r="D4711" s="2">
        <v>7.5</v>
      </c>
      <c r="E4711" s="2">
        <v>2019.0</v>
      </c>
      <c r="F4711" s="2">
        <v>2021.0</v>
      </c>
      <c r="G4711" s="2">
        <v>7.594E7</v>
      </c>
    </row>
    <row r="4712" ht="14.25" customHeight="1">
      <c r="A4712" s="1" t="s">
        <v>1643</v>
      </c>
      <c r="B4712" s="1" t="s">
        <v>20</v>
      </c>
      <c r="C4712" s="2" t="s">
        <v>69</v>
      </c>
      <c r="D4712" s="2">
        <v>7.5</v>
      </c>
      <c r="E4712" s="2">
        <v>2019.0</v>
      </c>
      <c r="F4712" s="2">
        <v>2021.0</v>
      </c>
      <c r="G4712" s="2">
        <v>1.226E7</v>
      </c>
    </row>
    <row r="4713" ht="14.25" customHeight="1">
      <c r="A4713" s="1" t="s">
        <v>1643</v>
      </c>
      <c r="B4713" s="1" t="s">
        <v>20</v>
      </c>
      <c r="C4713" s="2" t="s">
        <v>69</v>
      </c>
      <c r="D4713" s="2">
        <v>7.5</v>
      </c>
      <c r="E4713" s="2">
        <v>2019.0</v>
      </c>
      <c r="F4713" s="2">
        <v>2021.0</v>
      </c>
      <c r="G4713" s="2">
        <v>1.344E7</v>
      </c>
    </row>
    <row r="4714" ht="14.25" customHeight="1">
      <c r="A4714" s="1" t="s">
        <v>1643</v>
      </c>
      <c r="B4714" s="1" t="s">
        <v>20</v>
      </c>
      <c r="C4714" s="2" t="s">
        <v>69</v>
      </c>
      <c r="D4714" s="2">
        <v>7.5</v>
      </c>
      <c r="E4714" s="2">
        <v>2019.0</v>
      </c>
      <c r="F4714" s="2">
        <v>2021.0</v>
      </c>
      <c r="G4714" s="2">
        <v>1.689E7</v>
      </c>
    </row>
    <row r="4715" ht="14.25" customHeight="1">
      <c r="A4715" s="1" t="s">
        <v>1643</v>
      </c>
      <c r="B4715" s="1" t="s">
        <v>20</v>
      </c>
      <c r="C4715" s="2" t="s">
        <v>69</v>
      </c>
      <c r="D4715" s="2">
        <v>7.5</v>
      </c>
      <c r="E4715" s="2">
        <v>2019.0</v>
      </c>
      <c r="F4715" s="2">
        <v>2021.0</v>
      </c>
      <c r="G4715" s="2">
        <v>9550000.0</v>
      </c>
    </row>
    <row r="4716" ht="14.25" customHeight="1">
      <c r="A4716" s="1" t="s">
        <v>4057</v>
      </c>
      <c r="B4716" s="1" t="s">
        <v>20</v>
      </c>
      <c r="C4716" s="2" t="s">
        <v>335</v>
      </c>
      <c r="D4716" s="2">
        <v>7.5</v>
      </c>
      <c r="E4716" s="2">
        <v>1970.0</v>
      </c>
      <c r="F4716" s="2" t="s">
        <v>10</v>
      </c>
      <c r="G4716" s="2" t="s">
        <v>10</v>
      </c>
    </row>
    <row r="4717" ht="14.25" customHeight="1">
      <c r="A4717" s="1" t="s">
        <v>4058</v>
      </c>
      <c r="B4717" s="1" t="s">
        <v>20</v>
      </c>
      <c r="C4717" s="2" t="s">
        <v>9</v>
      </c>
      <c r="D4717" s="2">
        <v>7.5</v>
      </c>
      <c r="E4717" s="2">
        <v>1994.0</v>
      </c>
      <c r="F4717" s="2" t="s">
        <v>10</v>
      </c>
      <c r="G4717" s="2" t="s">
        <v>10</v>
      </c>
    </row>
    <row r="4718" ht="14.25" customHeight="1">
      <c r="A4718" s="1" t="s">
        <v>4059</v>
      </c>
      <c r="B4718" s="1" t="s">
        <v>20</v>
      </c>
      <c r="C4718" s="2" t="s">
        <v>154</v>
      </c>
      <c r="D4718" s="2">
        <v>7.5</v>
      </c>
      <c r="E4718" s="2">
        <v>1970.0</v>
      </c>
      <c r="F4718" s="2" t="s">
        <v>10</v>
      </c>
      <c r="G4718" s="2" t="s">
        <v>10</v>
      </c>
    </row>
    <row r="4719" ht="14.25" customHeight="1">
      <c r="A4719" s="1" t="s">
        <v>4060</v>
      </c>
      <c r="B4719" s="1" t="s">
        <v>20</v>
      </c>
      <c r="C4719" s="2" t="s">
        <v>187</v>
      </c>
      <c r="D4719" s="2">
        <v>7.5</v>
      </c>
      <c r="E4719" s="2">
        <v>1950.0</v>
      </c>
      <c r="F4719" s="2" t="s">
        <v>10</v>
      </c>
      <c r="G4719" s="2" t="s">
        <v>10</v>
      </c>
    </row>
    <row r="4720" ht="14.25" customHeight="1">
      <c r="A4720" s="1" t="s">
        <v>4061</v>
      </c>
      <c r="B4720" s="1" t="s">
        <v>8</v>
      </c>
      <c r="C4720" s="2" t="s">
        <v>53</v>
      </c>
      <c r="D4720" s="2">
        <v>7.5</v>
      </c>
      <c r="E4720" s="2">
        <v>2015.0</v>
      </c>
      <c r="F4720" s="2" t="s">
        <v>10</v>
      </c>
      <c r="G4720" s="2" t="s">
        <v>10</v>
      </c>
    </row>
    <row r="4721" ht="14.25" customHeight="1">
      <c r="A4721" s="1" t="s">
        <v>4062</v>
      </c>
      <c r="B4721" s="1" t="s">
        <v>20</v>
      </c>
      <c r="C4721" s="2" t="s">
        <v>833</v>
      </c>
      <c r="D4721" s="2">
        <v>7.5</v>
      </c>
      <c r="E4721" s="2">
        <v>1938.0</v>
      </c>
      <c r="F4721" s="2" t="s">
        <v>10</v>
      </c>
      <c r="G4721" s="2" t="s">
        <v>10</v>
      </c>
    </row>
    <row r="4722" ht="14.25" customHeight="1">
      <c r="A4722" s="1" t="s">
        <v>4063</v>
      </c>
      <c r="B4722" s="1" t="s">
        <v>8</v>
      </c>
      <c r="C4722" s="2" t="s">
        <v>34</v>
      </c>
      <c r="D4722" s="2">
        <v>7.5</v>
      </c>
      <c r="E4722" s="2">
        <v>2019.0</v>
      </c>
      <c r="F4722" s="2" t="s">
        <v>10</v>
      </c>
      <c r="G4722" s="2" t="s">
        <v>10</v>
      </c>
    </row>
    <row r="4723" ht="14.25" customHeight="1">
      <c r="A4723" s="1" t="s">
        <v>4064</v>
      </c>
      <c r="B4723" s="1" t="s">
        <v>20</v>
      </c>
      <c r="C4723" s="2" t="s">
        <v>18</v>
      </c>
      <c r="D4723" s="2">
        <v>7.5</v>
      </c>
      <c r="E4723" s="2">
        <v>2008.0</v>
      </c>
      <c r="F4723" s="2" t="s">
        <v>10</v>
      </c>
      <c r="G4723" s="2" t="s">
        <v>10</v>
      </c>
    </row>
    <row r="4724" ht="14.25" customHeight="1">
      <c r="A4724" s="1" t="s">
        <v>4065</v>
      </c>
      <c r="B4724" s="1" t="s">
        <v>8</v>
      </c>
      <c r="C4724" s="2" t="s">
        <v>53</v>
      </c>
      <c r="D4724" s="2">
        <v>7.5</v>
      </c>
      <c r="E4724" s="2">
        <v>2016.0</v>
      </c>
      <c r="F4724" s="2">
        <v>2016.0</v>
      </c>
      <c r="G4724" s="2" t="s">
        <v>10</v>
      </c>
    </row>
    <row r="4725" ht="14.25" customHeight="1">
      <c r="A4725" s="1" t="s">
        <v>4066</v>
      </c>
      <c r="B4725" s="1" t="s">
        <v>20</v>
      </c>
      <c r="C4725" s="2" t="s">
        <v>530</v>
      </c>
      <c r="D4725" s="2">
        <v>7.5</v>
      </c>
      <c r="E4725" s="2">
        <v>1990.0</v>
      </c>
      <c r="F4725" s="2" t="s">
        <v>10</v>
      </c>
      <c r="G4725" s="2" t="s">
        <v>10</v>
      </c>
    </row>
    <row r="4726" ht="14.25" customHeight="1">
      <c r="A4726" s="1" t="s">
        <v>4067</v>
      </c>
      <c r="B4726" s="1" t="s">
        <v>20</v>
      </c>
      <c r="C4726" s="2" t="s">
        <v>154</v>
      </c>
      <c r="D4726" s="2">
        <v>7.5</v>
      </c>
      <c r="E4726" s="2">
        <v>1966.0</v>
      </c>
      <c r="F4726" s="2" t="s">
        <v>10</v>
      </c>
      <c r="G4726" s="2" t="s">
        <v>10</v>
      </c>
    </row>
    <row r="4727" ht="14.25" customHeight="1">
      <c r="A4727" s="1" t="s">
        <v>4068</v>
      </c>
      <c r="B4727" s="1" t="s">
        <v>20</v>
      </c>
      <c r="C4727" s="2" t="s">
        <v>184</v>
      </c>
      <c r="D4727" s="2">
        <v>7.5</v>
      </c>
      <c r="E4727" s="2">
        <v>1995.0</v>
      </c>
      <c r="F4727" s="2" t="s">
        <v>10</v>
      </c>
      <c r="G4727" s="2" t="s">
        <v>10</v>
      </c>
    </row>
    <row r="4728" ht="14.25" customHeight="1">
      <c r="A4728" s="1" t="s">
        <v>4069</v>
      </c>
      <c r="B4728" s="1" t="s">
        <v>20</v>
      </c>
      <c r="C4728" s="2" t="s">
        <v>299</v>
      </c>
      <c r="D4728" s="2">
        <v>7.5</v>
      </c>
      <c r="E4728" s="2">
        <v>1965.0</v>
      </c>
      <c r="F4728" s="2" t="s">
        <v>10</v>
      </c>
      <c r="G4728" s="2" t="s">
        <v>10</v>
      </c>
    </row>
    <row r="4729" ht="14.25" customHeight="1">
      <c r="A4729" s="1" t="s">
        <v>4070</v>
      </c>
      <c r="B4729" s="1" t="s">
        <v>8</v>
      </c>
      <c r="C4729" s="2" t="s">
        <v>328</v>
      </c>
      <c r="D4729" s="2">
        <v>7.5</v>
      </c>
      <c r="E4729" s="2">
        <v>1985.0</v>
      </c>
      <c r="F4729" s="2" t="s">
        <v>10</v>
      </c>
      <c r="G4729" s="2" t="s">
        <v>10</v>
      </c>
    </row>
    <row r="4730" ht="14.25" customHeight="1">
      <c r="A4730" s="1" t="s">
        <v>4071</v>
      </c>
      <c r="B4730" s="1" t="s">
        <v>20</v>
      </c>
      <c r="C4730" s="2" t="s">
        <v>18</v>
      </c>
      <c r="D4730" s="2">
        <v>7.5</v>
      </c>
      <c r="E4730" s="2">
        <v>1999.0</v>
      </c>
      <c r="F4730" s="2" t="s">
        <v>10</v>
      </c>
      <c r="G4730" s="2" t="s">
        <v>10</v>
      </c>
    </row>
    <row r="4731" ht="14.25" customHeight="1">
      <c r="A4731" s="1" t="s">
        <v>4072</v>
      </c>
      <c r="B4731" s="1" t="s">
        <v>20</v>
      </c>
      <c r="C4731" s="2" t="s">
        <v>32</v>
      </c>
      <c r="D4731" s="2">
        <v>7.5</v>
      </c>
      <c r="E4731" s="2">
        <v>2016.0</v>
      </c>
      <c r="F4731" s="2" t="s">
        <v>10</v>
      </c>
      <c r="G4731" s="2" t="s">
        <v>10</v>
      </c>
    </row>
    <row r="4732" ht="14.25" customHeight="1">
      <c r="A4732" s="1" t="s">
        <v>4073</v>
      </c>
      <c r="B4732" s="1" t="s">
        <v>20</v>
      </c>
      <c r="C4732" s="2" t="s">
        <v>3448</v>
      </c>
      <c r="D4732" s="2">
        <v>7.5</v>
      </c>
      <c r="E4732" s="2">
        <v>2001.0</v>
      </c>
      <c r="F4732" s="2" t="s">
        <v>10</v>
      </c>
      <c r="G4732" s="2" t="s">
        <v>10</v>
      </c>
    </row>
    <row r="4733" ht="14.25" customHeight="1">
      <c r="A4733" s="1" t="s">
        <v>4074</v>
      </c>
      <c r="B4733" s="1" t="s">
        <v>20</v>
      </c>
      <c r="C4733" s="2" t="s">
        <v>311</v>
      </c>
      <c r="D4733" s="2">
        <v>7.5</v>
      </c>
      <c r="E4733" s="2">
        <v>2020.0</v>
      </c>
      <c r="F4733" s="2" t="s">
        <v>10</v>
      </c>
      <c r="G4733" s="2" t="s">
        <v>10</v>
      </c>
    </row>
    <row r="4734" ht="14.25" customHeight="1">
      <c r="A4734" s="1" t="s">
        <v>4075</v>
      </c>
      <c r="B4734" s="1" t="s">
        <v>20</v>
      </c>
      <c r="C4734" s="2" t="s">
        <v>184</v>
      </c>
      <c r="D4734" s="2">
        <v>7.5</v>
      </c>
      <c r="E4734" s="2">
        <v>2004.0</v>
      </c>
      <c r="F4734" s="2">
        <v>2015.0</v>
      </c>
      <c r="G4734" s="2" t="s">
        <v>10</v>
      </c>
    </row>
    <row r="4735" ht="14.25" customHeight="1">
      <c r="A4735" s="1" t="s">
        <v>4076</v>
      </c>
      <c r="B4735" s="1" t="s">
        <v>20</v>
      </c>
      <c r="C4735" s="2" t="s">
        <v>18</v>
      </c>
      <c r="D4735" s="2">
        <v>7.5</v>
      </c>
      <c r="E4735" s="2">
        <v>1959.0</v>
      </c>
      <c r="F4735" s="2" t="s">
        <v>10</v>
      </c>
      <c r="G4735" s="2" t="s">
        <v>10</v>
      </c>
    </row>
    <row r="4736" ht="14.25" customHeight="1">
      <c r="A4736" s="1" t="s">
        <v>4077</v>
      </c>
      <c r="B4736" s="1" t="s">
        <v>20</v>
      </c>
      <c r="C4736" s="2" t="s">
        <v>69</v>
      </c>
      <c r="D4736" s="2">
        <v>7.5</v>
      </c>
      <c r="E4736" s="2">
        <v>1990.0</v>
      </c>
      <c r="F4736" s="2" t="s">
        <v>10</v>
      </c>
      <c r="G4736" s="2" t="s">
        <v>10</v>
      </c>
    </row>
    <row r="4737" ht="14.25" customHeight="1">
      <c r="A4737" s="1" t="s">
        <v>4078</v>
      </c>
      <c r="B4737" s="1" t="s">
        <v>20</v>
      </c>
      <c r="C4737" s="2" t="s">
        <v>844</v>
      </c>
      <c r="D4737" s="2">
        <v>7.5</v>
      </c>
      <c r="E4737" s="2">
        <v>1947.0</v>
      </c>
      <c r="F4737" s="2" t="s">
        <v>10</v>
      </c>
      <c r="G4737" s="2" t="s">
        <v>10</v>
      </c>
    </row>
    <row r="4738" ht="14.25" customHeight="1">
      <c r="A4738" s="1" t="s">
        <v>4079</v>
      </c>
      <c r="B4738" s="1" t="s">
        <v>20</v>
      </c>
      <c r="C4738" s="2" t="s">
        <v>18</v>
      </c>
      <c r="D4738" s="2">
        <v>7.5</v>
      </c>
      <c r="E4738" s="2">
        <v>2010.0</v>
      </c>
      <c r="F4738" s="2" t="s">
        <v>10</v>
      </c>
      <c r="G4738" s="2" t="s">
        <v>10</v>
      </c>
    </row>
    <row r="4739" ht="14.25" customHeight="1">
      <c r="A4739" s="1" t="s">
        <v>4080</v>
      </c>
      <c r="B4739" s="1" t="s">
        <v>20</v>
      </c>
      <c r="C4739" s="2" t="s">
        <v>591</v>
      </c>
      <c r="D4739" s="2">
        <v>7.5</v>
      </c>
      <c r="E4739" s="2">
        <v>2012.0</v>
      </c>
      <c r="F4739" s="2" t="s">
        <v>10</v>
      </c>
      <c r="G4739" s="2" t="s">
        <v>10</v>
      </c>
    </row>
    <row r="4740" ht="14.25" customHeight="1">
      <c r="A4740" s="1" t="s">
        <v>4081</v>
      </c>
      <c r="B4740" s="1" t="s">
        <v>20</v>
      </c>
      <c r="C4740" s="2" t="s">
        <v>154</v>
      </c>
      <c r="D4740" s="2">
        <v>7.5</v>
      </c>
      <c r="E4740" s="2">
        <v>2023.0</v>
      </c>
      <c r="F4740" s="2" t="s">
        <v>10</v>
      </c>
      <c r="G4740" s="2">
        <v>2300000.0</v>
      </c>
    </row>
    <row r="4741" ht="14.25" customHeight="1">
      <c r="A4741" s="1" t="s">
        <v>4081</v>
      </c>
      <c r="B4741" s="1" t="s">
        <v>20</v>
      </c>
      <c r="C4741" s="2" t="s">
        <v>154</v>
      </c>
      <c r="D4741" s="2">
        <v>7.5</v>
      </c>
      <c r="E4741" s="2">
        <v>2023.0</v>
      </c>
      <c r="F4741" s="2" t="s">
        <v>10</v>
      </c>
      <c r="G4741" s="2">
        <v>2700000.0</v>
      </c>
    </row>
    <row r="4742" ht="14.25" customHeight="1">
      <c r="A4742" s="1" t="s">
        <v>4081</v>
      </c>
      <c r="B4742" s="1" t="s">
        <v>20</v>
      </c>
      <c r="C4742" s="2" t="s">
        <v>154</v>
      </c>
      <c r="D4742" s="2">
        <v>7.5</v>
      </c>
      <c r="E4742" s="2">
        <v>2023.0</v>
      </c>
      <c r="F4742" s="2" t="s">
        <v>10</v>
      </c>
      <c r="G4742" s="2">
        <v>3900000.0</v>
      </c>
    </row>
    <row r="4743" ht="14.25" customHeight="1">
      <c r="A4743" s="1" t="s">
        <v>4081</v>
      </c>
      <c r="B4743" s="1" t="s">
        <v>20</v>
      </c>
      <c r="C4743" s="2" t="s">
        <v>154</v>
      </c>
      <c r="D4743" s="2">
        <v>7.5</v>
      </c>
      <c r="E4743" s="2">
        <v>2023.0</v>
      </c>
      <c r="F4743" s="2" t="s">
        <v>10</v>
      </c>
      <c r="G4743" s="2">
        <v>4800000.0</v>
      </c>
    </row>
    <row r="4744" ht="14.25" customHeight="1">
      <c r="A4744" s="1" t="s">
        <v>4081</v>
      </c>
      <c r="B4744" s="1" t="s">
        <v>20</v>
      </c>
      <c r="C4744" s="2" t="s">
        <v>154</v>
      </c>
      <c r="D4744" s="2">
        <v>7.5</v>
      </c>
      <c r="E4744" s="2">
        <v>2023.0</v>
      </c>
      <c r="F4744" s="2" t="s">
        <v>10</v>
      </c>
      <c r="G4744" s="2">
        <v>8300000.0</v>
      </c>
    </row>
    <row r="4745" ht="14.25" customHeight="1">
      <c r="A4745" s="1" t="s">
        <v>4081</v>
      </c>
      <c r="B4745" s="1" t="s">
        <v>20</v>
      </c>
      <c r="C4745" s="2" t="s">
        <v>154</v>
      </c>
      <c r="D4745" s="2">
        <v>7.5</v>
      </c>
      <c r="E4745" s="2">
        <v>2023.0</v>
      </c>
      <c r="F4745" s="2" t="s">
        <v>10</v>
      </c>
      <c r="G4745" s="2">
        <v>1.58E7</v>
      </c>
    </row>
    <row r="4746" ht="14.25" customHeight="1">
      <c r="A4746" s="1" t="s">
        <v>4081</v>
      </c>
      <c r="B4746" s="1" t="s">
        <v>20</v>
      </c>
      <c r="C4746" s="2" t="s">
        <v>154</v>
      </c>
      <c r="D4746" s="2">
        <v>7.5</v>
      </c>
      <c r="E4746" s="2">
        <v>2023.0</v>
      </c>
      <c r="F4746" s="2" t="s">
        <v>10</v>
      </c>
      <c r="G4746" s="2">
        <v>2.45E7</v>
      </c>
    </row>
    <row r="4747" ht="14.25" customHeight="1">
      <c r="A4747" s="1" t="s">
        <v>4081</v>
      </c>
      <c r="B4747" s="1" t="s">
        <v>20</v>
      </c>
      <c r="C4747" s="2" t="s">
        <v>154</v>
      </c>
      <c r="D4747" s="2">
        <v>7.5</v>
      </c>
      <c r="E4747" s="2">
        <v>2023.0</v>
      </c>
      <c r="F4747" s="2" t="s">
        <v>10</v>
      </c>
      <c r="G4747" s="2">
        <v>2.78E7</v>
      </c>
    </row>
    <row r="4748" ht="14.25" customHeight="1">
      <c r="A4748" s="1" t="s">
        <v>4082</v>
      </c>
      <c r="B4748" s="1" t="s">
        <v>8</v>
      </c>
      <c r="C4748" s="2" t="s">
        <v>25</v>
      </c>
      <c r="D4748" s="2">
        <v>7.5</v>
      </c>
      <c r="E4748" s="2">
        <v>2020.0</v>
      </c>
      <c r="F4748" s="2">
        <v>2021.0</v>
      </c>
      <c r="G4748" s="2">
        <v>1.742E7</v>
      </c>
    </row>
    <row r="4749" ht="14.25" customHeight="1">
      <c r="A4749" s="1" t="s">
        <v>4082</v>
      </c>
      <c r="B4749" s="1" t="s">
        <v>8</v>
      </c>
      <c r="C4749" s="2" t="s">
        <v>25</v>
      </c>
      <c r="D4749" s="2">
        <v>7.5</v>
      </c>
      <c r="E4749" s="2">
        <v>2020.0</v>
      </c>
      <c r="F4749" s="2">
        <v>2021.0</v>
      </c>
      <c r="G4749" s="2">
        <v>1.69E7</v>
      </c>
    </row>
    <row r="4750" ht="14.25" customHeight="1">
      <c r="A4750" s="1" t="s">
        <v>4083</v>
      </c>
      <c r="B4750" s="1" t="s">
        <v>20</v>
      </c>
      <c r="C4750" s="2" t="s">
        <v>18</v>
      </c>
      <c r="D4750" s="2">
        <v>7.5</v>
      </c>
      <c r="E4750" s="2">
        <v>2002.0</v>
      </c>
      <c r="F4750" s="2" t="s">
        <v>10</v>
      </c>
      <c r="G4750" s="2" t="s">
        <v>10</v>
      </c>
    </row>
    <row r="4751" ht="14.25" customHeight="1">
      <c r="A4751" s="1" t="s">
        <v>4084</v>
      </c>
      <c r="B4751" s="1" t="s">
        <v>20</v>
      </c>
      <c r="C4751" s="2" t="s">
        <v>187</v>
      </c>
      <c r="D4751" s="2">
        <v>7.5</v>
      </c>
      <c r="E4751" s="2">
        <v>2003.0</v>
      </c>
      <c r="F4751" s="2" t="s">
        <v>10</v>
      </c>
      <c r="G4751" s="2" t="s">
        <v>10</v>
      </c>
    </row>
    <row r="4752" ht="14.25" customHeight="1">
      <c r="A4752" s="1" t="s">
        <v>4085</v>
      </c>
      <c r="B4752" s="1" t="s">
        <v>8</v>
      </c>
      <c r="C4752" s="2" t="s">
        <v>497</v>
      </c>
      <c r="D4752" s="2">
        <v>7.5</v>
      </c>
      <c r="E4752" s="2">
        <v>2024.0</v>
      </c>
      <c r="F4752" s="2" t="s">
        <v>10</v>
      </c>
      <c r="G4752" s="2" t="s">
        <v>10</v>
      </c>
    </row>
    <row r="4753" ht="14.25" customHeight="1">
      <c r="A4753" s="1" t="s">
        <v>4086</v>
      </c>
      <c r="B4753" s="1" t="s">
        <v>20</v>
      </c>
      <c r="C4753" s="2" t="s">
        <v>154</v>
      </c>
      <c r="D4753" s="2">
        <v>7.5</v>
      </c>
      <c r="E4753" s="2">
        <v>1972.0</v>
      </c>
      <c r="F4753" s="2" t="s">
        <v>10</v>
      </c>
      <c r="G4753" s="2" t="s">
        <v>10</v>
      </c>
    </row>
    <row r="4754" ht="14.25" customHeight="1">
      <c r="A4754" s="1" t="s">
        <v>4087</v>
      </c>
      <c r="B4754" s="1" t="s">
        <v>8</v>
      </c>
      <c r="C4754" s="2" t="s">
        <v>18</v>
      </c>
      <c r="D4754" s="2">
        <v>7.5</v>
      </c>
      <c r="E4754" s="2">
        <v>2020.0</v>
      </c>
      <c r="F4754" s="2">
        <v>2020.0</v>
      </c>
      <c r="G4754" s="2" t="s">
        <v>10</v>
      </c>
    </row>
    <row r="4755" ht="14.25" customHeight="1">
      <c r="A4755" s="1" t="s">
        <v>4088</v>
      </c>
      <c r="B4755" s="1" t="s">
        <v>20</v>
      </c>
      <c r="C4755" s="2" t="s">
        <v>611</v>
      </c>
      <c r="D4755" s="2">
        <v>7.5</v>
      </c>
      <c r="E4755" s="2">
        <v>2016.0</v>
      </c>
      <c r="F4755" s="2" t="s">
        <v>10</v>
      </c>
      <c r="G4755" s="2" t="s">
        <v>10</v>
      </c>
    </row>
    <row r="4756" ht="14.25" customHeight="1">
      <c r="A4756" s="1" t="s">
        <v>4089</v>
      </c>
      <c r="B4756" s="1" t="s">
        <v>20</v>
      </c>
      <c r="C4756" s="2" t="s">
        <v>67</v>
      </c>
      <c r="D4756" s="2">
        <v>7.5</v>
      </c>
      <c r="E4756" s="2">
        <v>2022.0</v>
      </c>
      <c r="F4756" s="2" t="s">
        <v>10</v>
      </c>
      <c r="G4756" s="2" t="s">
        <v>10</v>
      </c>
    </row>
    <row r="4757" ht="14.25" customHeight="1">
      <c r="A4757" s="1" t="s">
        <v>4090</v>
      </c>
      <c r="B4757" s="1" t="s">
        <v>20</v>
      </c>
      <c r="C4757" s="2" t="s">
        <v>845</v>
      </c>
      <c r="D4757" s="2">
        <v>7.5</v>
      </c>
      <c r="E4757" s="2">
        <v>1924.0</v>
      </c>
      <c r="F4757" s="2" t="s">
        <v>10</v>
      </c>
      <c r="G4757" s="2" t="s">
        <v>10</v>
      </c>
    </row>
    <row r="4758" ht="14.25" customHeight="1">
      <c r="A4758" s="1" t="s">
        <v>4091</v>
      </c>
      <c r="B4758" s="1" t="s">
        <v>20</v>
      </c>
      <c r="C4758" s="2" t="s">
        <v>3117</v>
      </c>
      <c r="D4758" s="2">
        <v>7.5</v>
      </c>
      <c r="E4758" s="2">
        <v>1940.0</v>
      </c>
      <c r="F4758" s="2" t="s">
        <v>10</v>
      </c>
      <c r="G4758" s="2" t="s">
        <v>10</v>
      </c>
    </row>
    <row r="4759" ht="14.25" customHeight="1">
      <c r="A4759" s="1" t="s">
        <v>4092</v>
      </c>
      <c r="B4759" s="1" t="s">
        <v>20</v>
      </c>
      <c r="C4759" s="2" t="s">
        <v>4093</v>
      </c>
      <c r="D4759" s="2">
        <v>7.5</v>
      </c>
      <c r="E4759" s="2">
        <v>2018.0</v>
      </c>
      <c r="F4759" s="2" t="s">
        <v>10</v>
      </c>
      <c r="G4759" s="2" t="s">
        <v>10</v>
      </c>
    </row>
    <row r="4760" ht="14.25" customHeight="1">
      <c r="A4760" s="1" t="s">
        <v>4094</v>
      </c>
      <c r="B4760" s="1" t="s">
        <v>20</v>
      </c>
      <c r="C4760" s="2" t="s">
        <v>36</v>
      </c>
      <c r="D4760" s="2">
        <v>7.5</v>
      </c>
      <c r="E4760" s="2">
        <v>1978.0</v>
      </c>
      <c r="F4760" s="2" t="s">
        <v>10</v>
      </c>
      <c r="G4760" s="2" t="s">
        <v>10</v>
      </c>
    </row>
    <row r="4761" ht="14.25" customHeight="1">
      <c r="A4761" s="1" t="s">
        <v>4095</v>
      </c>
      <c r="B4761" s="1" t="s">
        <v>8</v>
      </c>
      <c r="C4761" s="2" t="s">
        <v>187</v>
      </c>
      <c r="D4761" s="2">
        <v>7.5</v>
      </c>
      <c r="E4761" s="2">
        <v>1992.0</v>
      </c>
      <c r="F4761" s="2" t="s">
        <v>10</v>
      </c>
      <c r="G4761" s="2" t="s">
        <v>10</v>
      </c>
    </row>
    <row r="4762" ht="14.25" customHeight="1">
      <c r="A4762" s="1" t="s">
        <v>4096</v>
      </c>
      <c r="B4762" s="1" t="s">
        <v>20</v>
      </c>
      <c r="C4762" s="2" t="s">
        <v>63</v>
      </c>
      <c r="D4762" s="2">
        <v>7.5</v>
      </c>
      <c r="E4762" s="2">
        <v>1958.0</v>
      </c>
      <c r="F4762" s="2" t="s">
        <v>10</v>
      </c>
      <c r="G4762" s="2" t="s">
        <v>10</v>
      </c>
    </row>
    <row r="4763" ht="14.25" customHeight="1">
      <c r="A4763" s="1" t="s">
        <v>4097</v>
      </c>
      <c r="B4763" s="1" t="s">
        <v>20</v>
      </c>
      <c r="C4763" s="2" t="s">
        <v>844</v>
      </c>
      <c r="D4763" s="2">
        <v>7.5</v>
      </c>
      <c r="E4763" s="2">
        <v>1955.0</v>
      </c>
      <c r="F4763" s="2" t="s">
        <v>10</v>
      </c>
      <c r="G4763" s="2" t="s">
        <v>10</v>
      </c>
    </row>
    <row r="4764" ht="14.25" customHeight="1">
      <c r="A4764" s="1" t="s">
        <v>4098</v>
      </c>
      <c r="B4764" s="1" t="s">
        <v>8</v>
      </c>
      <c r="C4764" s="2" t="s">
        <v>339</v>
      </c>
      <c r="D4764" s="2">
        <v>7.5</v>
      </c>
      <c r="E4764" s="2">
        <v>2012.0</v>
      </c>
      <c r="F4764" s="2" t="s">
        <v>10</v>
      </c>
      <c r="G4764" s="2" t="s">
        <v>10</v>
      </c>
    </row>
    <row r="4765" ht="14.25" customHeight="1">
      <c r="A4765" s="1" t="s">
        <v>4099</v>
      </c>
      <c r="B4765" s="1" t="s">
        <v>20</v>
      </c>
      <c r="C4765" s="2" t="s">
        <v>154</v>
      </c>
      <c r="D4765" s="2">
        <v>7.5</v>
      </c>
      <c r="E4765" s="2">
        <v>2002.0</v>
      </c>
      <c r="F4765" s="2" t="s">
        <v>10</v>
      </c>
      <c r="G4765" s="2" t="s">
        <v>10</v>
      </c>
    </row>
    <row r="4766" ht="14.25" customHeight="1">
      <c r="A4766" s="1" t="s">
        <v>4100</v>
      </c>
      <c r="B4766" s="1" t="s">
        <v>20</v>
      </c>
      <c r="C4766" s="2" t="s">
        <v>63</v>
      </c>
      <c r="D4766" s="2">
        <v>7.5</v>
      </c>
      <c r="E4766" s="2">
        <v>1971.0</v>
      </c>
      <c r="F4766" s="2" t="s">
        <v>10</v>
      </c>
      <c r="G4766" s="2" t="s">
        <v>10</v>
      </c>
    </row>
    <row r="4767" ht="14.25" customHeight="1">
      <c r="A4767" s="1" t="s">
        <v>4101</v>
      </c>
      <c r="B4767" s="1" t="s">
        <v>8</v>
      </c>
      <c r="C4767" s="2" t="s">
        <v>69</v>
      </c>
      <c r="D4767" s="2">
        <v>7.5</v>
      </c>
      <c r="E4767" s="2">
        <v>1997.0</v>
      </c>
      <c r="F4767" s="2" t="s">
        <v>10</v>
      </c>
      <c r="G4767" s="2" t="s">
        <v>10</v>
      </c>
    </row>
    <row r="4768" ht="14.25" customHeight="1">
      <c r="A4768" s="1" t="s">
        <v>4102</v>
      </c>
      <c r="B4768" s="1" t="s">
        <v>20</v>
      </c>
      <c r="C4768" s="2" t="s">
        <v>328</v>
      </c>
      <c r="D4768" s="2">
        <v>7.5</v>
      </c>
      <c r="E4768" s="2">
        <v>1998.0</v>
      </c>
      <c r="F4768" s="2" t="s">
        <v>10</v>
      </c>
      <c r="G4768" s="2" t="s">
        <v>10</v>
      </c>
    </row>
    <row r="4769" ht="14.25" customHeight="1">
      <c r="A4769" s="1" t="s">
        <v>4103</v>
      </c>
      <c r="B4769" s="1" t="s">
        <v>8</v>
      </c>
      <c r="C4769" s="2" t="s">
        <v>32</v>
      </c>
      <c r="D4769" s="2">
        <v>7.5</v>
      </c>
      <c r="E4769" s="2">
        <v>1975.0</v>
      </c>
      <c r="F4769" s="2" t="s">
        <v>10</v>
      </c>
      <c r="G4769" s="2" t="s">
        <v>10</v>
      </c>
    </row>
    <row r="4770" ht="14.25" customHeight="1">
      <c r="A4770" s="1" t="s">
        <v>4104</v>
      </c>
      <c r="B4770" s="1" t="s">
        <v>20</v>
      </c>
      <c r="C4770" s="2" t="s">
        <v>217</v>
      </c>
      <c r="D4770" s="2">
        <v>7.5</v>
      </c>
      <c r="E4770" s="2">
        <v>1999.0</v>
      </c>
      <c r="F4770" s="2" t="s">
        <v>10</v>
      </c>
      <c r="G4770" s="2" t="s">
        <v>10</v>
      </c>
    </row>
    <row r="4771" ht="14.25" customHeight="1">
      <c r="A4771" s="1" t="s">
        <v>707</v>
      </c>
      <c r="B4771" s="1" t="s">
        <v>8</v>
      </c>
      <c r="C4771" s="2" t="s">
        <v>53</v>
      </c>
      <c r="D4771" s="2">
        <v>7.5</v>
      </c>
      <c r="E4771" s="2">
        <v>2008.0</v>
      </c>
      <c r="F4771" s="2" t="s">
        <v>10</v>
      </c>
      <c r="G4771" s="2" t="s">
        <v>10</v>
      </c>
    </row>
    <row r="4772" ht="14.25" customHeight="1">
      <c r="A4772" s="1" t="s">
        <v>4105</v>
      </c>
      <c r="B4772" s="1" t="s">
        <v>20</v>
      </c>
      <c r="C4772" s="2" t="s">
        <v>766</v>
      </c>
      <c r="D4772" s="2">
        <v>7.5</v>
      </c>
      <c r="E4772" s="2">
        <v>1994.0</v>
      </c>
      <c r="F4772" s="2" t="s">
        <v>10</v>
      </c>
      <c r="G4772" s="2" t="s">
        <v>10</v>
      </c>
    </row>
    <row r="4773" ht="14.25" customHeight="1">
      <c r="A4773" s="1" t="s">
        <v>4106</v>
      </c>
      <c r="B4773" s="1" t="s">
        <v>8</v>
      </c>
      <c r="C4773" s="2" t="s">
        <v>32</v>
      </c>
      <c r="D4773" s="2">
        <v>7.5</v>
      </c>
      <c r="E4773" s="2">
        <v>2000.0</v>
      </c>
      <c r="F4773" s="2" t="s">
        <v>10</v>
      </c>
      <c r="G4773" s="2" t="s">
        <v>10</v>
      </c>
    </row>
    <row r="4774" ht="14.25" customHeight="1">
      <c r="A4774" s="1" t="s">
        <v>4107</v>
      </c>
      <c r="B4774" s="1" t="s">
        <v>20</v>
      </c>
      <c r="C4774" s="2" t="s">
        <v>32</v>
      </c>
      <c r="D4774" s="2">
        <v>7.5</v>
      </c>
      <c r="E4774" s="2">
        <v>1982.0</v>
      </c>
      <c r="F4774" s="2" t="s">
        <v>10</v>
      </c>
      <c r="G4774" s="2" t="s">
        <v>10</v>
      </c>
    </row>
    <row r="4775" ht="14.25" customHeight="1">
      <c r="A4775" s="1" t="s">
        <v>4108</v>
      </c>
      <c r="B4775" s="1" t="s">
        <v>20</v>
      </c>
      <c r="C4775" s="2" t="s">
        <v>361</v>
      </c>
      <c r="D4775" s="2">
        <v>7.5</v>
      </c>
      <c r="E4775" s="2">
        <v>2020.0</v>
      </c>
      <c r="F4775" s="2" t="s">
        <v>10</v>
      </c>
      <c r="G4775" s="2" t="s">
        <v>10</v>
      </c>
    </row>
    <row r="4776" ht="14.25" customHeight="1">
      <c r="A4776" s="1" t="s">
        <v>4109</v>
      </c>
      <c r="B4776" s="1" t="s">
        <v>20</v>
      </c>
      <c r="C4776" s="2" t="s">
        <v>69</v>
      </c>
      <c r="D4776" s="2">
        <v>7.5</v>
      </c>
      <c r="E4776" s="2">
        <v>2011.0</v>
      </c>
      <c r="F4776" s="2" t="s">
        <v>10</v>
      </c>
      <c r="G4776" s="2" t="s">
        <v>10</v>
      </c>
    </row>
    <row r="4777" ht="14.25" customHeight="1">
      <c r="A4777" s="1" t="s">
        <v>4110</v>
      </c>
      <c r="B4777" s="1" t="s">
        <v>20</v>
      </c>
      <c r="C4777" s="2" t="s">
        <v>299</v>
      </c>
      <c r="D4777" s="2">
        <v>7.5</v>
      </c>
      <c r="E4777" s="2">
        <v>2017.0</v>
      </c>
      <c r="F4777" s="2" t="s">
        <v>10</v>
      </c>
      <c r="G4777" s="2" t="s">
        <v>10</v>
      </c>
    </row>
    <row r="4778" ht="14.25" customHeight="1">
      <c r="A4778" s="1" t="s">
        <v>4111</v>
      </c>
      <c r="B4778" s="1" t="s">
        <v>8</v>
      </c>
      <c r="C4778" s="2" t="s">
        <v>36</v>
      </c>
      <c r="D4778" s="2">
        <v>7.5</v>
      </c>
      <c r="E4778" s="2">
        <v>2017.0</v>
      </c>
      <c r="F4778" s="2">
        <v>2019.0</v>
      </c>
      <c r="G4778" s="2" t="s">
        <v>10</v>
      </c>
    </row>
    <row r="4779" ht="14.25" customHeight="1">
      <c r="A4779" s="1" t="s">
        <v>4112</v>
      </c>
      <c r="B4779" s="1" t="s">
        <v>20</v>
      </c>
      <c r="C4779" s="2" t="s">
        <v>1301</v>
      </c>
      <c r="D4779" s="2">
        <v>7.5</v>
      </c>
      <c r="E4779" s="2">
        <v>2023.0</v>
      </c>
      <c r="F4779" s="2" t="s">
        <v>10</v>
      </c>
      <c r="G4779" s="2" t="s">
        <v>10</v>
      </c>
    </row>
    <row r="4780" ht="14.25" customHeight="1">
      <c r="A4780" s="1" t="s">
        <v>4113</v>
      </c>
      <c r="B4780" s="1" t="s">
        <v>8</v>
      </c>
      <c r="C4780" s="2" t="s">
        <v>262</v>
      </c>
      <c r="D4780" s="2">
        <v>7.5</v>
      </c>
      <c r="E4780" s="2">
        <v>2009.0</v>
      </c>
      <c r="F4780" s="2" t="s">
        <v>10</v>
      </c>
      <c r="G4780" s="2" t="s">
        <v>10</v>
      </c>
    </row>
    <row r="4781" ht="14.25" customHeight="1">
      <c r="A4781" s="1" t="s">
        <v>4114</v>
      </c>
      <c r="B4781" s="1" t="s">
        <v>8</v>
      </c>
      <c r="C4781" s="2" t="s">
        <v>63</v>
      </c>
      <c r="D4781" s="2">
        <v>7.5</v>
      </c>
      <c r="E4781" s="2">
        <v>2011.0</v>
      </c>
      <c r="F4781" s="2" t="s">
        <v>10</v>
      </c>
      <c r="G4781" s="2" t="s">
        <v>10</v>
      </c>
    </row>
    <row r="4782" ht="14.25" customHeight="1">
      <c r="A4782" s="1" t="s">
        <v>183</v>
      </c>
      <c r="B4782" s="1" t="s">
        <v>8</v>
      </c>
      <c r="C4782" s="2" t="s">
        <v>184</v>
      </c>
      <c r="D4782" s="2">
        <v>7.5</v>
      </c>
      <c r="E4782" s="2">
        <v>2018.0</v>
      </c>
      <c r="F4782" s="2" t="s">
        <v>10</v>
      </c>
      <c r="G4782" s="2" t="s">
        <v>10</v>
      </c>
    </row>
    <row r="4783" ht="14.25" customHeight="1">
      <c r="A4783" s="1" t="s">
        <v>4115</v>
      </c>
      <c r="B4783" s="1" t="s">
        <v>20</v>
      </c>
      <c r="C4783" s="2" t="s">
        <v>552</v>
      </c>
      <c r="D4783" s="2">
        <v>7.5</v>
      </c>
      <c r="E4783" s="2">
        <v>2010.0</v>
      </c>
      <c r="F4783" s="2" t="s">
        <v>10</v>
      </c>
      <c r="G4783" s="2" t="s">
        <v>10</v>
      </c>
    </row>
    <row r="4784" ht="14.25" customHeight="1">
      <c r="A4784" s="1" t="s">
        <v>4116</v>
      </c>
      <c r="B4784" s="1" t="s">
        <v>8</v>
      </c>
      <c r="C4784" s="2" t="s">
        <v>253</v>
      </c>
      <c r="D4784" s="2">
        <v>7.5</v>
      </c>
      <c r="E4784" s="2">
        <v>2016.0</v>
      </c>
      <c r="F4784" s="2" t="s">
        <v>10</v>
      </c>
      <c r="G4784" s="2" t="s">
        <v>10</v>
      </c>
    </row>
    <row r="4785" ht="14.25" customHeight="1">
      <c r="A4785" s="1" t="s">
        <v>4117</v>
      </c>
      <c r="B4785" s="1" t="s">
        <v>20</v>
      </c>
      <c r="C4785" s="2" t="s">
        <v>154</v>
      </c>
      <c r="D4785" s="2">
        <v>7.5</v>
      </c>
      <c r="E4785" s="2">
        <v>2021.0</v>
      </c>
      <c r="F4785" s="2" t="s">
        <v>10</v>
      </c>
      <c r="G4785" s="2" t="s">
        <v>10</v>
      </c>
    </row>
    <row r="4786" ht="14.25" customHeight="1">
      <c r="A4786" s="1" t="s">
        <v>4118</v>
      </c>
      <c r="B4786" s="1" t="s">
        <v>20</v>
      </c>
      <c r="C4786" s="2" t="s">
        <v>63</v>
      </c>
      <c r="D4786" s="2">
        <v>7.5</v>
      </c>
      <c r="E4786" s="2">
        <v>1996.0</v>
      </c>
      <c r="F4786" s="2" t="s">
        <v>10</v>
      </c>
      <c r="G4786" s="2" t="s">
        <v>10</v>
      </c>
    </row>
    <row r="4787" ht="14.25" customHeight="1">
      <c r="A4787" s="1" t="s">
        <v>4119</v>
      </c>
      <c r="B4787" s="1" t="s">
        <v>8</v>
      </c>
      <c r="C4787" s="2" t="s">
        <v>18</v>
      </c>
      <c r="D4787" s="2">
        <v>7.5</v>
      </c>
      <c r="E4787" s="2">
        <v>2020.0</v>
      </c>
      <c r="F4787" s="2" t="s">
        <v>10</v>
      </c>
      <c r="G4787" s="2" t="s">
        <v>10</v>
      </c>
    </row>
    <row r="4788" ht="14.25" customHeight="1">
      <c r="A4788" s="1" t="s">
        <v>4120</v>
      </c>
      <c r="B4788" s="1" t="s">
        <v>20</v>
      </c>
      <c r="C4788" s="2" t="s">
        <v>1037</v>
      </c>
      <c r="D4788" s="2">
        <v>7.5</v>
      </c>
      <c r="E4788" s="2">
        <v>1943.0</v>
      </c>
      <c r="F4788" s="2">
        <v>2017.0</v>
      </c>
      <c r="G4788" s="2" t="s">
        <v>10</v>
      </c>
    </row>
    <row r="4789" ht="14.25" customHeight="1">
      <c r="A4789" s="1" t="s">
        <v>4121</v>
      </c>
      <c r="B4789" s="1" t="s">
        <v>20</v>
      </c>
      <c r="C4789" s="2" t="s">
        <v>222</v>
      </c>
      <c r="D4789" s="2">
        <v>7.5</v>
      </c>
      <c r="E4789" s="2">
        <v>2002.0</v>
      </c>
      <c r="F4789" s="2">
        <v>2019.0</v>
      </c>
      <c r="G4789" s="2">
        <v>7940000.0</v>
      </c>
    </row>
    <row r="4790" ht="14.25" customHeight="1">
      <c r="A4790" s="1" t="s">
        <v>4122</v>
      </c>
      <c r="B4790" s="1" t="s">
        <v>20</v>
      </c>
      <c r="C4790" s="2" t="s">
        <v>40</v>
      </c>
      <c r="D4790" s="2">
        <v>7.5</v>
      </c>
      <c r="E4790" s="2">
        <v>1971.0</v>
      </c>
      <c r="F4790" s="2" t="s">
        <v>10</v>
      </c>
      <c r="G4790" s="2" t="s">
        <v>10</v>
      </c>
    </row>
    <row r="4791" ht="14.25" customHeight="1">
      <c r="A4791" s="1" t="s">
        <v>4123</v>
      </c>
      <c r="B4791" s="1" t="s">
        <v>8</v>
      </c>
      <c r="C4791" s="2" t="s">
        <v>32</v>
      </c>
      <c r="D4791" s="2">
        <v>7.5</v>
      </c>
      <c r="E4791" s="2">
        <v>2010.0</v>
      </c>
      <c r="F4791" s="2" t="s">
        <v>10</v>
      </c>
      <c r="G4791" s="2" t="s">
        <v>10</v>
      </c>
    </row>
    <row r="4792" ht="14.25" customHeight="1">
      <c r="A4792" s="1" t="s">
        <v>4124</v>
      </c>
      <c r="B4792" s="1" t="s">
        <v>20</v>
      </c>
      <c r="C4792" s="2" t="s">
        <v>18</v>
      </c>
      <c r="D4792" s="2">
        <v>7.5</v>
      </c>
      <c r="E4792" s="2">
        <v>2008.0</v>
      </c>
      <c r="F4792" s="2" t="s">
        <v>10</v>
      </c>
      <c r="G4792" s="2" t="s">
        <v>10</v>
      </c>
    </row>
    <row r="4793" ht="14.25" customHeight="1">
      <c r="A4793" s="1" t="s">
        <v>4125</v>
      </c>
      <c r="B4793" s="1" t="s">
        <v>8</v>
      </c>
      <c r="C4793" s="2" t="s">
        <v>18</v>
      </c>
      <c r="D4793" s="2">
        <v>7.5</v>
      </c>
      <c r="E4793" s="2">
        <v>2022.0</v>
      </c>
      <c r="F4793" s="2" t="s">
        <v>10</v>
      </c>
      <c r="G4793" s="2" t="s">
        <v>10</v>
      </c>
    </row>
    <row r="4794" ht="14.25" customHeight="1">
      <c r="A4794" s="1" t="s">
        <v>4126</v>
      </c>
      <c r="B4794" s="1" t="s">
        <v>8</v>
      </c>
      <c r="C4794" s="2" t="s">
        <v>80</v>
      </c>
      <c r="D4794" s="2">
        <v>7.5</v>
      </c>
      <c r="E4794" s="2">
        <v>2010.0</v>
      </c>
      <c r="F4794" s="2" t="s">
        <v>10</v>
      </c>
      <c r="G4794" s="2" t="s">
        <v>10</v>
      </c>
    </row>
    <row r="4795" ht="14.25" customHeight="1">
      <c r="A4795" s="1" t="s">
        <v>3949</v>
      </c>
      <c r="B4795" s="1" t="s">
        <v>8</v>
      </c>
      <c r="C4795" s="2" t="s">
        <v>154</v>
      </c>
      <c r="D4795" s="2">
        <v>7.5</v>
      </c>
      <c r="E4795" s="2">
        <v>2009.0</v>
      </c>
      <c r="F4795" s="2" t="s">
        <v>10</v>
      </c>
      <c r="G4795" s="2" t="s">
        <v>10</v>
      </c>
    </row>
    <row r="4796" ht="14.25" customHeight="1">
      <c r="A4796" s="1" t="s">
        <v>4127</v>
      </c>
      <c r="B4796" s="1" t="s">
        <v>20</v>
      </c>
      <c r="C4796" s="2" t="s">
        <v>151</v>
      </c>
      <c r="D4796" s="2">
        <v>7.4</v>
      </c>
      <c r="E4796" s="2">
        <v>2002.0</v>
      </c>
      <c r="F4796" s="2" t="s">
        <v>10</v>
      </c>
      <c r="G4796" s="2">
        <v>5430000.0</v>
      </c>
    </row>
    <row r="4797" ht="14.25" customHeight="1">
      <c r="A4797" s="1" t="s">
        <v>4128</v>
      </c>
      <c r="B4797" s="1" t="s">
        <v>20</v>
      </c>
      <c r="C4797" s="2" t="s">
        <v>212</v>
      </c>
      <c r="D4797" s="2">
        <v>7.4</v>
      </c>
      <c r="E4797" s="2">
        <v>2006.0</v>
      </c>
      <c r="F4797" s="2" t="s">
        <v>10</v>
      </c>
      <c r="G4797" s="2" t="s">
        <v>10</v>
      </c>
    </row>
    <row r="4798" ht="14.25" customHeight="1">
      <c r="A4798" s="1" t="s">
        <v>4129</v>
      </c>
      <c r="B4798" s="1" t="s">
        <v>20</v>
      </c>
      <c r="C4798" s="2" t="s">
        <v>291</v>
      </c>
      <c r="D4798" s="2">
        <v>7.4</v>
      </c>
      <c r="E4798" s="2">
        <v>2014.0</v>
      </c>
      <c r="F4798" s="2" t="s">
        <v>10</v>
      </c>
      <c r="G4798" s="2" t="s">
        <v>10</v>
      </c>
    </row>
    <row r="4799" ht="14.25" customHeight="1">
      <c r="A4799" s="1" t="s">
        <v>4130</v>
      </c>
      <c r="B4799" s="1" t="s">
        <v>20</v>
      </c>
      <c r="C4799" s="2" t="s">
        <v>151</v>
      </c>
      <c r="D4799" s="2">
        <v>7.4</v>
      </c>
      <c r="E4799" s="2">
        <v>2017.0</v>
      </c>
      <c r="F4799" s="2" t="s">
        <v>10</v>
      </c>
      <c r="G4799" s="2">
        <v>1.418E7</v>
      </c>
    </row>
    <row r="4800" ht="14.25" customHeight="1">
      <c r="A4800" s="1" t="s">
        <v>4130</v>
      </c>
      <c r="B4800" s="1" t="s">
        <v>20</v>
      </c>
      <c r="C4800" s="2" t="s">
        <v>151</v>
      </c>
      <c r="D4800" s="2">
        <v>7.4</v>
      </c>
      <c r="E4800" s="2">
        <v>2017.0</v>
      </c>
      <c r="F4800" s="2" t="s">
        <v>10</v>
      </c>
      <c r="G4800" s="3">
        <v>2.0E7</v>
      </c>
    </row>
    <row r="4801" ht="14.25" customHeight="1">
      <c r="A4801" s="1" t="s">
        <v>4130</v>
      </c>
      <c r="B4801" s="1" t="s">
        <v>20</v>
      </c>
      <c r="C4801" s="2" t="s">
        <v>151</v>
      </c>
      <c r="D4801" s="2">
        <v>7.4</v>
      </c>
      <c r="E4801" s="2">
        <v>2017.0</v>
      </c>
      <c r="F4801" s="2" t="s">
        <v>10</v>
      </c>
      <c r="G4801" s="2">
        <v>9370000.0</v>
      </c>
    </row>
    <row r="4802" ht="14.25" customHeight="1">
      <c r="A4802" s="1" t="s">
        <v>4131</v>
      </c>
      <c r="B4802" s="1" t="s">
        <v>20</v>
      </c>
      <c r="C4802" s="2" t="s">
        <v>719</v>
      </c>
      <c r="D4802" s="2">
        <v>7.4</v>
      </c>
      <c r="E4802" s="2">
        <v>2002.0</v>
      </c>
      <c r="F4802" s="2" t="s">
        <v>10</v>
      </c>
      <c r="G4802" s="2" t="s">
        <v>10</v>
      </c>
    </row>
    <row r="4803" ht="14.25" customHeight="1">
      <c r="A4803" s="1" t="s">
        <v>4132</v>
      </c>
      <c r="B4803" s="1" t="s">
        <v>20</v>
      </c>
      <c r="C4803" s="2" t="s">
        <v>55</v>
      </c>
      <c r="D4803" s="2">
        <v>7.4</v>
      </c>
      <c r="E4803" s="2">
        <v>2013.0</v>
      </c>
      <c r="F4803" s="2" t="s">
        <v>10</v>
      </c>
      <c r="G4803" s="2" t="s">
        <v>10</v>
      </c>
    </row>
    <row r="4804" ht="14.25" customHeight="1">
      <c r="A4804" s="1" t="s">
        <v>3246</v>
      </c>
      <c r="B4804" s="1" t="s">
        <v>20</v>
      </c>
      <c r="C4804" s="2" t="s">
        <v>3407</v>
      </c>
      <c r="D4804" s="2">
        <v>7.4</v>
      </c>
      <c r="E4804" s="2">
        <v>2011.0</v>
      </c>
      <c r="F4804" s="2">
        <v>2017.0</v>
      </c>
      <c r="G4804" s="2" t="s">
        <v>10</v>
      </c>
    </row>
    <row r="4805" ht="14.25" customHeight="1">
      <c r="A4805" s="1" t="s">
        <v>4133</v>
      </c>
      <c r="B4805" s="1" t="s">
        <v>20</v>
      </c>
      <c r="C4805" s="2" t="s">
        <v>1267</v>
      </c>
      <c r="D4805" s="2">
        <v>7.4</v>
      </c>
      <c r="E4805" s="2">
        <v>2012.0</v>
      </c>
      <c r="F4805" s="2" t="s">
        <v>10</v>
      </c>
      <c r="G4805" s="2" t="s">
        <v>10</v>
      </c>
    </row>
    <row r="4806" ht="14.25" customHeight="1">
      <c r="A4806" s="1" t="s">
        <v>4134</v>
      </c>
      <c r="B4806" s="1" t="s">
        <v>20</v>
      </c>
      <c r="C4806" s="2" t="s">
        <v>1959</v>
      </c>
      <c r="D4806" s="2">
        <v>7.4</v>
      </c>
      <c r="E4806" s="2">
        <v>2003.0</v>
      </c>
      <c r="F4806" s="2" t="s">
        <v>10</v>
      </c>
      <c r="G4806" s="2" t="s">
        <v>10</v>
      </c>
    </row>
    <row r="4807" ht="14.25" customHeight="1">
      <c r="A4807" s="1" t="s">
        <v>4135</v>
      </c>
      <c r="B4807" s="1" t="s">
        <v>20</v>
      </c>
      <c r="C4807" s="2" t="s">
        <v>72</v>
      </c>
      <c r="D4807" s="2">
        <v>7.4</v>
      </c>
      <c r="E4807" s="2">
        <v>2014.0</v>
      </c>
      <c r="F4807" s="2" t="s">
        <v>10</v>
      </c>
      <c r="G4807" s="2" t="s">
        <v>10</v>
      </c>
    </row>
    <row r="4808" ht="14.25" customHeight="1">
      <c r="A4808" s="1" t="s">
        <v>4136</v>
      </c>
      <c r="B4808" s="1" t="s">
        <v>20</v>
      </c>
      <c r="C4808" s="2" t="s">
        <v>187</v>
      </c>
      <c r="D4808" s="2">
        <v>7.4</v>
      </c>
      <c r="E4808" s="2">
        <v>2011.0</v>
      </c>
      <c r="F4808" s="2" t="s">
        <v>10</v>
      </c>
      <c r="G4808" s="2" t="s">
        <v>10</v>
      </c>
    </row>
    <row r="4809" ht="14.25" customHeight="1">
      <c r="A4809" s="1" t="s">
        <v>4137</v>
      </c>
      <c r="B4809" s="1" t="s">
        <v>20</v>
      </c>
      <c r="C4809" s="2" t="s">
        <v>845</v>
      </c>
      <c r="D4809" s="2">
        <v>7.4</v>
      </c>
      <c r="E4809" s="2">
        <v>2019.0</v>
      </c>
      <c r="F4809" s="2" t="s">
        <v>10</v>
      </c>
      <c r="G4809" s="2">
        <v>1.132E7</v>
      </c>
    </row>
    <row r="4810" ht="14.25" customHeight="1">
      <c r="A4810" s="1" t="s">
        <v>4137</v>
      </c>
      <c r="B4810" s="1" t="s">
        <v>20</v>
      </c>
      <c r="C4810" s="2" t="s">
        <v>845</v>
      </c>
      <c r="D4810" s="2">
        <v>7.4</v>
      </c>
      <c r="E4810" s="2">
        <v>2019.0</v>
      </c>
      <c r="F4810" s="2" t="s">
        <v>10</v>
      </c>
      <c r="G4810" s="2">
        <v>8300000.0</v>
      </c>
    </row>
    <row r="4811" ht="14.25" customHeight="1">
      <c r="A4811" s="1" t="s">
        <v>4138</v>
      </c>
      <c r="B4811" s="1" t="s">
        <v>20</v>
      </c>
      <c r="C4811" s="2" t="s">
        <v>63</v>
      </c>
      <c r="D4811" s="2">
        <v>7.4</v>
      </c>
      <c r="E4811" s="2">
        <v>2007.0</v>
      </c>
      <c r="F4811" s="2" t="s">
        <v>10</v>
      </c>
      <c r="G4811" s="2" t="s">
        <v>10</v>
      </c>
    </row>
    <row r="4812" ht="14.25" customHeight="1">
      <c r="A4812" s="1" t="s">
        <v>4139</v>
      </c>
      <c r="B4812" s="1" t="s">
        <v>20</v>
      </c>
      <c r="C4812" s="2" t="s">
        <v>1622</v>
      </c>
      <c r="D4812" s="2">
        <v>7.4</v>
      </c>
      <c r="E4812" s="2">
        <v>2011.0</v>
      </c>
      <c r="F4812" s="2" t="s">
        <v>10</v>
      </c>
      <c r="G4812" s="2">
        <v>6550000.0</v>
      </c>
    </row>
    <row r="4813" ht="14.25" customHeight="1">
      <c r="A4813" s="1" t="s">
        <v>4140</v>
      </c>
      <c r="B4813" s="1" t="s">
        <v>20</v>
      </c>
      <c r="C4813" s="2" t="s">
        <v>291</v>
      </c>
      <c r="D4813" s="2">
        <v>7.4</v>
      </c>
      <c r="E4813" s="2">
        <v>2017.0</v>
      </c>
      <c r="F4813" s="2" t="s">
        <v>10</v>
      </c>
      <c r="G4813" s="2">
        <v>7800000.0</v>
      </c>
    </row>
    <row r="4814" ht="14.25" customHeight="1">
      <c r="A4814" s="1" t="s">
        <v>4141</v>
      </c>
      <c r="B4814" s="1" t="s">
        <v>20</v>
      </c>
      <c r="C4814" s="2" t="s">
        <v>55</v>
      </c>
      <c r="D4814" s="2">
        <v>7.4</v>
      </c>
      <c r="E4814" s="2">
        <v>2004.0</v>
      </c>
      <c r="F4814" s="2" t="s">
        <v>10</v>
      </c>
      <c r="G4814" s="2">
        <v>6750000.0</v>
      </c>
    </row>
    <row r="4815" ht="14.25" customHeight="1">
      <c r="A4815" s="1" t="s">
        <v>4141</v>
      </c>
      <c r="B4815" s="1" t="s">
        <v>20</v>
      </c>
      <c r="C4815" s="2" t="s">
        <v>55</v>
      </c>
      <c r="D4815" s="2">
        <v>7.4</v>
      </c>
      <c r="E4815" s="2">
        <v>2004.0</v>
      </c>
      <c r="F4815" s="2" t="s">
        <v>10</v>
      </c>
      <c r="G4815" s="2">
        <v>9900000.0</v>
      </c>
    </row>
    <row r="4816" ht="14.25" customHeight="1">
      <c r="A4816" s="1" t="s">
        <v>4141</v>
      </c>
      <c r="B4816" s="1" t="s">
        <v>20</v>
      </c>
      <c r="C4816" s="2" t="s">
        <v>55</v>
      </c>
      <c r="D4816" s="2">
        <v>7.4</v>
      </c>
      <c r="E4816" s="2">
        <v>2004.0</v>
      </c>
      <c r="F4816" s="2" t="s">
        <v>10</v>
      </c>
      <c r="G4816" s="2">
        <v>1.304E7</v>
      </c>
    </row>
    <row r="4817" ht="14.25" customHeight="1">
      <c r="A4817" s="1" t="s">
        <v>4142</v>
      </c>
      <c r="B4817" s="1" t="s">
        <v>20</v>
      </c>
      <c r="C4817" s="2" t="s">
        <v>187</v>
      </c>
      <c r="D4817" s="2">
        <v>7.4</v>
      </c>
      <c r="E4817" s="2">
        <v>2004.0</v>
      </c>
      <c r="F4817" s="2">
        <v>2018.0</v>
      </c>
      <c r="G4817" s="2" t="s">
        <v>10</v>
      </c>
    </row>
    <row r="4818" ht="14.25" customHeight="1">
      <c r="A4818" s="1" t="s">
        <v>4143</v>
      </c>
      <c r="B4818" s="1" t="s">
        <v>20</v>
      </c>
      <c r="C4818" s="2" t="s">
        <v>151</v>
      </c>
      <c r="D4818" s="2">
        <v>7.4</v>
      </c>
      <c r="E4818" s="2">
        <v>2018.0</v>
      </c>
      <c r="F4818" s="2" t="s">
        <v>10</v>
      </c>
      <c r="G4818" s="2" t="s">
        <v>10</v>
      </c>
    </row>
    <row r="4819" ht="14.25" customHeight="1">
      <c r="A4819" s="1" t="s">
        <v>4144</v>
      </c>
      <c r="B4819" s="1" t="s">
        <v>20</v>
      </c>
      <c r="C4819" s="2" t="s">
        <v>446</v>
      </c>
      <c r="D4819" s="2">
        <v>7.4</v>
      </c>
      <c r="E4819" s="2">
        <v>1990.0</v>
      </c>
      <c r="F4819" s="2" t="s">
        <v>10</v>
      </c>
      <c r="G4819" s="2" t="s">
        <v>10</v>
      </c>
    </row>
    <row r="4820" ht="14.25" customHeight="1">
      <c r="A4820" s="1" t="s">
        <v>4145</v>
      </c>
      <c r="B4820" s="1" t="s">
        <v>20</v>
      </c>
      <c r="C4820" s="2" t="s">
        <v>3114</v>
      </c>
      <c r="D4820" s="2">
        <v>7.4</v>
      </c>
      <c r="E4820" s="2">
        <v>2011.0</v>
      </c>
      <c r="F4820" s="2" t="s">
        <v>10</v>
      </c>
      <c r="G4820" s="2" t="s">
        <v>10</v>
      </c>
    </row>
    <row r="4821" ht="14.25" customHeight="1">
      <c r="A4821" s="1" t="s">
        <v>4146</v>
      </c>
      <c r="B4821" s="1" t="s">
        <v>20</v>
      </c>
      <c r="C4821" s="2" t="s">
        <v>32</v>
      </c>
      <c r="D4821" s="2">
        <v>7.4</v>
      </c>
      <c r="E4821" s="2">
        <v>2006.0</v>
      </c>
      <c r="F4821" s="2" t="s">
        <v>10</v>
      </c>
      <c r="G4821" s="2" t="s">
        <v>10</v>
      </c>
    </row>
    <row r="4822" ht="14.25" customHeight="1">
      <c r="A4822" s="1" t="s">
        <v>4147</v>
      </c>
      <c r="B4822" s="1" t="s">
        <v>20</v>
      </c>
      <c r="C4822" s="2" t="s">
        <v>212</v>
      </c>
      <c r="D4822" s="2">
        <v>7.4</v>
      </c>
      <c r="E4822" s="2">
        <v>2021.0</v>
      </c>
      <c r="F4822" s="2" t="s">
        <v>10</v>
      </c>
      <c r="G4822" s="2" t="s">
        <v>10</v>
      </c>
    </row>
    <row r="4823" ht="14.25" customHeight="1">
      <c r="A4823" s="1" t="s">
        <v>4148</v>
      </c>
      <c r="B4823" s="1" t="s">
        <v>20</v>
      </c>
      <c r="C4823" s="2" t="s">
        <v>291</v>
      </c>
      <c r="D4823" s="2">
        <v>7.4</v>
      </c>
      <c r="E4823" s="2">
        <v>2019.0</v>
      </c>
      <c r="F4823" s="2" t="s">
        <v>10</v>
      </c>
      <c r="G4823" s="2">
        <v>8790000.0</v>
      </c>
    </row>
    <row r="4824" ht="14.25" customHeight="1">
      <c r="A4824" s="1" t="s">
        <v>4149</v>
      </c>
      <c r="B4824" s="1" t="s">
        <v>20</v>
      </c>
      <c r="C4824" s="2" t="s">
        <v>1622</v>
      </c>
      <c r="D4824" s="2">
        <v>7.4</v>
      </c>
      <c r="E4824" s="2">
        <v>2015.0</v>
      </c>
      <c r="F4824" s="2" t="s">
        <v>10</v>
      </c>
      <c r="G4824" s="2" t="s">
        <v>10</v>
      </c>
    </row>
    <row r="4825" ht="14.25" customHeight="1">
      <c r="A4825" s="1" t="s">
        <v>4150</v>
      </c>
      <c r="B4825" s="1" t="s">
        <v>20</v>
      </c>
      <c r="C4825" s="2" t="s">
        <v>3696</v>
      </c>
      <c r="D4825" s="2">
        <v>7.4</v>
      </c>
      <c r="E4825" s="2">
        <v>1996.0</v>
      </c>
      <c r="F4825" s="2">
        <v>2019.0</v>
      </c>
      <c r="G4825" s="2" t="s">
        <v>10</v>
      </c>
    </row>
    <row r="4826" ht="14.25" customHeight="1">
      <c r="A4826" s="1" t="s">
        <v>4151</v>
      </c>
      <c r="B4826" s="1" t="s">
        <v>20</v>
      </c>
      <c r="C4826" s="2" t="s">
        <v>217</v>
      </c>
      <c r="D4826" s="2">
        <v>7.4</v>
      </c>
      <c r="E4826" s="2">
        <v>2016.0</v>
      </c>
      <c r="F4826" s="2" t="s">
        <v>10</v>
      </c>
      <c r="G4826" s="2" t="s">
        <v>10</v>
      </c>
    </row>
    <row r="4827" ht="14.25" customHeight="1">
      <c r="A4827" s="1" t="s">
        <v>4152</v>
      </c>
      <c r="B4827" s="1" t="s">
        <v>20</v>
      </c>
      <c r="C4827" s="2" t="s">
        <v>231</v>
      </c>
      <c r="D4827" s="2">
        <v>7.4</v>
      </c>
      <c r="E4827" s="2">
        <v>2012.0</v>
      </c>
      <c r="F4827" s="2">
        <v>2012.0</v>
      </c>
      <c r="G4827" s="2" t="s">
        <v>10</v>
      </c>
    </row>
    <row r="4828" ht="14.25" customHeight="1">
      <c r="A4828" s="1" t="s">
        <v>4153</v>
      </c>
      <c r="B4828" s="1" t="s">
        <v>20</v>
      </c>
      <c r="C4828" s="2" t="s">
        <v>1622</v>
      </c>
      <c r="D4828" s="2">
        <v>7.4</v>
      </c>
      <c r="E4828" s="2">
        <v>1996.0</v>
      </c>
      <c r="F4828" s="2" t="s">
        <v>10</v>
      </c>
      <c r="G4828" s="2" t="s">
        <v>10</v>
      </c>
    </row>
    <row r="4829" ht="14.25" customHeight="1">
      <c r="A4829" s="1" t="s">
        <v>4154</v>
      </c>
      <c r="B4829" s="1" t="s">
        <v>20</v>
      </c>
      <c r="C4829" s="2" t="s">
        <v>187</v>
      </c>
      <c r="D4829" s="2">
        <v>7.4</v>
      </c>
      <c r="E4829" s="2">
        <v>2009.0</v>
      </c>
      <c r="F4829" s="2">
        <v>2009.0</v>
      </c>
      <c r="G4829" s="2" t="s">
        <v>10</v>
      </c>
    </row>
    <row r="4830" ht="14.25" customHeight="1">
      <c r="A4830" s="1" t="s">
        <v>4155</v>
      </c>
      <c r="B4830" s="1" t="s">
        <v>20</v>
      </c>
      <c r="C4830" s="2" t="s">
        <v>63</v>
      </c>
      <c r="D4830" s="2">
        <v>7.4</v>
      </c>
      <c r="E4830" s="2">
        <v>2017.0</v>
      </c>
      <c r="F4830" s="2">
        <v>2017.0</v>
      </c>
      <c r="G4830" s="2" t="s">
        <v>10</v>
      </c>
    </row>
    <row r="4831" ht="14.25" customHeight="1">
      <c r="A4831" s="1" t="s">
        <v>4156</v>
      </c>
      <c r="B4831" s="1" t="s">
        <v>20</v>
      </c>
      <c r="C4831" s="2" t="s">
        <v>69</v>
      </c>
      <c r="D4831" s="2">
        <v>7.4</v>
      </c>
      <c r="E4831" s="2">
        <v>2021.0</v>
      </c>
      <c r="F4831" s="2" t="s">
        <v>10</v>
      </c>
      <c r="G4831" s="2">
        <v>1.06E7</v>
      </c>
    </row>
    <row r="4832" ht="14.25" customHeight="1">
      <c r="A4832" s="1" t="s">
        <v>3386</v>
      </c>
      <c r="B4832" s="1" t="s">
        <v>20</v>
      </c>
      <c r="C4832" s="2" t="s">
        <v>18</v>
      </c>
      <c r="D4832" s="2">
        <v>7.4</v>
      </c>
      <c r="E4832" s="2">
        <v>2016.0</v>
      </c>
      <c r="F4832" s="2">
        <v>2016.0</v>
      </c>
      <c r="G4832" s="2" t="s">
        <v>10</v>
      </c>
    </row>
    <row r="4833" ht="14.25" customHeight="1">
      <c r="A4833" s="1" t="s">
        <v>4157</v>
      </c>
      <c r="B4833" s="1" t="s">
        <v>20</v>
      </c>
      <c r="C4833" s="2" t="s">
        <v>9</v>
      </c>
      <c r="D4833" s="2">
        <v>7.4</v>
      </c>
      <c r="E4833" s="2">
        <v>2019.0</v>
      </c>
      <c r="F4833" s="2">
        <v>2019.0</v>
      </c>
      <c r="G4833" s="2" t="s">
        <v>10</v>
      </c>
    </row>
    <row r="4834" ht="14.25" customHeight="1">
      <c r="A4834" s="1" t="s">
        <v>4158</v>
      </c>
      <c r="B4834" s="1" t="s">
        <v>20</v>
      </c>
      <c r="C4834" s="2" t="s">
        <v>69</v>
      </c>
      <c r="D4834" s="2">
        <v>7.4</v>
      </c>
      <c r="E4834" s="2">
        <v>2009.0</v>
      </c>
      <c r="F4834" s="2" t="s">
        <v>10</v>
      </c>
      <c r="G4834" s="2" t="s">
        <v>10</v>
      </c>
    </row>
    <row r="4835" ht="14.25" customHeight="1">
      <c r="A4835" s="1" t="s">
        <v>4159</v>
      </c>
      <c r="B4835" s="1" t="s">
        <v>20</v>
      </c>
      <c r="C4835" s="2" t="s">
        <v>22</v>
      </c>
      <c r="D4835" s="2">
        <v>7.4</v>
      </c>
      <c r="E4835" s="2">
        <v>2012.0</v>
      </c>
      <c r="F4835" s="2" t="s">
        <v>10</v>
      </c>
      <c r="G4835" s="2" t="s">
        <v>10</v>
      </c>
    </row>
    <row r="4836" ht="14.25" customHeight="1">
      <c r="A4836" s="1" t="s">
        <v>4160</v>
      </c>
      <c r="B4836" s="1" t="s">
        <v>20</v>
      </c>
      <c r="C4836" s="2" t="s">
        <v>299</v>
      </c>
      <c r="D4836" s="2">
        <v>7.4</v>
      </c>
      <c r="E4836" s="2">
        <v>2016.0</v>
      </c>
      <c r="F4836" s="2">
        <v>2016.0</v>
      </c>
      <c r="G4836" s="2" t="s">
        <v>10</v>
      </c>
    </row>
    <row r="4837" ht="14.25" customHeight="1">
      <c r="A4837" s="1" t="s">
        <v>4161</v>
      </c>
      <c r="B4837" s="1" t="s">
        <v>20</v>
      </c>
      <c r="C4837" s="2" t="s">
        <v>1267</v>
      </c>
      <c r="D4837" s="2">
        <v>7.4</v>
      </c>
      <c r="E4837" s="2">
        <v>2014.0</v>
      </c>
      <c r="F4837" s="2" t="s">
        <v>10</v>
      </c>
      <c r="G4837" s="2" t="s">
        <v>10</v>
      </c>
    </row>
    <row r="4838" ht="14.25" customHeight="1">
      <c r="A4838" s="1" t="s">
        <v>4162</v>
      </c>
      <c r="B4838" s="1" t="s">
        <v>20</v>
      </c>
      <c r="C4838" s="2" t="s">
        <v>34</v>
      </c>
      <c r="D4838" s="2">
        <v>7.4</v>
      </c>
      <c r="E4838" s="2">
        <v>2017.0</v>
      </c>
      <c r="F4838" s="2" t="s">
        <v>10</v>
      </c>
      <c r="G4838" s="2" t="s">
        <v>10</v>
      </c>
    </row>
    <row r="4839" ht="14.25" customHeight="1">
      <c r="A4839" s="1" t="s">
        <v>4163</v>
      </c>
      <c r="B4839" s="1" t="s">
        <v>20</v>
      </c>
      <c r="C4839" s="2" t="s">
        <v>163</v>
      </c>
      <c r="D4839" s="2">
        <v>7.4</v>
      </c>
      <c r="E4839" s="2">
        <v>2005.0</v>
      </c>
      <c r="F4839" s="2" t="s">
        <v>10</v>
      </c>
      <c r="G4839" s="2" t="s">
        <v>10</v>
      </c>
    </row>
    <row r="4840" ht="14.25" customHeight="1">
      <c r="A4840" s="1" t="s">
        <v>4164</v>
      </c>
      <c r="B4840" s="1" t="s">
        <v>20</v>
      </c>
      <c r="C4840" s="2" t="s">
        <v>169</v>
      </c>
      <c r="D4840" s="2">
        <v>7.4</v>
      </c>
      <c r="E4840" s="2">
        <v>2016.0</v>
      </c>
      <c r="F4840" s="2" t="s">
        <v>10</v>
      </c>
      <c r="G4840" s="2" t="s">
        <v>10</v>
      </c>
    </row>
    <row r="4841" ht="14.25" customHeight="1">
      <c r="A4841" s="1" t="s">
        <v>4165</v>
      </c>
      <c r="B4841" s="1" t="s">
        <v>20</v>
      </c>
      <c r="C4841" s="2" t="s">
        <v>154</v>
      </c>
      <c r="D4841" s="2">
        <v>7.4</v>
      </c>
      <c r="E4841" s="2">
        <v>2016.0</v>
      </c>
      <c r="F4841" s="2" t="s">
        <v>10</v>
      </c>
      <c r="G4841" s="2" t="s">
        <v>10</v>
      </c>
    </row>
    <row r="4842" ht="14.25" customHeight="1">
      <c r="A4842" s="1" t="s">
        <v>4166</v>
      </c>
      <c r="B4842" s="1" t="s">
        <v>20</v>
      </c>
      <c r="C4842" s="2" t="s">
        <v>1301</v>
      </c>
      <c r="D4842" s="2">
        <v>7.4</v>
      </c>
      <c r="E4842" s="2">
        <v>1984.0</v>
      </c>
      <c r="F4842" s="2" t="s">
        <v>10</v>
      </c>
      <c r="G4842" s="2" t="s">
        <v>10</v>
      </c>
    </row>
    <row r="4843" ht="14.25" customHeight="1">
      <c r="A4843" s="1" t="s">
        <v>4167</v>
      </c>
      <c r="B4843" s="1" t="s">
        <v>20</v>
      </c>
      <c r="C4843" s="2" t="s">
        <v>92</v>
      </c>
      <c r="D4843" s="2">
        <v>7.4</v>
      </c>
      <c r="E4843" s="2">
        <v>2019.0</v>
      </c>
      <c r="F4843" s="2" t="s">
        <v>10</v>
      </c>
      <c r="G4843" s="2" t="s">
        <v>10</v>
      </c>
    </row>
    <row r="4844" ht="14.25" customHeight="1">
      <c r="A4844" s="1" t="s">
        <v>4168</v>
      </c>
      <c r="B4844" s="1" t="s">
        <v>20</v>
      </c>
      <c r="C4844" s="2" t="s">
        <v>60</v>
      </c>
      <c r="D4844" s="2">
        <v>7.4</v>
      </c>
      <c r="E4844" s="2">
        <v>2007.0</v>
      </c>
      <c r="F4844" s="2">
        <v>2007.0</v>
      </c>
      <c r="G4844" s="2" t="s">
        <v>10</v>
      </c>
    </row>
    <row r="4845" ht="14.25" customHeight="1">
      <c r="A4845" s="1" t="s">
        <v>4169</v>
      </c>
      <c r="B4845" s="1" t="s">
        <v>20</v>
      </c>
      <c r="C4845" s="2" t="s">
        <v>69</v>
      </c>
      <c r="D4845" s="2">
        <v>7.4</v>
      </c>
      <c r="E4845" s="2">
        <v>2005.0</v>
      </c>
      <c r="F4845" s="2" t="s">
        <v>10</v>
      </c>
      <c r="G4845" s="2" t="s">
        <v>10</v>
      </c>
    </row>
    <row r="4846" ht="14.25" customHeight="1">
      <c r="A4846" s="1" t="s">
        <v>4170</v>
      </c>
      <c r="B4846" s="1" t="s">
        <v>20</v>
      </c>
      <c r="C4846" s="2" t="s">
        <v>9</v>
      </c>
      <c r="D4846" s="2">
        <v>7.4</v>
      </c>
      <c r="E4846" s="2">
        <v>1999.0</v>
      </c>
      <c r="F4846" s="2">
        <v>1999.0</v>
      </c>
      <c r="G4846" s="2" t="s">
        <v>10</v>
      </c>
    </row>
    <row r="4847" ht="14.25" customHeight="1">
      <c r="A4847" s="1" t="s">
        <v>4171</v>
      </c>
      <c r="B4847" s="1" t="s">
        <v>20</v>
      </c>
      <c r="C4847" s="2" t="s">
        <v>4172</v>
      </c>
      <c r="D4847" s="2">
        <v>7.4</v>
      </c>
      <c r="E4847" s="2">
        <v>1992.0</v>
      </c>
      <c r="F4847" s="2" t="s">
        <v>10</v>
      </c>
      <c r="G4847" s="2" t="s">
        <v>10</v>
      </c>
    </row>
    <row r="4848" ht="14.25" customHeight="1">
      <c r="A4848" s="1" t="s">
        <v>4173</v>
      </c>
      <c r="B4848" s="1" t="s">
        <v>20</v>
      </c>
      <c r="C4848" s="2" t="s">
        <v>1301</v>
      </c>
      <c r="D4848" s="2">
        <v>7.4</v>
      </c>
      <c r="E4848" s="2">
        <v>1981.0</v>
      </c>
      <c r="F4848" s="2">
        <v>1981.0</v>
      </c>
      <c r="G4848" s="2" t="s">
        <v>10</v>
      </c>
    </row>
    <row r="4849" ht="14.25" customHeight="1">
      <c r="A4849" s="1" t="s">
        <v>4174</v>
      </c>
      <c r="B4849" s="1" t="s">
        <v>20</v>
      </c>
      <c r="C4849" s="2" t="s">
        <v>55</v>
      </c>
      <c r="D4849" s="2">
        <v>7.4</v>
      </c>
      <c r="E4849" s="2">
        <v>2000.0</v>
      </c>
      <c r="F4849" s="2" t="s">
        <v>10</v>
      </c>
      <c r="G4849" s="2" t="s">
        <v>10</v>
      </c>
    </row>
    <row r="4850" ht="14.25" customHeight="1">
      <c r="A4850" s="1" t="s">
        <v>4175</v>
      </c>
      <c r="B4850" s="1" t="s">
        <v>20</v>
      </c>
      <c r="C4850" s="2" t="s">
        <v>169</v>
      </c>
      <c r="D4850" s="2">
        <v>7.4</v>
      </c>
      <c r="E4850" s="2">
        <v>2000.0</v>
      </c>
      <c r="F4850" s="2" t="s">
        <v>10</v>
      </c>
      <c r="G4850" s="2" t="s">
        <v>10</v>
      </c>
    </row>
    <row r="4851" ht="14.25" customHeight="1">
      <c r="A4851" s="1" t="s">
        <v>4176</v>
      </c>
      <c r="B4851" s="1" t="s">
        <v>20</v>
      </c>
      <c r="C4851" s="2" t="s">
        <v>184</v>
      </c>
      <c r="D4851" s="2">
        <v>7.4</v>
      </c>
      <c r="E4851" s="2">
        <v>2017.0</v>
      </c>
      <c r="F4851" s="2" t="s">
        <v>10</v>
      </c>
      <c r="G4851" s="2" t="s">
        <v>10</v>
      </c>
    </row>
    <row r="4852" ht="14.25" customHeight="1">
      <c r="A4852" s="1" t="s">
        <v>4177</v>
      </c>
      <c r="B4852" s="1" t="s">
        <v>20</v>
      </c>
      <c r="C4852" s="2" t="s">
        <v>187</v>
      </c>
      <c r="D4852" s="2">
        <v>7.4</v>
      </c>
      <c r="E4852" s="2">
        <v>2004.0</v>
      </c>
      <c r="F4852" s="2" t="s">
        <v>10</v>
      </c>
      <c r="G4852" s="2" t="s">
        <v>10</v>
      </c>
    </row>
    <row r="4853" ht="14.25" customHeight="1">
      <c r="A4853" s="1" t="s">
        <v>4178</v>
      </c>
      <c r="B4853" s="1" t="s">
        <v>20</v>
      </c>
      <c r="C4853" s="2" t="s">
        <v>217</v>
      </c>
      <c r="D4853" s="2">
        <v>7.4</v>
      </c>
      <c r="E4853" s="2">
        <v>1984.0</v>
      </c>
      <c r="F4853" s="2" t="s">
        <v>10</v>
      </c>
      <c r="G4853" s="2" t="s">
        <v>10</v>
      </c>
    </row>
    <row r="4854" ht="14.25" customHeight="1">
      <c r="A4854" s="1" t="s">
        <v>4179</v>
      </c>
      <c r="B4854" s="1" t="s">
        <v>20</v>
      </c>
      <c r="C4854" s="2" t="s">
        <v>3696</v>
      </c>
      <c r="D4854" s="2">
        <v>7.4</v>
      </c>
      <c r="E4854" s="2">
        <v>1976.0</v>
      </c>
      <c r="F4854" s="2">
        <v>1976.0</v>
      </c>
      <c r="G4854" s="2" t="s">
        <v>10</v>
      </c>
    </row>
    <row r="4855" ht="14.25" customHeight="1">
      <c r="A4855" s="1" t="s">
        <v>4180</v>
      </c>
      <c r="B4855" s="1" t="s">
        <v>20</v>
      </c>
      <c r="C4855" s="2" t="s">
        <v>53</v>
      </c>
      <c r="D4855" s="2">
        <v>7.4</v>
      </c>
      <c r="E4855" s="2">
        <v>2014.0</v>
      </c>
      <c r="F4855" s="2" t="s">
        <v>10</v>
      </c>
      <c r="G4855" s="2" t="s">
        <v>10</v>
      </c>
    </row>
    <row r="4856" ht="14.25" customHeight="1">
      <c r="A4856" s="1" t="s">
        <v>4181</v>
      </c>
      <c r="B4856" s="1" t="s">
        <v>20</v>
      </c>
      <c r="C4856" s="2" t="s">
        <v>461</v>
      </c>
      <c r="D4856" s="2">
        <v>7.4</v>
      </c>
      <c r="E4856" s="2">
        <v>1996.0</v>
      </c>
      <c r="F4856" s="2" t="s">
        <v>10</v>
      </c>
      <c r="G4856" s="2" t="s">
        <v>10</v>
      </c>
    </row>
    <row r="4857" ht="14.25" customHeight="1">
      <c r="A4857" s="1" t="s">
        <v>4182</v>
      </c>
      <c r="B4857" s="1" t="s">
        <v>20</v>
      </c>
      <c r="C4857" s="2" t="s">
        <v>55</v>
      </c>
      <c r="D4857" s="2">
        <v>7.4</v>
      </c>
      <c r="E4857" s="2">
        <v>2021.0</v>
      </c>
      <c r="F4857" s="2" t="s">
        <v>10</v>
      </c>
      <c r="G4857" s="2" t="s">
        <v>10</v>
      </c>
    </row>
    <row r="4858" ht="14.25" customHeight="1">
      <c r="A4858" s="1" t="s">
        <v>4183</v>
      </c>
      <c r="B4858" s="1" t="s">
        <v>20</v>
      </c>
      <c r="C4858" s="2" t="s">
        <v>459</v>
      </c>
      <c r="D4858" s="2">
        <v>7.4</v>
      </c>
      <c r="E4858" s="2">
        <v>2007.0</v>
      </c>
      <c r="F4858" s="2" t="s">
        <v>10</v>
      </c>
      <c r="G4858" s="2" t="s">
        <v>10</v>
      </c>
    </row>
    <row r="4859" ht="14.25" customHeight="1">
      <c r="A4859" s="1" t="s">
        <v>4184</v>
      </c>
      <c r="B4859" s="1" t="s">
        <v>20</v>
      </c>
      <c r="C4859" s="2" t="s">
        <v>766</v>
      </c>
      <c r="D4859" s="2">
        <v>7.4</v>
      </c>
      <c r="E4859" s="2">
        <v>1992.0</v>
      </c>
      <c r="F4859" s="2" t="s">
        <v>10</v>
      </c>
      <c r="G4859" s="2" t="s">
        <v>10</v>
      </c>
    </row>
    <row r="4860" ht="14.25" customHeight="1">
      <c r="A4860" s="1" t="s">
        <v>4185</v>
      </c>
      <c r="B4860" s="1" t="s">
        <v>8</v>
      </c>
      <c r="C4860" s="2" t="s">
        <v>154</v>
      </c>
      <c r="D4860" s="2">
        <v>7.4</v>
      </c>
      <c r="E4860" s="2">
        <v>2020.0</v>
      </c>
      <c r="F4860" s="2">
        <v>2020.0</v>
      </c>
      <c r="G4860" s="2">
        <v>1.254E7</v>
      </c>
    </row>
    <row r="4861" ht="14.25" customHeight="1">
      <c r="A4861" s="1" t="s">
        <v>4185</v>
      </c>
      <c r="B4861" s="1" t="s">
        <v>8</v>
      </c>
      <c r="C4861" s="2" t="s">
        <v>154</v>
      </c>
      <c r="D4861" s="2">
        <v>7.4</v>
      </c>
      <c r="E4861" s="2">
        <v>2020.0</v>
      </c>
      <c r="F4861" s="2">
        <v>2020.0</v>
      </c>
      <c r="G4861" s="2">
        <v>1.946E7</v>
      </c>
    </row>
    <row r="4862" ht="14.25" customHeight="1">
      <c r="A4862" s="1" t="s">
        <v>4185</v>
      </c>
      <c r="B4862" s="1" t="s">
        <v>8</v>
      </c>
      <c r="C4862" s="2" t="s">
        <v>154</v>
      </c>
      <c r="D4862" s="2">
        <v>7.4</v>
      </c>
      <c r="E4862" s="2">
        <v>2020.0</v>
      </c>
      <c r="F4862" s="2">
        <v>2020.0</v>
      </c>
      <c r="G4862" s="2">
        <v>1.817E7</v>
      </c>
    </row>
    <row r="4863" ht="14.25" customHeight="1">
      <c r="A4863" s="1" t="s">
        <v>4185</v>
      </c>
      <c r="B4863" s="1" t="s">
        <v>8</v>
      </c>
      <c r="C4863" s="2" t="s">
        <v>154</v>
      </c>
      <c r="D4863" s="2">
        <v>7.4</v>
      </c>
      <c r="E4863" s="2">
        <v>2020.0</v>
      </c>
      <c r="F4863" s="2">
        <v>2020.0</v>
      </c>
      <c r="G4863" s="2">
        <v>2.388E7</v>
      </c>
    </row>
    <row r="4864" ht="14.25" customHeight="1">
      <c r="A4864" s="1" t="s">
        <v>4185</v>
      </c>
      <c r="B4864" s="1" t="s">
        <v>8</v>
      </c>
      <c r="C4864" s="2" t="s">
        <v>154</v>
      </c>
      <c r="D4864" s="2">
        <v>7.4</v>
      </c>
      <c r="E4864" s="2">
        <v>2020.0</v>
      </c>
      <c r="F4864" s="2">
        <v>2020.0</v>
      </c>
      <c r="G4864" s="2">
        <v>1.725E7</v>
      </c>
    </row>
    <row r="4865" ht="14.25" customHeight="1">
      <c r="A4865" s="1" t="s">
        <v>4185</v>
      </c>
      <c r="B4865" s="1" t="s">
        <v>8</v>
      </c>
      <c r="C4865" s="2" t="s">
        <v>154</v>
      </c>
      <c r="D4865" s="2">
        <v>7.4</v>
      </c>
      <c r="E4865" s="2">
        <v>2020.0</v>
      </c>
      <c r="F4865" s="2">
        <v>2020.0</v>
      </c>
      <c r="G4865" s="2">
        <v>9990000.0</v>
      </c>
    </row>
    <row r="4866" ht="14.25" customHeight="1">
      <c r="A4866" s="1" t="s">
        <v>4185</v>
      </c>
      <c r="B4866" s="1" t="s">
        <v>8</v>
      </c>
      <c r="C4866" s="2" t="s">
        <v>154</v>
      </c>
      <c r="D4866" s="2">
        <v>7.4</v>
      </c>
      <c r="E4866" s="2">
        <v>2020.0</v>
      </c>
      <c r="F4866" s="2">
        <v>2020.0</v>
      </c>
      <c r="G4866" s="2">
        <v>1.134E7</v>
      </c>
    </row>
    <row r="4867" ht="14.25" customHeight="1">
      <c r="A4867" s="1" t="s">
        <v>4185</v>
      </c>
      <c r="B4867" s="1" t="s">
        <v>8</v>
      </c>
      <c r="C4867" s="2" t="s">
        <v>154</v>
      </c>
      <c r="D4867" s="2">
        <v>7.4</v>
      </c>
      <c r="E4867" s="2">
        <v>2020.0</v>
      </c>
      <c r="F4867" s="2">
        <v>2020.0</v>
      </c>
      <c r="G4867" s="2">
        <v>1.366E7</v>
      </c>
    </row>
    <row r="4868" ht="14.25" customHeight="1">
      <c r="A4868" s="1" t="s">
        <v>4185</v>
      </c>
      <c r="B4868" s="1" t="s">
        <v>8</v>
      </c>
      <c r="C4868" s="2" t="s">
        <v>154</v>
      </c>
      <c r="D4868" s="2">
        <v>7.4</v>
      </c>
      <c r="E4868" s="2">
        <v>2020.0</v>
      </c>
      <c r="F4868" s="2">
        <v>2020.0</v>
      </c>
      <c r="G4868" s="2">
        <v>1.602E7</v>
      </c>
    </row>
    <row r="4869" ht="14.25" customHeight="1">
      <c r="A4869" s="1" t="s">
        <v>4185</v>
      </c>
      <c r="B4869" s="1" t="s">
        <v>8</v>
      </c>
      <c r="C4869" s="2" t="s">
        <v>154</v>
      </c>
      <c r="D4869" s="2">
        <v>7.4</v>
      </c>
      <c r="E4869" s="2">
        <v>2020.0</v>
      </c>
      <c r="F4869" s="2">
        <v>2020.0</v>
      </c>
      <c r="G4869" s="2">
        <v>2.124E7</v>
      </c>
    </row>
    <row r="4870" ht="14.25" customHeight="1">
      <c r="A4870" s="1" t="s">
        <v>4185</v>
      </c>
      <c r="B4870" s="1" t="s">
        <v>8</v>
      </c>
      <c r="C4870" s="2" t="s">
        <v>154</v>
      </c>
      <c r="D4870" s="2">
        <v>7.4</v>
      </c>
      <c r="E4870" s="2">
        <v>2020.0</v>
      </c>
      <c r="F4870" s="2">
        <v>2020.0</v>
      </c>
      <c r="G4870" s="2">
        <v>2.974E7</v>
      </c>
    </row>
    <row r="4871" ht="14.25" customHeight="1">
      <c r="A4871" s="1" t="s">
        <v>4185</v>
      </c>
      <c r="B4871" s="1" t="s">
        <v>8</v>
      </c>
      <c r="C4871" s="2" t="s">
        <v>154</v>
      </c>
      <c r="D4871" s="2">
        <v>7.4</v>
      </c>
      <c r="E4871" s="2">
        <v>2020.0</v>
      </c>
      <c r="F4871" s="2">
        <v>2020.0</v>
      </c>
      <c r="G4871" s="2">
        <v>1.213E7</v>
      </c>
    </row>
    <row r="4872" ht="14.25" customHeight="1">
      <c r="A4872" s="1" t="s">
        <v>4185</v>
      </c>
      <c r="B4872" s="1" t="s">
        <v>8</v>
      </c>
      <c r="C4872" s="2" t="s">
        <v>154</v>
      </c>
      <c r="D4872" s="2">
        <v>7.4</v>
      </c>
      <c r="E4872" s="2">
        <v>2020.0</v>
      </c>
      <c r="F4872" s="2">
        <v>2020.0</v>
      </c>
      <c r="G4872" s="2">
        <v>4.613E7</v>
      </c>
    </row>
    <row r="4873" ht="14.25" customHeight="1">
      <c r="A4873" s="1" t="s">
        <v>4185</v>
      </c>
      <c r="B4873" s="1" t="s">
        <v>8</v>
      </c>
      <c r="C4873" s="2" t="s">
        <v>154</v>
      </c>
      <c r="D4873" s="2">
        <v>7.4</v>
      </c>
      <c r="E4873" s="2">
        <v>2020.0</v>
      </c>
      <c r="F4873" s="2">
        <v>2020.0</v>
      </c>
      <c r="G4873" s="2">
        <v>1.728E7</v>
      </c>
    </row>
    <row r="4874" ht="14.25" customHeight="1">
      <c r="A4874" s="1" t="s">
        <v>4185</v>
      </c>
      <c r="B4874" s="1" t="s">
        <v>8</v>
      </c>
      <c r="C4874" s="2" t="s">
        <v>154</v>
      </c>
      <c r="D4874" s="2">
        <v>7.4</v>
      </c>
      <c r="E4874" s="2">
        <v>2020.0</v>
      </c>
      <c r="F4874" s="2">
        <v>2020.0</v>
      </c>
      <c r="G4874" s="2">
        <v>6.661E7</v>
      </c>
    </row>
    <row r="4875" ht="14.25" customHeight="1">
      <c r="A4875" s="1" t="s">
        <v>4185</v>
      </c>
      <c r="B4875" s="1" t="s">
        <v>8</v>
      </c>
      <c r="C4875" s="2" t="s">
        <v>154</v>
      </c>
      <c r="D4875" s="2">
        <v>7.4</v>
      </c>
      <c r="E4875" s="2">
        <v>2020.0</v>
      </c>
      <c r="F4875" s="2">
        <v>2020.0</v>
      </c>
      <c r="G4875" s="2">
        <v>2.33E7</v>
      </c>
    </row>
    <row r="4876" ht="14.25" customHeight="1">
      <c r="A4876" s="1" t="s">
        <v>4185</v>
      </c>
      <c r="B4876" s="1" t="s">
        <v>8</v>
      </c>
      <c r="C4876" s="2" t="s">
        <v>154</v>
      </c>
      <c r="D4876" s="2">
        <v>7.4</v>
      </c>
      <c r="E4876" s="2">
        <v>2020.0</v>
      </c>
      <c r="F4876" s="2">
        <v>2020.0</v>
      </c>
      <c r="G4876" s="2">
        <v>1.1575E8</v>
      </c>
    </row>
    <row r="4877" ht="14.25" customHeight="1">
      <c r="A4877" s="1" t="s">
        <v>4185</v>
      </c>
      <c r="B4877" s="1" t="s">
        <v>8</v>
      </c>
      <c r="C4877" s="2" t="s">
        <v>154</v>
      </c>
      <c r="D4877" s="2">
        <v>7.4</v>
      </c>
      <c r="E4877" s="2">
        <v>2020.0</v>
      </c>
      <c r="F4877" s="2">
        <v>2020.0</v>
      </c>
      <c r="G4877" s="2">
        <v>3.576E7</v>
      </c>
    </row>
    <row r="4878" ht="14.25" customHeight="1">
      <c r="A4878" s="1" t="s">
        <v>4185</v>
      </c>
      <c r="B4878" s="1" t="s">
        <v>8</v>
      </c>
      <c r="C4878" s="2" t="s">
        <v>154</v>
      </c>
      <c r="D4878" s="2">
        <v>7.4</v>
      </c>
      <c r="E4878" s="2">
        <v>2020.0</v>
      </c>
      <c r="F4878" s="2">
        <v>2020.0</v>
      </c>
      <c r="G4878" s="2">
        <v>2.5174E8</v>
      </c>
    </row>
    <row r="4879" ht="14.25" customHeight="1">
      <c r="A4879" s="1" t="s">
        <v>4185</v>
      </c>
      <c r="B4879" s="1" t="s">
        <v>8</v>
      </c>
      <c r="C4879" s="2" t="s">
        <v>154</v>
      </c>
      <c r="D4879" s="2">
        <v>7.4</v>
      </c>
      <c r="E4879" s="2">
        <v>2020.0</v>
      </c>
      <c r="F4879" s="2">
        <v>2020.0</v>
      </c>
      <c r="G4879" s="2">
        <v>5.302E7</v>
      </c>
    </row>
    <row r="4880" ht="14.25" customHeight="1">
      <c r="A4880" s="1" t="s">
        <v>4185</v>
      </c>
      <c r="B4880" s="1" t="s">
        <v>8</v>
      </c>
      <c r="C4880" s="2" t="s">
        <v>154</v>
      </c>
      <c r="D4880" s="2">
        <v>7.4</v>
      </c>
      <c r="E4880" s="2">
        <v>2020.0</v>
      </c>
      <c r="F4880" s="2">
        <v>2020.0</v>
      </c>
      <c r="G4880" s="2">
        <v>1.9302E8</v>
      </c>
    </row>
    <row r="4881" ht="14.25" customHeight="1">
      <c r="A4881" s="1" t="s">
        <v>4185</v>
      </c>
      <c r="B4881" s="1" t="s">
        <v>8</v>
      </c>
      <c r="C4881" s="2" t="s">
        <v>154</v>
      </c>
      <c r="D4881" s="2">
        <v>7.4</v>
      </c>
      <c r="E4881" s="2">
        <v>2020.0</v>
      </c>
      <c r="F4881" s="2">
        <v>2020.0</v>
      </c>
      <c r="G4881" s="2">
        <v>3.228E7</v>
      </c>
    </row>
    <row r="4882" ht="14.25" customHeight="1">
      <c r="A4882" s="1" t="s">
        <v>4186</v>
      </c>
      <c r="B4882" s="1" t="s">
        <v>20</v>
      </c>
      <c r="C4882" s="2" t="s">
        <v>231</v>
      </c>
      <c r="D4882" s="2">
        <v>7.4</v>
      </c>
      <c r="E4882" s="2">
        <v>2001.0</v>
      </c>
      <c r="F4882" s="2" t="s">
        <v>10</v>
      </c>
      <c r="G4882" s="2" t="s">
        <v>10</v>
      </c>
    </row>
    <row r="4883" ht="14.25" customHeight="1">
      <c r="A4883" s="1" t="s">
        <v>4187</v>
      </c>
      <c r="B4883" s="1" t="s">
        <v>20</v>
      </c>
      <c r="C4883" s="2" t="s">
        <v>1301</v>
      </c>
      <c r="D4883" s="2">
        <v>7.4</v>
      </c>
      <c r="E4883" s="2">
        <v>1974.0</v>
      </c>
      <c r="F4883" s="2" t="s">
        <v>10</v>
      </c>
      <c r="G4883" s="2" t="s">
        <v>10</v>
      </c>
    </row>
    <row r="4884" ht="14.25" customHeight="1">
      <c r="A4884" s="1" t="s">
        <v>4188</v>
      </c>
      <c r="B4884" s="1" t="s">
        <v>20</v>
      </c>
      <c r="C4884" s="2" t="s">
        <v>40</v>
      </c>
      <c r="D4884" s="2">
        <v>7.4</v>
      </c>
      <c r="E4884" s="2">
        <v>2017.0</v>
      </c>
      <c r="F4884" s="2">
        <v>2017.0</v>
      </c>
      <c r="G4884" s="2" t="s">
        <v>10</v>
      </c>
    </row>
    <row r="4885" ht="14.25" customHeight="1">
      <c r="A4885" s="1" t="s">
        <v>4189</v>
      </c>
      <c r="B4885" s="1" t="s">
        <v>20</v>
      </c>
      <c r="C4885" s="2" t="s">
        <v>4190</v>
      </c>
      <c r="D4885" s="2">
        <v>7.4</v>
      </c>
      <c r="E4885" s="2">
        <v>2020.0</v>
      </c>
      <c r="F4885" s="2" t="s">
        <v>10</v>
      </c>
      <c r="G4885" s="2" t="s">
        <v>10</v>
      </c>
    </row>
    <row r="4886" ht="14.25" customHeight="1">
      <c r="A4886" s="1" t="s">
        <v>2991</v>
      </c>
      <c r="B4886" s="1" t="s">
        <v>20</v>
      </c>
      <c r="C4886" s="2" t="s">
        <v>361</v>
      </c>
      <c r="D4886" s="2">
        <v>7.4</v>
      </c>
      <c r="E4886" s="2">
        <v>2000.0</v>
      </c>
      <c r="F4886" s="2" t="s">
        <v>10</v>
      </c>
      <c r="G4886" s="2" t="s">
        <v>10</v>
      </c>
    </row>
    <row r="4887" ht="14.25" customHeight="1">
      <c r="A4887" s="1" t="s">
        <v>4191</v>
      </c>
      <c r="B4887" s="1" t="s">
        <v>20</v>
      </c>
      <c r="C4887" s="2" t="s">
        <v>307</v>
      </c>
      <c r="D4887" s="2">
        <v>7.4</v>
      </c>
      <c r="E4887" s="2">
        <v>2012.0</v>
      </c>
      <c r="F4887" s="2">
        <v>2012.0</v>
      </c>
      <c r="G4887" s="2" t="s">
        <v>10</v>
      </c>
    </row>
    <row r="4888" ht="14.25" customHeight="1">
      <c r="A4888" s="1" t="s">
        <v>4192</v>
      </c>
      <c r="B4888" s="1" t="s">
        <v>20</v>
      </c>
      <c r="C4888" s="2" t="s">
        <v>151</v>
      </c>
      <c r="D4888" s="2">
        <v>7.4</v>
      </c>
      <c r="E4888" s="2">
        <v>1978.0</v>
      </c>
      <c r="F4888" s="2" t="s">
        <v>10</v>
      </c>
      <c r="G4888" s="2" t="s">
        <v>10</v>
      </c>
    </row>
    <row r="4889" ht="14.25" customHeight="1">
      <c r="A4889" s="1" t="s">
        <v>4193</v>
      </c>
      <c r="B4889" s="1" t="s">
        <v>20</v>
      </c>
      <c r="C4889" s="2" t="s">
        <v>446</v>
      </c>
      <c r="D4889" s="2">
        <v>7.4</v>
      </c>
      <c r="E4889" s="2">
        <v>1999.0</v>
      </c>
      <c r="F4889" s="2" t="s">
        <v>10</v>
      </c>
      <c r="G4889" s="2" t="s">
        <v>10</v>
      </c>
    </row>
    <row r="4890" ht="14.25" customHeight="1">
      <c r="A4890" s="1" t="s">
        <v>4194</v>
      </c>
      <c r="B4890" s="1" t="s">
        <v>8</v>
      </c>
      <c r="C4890" s="2" t="s">
        <v>1060</v>
      </c>
      <c r="D4890" s="2">
        <v>7.4</v>
      </c>
      <c r="E4890" s="2">
        <v>2010.0</v>
      </c>
      <c r="F4890" s="2" t="s">
        <v>10</v>
      </c>
      <c r="G4890" s="2" t="s">
        <v>10</v>
      </c>
    </row>
    <row r="4891" ht="14.25" customHeight="1">
      <c r="A4891" s="1" t="s">
        <v>4195</v>
      </c>
      <c r="B4891" s="1" t="s">
        <v>20</v>
      </c>
      <c r="C4891" s="2" t="s">
        <v>262</v>
      </c>
      <c r="D4891" s="2">
        <v>7.4</v>
      </c>
      <c r="E4891" s="2">
        <v>2023.0</v>
      </c>
      <c r="F4891" s="2" t="s">
        <v>10</v>
      </c>
      <c r="G4891" s="2" t="s">
        <v>10</v>
      </c>
    </row>
    <row r="4892" ht="14.25" customHeight="1">
      <c r="A4892" s="1" t="s">
        <v>4196</v>
      </c>
      <c r="B4892" s="1" t="s">
        <v>20</v>
      </c>
      <c r="C4892" s="2" t="s">
        <v>55</v>
      </c>
      <c r="D4892" s="2">
        <v>7.4</v>
      </c>
      <c r="E4892" s="2">
        <v>2020.0</v>
      </c>
      <c r="F4892" s="2" t="s">
        <v>10</v>
      </c>
      <c r="G4892" s="2" t="s">
        <v>10</v>
      </c>
    </row>
    <row r="4893" ht="14.25" customHeight="1">
      <c r="A4893" s="1" t="s">
        <v>4197</v>
      </c>
      <c r="B4893" s="1" t="s">
        <v>20</v>
      </c>
      <c r="C4893" s="2" t="s">
        <v>4198</v>
      </c>
      <c r="D4893" s="2">
        <v>7.4</v>
      </c>
      <c r="E4893" s="2">
        <v>1975.0</v>
      </c>
      <c r="F4893" s="2" t="s">
        <v>10</v>
      </c>
      <c r="G4893" s="2" t="s">
        <v>10</v>
      </c>
    </row>
    <row r="4894" ht="14.25" customHeight="1">
      <c r="A4894" s="1" t="s">
        <v>4199</v>
      </c>
      <c r="B4894" s="1" t="s">
        <v>20</v>
      </c>
      <c r="C4894" s="2" t="s">
        <v>361</v>
      </c>
      <c r="D4894" s="2">
        <v>7.4</v>
      </c>
      <c r="E4894" s="2">
        <v>2013.0</v>
      </c>
      <c r="F4894" s="2" t="s">
        <v>10</v>
      </c>
      <c r="G4894" s="2" t="s">
        <v>10</v>
      </c>
    </row>
    <row r="4895" ht="14.25" customHeight="1">
      <c r="A4895" s="1" t="s">
        <v>4200</v>
      </c>
      <c r="B4895" s="1" t="s">
        <v>20</v>
      </c>
      <c r="C4895" s="2" t="s">
        <v>1982</v>
      </c>
      <c r="D4895" s="2">
        <v>7.4</v>
      </c>
      <c r="E4895" s="2">
        <v>2024.0</v>
      </c>
      <c r="F4895" s="2" t="s">
        <v>10</v>
      </c>
      <c r="G4895" s="2" t="s">
        <v>10</v>
      </c>
    </row>
    <row r="4896" ht="14.25" customHeight="1">
      <c r="A4896" s="1" t="s">
        <v>4201</v>
      </c>
      <c r="B4896" s="1" t="s">
        <v>20</v>
      </c>
      <c r="C4896" s="2" t="s">
        <v>452</v>
      </c>
      <c r="D4896" s="2">
        <v>7.4</v>
      </c>
      <c r="E4896" s="2">
        <v>2013.0</v>
      </c>
      <c r="F4896" s="2" t="s">
        <v>10</v>
      </c>
      <c r="G4896" s="2" t="s">
        <v>10</v>
      </c>
    </row>
    <row r="4897" ht="14.25" customHeight="1">
      <c r="A4897" s="1" t="s">
        <v>4202</v>
      </c>
      <c r="B4897" s="1" t="s">
        <v>20</v>
      </c>
      <c r="C4897" s="2" t="s">
        <v>476</v>
      </c>
      <c r="D4897" s="2">
        <v>7.4</v>
      </c>
      <c r="E4897" s="2">
        <v>2007.0</v>
      </c>
      <c r="F4897" s="2" t="s">
        <v>10</v>
      </c>
      <c r="G4897" s="2" t="s">
        <v>10</v>
      </c>
    </row>
    <row r="4898" ht="14.25" customHeight="1">
      <c r="A4898" s="1" t="s">
        <v>4203</v>
      </c>
      <c r="B4898" s="1" t="s">
        <v>20</v>
      </c>
      <c r="C4898" s="2" t="s">
        <v>1179</v>
      </c>
      <c r="D4898" s="2">
        <v>7.4</v>
      </c>
      <c r="E4898" s="2">
        <v>2005.0</v>
      </c>
      <c r="F4898" s="2" t="s">
        <v>10</v>
      </c>
      <c r="G4898" s="2" t="s">
        <v>10</v>
      </c>
    </row>
    <row r="4899" ht="14.25" customHeight="1">
      <c r="A4899" s="1" t="s">
        <v>4204</v>
      </c>
      <c r="B4899" s="1" t="s">
        <v>20</v>
      </c>
      <c r="C4899" s="2" t="s">
        <v>63</v>
      </c>
      <c r="D4899" s="2">
        <v>7.4</v>
      </c>
      <c r="E4899" s="2">
        <v>2013.0</v>
      </c>
      <c r="F4899" s="2" t="s">
        <v>10</v>
      </c>
      <c r="G4899" s="2" t="s">
        <v>10</v>
      </c>
    </row>
    <row r="4900" ht="14.25" customHeight="1">
      <c r="A4900" s="1" t="s">
        <v>4205</v>
      </c>
      <c r="B4900" s="1" t="s">
        <v>20</v>
      </c>
      <c r="C4900" s="2" t="s">
        <v>25</v>
      </c>
      <c r="D4900" s="2">
        <v>7.4</v>
      </c>
      <c r="E4900" s="2">
        <v>2019.0</v>
      </c>
      <c r="F4900" s="2" t="s">
        <v>10</v>
      </c>
      <c r="G4900" s="2">
        <v>9030000.0</v>
      </c>
    </row>
    <row r="4901" ht="14.25" customHeight="1">
      <c r="A4901" s="1" t="s">
        <v>4206</v>
      </c>
      <c r="B4901" s="1" t="s">
        <v>20</v>
      </c>
      <c r="C4901" s="2" t="s">
        <v>154</v>
      </c>
      <c r="D4901" s="2">
        <v>7.4</v>
      </c>
      <c r="E4901" s="2">
        <v>2017.0</v>
      </c>
      <c r="F4901" s="2" t="s">
        <v>10</v>
      </c>
      <c r="G4901" s="2" t="s">
        <v>10</v>
      </c>
    </row>
    <row r="4902" ht="14.25" customHeight="1">
      <c r="A4902" s="1" t="s">
        <v>4207</v>
      </c>
      <c r="B4902" s="1" t="s">
        <v>8</v>
      </c>
      <c r="C4902" s="2" t="s">
        <v>25</v>
      </c>
      <c r="D4902" s="2">
        <v>7.4</v>
      </c>
      <c r="E4902" s="2">
        <v>2021.0</v>
      </c>
      <c r="F4902" s="2" t="s">
        <v>10</v>
      </c>
      <c r="G4902" s="2" t="s">
        <v>10</v>
      </c>
    </row>
    <row r="4903" ht="14.25" customHeight="1">
      <c r="A4903" s="1" t="s">
        <v>4208</v>
      </c>
      <c r="B4903" s="1" t="s">
        <v>20</v>
      </c>
      <c r="C4903" s="2" t="s">
        <v>742</v>
      </c>
      <c r="D4903" s="2">
        <v>7.4</v>
      </c>
      <c r="E4903" s="2">
        <v>1999.0</v>
      </c>
      <c r="F4903" s="2" t="s">
        <v>10</v>
      </c>
      <c r="G4903" s="2" t="s">
        <v>10</v>
      </c>
    </row>
    <row r="4904" ht="14.25" customHeight="1">
      <c r="A4904" s="1" t="s">
        <v>4209</v>
      </c>
      <c r="B4904" s="1" t="s">
        <v>8</v>
      </c>
      <c r="C4904" s="2" t="s">
        <v>226</v>
      </c>
      <c r="D4904" s="2">
        <v>7.4</v>
      </c>
      <c r="E4904" s="2">
        <v>2005.0</v>
      </c>
      <c r="F4904" s="2" t="s">
        <v>10</v>
      </c>
      <c r="G4904" s="2" t="s">
        <v>10</v>
      </c>
    </row>
    <row r="4905" ht="14.25" customHeight="1">
      <c r="A4905" s="1" t="s">
        <v>4210</v>
      </c>
      <c r="B4905" s="1" t="s">
        <v>8</v>
      </c>
      <c r="C4905" s="2" t="s">
        <v>476</v>
      </c>
      <c r="D4905" s="2">
        <v>7.4</v>
      </c>
      <c r="E4905" s="2">
        <v>2020.0</v>
      </c>
      <c r="F4905" s="2">
        <v>2020.0</v>
      </c>
      <c r="G4905" s="2" t="s">
        <v>10</v>
      </c>
    </row>
    <row r="4906" ht="14.25" customHeight="1">
      <c r="A4906" s="1" t="s">
        <v>4211</v>
      </c>
      <c r="B4906" s="1" t="s">
        <v>20</v>
      </c>
      <c r="C4906" s="2" t="s">
        <v>32</v>
      </c>
      <c r="D4906" s="2">
        <v>7.4</v>
      </c>
      <c r="E4906" s="2">
        <v>1978.0</v>
      </c>
      <c r="F4906" s="2" t="s">
        <v>10</v>
      </c>
      <c r="G4906" s="2" t="s">
        <v>10</v>
      </c>
    </row>
    <row r="4907" ht="14.25" customHeight="1">
      <c r="A4907" s="1" t="s">
        <v>4212</v>
      </c>
      <c r="B4907" s="1" t="s">
        <v>20</v>
      </c>
      <c r="C4907" s="2" t="s">
        <v>611</v>
      </c>
      <c r="D4907" s="2">
        <v>7.4</v>
      </c>
      <c r="E4907" s="2">
        <v>1995.0</v>
      </c>
      <c r="F4907" s="2" t="s">
        <v>10</v>
      </c>
      <c r="G4907" s="2" t="s">
        <v>10</v>
      </c>
    </row>
    <row r="4908" ht="14.25" customHeight="1">
      <c r="A4908" s="1" t="s">
        <v>4213</v>
      </c>
      <c r="B4908" s="1" t="s">
        <v>20</v>
      </c>
      <c r="C4908" s="2" t="s">
        <v>476</v>
      </c>
      <c r="D4908" s="2">
        <v>7.4</v>
      </c>
      <c r="E4908" s="2">
        <v>1990.0</v>
      </c>
      <c r="F4908" s="2">
        <v>2019.0</v>
      </c>
      <c r="G4908" s="2" t="s">
        <v>10</v>
      </c>
    </row>
    <row r="4909" ht="14.25" customHeight="1">
      <c r="A4909" s="1" t="s">
        <v>4214</v>
      </c>
      <c r="B4909" s="1" t="s">
        <v>20</v>
      </c>
      <c r="C4909" s="2" t="s">
        <v>112</v>
      </c>
      <c r="D4909" s="2">
        <v>7.4</v>
      </c>
      <c r="E4909" s="2">
        <v>2023.0</v>
      </c>
      <c r="F4909" s="2" t="s">
        <v>10</v>
      </c>
      <c r="G4909" s="2" t="s">
        <v>10</v>
      </c>
    </row>
    <row r="4910" ht="14.25" customHeight="1">
      <c r="A4910" s="1" t="s">
        <v>4215</v>
      </c>
      <c r="B4910" s="1" t="s">
        <v>20</v>
      </c>
      <c r="C4910" s="2" t="s">
        <v>53</v>
      </c>
      <c r="D4910" s="2">
        <v>7.4</v>
      </c>
      <c r="E4910" s="2">
        <v>2000.0</v>
      </c>
      <c r="F4910" s="2">
        <v>2016.0</v>
      </c>
      <c r="G4910" s="2" t="s">
        <v>10</v>
      </c>
    </row>
    <row r="4911" ht="14.25" customHeight="1">
      <c r="A4911" s="1" t="s">
        <v>4216</v>
      </c>
      <c r="B4911" s="1" t="s">
        <v>20</v>
      </c>
      <c r="C4911" s="2" t="s">
        <v>187</v>
      </c>
      <c r="D4911" s="2">
        <v>7.4</v>
      </c>
      <c r="E4911" s="2">
        <v>1982.0</v>
      </c>
      <c r="F4911" s="2" t="s">
        <v>10</v>
      </c>
      <c r="G4911" s="2" t="s">
        <v>10</v>
      </c>
    </row>
    <row r="4912" ht="14.25" customHeight="1">
      <c r="A4912" s="1" t="s">
        <v>4217</v>
      </c>
      <c r="B4912" s="1" t="s">
        <v>20</v>
      </c>
      <c r="C4912" s="2" t="s">
        <v>461</v>
      </c>
      <c r="D4912" s="2">
        <v>7.4</v>
      </c>
      <c r="E4912" s="2">
        <v>2000.0</v>
      </c>
      <c r="F4912" s="2" t="s">
        <v>10</v>
      </c>
      <c r="G4912" s="2" t="s">
        <v>10</v>
      </c>
    </row>
    <row r="4913" ht="14.25" customHeight="1">
      <c r="A4913" s="1" t="s">
        <v>4218</v>
      </c>
      <c r="B4913" s="1" t="s">
        <v>8</v>
      </c>
      <c r="C4913" s="2" t="s">
        <v>92</v>
      </c>
      <c r="D4913" s="2">
        <v>7.4</v>
      </c>
      <c r="E4913" s="2">
        <v>2018.0</v>
      </c>
      <c r="F4913" s="2">
        <v>2020.0</v>
      </c>
      <c r="G4913" s="2" t="s">
        <v>10</v>
      </c>
    </row>
    <row r="4914" ht="14.25" customHeight="1">
      <c r="A4914" s="1" t="s">
        <v>4219</v>
      </c>
      <c r="B4914" s="1" t="s">
        <v>20</v>
      </c>
      <c r="C4914" s="2" t="s">
        <v>452</v>
      </c>
      <c r="D4914" s="2">
        <v>7.4</v>
      </c>
      <c r="E4914" s="2">
        <v>2007.0</v>
      </c>
      <c r="F4914" s="2" t="s">
        <v>10</v>
      </c>
      <c r="G4914" s="2" t="s">
        <v>10</v>
      </c>
    </row>
    <row r="4915" ht="14.25" customHeight="1">
      <c r="A4915" s="1" t="s">
        <v>4220</v>
      </c>
      <c r="B4915" s="1" t="s">
        <v>8</v>
      </c>
      <c r="C4915" s="2" t="s">
        <v>53</v>
      </c>
      <c r="D4915" s="2">
        <v>7.4</v>
      </c>
      <c r="E4915" s="2">
        <v>2020.0</v>
      </c>
      <c r="F4915" s="2" t="s">
        <v>10</v>
      </c>
      <c r="G4915" s="2" t="s">
        <v>10</v>
      </c>
    </row>
    <row r="4916" ht="14.25" customHeight="1">
      <c r="A4916" s="1" t="s">
        <v>4221</v>
      </c>
      <c r="B4916" s="1" t="s">
        <v>8</v>
      </c>
      <c r="C4916" s="2" t="s">
        <v>507</v>
      </c>
      <c r="D4916" s="2">
        <v>7.4</v>
      </c>
      <c r="E4916" s="2">
        <v>2016.0</v>
      </c>
      <c r="F4916" s="2">
        <v>2019.0</v>
      </c>
      <c r="G4916" s="2">
        <v>1.311E7</v>
      </c>
    </row>
    <row r="4917" ht="14.25" customHeight="1">
      <c r="A4917" s="1" t="s">
        <v>4221</v>
      </c>
      <c r="B4917" s="1" t="s">
        <v>8</v>
      </c>
      <c r="C4917" s="2" t="s">
        <v>507</v>
      </c>
      <c r="D4917" s="2">
        <v>7.4</v>
      </c>
      <c r="E4917" s="2">
        <v>2016.0</v>
      </c>
      <c r="F4917" s="2">
        <v>2019.0</v>
      </c>
      <c r="G4917" s="2">
        <v>1.199E7</v>
      </c>
    </row>
    <row r="4918" ht="14.25" customHeight="1">
      <c r="A4918" s="1" t="s">
        <v>4222</v>
      </c>
      <c r="B4918" s="1" t="s">
        <v>20</v>
      </c>
      <c r="C4918" s="2" t="s">
        <v>169</v>
      </c>
      <c r="D4918" s="2">
        <v>7.4</v>
      </c>
      <c r="E4918" s="2">
        <v>2018.0</v>
      </c>
      <c r="F4918" s="2" t="s">
        <v>10</v>
      </c>
      <c r="G4918" s="2" t="s">
        <v>10</v>
      </c>
    </row>
    <row r="4919" ht="14.25" customHeight="1">
      <c r="A4919" s="1" t="s">
        <v>4223</v>
      </c>
      <c r="B4919" s="1" t="s">
        <v>20</v>
      </c>
      <c r="C4919" s="2" t="s">
        <v>1336</v>
      </c>
      <c r="D4919" s="2">
        <v>7.4</v>
      </c>
      <c r="E4919" s="2">
        <v>1985.0</v>
      </c>
      <c r="F4919" s="2" t="s">
        <v>10</v>
      </c>
      <c r="G4919" s="2" t="s">
        <v>10</v>
      </c>
    </row>
    <row r="4920" ht="14.25" customHeight="1">
      <c r="A4920" s="1" t="s">
        <v>4224</v>
      </c>
      <c r="B4920" s="1" t="s">
        <v>20</v>
      </c>
      <c r="C4920" s="2" t="s">
        <v>80</v>
      </c>
      <c r="D4920" s="2">
        <v>7.4</v>
      </c>
      <c r="E4920" s="2">
        <v>1998.0</v>
      </c>
      <c r="F4920" s="2" t="s">
        <v>10</v>
      </c>
      <c r="G4920" s="2" t="s">
        <v>10</v>
      </c>
    </row>
    <row r="4921" ht="14.25" customHeight="1">
      <c r="A4921" s="1" t="s">
        <v>4225</v>
      </c>
      <c r="B4921" s="1" t="s">
        <v>20</v>
      </c>
      <c r="C4921" s="2" t="s">
        <v>154</v>
      </c>
      <c r="D4921" s="2">
        <v>7.4</v>
      </c>
      <c r="E4921" s="2">
        <v>1999.0</v>
      </c>
      <c r="F4921" s="2" t="s">
        <v>10</v>
      </c>
      <c r="G4921" s="2" t="s">
        <v>10</v>
      </c>
    </row>
    <row r="4922" ht="14.25" customHeight="1">
      <c r="A4922" s="1" t="s">
        <v>4226</v>
      </c>
      <c r="B4922" s="1" t="s">
        <v>20</v>
      </c>
      <c r="C4922" s="2" t="s">
        <v>134</v>
      </c>
      <c r="D4922" s="2">
        <v>7.4</v>
      </c>
      <c r="E4922" s="2">
        <v>1998.0</v>
      </c>
      <c r="F4922" s="2" t="s">
        <v>10</v>
      </c>
      <c r="G4922" s="2" t="s">
        <v>10</v>
      </c>
    </row>
    <row r="4923" ht="14.25" customHeight="1">
      <c r="A4923" s="1" t="s">
        <v>4227</v>
      </c>
      <c r="B4923" s="1" t="s">
        <v>20</v>
      </c>
      <c r="C4923" s="2" t="s">
        <v>80</v>
      </c>
      <c r="D4923" s="2">
        <v>7.4</v>
      </c>
      <c r="E4923" s="2">
        <v>2005.0</v>
      </c>
      <c r="F4923" s="2" t="s">
        <v>10</v>
      </c>
      <c r="G4923" s="2" t="s">
        <v>10</v>
      </c>
    </row>
    <row r="4924" ht="14.25" customHeight="1">
      <c r="A4924" s="1" t="s">
        <v>4228</v>
      </c>
      <c r="B4924" s="1" t="s">
        <v>20</v>
      </c>
      <c r="C4924" s="2" t="s">
        <v>395</v>
      </c>
      <c r="D4924" s="2">
        <v>7.4</v>
      </c>
      <c r="E4924" s="2">
        <v>1988.0</v>
      </c>
      <c r="F4924" s="2" t="s">
        <v>10</v>
      </c>
      <c r="G4924" s="2" t="s">
        <v>10</v>
      </c>
    </row>
    <row r="4925" ht="14.25" customHeight="1">
      <c r="A4925" s="1" t="s">
        <v>4229</v>
      </c>
      <c r="B4925" s="1" t="s">
        <v>20</v>
      </c>
      <c r="C4925" s="2" t="s">
        <v>18</v>
      </c>
      <c r="D4925" s="2">
        <v>7.4</v>
      </c>
      <c r="E4925" s="2">
        <v>2020.0</v>
      </c>
      <c r="F4925" s="2" t="s">
        <v>10</v>
      </c>
      <c r="G4925" s="2" t="s">
        <v>10</v>
      </c>
    </row>
    <row r="4926" ht="14.25" customHeight="1">
      <c r="A4926" s="1" t="s">
        <v>4230</v>
      </c>
      <c r="B4926" s="1" t="s">
        <v>20</v>
      </c>
      <c r="C4926" s="2" t="s">
        <v>63</v>
      </c>
      <c r="D4926" s="2">
        <v>7.4</v>
      </c>
      <c r="E4926" s="2">
        <v>1973.0</v>
      </c>
      <c r="F4926" s="2" t="s">
        <v>10</v>
      </c>
      <c r="G4926" s="2" t="s">
        <v>10</v>
      </c>
    </row>
    <row r="4927" ht="14.25" customHeight="1">
      <c r="A4927" s="1" t="s">
        <v>4231</v>
      </c>
      <c r="B4927" s="1" t="s">
        <v>20</v>
      </c>
      <c r="C4927" s="2" t="s">
        <v>18</v>
      </c>
      <c r="D4927" s="2">
        <v>7.4</v>
      </c>
      <c r="E4927" s="2">
        <v>2007.0</v>
      </c>
      <c r="F4927" s="2" t="s">
        <v>10</v>
      </c>
      <c r="G4927" s="2" t="s">
        <v>10</v>
      </c>
    </row>
    <row r="4928" ht="14.25" customHeight="1">
      <c r="A4928" s="1" t="s">
        <v>4232</v>
      </c>
      <c r="B4928" s="1" t="s">
        <v>20</v>
      </c>
      <c r="C4928" s="2" t="s">
        <v>452</v>
      </c>
      <c r="D4928" s="2">
        <v>7.4</v>
      </c>
      <c r="E4928" s="2">
        <v>2022.0</v>
      </c>
      <c r="F4928" s="2" t="s">
        <v>10</v>
      </c>
      <c r="G4928" s="2" t="s">
        <v>10</v>
      </c>
    </row>
    <row r="4929" ht="14.25" customHeight="1">
      <c r="A4929" s="1" t="s">
        <v>4233</v>
      </c>
      <c r="B4929" s="1" t="s">
        <v>20</v>
      </c>
      <c r="C4929" s="2" t="s">
        <v>154</v>
      </c>
      <c r="D4929" s="2">
        <v>7.4</v>
      </c>
      <c r="E4929" s="2">
        <v>2006.0</v>
      </c>
      <c r="F4929" s="2" t="s">
        <v>10</v>
      </c>
      <c r="G4929" s="2" t="s">
        <v>10</v>
      </c>
    </row>
    <row r="4930" ht="14.25" customHeight="1">
      <c r="A4930" s="1" t="s">
        <v>4234</v>
      </c>
      <c r="B4930" s="1" t="s">
        <v>20</v>
      </c>
      <c r="C4930" s="2" t="s">
        <v>187</v>
      </c>
      <c r="D4930" s="2">
        <v>7.4</v>
      </c>
      <c r="E4930" s="2">
        <v>2012.0</v>
      </c>
      <c r="F4930" s="2">
        <v>2012.0</v>
      </c>
      <c r="G4930" s="2" t="s">
        <v>10</v>
      </c>
    </row>
    <row r="4931" ht="14.25" customHeight="1">
      <c r="A4931" s="1" t="s">
        <v>4235</v>
      </c>
      <c r="B4931" s="1" t="s">
        <v>20</v>
      </c>
      <c r="C4931" s="2" t="s">
        <v>154</v>
      </c>
      <c r="D4931" s="2">
        <v>7.4</v>
      </c>
      <c r="E4931" s="2">
        <v>2010.0</v>
      </c>
      <c r="F4931" s="2" t="s">
        <v>10</v>
      </c>
      <c r="G4931" s="2" t="s">
        <v>10</v>
      </c>
    </row>
    <row r="4932" ht="14.25" customHeight="1">
      <c r="A4932" s="1" t="s">
        <v>4236</v>
      </c>
      <c r="B4932" s="1" t="s">
        <v>20</v>
      </c>
      <c r="C4932" s="2" t="s">
        <v>105</v>
      </c>
      <c r="D4932" s="2">
        <v>7.4</v>
      </c>
      <c r="E4932" s="2">
        <v>2016.0</v>
      </c>
      <c r="F4932" s="2">
        <v>2016.0</v>
      </c>
      <c r="G4932" s="2" t="s">
        <v>10</v>
      </c>
    </row>
    <row r="4933" ht="14.25" customHeight="1">
      <c r="A4933" s="1" t="s">
        <v>4237</v>
      </c>
      <c r="B4933" s="1" t="s">
        <v>20</v>
      </c>
      <c r="C4933" s="2" t="s">
        <v>80</v>
      </c>
      <c r="D4933" s="2">
        <v>7.4</v>
      </c>
      <c r="E4933" s="2">
        <v>2021.0</v>
      </c>
      <c r="F4933" s="2" t="s">
        <v>10</v>
      </c>
      <c r="G4933" s="2" t="s">
        <v>10</v>
      </c>
    </row>
    <row r="4934" ht="14.25" customHeight="1">
      <c r="A4934" s="1" t="s">
        <v>4238</v>
      </c>
      <c r="B4934" s="1" t="s">
        <v>8</v>
      </c>
      <c r="C4934" s="2" t="s">
        <v>481</v>
      </c>
      <c r="D4934" s="2">
        <v>7.4</v>
      </c>
      <c r="E4934" s="2">
        <v>2013.0</v>
      </c>
      <c r="F4934" s="2" t="s">
        <v>10</v>
      </c>
      <c r="G4934" s="2" t="s">
        <v>10</v>
      </c>
    </row>
    <row r="4935" ht="14.25" customHeight="1">
      <c r="A4935" s="1" t="s">
        <v>4239</v>
      </c>
      <c r="B4935" s="1" t="s">
        <v>20</v>
      </c>
      <c r="C4935" s="2" t="s">
        <v>80</v>
      </c>
      <c r="D4935" s="2">
        <v>7.4</v>
      </c>
      <c r="E4935" s="2">
        <v>2023.0</v>
      </c>
      <c r="F4935" s="2" t="s">
        <v>10</v>
      </c>
      <c r="G4935" s="2" t="s">
        <v>10</v>
      </c>
    </row>
    <row r="4936" ht="14.25" customHeight="1">
      <c r="A4936" s="1" t="s">
        <v>4240</v>
      </c>
      <c r="B4936" s="1" t="s">
        <v>8</v>
      </c>
      <c r="C4936" s="2" t="s">
        <v>32</v>
      </c>
      <c r="D4936" s="2">
        <v>7.4</v>
      </c>
      <c r="E4936" s="2">
        <v>1998.0</v>
      </c>
      <c r="F4936" s="2" t="s">
        <v>10</v>
      </c>
      <c r="G4936" s="2" t="s">
        <v>10</v>
      </c>
    </row>
    <row r="4937" ht="14.25" customHeight="1">
      <c r="A4937" s="1" t="s">
        <v>4241</v>
      </c>
      <c r="B4937" s="1" t="s">
        <v>8</v>
      </c>
      <c r="C4937" s="2" t="s">
        <v>4242</v>
      </c>
      <c r="D4937" s="2">
        <v>7.4</v>
      </c>
      <c r="E4937" s="2">
        <v>2020.0</v>
      </c>
      <c r="F4937" s="2" t="s">
        <v>10</v>
      </c>
      <c r="G4937" s="2" t="s">
        <v>10</v>
      </c>
    </row>
    <row r="4938" ht="14.25" customHeight="1">
      <c r="A4938" s="1" t="s">
        <v>4243</v>
      </c>
      <c r="B4938" s="1" t="s">
        <v>20</v>
      </c>
      <c r="C4938" s="2" t="s">
        <v>621</v>
      </c>
      <c r="D4938" s="2">
        <v>7.4</v>
      </c>
      <c r="E4938" s="2">
        <v>2016.0</v>
      </c>
      <c r="F4938" s="2" t="s">
        <v>10</v>
      </c>
      <c r="G4938" s="2" t="s">
        <v>10</v>
      </c>
    </row>
    <row r="4939" ht="14.25" customHeight="1">
      <c r="A4939" s="1" t="s">
        <v>4244</v>
      </c>
      <c r="B4939" s="1" t="s">
        <v>20</v>
      </c>
      <c r="C4939" s="2" t="s">
        <v>192</v>
      </c>
      <c r="D4939" s="2">
        <v>7.4</v>
      </c>
      <c r="E4939" s="2">
        <v>2006.0</v>
      </c>
      <c r="F4939" s="2" t="s">
        <v>10</v>
      </c>
      <c r="G4939" s="2" t="s">
        <v>10</v>
      </c>
    </row>
    <row r="4940" ht="14.25" customHeight="1">
      <c r="A4940" s="1" t="s">
        <v>4245</v>
      </c>
      <c r="B4940" s="1" t="s">
        <v>20</v>
      </c>
      <c r="C4940" s="2" t="s">
        <v>12</v>
      </c>
      <c r="D4940" s="2">
        <v>7.4</v>
      </c>
      <c r="E4940" s="2">
        <v>2006.0</v>
      </c>
      <c r="F4940" s="2" t="s">
        <v>10</v>
      </c>
      <c r="G4940" s="2" t="s">
        <v>10</v>
      </c>
    </row>
    <row r="4941" ht="14.25" customHeight="1">
      <c r="A4941" s="1" t="s">
        <v>4246</v>
      </c>
      <c r="B4941" s="1" t="s">
        <v>20</v>
      </c>
      <c r="C4941" s="2" t="s">
        <v>169</v>
      </c>
      <c r="D4941" s="2">
        <v>7.4</v>
      </c>
      <c r="E4941" s="2">
        <v>2015.0</v>
      </c>
      <c r="F4941" s="2">
        <v>2015.0</v>
      </c>
      <c r="G4941" s="2" t="s">
        <v>10</v>
      </c>
    </row>
    <row r="4942" ht="14.25" customHeight="1">
      <c r="A4942" s="1" t="s">
        <v>4247</v>
      </c>
      <c r="B4942" s="1" t="s">
        <v>20</v>
      </c>
      <c r="C4942" s="2" t="s">
        <v>69</v>
      </c>
      <c r="D4942" s="2">
        <v>7.4</v>
      </c>
      <c r="E4942" s="2">
        <v>2021.0</v>
      </c>
      <c r="F4942" s="2">
        <v>2016.0</v>
      </c>
      <c r="G4942" s="2" t="s">
        <v>10</v>
      </c>
    </row>
    <row r="4943" ht="14.25" customHeight="1">
      <c r="A4943" s="1" t="s">
        <v>4248</v>
      </c>
      <c r="B4943" s="1" t="s">
        <v>20</v>
      </c>
      <c r="C4943" s="2" t="s">
        <v>611</v>
      </c>
      <c r="D4943" s="2">
        <v>7.4</v>
      </c>
      <c r="E4943" s="2">
        <v>2008.0</v>
      </c>
      <c r="F4943" s="2">
        <v>2008.0</v>
      </c>
      <c r="G4943" s="2" t="s">
        <v>10</v>
      </c>
    </row>
    <row r="4944" ht="14.25" customHeight="1">
      <c r="A4944" s="1" t="s">
        <v>4249</v>
      </c>
      <c r="B4944" s="1" t="s">
        <v>20</v>
      </c>
      <c r="C4944" s="2" t="s">
        <v>63</v>
      </c>
      <c r="D4944" s="2">
        <v>7.4</v>
      </c>
      <c r="E4944" s="2">
        <v>2018.0</v>
      </c>
      <c r="F4944" s="2" t="s">
        <v>10</v>
      </c>
      <c r="G4944" s="2" t="s">
        <v>10</v>
      </c>
    </row>
    <row r="4945" ht="14.25" customHeight="1">
      <c r="A4945" s="1" t="s">
        <v>4250</v>
      </c>
      <c r="B4945" s="1" t="s">
        <v>20</v>
      </c>
      <c r="C4945" s="2" t="s">
        <v>395</v>
      </c>
      <c r="D4945" s="2">
        <v>7.4</v>
      </c>
      <c r="E4945" s="2">
        <v>2023.0</v>
      </c>
      <c r="F4945" s="2" t="s">
        <v>10</v>
      </c>
      <c r="G4945" s="2" t="s">
        <v>10</v>
      </c>
    </row>
    <row r="4946" ht="14.25" customHeight="1">
      <c r="A4946" s="1" t="s">
        <v>4251</v>
      </c>
      <c r="B4946" s="1" t="s">
        <v>20</v>
      </c>
      <c r="C4946" s="2" t="s">
        <v>817</v>
      </c>
      <c r="D4946" s="2">
        <v>7.4</v>
      </c>
      <c r="E4946" s="2">
        <v>1955.0</v>
      </c>
      <c r="F4946" s="2" t="s">
        <v>10</v>
      </c>
      <c r="G4946" s="2" t="s">
        <v>10</v>
      </c>
    </row>
    <row r="4947" ht="14.25" customHeight="1">
      <c r="A4947" s="1" t="s">
        <v>4252</v>
      </c>
      <c r="B4947" s="1" t="s">
        <v>20</v>
      </c>
      <c r="C4947" s="2" t="s">
        <v>63</v>
      </c>
      <c r="D4947" s="2">
        <v>7.4</v>
      </c>
      <c r="E4947" s="2">
        <v>2018.0</v>
      </c>
      <c r="F4947" s="2" t="s">
        <v>10</v>
      </c>
      <c r="G4947" s="2" t="s">
        <v>10</v>
      </c>
    </row>
    <row r="4948" ht="14.25" customHeight="1">
      <c r="A4948" s="1" t="s">
        <v>4253</v>
      </c>
      <c r="B4948" s="1" t="s">
        <v>20</v>
      </c>
      <c r="C4948" s="2" t="s">
        <v>527</v>
      </c>
      <c r="D4948" s="2">
        <v>7.4</v>
      </c>
      <c r="E4948" s="2">
        <v>1988.0</v>
      </c>
      <c r="F4948" s="2" t="s">
        <v>10</v>
      </c>
      <c r="G4948" s="2" t="s">
        <v>10</v>
      </c>
    </row>
    <row r="4949" ht="14.25" customHeight="1">
      <c r="A4949" s="1" t="s">
        <v>4254</v>
      </c>
      <c r="B4949" s="1" t="s">
        <v>20</v>
      </c>
      <c r="C4949" s="2" t="s">
        <v>239</v>
      </c>
      <c r="D4949" s="2">
        <v>7.4</v>
      </c>
      <c r="E4949" s="2">
        <v>2003.0</v>
      </c>
      <c r="F4949" s="2" t="s">
        <v>10</v>
      </c>
      <c r="G4949" s="2" t="s">
        <v>10</v>
      </c>
    </row>
    <row r="4950" ht="14.25" customHeight="1">
      <c r="A4950" s="1" t="s">
        <v>4255</v>
      </c>
      <c r="B4950" s="1" t="s">
        <v>8</v>
      </c>
      <c r="C4950" s="2" t="s">
        <v>69</v>
      </c>
      <c r="D4950" s="2">
        <v>7.4</v>
      </c>
      <c r="E4950" s="2">
        <v>2010.0</v>
      </c>
      <c r="F4950" s="2" t="s">
        <v>10</v>
      </c>
      <c r="G4950" s="2" t="s">
        <v>10</v>
      </c>
    </row>
    <row r="4951" ht="14.25" customHeight="1">
      <c r="A4951" s="1" t="s">
        <v>4256</v>
      </c>
      <c r="B4951" s="1" t="s">
        <v>20</v>
      </c>
      <c r="C4951" s="2" t="s">
        <v>222</v>
      </c>
      <c r="D4951" s="2">
        <v>7.4</v>
      </c>
      <c r="E4951" s="2">
        <v>2018.0</v>
      </c>
      <c r="F4951" s="2">
        <v>2018.0</v>
      </c>
      <c r="G4951" s="2" t="s">
        <v>10</v>
      </c>
    </row>
    <row r="4952" ht="14.25" customHeight="1">
      <c r="A4952" s="1" t="s">
        <v>4257</v>
      </c>
      <c r="B4952" s="1" t="s">
        <v>8</v>
      </c>
      <c r="C4952" s="2" t="s">
        <v>63</v>
      </c>
      <c r="D4952" s="2">
        <v>7.4</v>
      </c>
      <c r="E4952" s="2">
        <v>2012.0</v>
      </c>
      <c r="F4952" s="2" t="s">
        <v>10</v>
      </c>
      <c r="G4952" s="2" t="s">
        <v>10</v>
      </c>
    </row>
    <row r="4953" ht="14.25" customHeight="1">
      <c r="A4953" s="1" t="s">
        <v>4258</v>
      </c>
      <c r="B4953" s="1" t="s">
        <v>20</v>
      </c>
      <c r="C4953" s="2" t="s">
        <v>291</v>
      </c>
      <c r="D4953" s="2">
        <v>7.4</v>
      </c>
      <c r="E4953" s="2">
        <v>1968.0</v>
      </c>
      <c r="F4953" s="2" t="s">
        <v>10</v>
      </c>
      <c r="G4953" s="2" t="s">
        <v>10</v>
      </c>
    </row>
    <row r="4954" ht="14.25" customHeight="1">
      <c r="A4954" s="1" t="s">
        <v>4259</v>
      </c>
      <c r="B4954" s="1" t="s">
        <v>8</v>
      </c>
      <c r="C4954" s="2" t="s">
        <v>299</v>
      </c>
      <c r="D4954" s="2">
        <v>7.4</v>
      </c>
      <c r="E4954" s="2">
        <v>2023.0</v>
      </c>
      <c r="F4954" s="2" t="s">
        <v>10</v>
      </c>
      <c r="G4954" s="2" t="s">
        <v>10</v>
      </c>
    </row>
    <row r="4955" ht="14.25" customHeight="1">
      <c r="A4955" s="1" t="s">
        <v>2838</v>
      </c>
      <c r="B4955" s="1" t="s">
        <v>20</v>
      </c>
      <c r="C4955" s="2" t="s">
        <v>455</v>
      </c>
      <c r="D4955" s="2">
        <v>7.4</v>
      </c>
      <c r="E4955" s="2">
        <v>1978.0</v>
      </c>
      <c r="F4955" s="2" t="s">
        <v>10</v>
      </c>
      <c r="G4955" s="2" t="s">
        <v>10</v>
      </c>
    </row>
    <row r="4956" ht="14.25" customHeight="1">
      <c r="A4956" s="1" t="s">
        <v>4260</v>
      </c>
      <c r="B4956" s="1" t="s">
        <v>20</v>
      </c>
      <c r="C4956" s="2" t="s">
        <v>1271</v>
      </c>
      <c r="D4956" s="2">
        <v>7.4</v>
      </c>
      <c r="E4956" s="2">
        <v>2001.0</v>
      </c>
      <c r="F4956" s="2" t="s">
        <v>10</v>
      </c>
      <c r="G4956" s="2" t="s">
        <v>10</v>
      </c>
    </row>
    <row r="4957" ht="14.25" customHeight="1">
      <c r="A4957" s="1" t="s">
        <v>4261</v>
      </c>
      <c r="B4957" s="1" t="s">
        <v>20</v>
      </c>
      <c r="C4957" s="2" t="s">
        <v>9</v>
      </c>
      <c r="D4957" s="2">
        <v>7.4</v>
      </c>
      <c r="E4957" s="2">
        <v>1976.0</v>
      </c>
      <c r="F4957" s="2" t="s">
        <v>10</v>
      </c>
      <c r="G4957" s="2" t="s">
        <v>10</v>
      </c>
    </row>
    <row r="4958" ht="14.25" customHeight="1">
      <c r="A4958" s="1" t="s">
        <v>4262</v>
      </c>
      <c r="B4958" s="1" t="s">
        <v>20</v>
      </c>
      <c r="C4958" s="2" t="s">
        <v>299</v>
      </c>
      <c r="D4958" s="2">
        <v>7.4</v>
      </c>
      <c r="E4958" s="2">
        <v>1956.0</v>
      </c>
      <c r="F4958" s="2" t="s">
        <v>10</v>
      </c>
      <c r="G4958" s="2" t="s">
        <v>10</v>
      </c>
    </row>
    <row r="4959" ht="14.25" customHeight="1">
      <c r="A4959" s="1" t="s">
        <v>4263</v>
      </c>
      <c r="B4959" s="1" t="s">
        <v>20</v>
      </c>
      <c r="C4959" s="2" t="s">
        <v>154</v>
      </c>
      <c r="D4959" s="2">
        <v>7.4</v>
      </c>
      <c r="E4959" s="2">
        <v>2012.0</v>
      </c>
      <c r="F4959" s="2" t="s">
        <v>10</v>
      </c>
      <c r="G4959" s="2" t="s">
        <v>10</v>
      </c>
    </row>
    <row r="4960" ht="14.25" customHeight="1">
      <c r="A4960" s="1" t="s">
        <v>4264</v>
      </c>
      <c r="B4960" s="1" t="s">
        <v>20</v>
      </c>
      <c r="C4960" s="2" t="s">
        <v>468</v>
      </c>
      <c r="D4960" s="2">
        <v>7.4</v>
      </c>
      <c r="E4960" s="2">
        <v>1966.0</v>
      </c>
      <c r="F4960" s="2" t="s">
        <v>10</v>
      </c>
      <c r="G4960" s="2" t="s">
        <v>10</v>
      </c>
    </row>
    <row r="4961" ht="14.25" customHeight="1">
      <c r="A4961" s="1" t="s">
        <v>4265</v>
      </c>
      <c r="B4961" s="1" t="s">
        <v>20</v>
      </c>
      <c r="C4961" s="2" t="s">
        <v>349</v>
      </c>
      <c r="D4961" s="2">
        <v>7.4</v>
      </c>
      <c r="E4961" s="2">
        <v>1986.0</v>
      </c>
      <c r="F4961" s="2" t="s">
        <v>10</v>
      </c>
      <c r="G4961" s="2" t="s">
        <v>10</v>
      </c>
    </row>
    <row r="4962" ht="14.25" customHeight="1">
      <c r="A4962" s="1" t="s">
        <v>4266</v>
      </c>
      <c r="B4962" s="1" t="s">
        <v>20</v>
      </c>
      <c r="C4962" s="2" t="s">
        <v>53</v>
      </c>
      <c r="D4962" s="2">
        <v>7.4</v>
      </c>
      <c r="E4962" s="2">
        <v>1981.0</v>
      </c>
      <c r="F4962" s="2" t="s">
        <v>10</v>
      </c>
      <c r="G4962" s="2" t="s">
        <v>10</v>
      </c>
    </row>
    <row r="4963" ht="14.25" customHeight="1">
      <c r="A4963" s="1" t="s">
        <v>4267</v>
      </c>
      <c r="B4963" s="1" t="s">
        <v>20</v>
      </c>
      <c r="C4963" s="2" t="s">
        <v>63</v>
      </c>
      <c r="D4963" s="2">
        <v>7.4</v>
      </c>
      <c r="E4963" s="2">
        <v>1983.0</v>
      </c>
      <c r="F4963" s="2" t="s">
        <v>10</v>
      </c>
      <c r="G4963" s="2" t="s">
        <v>10</v>
      </c>
    </row>
    <row r="4964" ht="14.25" customHeight="1">
      <c r="A4964" s="1" t="s">
        <v>4268</v>
      </c>
      <c r="B4964" s="1" t="s">
        <v>20</v>
      </c>
      <c r="C4964" s="2" t="s">
        <v>686</v>
      </c>
      <c r="D4964" s="2">
        <v>7.4</v>
      </c>
      <c r="E4964" s="2">
        <v>2018.0</v>
      </c>
      <c r="F4964" s="2">
        <v>2018.0</v>
      </c>
      <c r="G4964" s="2" t="s">
        <v>10</v>
      </c>
    </row>
    <row r="4965" ht="14.25" customHeight="1">
      <c r="A4965" s="1" t="s">
        <v>4269</v>
      </c>
      <c r="B4965" s="1" t="s">
        <v>20</v>
      </c>
      <c r="C4965" s="2" t="s">
        <v>4270</v>
      </c>
      <c r="D4965" s="2">
        <v>7.4</v>
      </c>
      <c r="E4965" s="2">
        <v>1973.0</v>
      </c>
      <c r="F4965" s="2" t="s">
        <v>10</v>
      </c>
      <c r="G4965" s="2" t="s">
        <v>10</v>
      </c>
    </row>
    <row r="4966" ht="14.25" customHeight="1">
      <c r="A4966" s="1" t="s">
        <v>4271</v>
      </c>
      <c r="B4966" s="1" t="s">
        <v>20</v>
      </c>
      <c r="C4966" s="2" t="s">
        <v>9</v>
      </c>
      <c r="D4966" s="2">
        <v>7.4</v>
      </c>
      <c r="E4966" s="2">
        <v>1971.0</v>
      </c>
      <c r="F4966" s="2" t="s">
        <v>10</v>
      </c>
      <c r="G4966" s="2" t="s">
        <v>10</v>
      </c>
    </row>
    <row r="4967" ht="14.25" customHeight="1">
      <c r="A4967" s="1" t="s">
        <v>232</v>
      </c>
      <c r="B4967" s="1" t="s">
        <v>20</v>
      </c>
      <c r="C4967" s="2" t="s">
        <v>154</v>
      </c>
      <c r="D4967" s="2">
        <v>7.4</v>
      </c>
      <c r="E4967" s="2">
        <v>2019.0</v>
      </c>
      <c r="F4967" s="2">
        <v>2015.0</v>
      </c>
      <c r="G4967" s="2" t="s">
        <v>10</v>
      </c>
    </row>
    <row r="4968" ht="14.25" customHeight="1">
      <c r="A4968" s="1" t="s">
        <v>4272</v>
      </c>
      <c r="B4968" s="1" t="s">
        <v>20</v>
      </c>
      <c r="C4968" s="2" t="s">
        <v>53</v>
      </c>
      <c r="D4968" s="2">
        <v>7.4</v>
      </c>
      <c r="E4968" s="2">
        <v>2014.0</v>
      </c>
      <c r="F4968" s="2" t="s">
        <v>10</v>
      </c>
      <c r="G4968" s="2" t="s">
        <v>10</v>
      </c>
    </row>
    <row r="4969" ht="14.25" customHeight="1">
      <c r="A4969" s="1" t="s">
        <v>4273</v>
      </c>
      <c r="B4969" s="1" t="s">
        <v>8</v>
      </c>
      <c r="C4969" s="2" t="s">
        <v>1267</v>
      </c>
      <c r="D4969" s="2">
        <v>7.4</v>
      </c>
      <c r="E4969" s="2">
        <v>2014.0</v>
      </c>
      <c r="F4969" s="2" t="s">
        <v>10</v>
      </c>
      <c r="G4969" s="2" t="s">
        <v>10</v>
      </c>
    </row>
    <row r="4970" ht="14.25" customHeight="1">
      <c r="A4970" s="1" t="s">
        <v>4274</v>
      </c>
      <c r="B4970" s="1" t="s">
        <v>8</v>
      </c>
      <c r="C4970" s="2" t="s">
        <v>253</v>
      </c>
      <c r="D4970" s="2">
        <v>7.4</v>
      </c>
      <c r="E4970" s="2">
        <v>2015.0</v>
      </c>
      <c r="F4970" s="2" t="s">
        <v>10</v>
      </c>
      <c r="G4970" s="2" t="s">
        <v>10</v>
      </c>
    </row>
    <row r="4971" ht="14.25" customHeight="1">
      <c r="A4971" s="1" t="s">
        <v>4275</v>
      </c>
      <c r="B4971" s="1" t="s">
        <v>8</v>
      </c>
      <c r="C4971" s="2" t="s">
        <v>34</v>
      </c>
      <c r="D4971" s="2">
        <v>7.4</v>
      </c>
      <c r="E4971" s="2">
        <v>2022.0</v>
      </c>
      <c r="F4971" s="2" t="s">
        <v>10</v>
      </c>
      <c r="G4971" s="2">
        <v>1.484E7</v>
      </c>
    </row>
    <row r="4972" ht="14.25" customHeight="1">
      <c r="A4972" s="1" t="s">
        <v>4275</v>
      </c>
      <c r="B4972" s="1" t="s">
        <v>8</v>
      </c>
      <c r="C4972" s="2" t="s">
        <v>34</v>
      </c>
      <c r="D4972" s="2">
        <v>7.4</v>
      </c>
      <c r="E4972" s="2">
        <v>2022.0</v>
      </c>
      <c r="F4972" s="2" t="s">
        <v>10</v>
      </c>
      <c r="G4972" s="2">
        <v>2.512E7</v>
      </c>
    </row>
    <row r="4973" ht="14.25" customHeight="1">
      <c r="A4973" s="1" t="s">
        <v>4275</v>
      </c>
      <c r="B4973" s="1" t="s">
        <v>8</v>
      </c>
      <c r="C4973" s="2" t="s">
        <v>34</v>
      </c>
      <c r="D4973" s="2">
        <v>7.4</v>
      </c>
      <c r="E4973" s="2">
        <v>2022.0</v>
      </c>
      <c r="F4973" s="2" t="s">
        <v>10</v>
      </c>
      <c r="G4973" s="2">
        <v>5.553E7</v>
      </c>
    </row>
    <row r="4974" ht="14.25" customHeight="1">
      <c r="A4974" s="1" t="s">
        <v>4275</v>
      </c>
      <c r="B4974" s="1" t="s">
        <v>8</v>
      </c>
      <c r="C4974" s="2" t="s">
        <v>34</v>
      </c>
      <c r="D4974" s="2">
        <v>7.4</v>
      </c>
      <c r="E4974" s="2">
        <v>2022.0</v>
      </c>
      <c r="F4974" s="2" t="s">
        <v>10</v>
      </c>
      <c r="G4974" s="2">
        <v>2.537E7</v>
      </c>
    </row>
    <row r="4975" ht="14.25" customHeight="1">
      <c r="A4975" s="1" t="s">
        <v>4275</v>
      </c>
      <c r="B4975" s="1" t="s">
        <v>8</v>
      </c>
      <c r="C4975" s="2" t="s">
        <v>34</v>
      </c>
      <c r="D4975" s="2">
        <v>7.4</v>
      </c>
      <c r="E4975" s="2">
        <v>2022.0</v>
      </c>
      <c r="F4975" s="2" t="s">
        <v>10</v>
      </c>
      <c r="G4975" s="2">
        <v>5.535E7</v>
      </c>
    </row>
    <row r="4976" ht="14.25" customHeight="1">
      <c r="A4976" s="1" t="s">
        <v>4275</v>
      </c>
      <c r="B4976" s="1" t="s">
        <v>8</v>
      </c>
      <c r="C4976" s="2" t="s">
        <v>34</v>
      </c>
      <c r="D4976" s="2">
        <v>7.4</v>
      </c>
      <c r="E4976" s="2">
        <v>2022.0</v>
      </c>
      <c r="F4976" s="2" t="s">
        <v>10</v>
      </c>
      <c r="G4976" s="2">
        <v>2.55E7</v>
      </c>
    </row>
    <row r="4977" ht="14.25" customHeight="1">
      <c r="A4977" s="1" t="s">
        <v>4275</v>
      </c>
      <c r="B4977" s="1" t="s">
        <v>8</v>
      </c>
      <c r="C4977" s="2" t="s">
        <v>34</v>
      </c>
      <c r="D4977" s="2">
        <v>7.4</v>
      </c>
      <c r="E4977" s="2">
        <v>2022.0</v>
      </c>
      <c r="F4977" s="2" t="s">
        <v>10</v>
      </c>
      <c r="G4977" s="2">
        <v>1.005E7</v>
      </c>
    </row>
    <row r="4978" ht="14.25" customHeight="1">
      <c r="A4978" s="1" t="s">
        <v>4275</v>
      </c>
      <c r="B4978" s="1" t="s">
        <v>8</v>
      </c>
      <c r="C4978" s="2" t="s">
        <v>34</v>
      </c>
      <c r="D4978" s="2">
        <v>7.4</v>
      </c>
      <c r="E4978" s="2">
        <v>2022.0</v>
      </c>
      <c r="F4978" s="2" t="s">
        <v>10</v>
      </c>
      <c r="G4978" s="2">
        <v>1.98E7</v>
      </c>
    </row>
    <row r="4979" ht="14.25" customHeight="1">
      <c r="A4979" s="1" t="s">
        <v>4275</v>
      </c>
      <c r="B4979" s="1" t="s">
        <v>8</v>
      </c>
      <c r="C4979" s="2" t="s">
        <v>34</v>
      </c>
      <c r="D4979" s="2">
        <v>7.4</v>
      </c>
      <c r="E4979" s="2">
        <v>2022.0</v>
      </c>
      <c r="F4979" s="2" t="s">
        <v>10</v>
      </c>
      <c r="G4979" s="2">
        <v>4.176E7</v>
      </c>
    </row>
    <row r="4980" ht="14.25" customHeight="1">
      <c r="A4980" s="1" t="s">
        <v>4275</v>
      </c>
      <c r="B4980" s="1" t="s">
        <v>8</v>
      </c>
      <c r="C4980" s="2" t="s">
        <v>34</v>
      </c>
      <c r="D4980" s="2">
        <v>7.4</v>
      </c>
      <c r="E4980" s="2">
        <v>2022.0</v>
      </c>
      <c r="F4980" s="2" t="s">
        <v>10</v>
      </c>
      <c r="G4980" s="2">
        <v>1.1338E8</v>
      </c>
    </row>
    <row r="4981" ht="14.25" customHeight="1">
      <c r="A4981" s="1" t="s">
        <v>4275</v>
      </c>
      <c r="B4981" s="1" t="s">
        <v>8</v>
      </c>
      <c r="C4981" s="2" t="s">
        <v>34</v>
      </c>
      <c r="D4981" s="2">
        <v>7.4</v>
      </c>
      <c r="E4981" s="2">
        <v>2022.0</v>
      </c>
      <c r="F4981" s="2" t="s">
        <v>10</v>
      </c>
      <c r="G4981" s="2">
        <v>8.056E7</v>
      </c>
    </row>
    <row r="4982" ht="14.25" customHeight="1">
      <c r="A4982" s="1" t="s">
        <v>4276</v>
      </c>
      <c r="B4982" s="1" t="s">
        <v>20</v>
      </c>
      <c r="C4982" s="2" t="s">
        <v>134</v>
      </c>
      <c r="D4982" s="2">
        <v>7.4</v>
      </c>
      <c r="E4982" s="2">
        <v>1975.0</v>
      </c>
      <c r="F4982" s="2" t="s">
        <v>10</v>
      </c>
      <c r="G4982" s="2" t="s">
        <v>10</v>
      </c>
    </row>
    <row r="4983" ht="14.25" customHeight="1">
      <c r="A4983" s="1" t="s">
        <v>4277</v>
      </c>
      <c r="B4983" s="1" t="s">
        <v>20</v>
      </c>
      <c r="C4983" s="2" t="s">
        <v>36</v>
      </c>
      <c r="D4983" s="2">
        <v>7.4</v>
      </c>
      <c r="E4983" s="2">
        <v>2004.0</v>
      </c>
      <c r="F4983" s="2">
        <v>2014.0</v>
      </c>
      <c r="G4983" s="2" t="s">
        <v>10</v>
      </c>
    </row>
    <row r="4984" ht="14.25" customHeight="1">
      <c r="A4984" s="1" t="s">
        <v>4278</v>
      </c>
      <c r="B4984" s="1" t="s">
        <v>20</v>
      </c>
      <c r="C4984" s="2" t="s">
        <v>53</v>
      </c>
      <c r="D4984" s="2">
        <v>7.4</v>
      </c>
      <c r="E4984" s="2">
        <v>2014.0</v>
      </c>
      <c r="F4984" s="2">
        <v>2014.0</v>
      </c>
      <c r="G4984" s="2" t="s">
        <v>10</v>
      </c>
    </row>
    <row r="4985" ht="14.25" customHeight="1">
      <c r="A4985" s="1" t="s">
        <v>4279</v>
      </c>
      <c r="B4985" s="1" t="s">
        <v>20</v>
      </c>
      <c r="C4985" s="2" t="s">
        <v>112</v>
      </c>
      <c r="D4985" s="2">
        <v>7.4</v>
      </c>
      <c r="E4985" s="2">
        <v>1977.0</v>
      </c>
      <c r="F4985" s="2">
        <v>1977.0</v>
      </c>
      <c r="G4985" s="2" t="s">
        <v>10</v>
      </c>
    </row>
    <row r="4986" ht="14.25" customHeight="1">
      <c r="A4986" s="1">
        <v>2046.0</v>
      </c>
      <c r="B4986" s="1" t="s">
        <v>20</v>
      </c>
      <c r="C4986" s="2" t="s">
        <v>796</v>
      </c>
      <c r="D4986" s="2">
        <v>7.4</v>
      </c>
      <c r="E4986" s="2">
        <v>2004.0</v>
      </c>
      <c r="F4986" s="2" t="s">
        <v>10</v>
      </c>
      <c r="G4986" s="2" t="s">
        <v>10</v>
      </c>
    </row>
    <row r="4987" ht="14.25" customHeight="1">
      <c r="A4987" s="1" t="s">
        <v>4280</v>
      </c>
      <c r="B4987" s="1" t="s">
        <v>20</v>
      </c>
      <c r="C4987" s="2" t="s">
        <v>187</v>
      </c>
      <c r="D4987" s="2">
        <v>7.4</v>
      </c>
      <c r="E4987" s="2">
        <v>1998.0</v>
      </c>
      <c r="F4987" s="2" t="s">
        <v>10</v>
      </c>
      <c r="G4987" s="2" t="s">
        <v>10</v>
      </c>
    </row>
    <row r="4988" ht="14.25" customHeight="1">
      <c r="A4988" s="1" t="s">
        <v>4281</v>
      </c>
      <c r="B4988" s="1" t="s">
        <v>20</v>
      </c>
      <c r="C4988" s="2" t="s">
        <v>32</v>
      </c>
      <c r="D4988" s="2">
        <v>7.4</v>
      </c>
      <c r="E4988" s="2">
        <v>2009.0</v>
      </c>
      <c r="F4988" s="2" t="s">
        <v>10</v>
      </c>
      <c r="G4988" s="2" t="s">
        <v>10</v>
      </c>
    </row>
    <row r="4989" ht="14.25" customHeight="1">
      <c r="A4989" s="1" t="s">
        <v>4282</v>
      </c>
      <c r="B4989" s="1" t="s">
        <v>20</v>
      </c>
      <c r="C4989" s="2" t="s">
        <v>63</v>
      </c>
      <c r="D4989" s="2">
        <v>7.4</v>
      </c>
      <c r="E4989" s="2">
        <v>2022.0</v>
      </c>
      <c r="F4989" s="2" t="s">
        <v>10</v>
      </c>
      <c r="G4989" s="2">
        <v>1620000.0</v>
      </c>
    </row>
    <row r="4990" ht="14.25" customHeight="1">
      <c r="A4990" s="1" t="s">
        <v>4282</v>
      </c>
      <c r="B4990" s="1" t="s">
        <v>20</v>
      </c>
      <c r="C4990" s="2" t="s">
        <v>63</v>
      </c>
      <c r="D4990" s="2">
        <v>7.4</v>
      </c>
      <c r="E4990" s="2">
        <v>2022.0</v>
      </c>
      <c r="F4990" s="2" t="s">
        <v>10</v>
      </c>
      <c r="G4990" s="2">
        <v>4020000.0</v>
      </c>
    </row>
    <row r="4991" ht="14.25" customHeight="1">
      <c r="A4991" s="1" t="s">
        <v>4282</v>
      </c>
      <c r="B4991" s="1" t="s">
        <v>20</v>
      </c>
      <c r="C4991" s="2" t="s">
        <v>63</v>
      </c>
      <c r="D4991" s="2">
        <v>7.4</v>
      </c>
      <c r="E4991" s="2">
        <v>2022.0</v>
      </c>
      <c r="F4991" s="2" t="s">
        <v>10</v>
      </c>
      <c r="G4991" s="2">
        <v>5690000.0</v>
      </c>
    </row>
    <row r="4992" ht="14.25" customHeight="1">
      <c r="A4992" s="1" t="s">
        <v>4283</v>
      </c>
      <c r="B4992" s="1" t="s">
        <v>8</v>
      </c>
      <c r="C4992" s="2" t="s">
        <v>118</v>
      </c>
      <c r="D4992" s="2">
        <v>7.4</v>
      </c>
      <c r="E4992" s="2">
        <v>1998.0</v>
      </c>
      <c r="F4992" s="2" t="s">
        <v>10</v>
      </c>
      <c r="G4992" s="2" t="s">
        <v>10</v>
      </c>
    </row>
    <row r="4993" ht="14.25" customHeight="1">
      <c r="A4993" s="1" t="s">
        <v>4284</v>
      </c>
      <c r="B4993" s="1" t="s">
        <v>20</v>
      </c>
      <c r="C4993" s="2" t="s">
        <v>18</v>
      </c>
      <c r="D4993" s="2">
        <v>7.4</v>
      </c>
      <c r="E4993" s="2">
        <v>2013.0</v>
      </c>
      <c r="F4993" s="2" t="s">
        <v>10</v>
      </c>
      <c r="G4993" s="2" t="s">
        <v>10</v>
      </c>
    </row>
    <row r="4994" ht="14.25" customHeight="1">
      <c r="A4994" s="1" t="s">
        <v>4285</v>
      </c>
      <c r="B4994" s="1" t="s">
        <v>20</v>
      </c>
      <c r="C4994" s="2" t="s">
        <v>92</v>
      </c>
      <c r="D4994" s="2">
        <v>7.4</v>
      </c>
      <c r="E4994" s="2">
        <v>1931.0</v>
      </c>
      <c r="F4994" s="2">
        <v>2020.0</v>
      </c>
      <c r="G4994" s="2" t="s">
        <v>10</v>
      </c>
    </row>
    <row r="4995" ht="14.25" customHeight="1">
      <c r="A4995" s="1" t="s">
        <v>4286</v>
      </c>
      <c r="B4995" s="1" t="s">
        <v>20</v>
      </c>
      <c r="C4995" s="2" t="s">
        <v>63</v>
      </c>
      <c r="D4995" s="2">
        <v>7.4</v>
      </c>
      <c r="E4995" s="2">
        <v>2005.0</v>
      </c>
      <c r="F4995" s="2" t="s">
        <v>10</v>
      </c>
      <c r="G4995" s="2" t="s">
        <v>10</v>
      </c>
    </row>
    <row r="4996" ht="14.25" customHeight="1">
      <c r="A4996" s="1" t="s">
        <v>4287</v>
      </c>
      <c r="B4996" s="1" t="s">
        <v>20</v>
      </c>
      <c r="C4996" s="2" t="s">
        <v>207</v>
      </c>
      <c r="D4996" s="2">
        <v>7.4</v>
      </c>
      <c r="E4996" s="2">
        <v>2001.0</v>
      </c>
      <c r="F4996" s="2" t="s">
        <v>10</v>
      </c>
      <c r="G4996" s="2" t="s">
        <v>10</v>
      </c>
    </row>
    <row r="4997" ht="14.25" customHeight="1">
      <c r="A4997" s="1" t="s">
        <v>4288</v>
      </c>
      <c r="B4997" s="1" t="s">
        <v>20</v>
      </c>
      <c r="C4997" s="2" t="s">
        <v>184</v>
      </c>
      <c r="D4997" s="2">
        <v>7.4</v>
      </c>
      <c r="E4997" s="2">
        <v>2017.0</v>
      </c>
      <c r="F4997" s="2">
        <v>2017.0</v>
      </c>
      <c r="G4997" s="2" t="s">
        <v>10</v>
      </c>
    </row>
    <row r="4998" ht="14.25" customHeight="1">
      <c r="A4998" s="1" t="s">
        <v>4289</v>
      </c>
      <c r="B4998" s="1" t="s">
        <v>20</v>
      </c>
      <c r="C4998" s="2" t="s">
        <v>3308</v>
      </c>
      <c r="D4998" s="2">
        <v>7.4</v>
      </c>
      <c r="E4998" s="2">
        <v>2013.0</v>
      </c>
      <c r="F4998" s="2">
        <v>2013.0</v>
      </c>
      <c r="G4998" s="2" t="s">
        <v>10</v>
      </c>
    </row>
    <row r="4999" ht="14.25" customHeight="1">
      <c r="A4999" s="1" t="s">
        <v>4290</v>
      </c>
      <c r="B4999" s="1" t="s">
        <v>20</v>
      </c>
      <c r="C4999" s="2" t="s">
        <v>163</v>
      </c>
      <c r="D4999" s="2">
        <v>7.4</v>
      </c>
      <c r="E4999" s="2">
        <v>2011.0</v>
      </c>
      <c r="F4999" s="2" t="s">
        <v>10</v>
      </c>
      <c r="G4999" s="2" t="s">
        <v>10</v>
      </c>
    </row>
    <row r="5000" ht="14.25" customHeight="1">
      <c r="A5000" s="1" t="s">
        <v>4291</v>
      </c>
      <c r="B5000" s="1" t="s">
        <v>20</v>
      </c>
      <c r="C5000" s="2" t="s">
        <v>262</v>
      </c>
      <c r="D5000" s="2">
        <v>7.4</v>
      </c>
      <c r="E5000" s="2">
        <v>1984.0</v>
      </c>
      <c r="F5000" s="2">
        <v>1984.0</v>
      </c>
      <c r="G5000" s="2" t="s">
        <v>10</v>
      </c>
    </row>
    <row r="5001" ht="14.25" customHeight="1">
      <c r="A5001" s="1" t="s">
        <v>4292</v>
      </c>
      <c r="B5001" s="1" t="s">
        <v>8</v>
      </c>
      <c r="C5001" s="2" t="s">
        <v>154</v>
      </c>
      <c r="D5001" s="2">
        <v>7.4</v>
      </c>
      <c r="E5001" s="2">
        <v>2019.0</v>
      </c>
      <c r="F5001" s="2">
        <v>2021.0</v>
      </c>
      <c r="G5001" s="2">
        <v>2.03E7</v>
      </c>
    </row>
    <row r="5002" ht="14.25" customHeight="1">
      <c r="A5002" s="1" t="s">
        <v>4292</v>
      </c>
      <c r="B5002" s="1" t="s">
        <v>8</v>
      </c>
      <c r="C5002" s="2" t="s">
        <v>154</v>
      </c>
      <c r="D5002" s="2">
        <v>7.4</v>
      </c>
      <c r="E5002" s="2">
        <v>2019.0</v>
      </c>
      <c r="F5002" s="2">
        <v>2021.0</v>
      </c>
      <c r="G5002" s="2">
        <v>2.53E7</v>
      </c>
    </row>
    <row r="5003" ht="14.25" customHeight="1">
      <c r="A5003" s="1" t="s">
        <v>4292</v>
      </c>
      <c r="B5003" s="1" t="s">
        <v>8</v>
      </c>
      <c r="C5003" s="2" t="s">
        <v>154</v>
      </c>
      <c r="D5003" s="2">
        <v>7.4</v>
      </c>
      <c r="E5003" s="2">
        <v>2019.0</v>
      </c>
      <c r="F5003" s="2">
        <v>2021.0</v>
      </c>
      <c r="G5003" s="2">
        <v>1.07E7</v>
      </c>
    </row>
    <row r="5004" ht="14.25" customHeight="1">
      <c r="A5004" s="1" t="s">
        <v>4292</v>
      </c>
      <c r="B5004" s="1" t="s">
        <v>8</v>
      </c>
      <c r="C5004" s="2" t="s">
        <v>154</v>
      </c>
      <c r="D5004" s="2">
        <v>7.4</v>
      </c>
      <c r="E5004" s="2">
        <v>2019.0</v>
      </c>
      <c r="F5004" s="2">
        <v>2021.0</v>
      </c>
      <c r="G5004" s="2">
        <v>1.52E7</v>
      </c>
    </row>
    <row r="5005" ht="14.25" customHeight="1">
      <c r="A5005" s="1" t="s">
        <v>4292</v>
      </c>
      <c r="B5005" s="1" t="s">
        <v>8</v>
      </c>
      <c r="C5005" s="2" t="s">
        <v>154</v>
      </c>
      <c r="D5005" s="2">
        <v>7.4</v>
      </c>
      <c r="E5005" s="2">
        <v>2019.0</v>
      </c>
      <c r="F5005" s="2">
        <v>2021.0</v>
      </c>
      <c r="G5005" s="2">
        <v>2.26E7</v>
      </c>
    </row>
    <row r="5006" ht="14.25" customHeight="1">
      <c r="A5006" s="1" t="s">
        <v>4292</v>
      </c>
      <c r="B5006" s="1" t="s">
        <v>8</v>
      </c>
      <c r="C5006" s="2" t="s">
        <v>154</v>
      </c>
      <c r="D5006" s="2">
        <v>7.4</v>
      </c>
      <c r="E5006" s="2">
        <v>2019.0</v>
      </c>
      <c r="F5006" s="2">
        <v>2021.0</v>
      </c>
      <c r="G5006" s="2">
        <v>3.77E7</v>
      </c>
    </row>
    <row r="5007" ht="14.25" customHeight="1">
      <c r="A5007" s="1" t="s">
        <v>4292</v>
      </c>
      <c r="B5007" s="1" t="s">
        <v>8</v>
      </c>
      <c r="C5007" s="2" t="s">
        <v>154</v>
      </c>
      <c r="D5007" s="2">
        <v>7.4</v>
      </c>
      <c r="E5007" s="2">
        <v>2019.0</v>
      </c>
      <c r="F5007" s="2">
        <v>2021.0</v>
      </c>
      <c r="G5007" s="2">
        <v>7.32E7</v>
      </c>
    </row>
    <row r="5008" ht="14.25" customHeight="1">
      <c r="A5008" s="1" t="s">
        <v>4292</v>
      </c>
      <c r="B5008" s="1" t="s">
        <v>8</v>
      </c>
      <c r="C5008" s="2" t="s">
        <v>154</v>
      </c>
      <c r="D5008" s="2">
        <v>7.4</v>
      </c>
      <c r="E5008" s="2">
        <v>2019.0</v>
      </c>
      <c r="F5008" s="2">
        <v>2021.0</v>
      </c>
      <c r="G5008" s="2">
        <v>6.85E7</v>
      </c>
    </row>
    <row r="5009" ht="14.25" customHeight="1">
      <c r="A5009" s="1" t="s">
        <v>4292</v>
      </c>
      <c r="B5009" s="1" t="s">
        <v>8</v>
      </c>
      <c r="C5009" s="2" t="s">
        <v>154</v>
      </c>
      <c r="D5009" s="2">
        <v>7.4</v>
      </c>
      <c r="E5009" s="2">
        <v>2019.0</v>
      </c>
      <c r="F5009" s="2">
        <v>2021.0</v>
      </c>
      <c r="G5009" s="2">
        <v>1.446E7</v>
      </c>
    </row>
    <row r="5010" ht="14.25" customHeight="1">
      <c r="A5010" s="1" t="s">
        <v>4292</v>
      </c>
      <c r="B5010" s="1" t="s">
        <v>8</v>
      </c>
      <c r="C5010" s="2" t="s">
        <v>154</v>
      </c>
      <c r="D5010" s="2">
        <v>7.4</v>
      </c>
      <c r="E5010" s="2">
        <v>2019.0</v>
      </c>
      <c r="F5010" s="2">
        <v>2021.0</v>
      </c>
      <c r="G5010" s="2">
        <v>2.047E7</v>
      </c>
    </row>
    <row r="5011" ht="14.25" customHeight="1">
      <c r="A5011" s="1" t="s">
        <v>4292</v>
      </c>
      <c r="B5011" s="1" t="s">
        <v>8</v>
      </c>
      <c r="C5011" s="2" t="s">
        <v>154</v>
      </c>
      <c r="D5011" s="2">
        <v>7.4</v>
      </c>
      <c r="E5011" s="2">
        <v>2019.0</v>
      </c>
      <c r="F5011" s="2">
        <v>2021.0</v>
      </c>
      <c r="G5011" s="2">
        <v>2.955E7</v>
      </c>
    </row>
    <row r="5012" ht="14.25" customHeight="1">
      <c r="A5012" s="1" t="s">
        <v>4292</v>
      </c>
      <c r="B5012" s="1" t="s">
        <v>8</v>
      </c>
      <c r="C5012" s="2" t="s">
        <v>154</v>
      </c>
      <c r="D5012" s="2">
        <v>7.4</v>
      </c>
      <c r="E5012" s="2">
        <v>2019.0</v>
      </c>
      <c r="F5012" s="2">
        <v>2021.0</v>
      </c>
      <c r="G5012" s="2">
        <v>4.693E7</v>
      </c>
    </row>
    <row r="5013" ht="14.25" customHeight="1">
      <c r="A5013" s="1" t="s">
        <v>4292</v>
      </c>
      <c r="B5013" s="1" t="s">
        <v>8</v>
      </c>
      <c r="C5013" s="2" t="s">
        <v>154</v>
      </c>
      <c r="D5013" s="2">
        <v>7.4</v>
      </c>
      <c r="E5013" s="2">
        <v>2019.0</v>
      </c>
      <c r="F5013" s="2">
        <v>2021.0</v>
      </c>
      <c r="G5013" s="2">
        <v>8.794E7</v>
      </c>
    </row>
    <row r="5014" ht="14.25" customHeight="1">
      <c r="A5014" s="1" t="s">
        <v>4292</v>
      </c>
      <c r="B5014" s="1" t="s">
        <v>8</v>
      </c>
      <c r="C5014" s="2" t="s">
        <v>154</v>
      </c>
      <c r="D5014" s="2">
        <v>7.4</v>
      </c>
      <c r="E5014" s="2">
        <v>2019.0</v>
      </c>
      <c r="F5014" s="2">
        <v>2021.0</v>
      </c>
      <c r="G5014" s="2">
        <v>1.0544E8</v>
      </c>
    </row>
    <row r="5015" ht="14.25" customHeight="1">
      <c r="A5015" s="1" t="s">
        <v>4292</v>
      </c>
      <c r="B5015" s="1" t="s">
        <v>8</v>
      </c>
      <c r="C5015" s="2" t="s">
        <v>154</v>
      </c>
      <c r="D5015" s="2">
        <v>7.4</v>
      </c>
      <c r="E5015" s="2">
        <v>2019.0</v>
      </c>
      <c r="F5015" s="2">
        <v>2021.0</v>
      </c>
      <c r="G5015" s="2">
        <v>1.322E7</v>
      </c>
    </row>
    <row r="5016" ht="14.25" customHeight="1">
      <c r="A5016" s="1" t="s">
        <v>4292</v>
      </c>
      <c r="B5016" s="1" t="s">
        <v>8</v>
      </c>
      <c r="C5016" s="2" t="s">
        <v>154</v>
      </c>
      <c r="D5016" s="2">
        <v>7.4</v>
      </c>
      <c r="E5016" s="2">
        <v>2019.0</v>
      </c>
      <c r="F5016" s="2">
        <v>2021.0</v>
      </c>
      <c r="G5016" s="2">
        <v>1.884E7</v>
      </c>
    </row>
    <row r="5017" ht="14.25" customHeight="1">
      <c r="A5017" s="1" t="s">
        <v>4292</v>
      </c>
      <c r="B5017" s="1" t="s">
        <v>8</v>
      </c>
      <c r="C5017" s="2" t="s">
        <v>154</v>
      </c>
      <c r="D5017" s="2">
        <v>7.4</v>
      </c>
      <c r="E5017" s="2">
        <v>2019.0</v>
      </c>
      <c r="F5017" s="2">
        <v>2021.0</v>
      </c>
      <c r="G5017" s="2">
        <v>2.832E7</v>
      </c>
    </row>
    <row r="5018" ht="14.25" customHeight="1">
      <c r="A5018" s="1" t="s">
        <v>4292</v>
      </c>
      <c r="B5018" s="1" t="s">
        <v>8</v>
      </c>
      <c r="C5018" s="2" t="s">
        <v>154</v>
      </c>
      <c r="D5018" s="2">
        <v>7.4</v>
      </c>
      <c r="E5018" s="2">
        <v>2019.0</v>
      </c>
      <c r="F5018" s="2">
        <v>2021.0</v>
      </c>
      <c r="G5018" s="2">
        <v>4.489E7</v>
      </c>
    </row>
    <row r="5019" ht="14.25" customHeight="1">
      <c r="A5019" s="1" t="s">
        <v>4292</v>
      </c>
      <c r="B5019" s="1" t="s">
        <v>8</v>
      </c>
      <c r="C5019" s="2" t="s">
        <v>154</v>
      </c>
      <c r="D5019" s="2">
        <v>7.4</v>
      </c>
      <c r="E5019" s="2">
        <v>2019.0</v>
      </c>
      <c r="F5019" s="2">
        <v>2021.0</v>
      </c>
      <c r="G5019" s="2">
        <v>1.436E7</v>
      </c>
    </row>
    <row r="5020" ht="14.25" customHeight="1">
      <c r="A5020" s="1" t="s">
        <v>4292</v>
      </c>
      <c r="B5020" s="1" t="s">
        <v>8</v>
      </c>
      <c r="C5020" s="2" t="s">
        <v>154</v>
      </c>
      <c r="D5020" s="2">
        <v>7.4</v>
      </c>
      <c r="E5020" s="2">
        <v>2019.0</v>
      </c>
      <c r="F5020" s="2">
        <v>2021.0</v>
      </c>
      <c r="G5020" s="2">
        <v>1.377E7</v>
      </c>
    </row>
    <row r="5021" ht="14.25" customHeight="1">
      <c r="A5021" s="1" t="s">
        <v>4292</v>
      </c>
      <c r="B5021" s="1" t="s">
        <v>8</v>
      </c>
      <c r="C5021" s="2" t="s">
        <v>154</v>
      </c>
      <c r="D5021" s="2">
        <v>7.4</v>
      </c>
      <c r="E5021" s="2">
        <v>2019.0</v>
      </c>
      <c r="F5021" s="2">
        <v>2021.0</v>
      </c>
      <c r="G5021" s="2">
        <v>8.727E7</v>
      </c>
    </row>
    <row r="5022" ht="14.25" customHeight="1">
      <c r="A5022" s="1" t="s">
        <v>4292</v>
      </c>
      <c r="B5022" s="1" t="s">
        <v>8</v>
      </c>
      <c r="C5022" s="2" t="s">
        <v>154</v>
      </c>
      <c r="D5022" s="2">
        <v>7.4</v>
      </c>
      <c r="E5022" s="2">
        <v>2019.0</v>
      </c>
      <c r="F5022" s="2">
        <v>2021.0</v>
      </c>
      <c r="G5022" s="2">
        <v>2.008E7</v>
      </c>
    </row>
    <row r="5023" ht="14.25" customHeight="1">
      <c r="A5023" s="1" t="s">
        <v>4292</v>
      </c>
      <c r="B5023" s="1" t="s">
        <v>8</v>
      </c>
      <c r="C5023" s="2" t="s">
        <v>154</v>
      </c>
      <c r="D5023" s="2">
        <v>7.4</v>
      </c>
      <c r="E5023" s="2">
        <v>2019.0</v>
      </c>
      <c r="F5023" s="2">
        <v>2021.0</v>
      </c>
      <c r="G5023" s="3">
        <v>1.7E7</v>
      </c>
    </row>
    <row r="5024" ht="14.25" customHeight="1">
      <c r="A5024" s="1" t="s">
        <v>4292</v>
      </c>
      <c r="B5024" s="1" t="s">
        <v>8</v>
      </c>
      <c r="C5024" s="2" t="s">
        <v>154</v>
      </c>
      <c r="D5024" s="2">
        <v>7.4</v>
      </c>
      <c r="E5024" s="2">
        <v>2019.0</v>
      </c>
      <c r="F5024" s="2">
        <v>2021.0</v>
      </c>
      <c r="G5024" s="2">
        <v>6.258E7</v>
      </c>
    </row>
    <row r="5025" ht="14.25" customHeight="1">
      <c r="A5025" s="1" t="s">
        <v>4292</v>
      </c>
      <c r="B5025" s="1" t="s">
        <v>8</v>
      </c>
      <c r="C5025" s="2" t="s">
        <v>154</v>
      </c>
      <c r="D5025" s="2">
        <v>7.4</v>
      </c>
      <c r="E5025" s="2">
        <v>2019.0</v>
      </c>
      <c r="F5025" s="2">
        <v>2021.0</v>
      </c>
      <c r="G5025" s="2">
        <v>1.359E7</v>
      </c>
    </row>
    <row r="5026" ht="14.25" customHeight="1">
      <c r="A5026" s="1" t="s">
        <v>4293</v>
      </c>
      <c r="B5026" s="1" t="s">
        <v>20</v>
      </c>
      <c r="C5026" s="2" t="s">
        <v>742</v>
      </c>
      <c r="D5026" s="2">
        <v>7.4</v>
      </c>
      <c r="E5026" s="2">
        <v>2003.0</v>
      </c>
      <c r="F5026" s="2" t="s">
        <v>10</v>
      </c>
      <c r="G5026" s="2" t="s">
        <v>10</v>
      </c>
    </row>
    <row r="5027" ht="14.25" customHeight="1">
      <c r="A5027" s="1" t="s">
        <v>4294</v>
      </c>
      <c r="B5027" s="1" t="s">
        <v>20</v>
      </c>
      <c r="C5027" s="2" t="s">
        <v>184</v>
      </c>
      <c r="D5027" s="2">
        <v>7.4</v>
      </c>
      <c r="E5027" s="2">
        <v>2015.0</v>
      </c>
      <c r="F5027" s="2" t="s">
        <v>10</v>
      </c>
      <c r="G5027" s="2" t="s">
        <v>10</v>
      </c>
    </row>
    <row r="5028" ht="14.25" customHeight="1">
      <c r="A5028" s="1" t="s">
        <v>4295</v>
      </c>
      <c r="B5028" s="1" t="s">
        <v>20</v>
      </c>
      <c r="C5028" s="2" t="s">
        <v>945</v>
      </c>
      <c r="D5028" s="2">
        <v>7.4</v>
      </c>
      <c r="E5028" s="2">
        <v>2009.0</v>
      </c>
      <c r="F5028" s="2" t="s">
        <v>10</v>
      </c>
      <c r="G5028" s="2" t="s">
        <v>10</v>
      </c>
    </row>
    <row r="5029" ht="14.25" customHeight="1">
      <c r="A5029" s="1" t="s">
        <v>3140</v>
      </c>
      <c r="B5029" s="1" t="s">
        <v>20</v>
      </c>
      <c r="C5029" s="2" t="s">
        <v>157</v>
      </c>
      <c r="D5029" s="2">
        <v>7.4</v>
      </c>
      <c r="E5029" s="2">
        <v>1969.0</v>
      </c>
      <c r="F5029" s="2">
        <v>1969.0</v>
      </c>
      <c r="G5029" s="2" t="s">
        <v>10</v>
      </c>
    </row>
    <row r="5030" ht="14.25" customHeight="1">
      <c r="A5030" s="1" t="s">
        <v>4296</v>
      </c>
      <c r="B5030" s="1" t="s">
        <v>20</v>
      </c>
      <c r="C5030" s="2" t="s">
        <v>217</v>
      </c>
      <c r="D5030" s="2">
        <v>7.4</v>
      </c>
      <c r="E5030" s="2">
        <v>2003.0</v>
      </c>
      <c r="F5030" s="2" t="s">
        <v>10</v>
      </c>
      <c r="G5030" s="2" t="s">
        <v>10</v>
      </c>
    </row>
    <row r="5031" ht="14.25" customHeight="1">
      <c r="A5031" s="1" t="s">
        <v>4297</v>
      </c>
      <c r="B5031" s="1" t="s">
        <v>20</v>
      </c>
      <c r="C5031" s="2" t="s">
        <v>262</v>
      </c>
      <c r="D5031" s="2">
        <v>7.4</v>
      </c>
      <c r="E5031" s="2">
        <v>1986.0</v>
      </c>
      <c r="F5031" s="2" t="s">
        <v>10</v>
      </c>
      <c r="G5031" s="2" t="s">
        <v>10</v>
      </c>
    </row>
    <row r="5032" ht="14.25" customHeight="1">
      <c r="A5032" s="1" t="s">
        <v>4298</v>
      </c>
      <c r="B5032" s="1" t="s">
        <v>20</v>
      </c>
      <c r="C5032" s="2" t="s">
        <v>134</v>
      </c>
      <c r="D5032" s="2">
        <v>7.4</v>
      </c>
      <c r="E5032" s="2">
        <v>2017.0</v>
      </c>
      <c r="F5032" s="2">
        <v>2017.0</v>
      </c>
      <c r="G5032" s="2" t="s">
        <v>10</v>
      </c>
    </row>
    <row r="5033" ht="14.25" customHeight="1">
      <c r="A5033" s="1" t="s">
        <v>4299</v>
      </c>
      <c r="B5033" s="1" t="s">
        <v>20</v>
      </c>
      <c r="C5033" s="2" t="s">
        <v>1567</v>
      </c>
      <c r="D5033" s="2">
        <v>7.4</v>
      </c>
      <c r="E5033" s="2">
        <v>1972.0</v>
      </c>
      <c r="F5033" s="2" t="s">
        <v>10</v>
      </c>
      <c r="G5033" s="2" t="s">
        <v>10</v>
      </c>
    </row>
    <row r="5034" ht="14.25" customHeight="1">
      <c r="A5034" s="1" t="s">
        <v>4300</v>
      </c>
      <c r="B5034" s="1" t="s">
        <v>20</v>
      </c>
      <c r="C5034" s="2" t="s">
        <v>53</v>
      </c>
      <c r="D5034" s="2">
        <v>7.4</v>
      </c>
      <c r="E5034" s="2">
        <v>1995.0</v>
      </c>
      <c r="F5034" s="2" t="s">
        <v>10</v>
      </c>
      <c r="G5034" s="2" t="s">
        <v>10</v>
      </c>
    </row>
    <row r="5035" ht="14.25" customHeight="1">
      <c r="A5035" s="1" t="s">
        <v>4301</v>
      </c>
      <c r="B5035" s="1" t="s">
        <v>8</v>
      </c>
      <c r="C5035" s="2" t="s">
        <v>476</v>
      </c>
      <c r="D5035" s="2">
        <v>7.4</v>
      </c>
      <c r="E5035" s="2">
        <v>2019.0</v>
      </c>
      <c r="F5035" s="2" t="s">
        <v>10</v>
      </c>
      <c r="G5035" s="2" t="s">
        <v>10</v>
      </c>
    </row>
    <row r="5036" ht="14.25" customHeight="1">
      <c r="A5036" s="1" t="s">
        <v>4302</v>
      </c>
      <c r="B5036" s="1" t="s">
        <v>8</v>
      </c>
      <c r="C5036" s="2" t="s">
        <v>2237</v>
      </c>
      <c r="D5036" s="2">
        <v>7.4</v>
      </c>
      <c r="E5036" s="2">
        <v>2022.0</v>
      </c>
      <c r="F5036" s="2" t="s">
        <v>10</v>
      </c>
      <c r="G5036" s="2">
        <v>1.343E7</v>
      </c>
    </row>
    <row r="5037" ht="14.25" customHeight="1">
      <c r="A5037" s="1" t="s">
        <v>4302</v>
      </c>
      <c r="B5037" s="1" t="s">
        <v>8</v>
      </c>
      <c r="C5037" s="2" t="s">
        <v>2237</v>
      </c>
      <c r="D5037" s="2">
        <v>7.4</v>
      </c>
      <c r="E5037" s="2">
        <v>2022.0</v>
      </c>
      <c r="F5037" s="2" t="s">
        <v>10</v>
      </c>
      <c r="G5037" s="2">
        <v>2.358E7</v>
      </c>
    </row>
    <row r="5038" ht="14.25" customHeight="1">
      <c r="A5038" s="1" t="s">
        <v>4302</v>
      </c>
      <c r="B5038" s="1" t="s">
        <v>8</v>
      </c>
      <c r="C5038" s="2" t="s">
        <v>2237</v>
      </c>
      <c r="D5038" s="2">
        <v>7.4</v>
      </c>
      <c r="E5038" s="2">
        <v>2022.0</v>
      </c>
      <c r="F5038" s="2" t="s">
        <v>10</v>
      </c>
      <c r="G5038" s="2">
        <v>4.336E7</v>
      </c>
    </row>
    <row r="5039" ht="14.25" customHeight="1">
      <c r="A5039" s="1" t="s">
        <v>4302</v>
      </c>
      <c r="B5039" s="1" t="s">
        <v>8</v>
      </c>
      <c r="C5039" s="2" t="s">
        <v>2237</v>
      </c>
      <c r="D5039" s="2">
        <v>7.4</v>
      </c>
      <c r="E5039" s="2">
        <v>2022.0</v>
      </c>
      <c r="F5039" s="2" t="s">
        <v>10</v>
      </c>
      <c r="G5039" s="2">
        <v>9.559E7</v>
      </c>
    </row>
    <row r="5040" ht="14.25" customHeight="1">
      <c r="A5040" s="1" t="s">
        <v>4302</v>
      </c>
      <c r="B5040" s="1" t="s">
        <v>8</v>
      </c>
      <c r="C5040" s="2" t="s">
        <v>2237</v>
      </c>
      <c r="D5040" s="2">
        <v>7.4</v>
      </c>
      <c r="E5040" s="2">
        <v>2022.0</v>
      </c>
      <c r="F5040" s="2" t="s">
        <v>10</v>
      </c>
      <c r="G5040" s="2">
        <v>5.23E7</v>
      </c>
    </row>
    <row r="5041" ht="14.25" customHeight="1">
      <c r="A5041" s="1" t="s">
        <v>4303</v>
      </c>
      <c r="B5041" s="1" t="s">
        <v>20</v>
      </c>
      <c r="C5041" s="2" t="s">
        <v>249</v>
      </c>
      <c r="D5041" s="2">
        <v>7.4</v>
      </c>
      <c r="E5041" s="2">
        <v>1992.0</v>
      </c>
      <c r="F5041" s="2" t="s">
        <v>10</v>
      </c>
      <c r="G5041" s="2" t="s">
        <v>10</v>
      </c>
    </row>
    <row r="5042" ht="14.25" customHeight="1">
      <c r="A5042" s="1" t="s">
        <v>4304</v>
      </c>
      <c r="B5042" s="1" t="s">
        <v>20</v>
      </c>
      <c r="C5042" s="2" t="s">
        <v>391</v>
      </c>
      <c r="D5042" s="2">
        <v>7.4</v>
      </c>
      <c r="E5042" s="2">
        <v>2008.0</v>
      </c>
      <c r="F5042" s="2" t="s">
        <v>10</v>
      </c>
      <c r="G5042" s="2" t="s">
        <v>10</v>
      </c>
    </row>
    <row r="5043" ht="14.25" customHeight="1">
      <c r="A5043" s="1" t="s">
        <v>4305</v>
      </c>
      <c r="B5043" s="1" t="s">
        <v>20</v>
      </c>
      <c r="C5043" s="2" t="s">
        <v>18</v>
      </c>
      <c r="D5043" s="2">
        <v>7.4</v>
      </c>
      <c r="E5043" s="2">
        <v>2001.0</v>
      </c>
      <c r="F5043" s="2" t="s">
        <v>10</v>
      </c>
      <c r="G5043" s="2" t="s">
        <v>10</v>
      </c>
    </row>
    <row r="5044" ht="14.25" customHeight="1">
      <c r="A5044" s="1" t="s">
        <v>4306</v>
      </c>
      <c r="B5044" s="1" t="s">
        <v>20</v>
      </c>
      <c r="C5044" s="2" t="s">
        <v>945</v>
      </c>
      <c r="D5044" s="2">
        <v>7.4</v>
      </c>
      <c r="E5044" s="2">
        <v>1978.0</v>
      </c>
      <c r="F5044" s="2" t="s">
        <v>10</v>
      </c>
      <c r="G5044" s="2" t="s">
        <v>10</v>
      </c>
    </row>
    <row r="5045" ht="14.25" customHeight="1">
      <c r="A5045" s="1" t="s">
        <v>4307</v>
      </c>
      <c r="B5045" s="1" t="s">
        <v>20</v>
      </c>
      <c r="C5045" s="2" t="s">
        <v>118</v>
      </c>
      <c r="D5045" s="2">
        <v>7.4</v>
      </c>
      <c r="E5045" s="2">
        <v>1968.0</v>
      </c>
      <c r="F5045" s="2" t="s">
        <v>10</v>
      </c>
      <c r="G5045" s="2" t="s">
        <v>10</v>
      </c>
    </row>
    <row r="5046" ht="14.25" customHeight="1">
      <c r="A5046" s="1" t="s">
        <v>4308</v>
      </c>
      <c r="B5046" s="1" t="s">
        <v>20</v>
      </c>
      <c r="C5046" s="2" t="s">
        <v>154</v>
      </c>
      <c r="D5046" s="2">
        <v>7.4</v>
      </c>
      <c r="E5046" s="2">
        <v>2016.0</v>
      </c>
      <c r="F5046" s="2">
        <v>2016.0</v>
      </c>
      <c r="G5046" s="2" t="s">
        <v>10</v>
      </c>
    </row>
    <row r="5047" ht="14.25" customHeight="1">
      <c r="A5047" s="1" t="s">
        <v>4309</v>
      </c>
      <c r="B5047" s="1" t="s">
        <v>20</v>
      </c>
      <c r="C5047" s="2" t="s">
        <v>530</v>
      </c>
      <c r="D5047" s="2">
        <v>7.4</v>
      </c>
      <c r="E5047" s="2">
        <v>1992.0</v>
      </c>
      <c r="F5047" s="2" t="s">
        <v>10</v>
      </c>
      <c r="G5047" s="2" t="s">
        <v>10</v>
      </c>
    </row>
    <row r="5048" ht="14.25" customHeight="1">
      <c r="A5048" s="1" t="s">
        <v>4310</v>
      </c>
      <c r="B5048" s="1" t="s">
        <v>20</v>
      </c>
      <c r="C5048" s="2" t="s">
        <v>1144</v>
      </c>
      <c r="D5048" s="2">
        <v>7.4</v>
      </c>
      <c r="E5048" s="2">
        <v>2009.0</v>
      </c>
      <c r="F5048" s="2" t="s">
        <v>10</v>
      </c>
      <c r="G5048" s="2" t="s">
        <v>10</v>
      </c>
    </row>
    <row r="5049" ht="14.25" customHeight="1">
      <c r="A5049" s="1" t="s">
        <v>3357</v>
      </c>
      <c r="B5049" s="1" t="s">
        <v>20</v>
      </c>
      <c r="C5049" s="2" t="s">
        <v>192</v>
      </c>
      <c r="D5049" s="2">
        <v>7.4</v>
      </c>
      <c r="E5049" s="2">
        <v>1998.0</v>
      </c>
      <c r="F5049" s="2" t="s">
        <v>10</v>
      </c>
      <c r="G5049" s="2" t="s">
        <v>10</v>
      </c>
    </row>
    <row r="5050" ht="14.25" customHeight="1">
      <c r="A5050" s="1" t="s">
        <v>4311</v>
      </c>
      <c r="B5050" s="1" t="s">
        <v>20</v>
      </c>
      <c r="C5050" s="2" t="s">
        <v>910</v>
      </c>
      <c r="D5050" s="2">
        <v>7.4</v>
      </c>
      <c r="E5050" s="2">
        <v>2015.0</v>
      </c>
      <c r="F5050" s="2" t="s">
        <v>10</v>
      </c>
      <c r="G5050" s="2" t="s">
        <v>10</v>
      </c>
    </row>
    <row r="5051" ht="14.25" customHeight="1">
      <c r="A5051" s="1" t="s">
        <v>4312</v>
      </c>
      <c r="B5051" s="1" t="s">
        <v>20</v>
      </c>
      <c r="C5051" s="2" t="s">
        <v>3895</v>
      </c>
      <c r="D5051" s="2">
        <v>7.4</v>
      </c>
      <c r="E5051" s="2">
        <v>1996.0</v>
      </c>
      <c r="F5051" s="2" t="s">
        <v>10</v>
      </c>
      <c r="G5051" s="2" t="s">
        <v>10</v>
      </c>
    </row>
    <row r="5052" ht="14.25" customHeight="1">
      <c r="A5052" s="1" t="s">
        <v>4313</v>
      </c>
      <c r="B5052" s="1" t="s">
        <v>20</v>
      </c>
      <c r="C5052" s="2" t="s">
        <v>1301</v>
      </c>
      <c r="D5052" s="2">
        <v>7.4</v>
      </c>
      <c r="E5052" s="2">
        <v>1963.0</v>
      </c>
      <c r="F5052" s="2" t="s">
        <v>10</v>
      </c>
      <c r="G5052" s="2" t="s">
        <v>10</v>
      </c>
    </row>
    <row r="5053" ht="14.25" customHeight="1">
      <c r="A5053" s="1" t="s">
        <v>4314</v>
      </c>
      <c r="B5053" s="1" t="s">
        <v>20</v>
      </c>
      <c r="C5053" s="2" t="s">
        <v>311</v>
      </c>
      <c r="D5053" s="2">
        <v>7.4</v>
      </c>
      <c r="E5053" s="2">
        <v>2014.0</v>
      </c>
      <c r="F5053" s="2" t="s">
        <v>10</v>
      </c>
      <c r="G5053" s="2" t="s">
        <v>10</v>
      </c>
    </row>
    <row r="5054" ht="14.25" customHeight="1">
      <c r="A5054" s="1" t="s">
        <v>4315</v>
      </c>
      <c r="B5054" s="1" t="s">
        <v>20</v>
      </c>
      <c r="C5054" s="2" t="s">
        <v>910</v>
      </c>
      <c r="D5054" s="2">
        <v>7.4</v>
      </c>
      <c r="E5054" s="2">
        <v>1993.0</v>
      </c>
      <c r="F5054" s="2">
        <v>1993.0</v>
      </c>
      <c r="G5054" s="2" t="s">
        <v>10</v>
      </c>
    </row>
    <row r="5055" ht="14.25" customHeight="1">
      <c r="A5055" s="1" t="s">
        <v>4316</v>
      </c>
      <c r="B5055" s="1" t="s">
        <v>20</v>
      </c>
      <c r="C5055" s="2" t="s">
        <v>36</v>
      </c>
      <c r="D5055" s="2">
        <v>7.4</v>
      </c>
      <c r="E5055" s="2">
        <v>2001.0</v>
      </c>
      <c r="F5055" s="2" t="s">
        <v>10</v>
      </c>
      <c r="G5055" s="2" t="s">
        <v>10</v>
      </c>
    </row>
    <row r="5056" ht="14.25" customHeight="1">
      <c r="A5056" s="1" t="s">
        <v>4317</v>
      </c>
      <c r="B5056" s="1" t="s">
        <v>20</v>
      </c>
      <c r="C5056" s="2" t="s">
        <v>621</v>
      </c>
      <c r="D5056" s="2">
        <v>7.4</v>
      </c>
      <c r="E5056" s="2">
        <v>1979.0</v>
      </c>
      <c r="F5056" s="2" t="s">
        <v>10</v>
      </c>
      <c r="G5056" s="2" t="s">
        <v>10</v>
      </c>
    </row>
    <row r="5057" ht="14.25" customHeight="1">
      <c r="A5057" s="1" t="s">
        <v>4318</v>
      </c>
      <c r="B5057" s="1" t="s">
        <v>20</v>
      </c>
      <c r="C5057" s="2" t="s">
        <v>349</v>
      </c>
      <c r="D5057" s="2">
        <v>7.4</v>
      </c>
      <c r="E5057" s="2">
        <v>1981.0</v>
      </c>
      <c r="F5057" s="2" t="s">
        <v>10</v>
      </c>
      <c r="G5057" s="2" t="s">
        <v>10</v>
      </c>
    </row>
    <row r="5058" ht="14.25" customHeight="1">
      <c r="A5058" s="1" t="s">
        <v>4319</v>
      </c>
      <c r="B5058" s="1" t="s">
        <v>20</v>
      </c>
      <c r="C5058" s="2" t="s">
        <v>527</v>
      </c>
      <c r="D5058" s="2">
        <v>7.4</v>
      </c>
      <c r="E5058" s="2">
        <v>1994.0</v>
      </c>
      <c r="F5058" s="2" t="s">
        <v>10</v>
      </c>
      <c r="G5058" s="2" t="s">
        <v>10</v>
      </c>
    </row>
    <row r="5059" ht="14.25" customHeight="1">
      <c r="A5059" s="1" t="s">
        <v>4320</v>
      </c>
      <c r="B5059" s="1" t="s">
        <v>20</v>
      </c>
      <c r="C5059" s="2" t="s">
        <v>222</v>
      </c>
      <c r="D5059" s="2">
        <v>7.4</v>
      </c>
      <c r="E5059" s="2">
        <v>1975.0</v>
      </c>
      <c r="F5059" s="2" t="s">
        <v>10</v>
      </c>
      <c r="G5059" s="2" t="s">
        <v>10</v>
      </c>
    </row>
    <row r="5060" ht="14.25" customHeight="1">
      <c r="A5060" s="1" t="s">
        <v>4321</v>
      </c>
      <c r="B5060" s="1" t="s">
        <v>20</v>
      </c>
      <c r="C5060" s="2" t="s">
        <v>1761</v>
      </c>
      <c r="D5060" s="2">
        <v>7.4</v>
      </c>
      <c r="E5060" s="2">
        <v>1968.0</v>
      </c>
      <c r="F5060" s="2" t="s">
        <v>10</v>
      </c>
      <c r="G5060" s="2" t="s">
        <v>10</v>
      </c>
    </row>
    <row r="5061" ht="14.25" customHeight="1">
      <c r="A5061" s="1" t="s">
        <v>4322</v>
      </c>
      <c r="B5061" s="1" t="s">
        <v>20</v>
      </c>
      <c r="C5061" s="2" t="s">
        <v>69</v>
      </c>
      <c r="D5061" s="2">
        <v>7.4</v>
      </c>
      <c r="E5061" s="2">
        <v>1981.0</v>
      </c>
      <c r="F5061" s="2" t="s">
        <v>10</v>
      </c>
      <c r="G5061" s="2" t="s">
        <v>10</v>
      </c>
    </row>
    <row r="5062" ht="14.25" customHeight="1">
      <c r="A5062" s="1" t="s">
        <v>4323</v>
      </c>
      <c r="B5062" s="1" t="s">
        <v>20</v>
      </c>
      <c r="C5062" s="2" t="s">
        <v>18</v>
      </c>
      <c r="D5062" s="2">
        <v>7.4</v>
      </c>
      <c r="E5062" s="2">
        <v>1970.0</v>
      </c>
      <c r="F5062" s="2" t="s">
        <v>10</v>
      </c>
      <c r="G5062" s="2" t="s">
        <v>10</v>
      </c>
    </row>
    <row r="5063" ht="14.25" customHeight="1">
      <c r="A5063" s="1" t="s">
        <v>4324</v>
      </c>
      <c r="B5063" s="1" t="s">
        <v>8</v>
      </c>
      <c r="C5063" s="2" t="s">
        <v>756</v>
      </c>
      <c r="D5063" s="2">
        <v>7.4</v>
      </c>
      <c r="E5063" s="2">
        <v>1999.0</v>
      </c>
      <c r="F5063" s="2" t="s">
        <v>10</v>
      </c>
      <c r="G5063" s="2" t="s">
        <v>10</v>
      </c>
    </row>
    <row r="5064" ht="14.25" customHeight="1">
      <c r="A5064" s="1" t="s">
        <v>4325</v>
      </c>
      <c r="B5064" s="1" t="s">
        <v>8</v>
      </c>
      <c r="C5064" s="2" t="s">
        <v>452</v>
      </c>
      <c r="D5064" s="2">
        <v>7.4</v>
      </c>
      <c r="E5064" s="2">
        <v>2015.0</v>
      </c>
      <c r="F5064" s="2" t="s">
        <v>10</v>
      </c>
      <c r="G5064" s="2" t="s">
        <v>10</v>
      </c>
    </row>
    <row r="5065" ht="14.25" customHeight="1">
      <c r="A5065" s="1" t="s">
        <v>4326</v>
      </c>
      <c r="B5065" s="1" t="s">
        <v>20</v>
      </c>
      <c r="C5065" s="2" t="s">
        <v>63</v>
      </c>
      <c r="D5065" s="2">
        <v>7.4</v>
      </c>
      <c r="E5065" s="2">
        <v>1984.0</v>
      </c>
      <c r="F5065" s="2" t="s">
        <v>10</v>
      </c>
      <c r="G5065" s="2" t="s">
        <v>10</v>
      </c>
    </row>
    <row r="5066" ht="14.25" customHeight="1">
      <c r="A5066" s="1" t="s">
        <v>4327</v>
      </c>
      <c r="B5066" s="1" t="s">
        <v>20</v>
      </c>
      <c r="C5066" s="2" t="s">
        <v>9</v>
      </c>
      <c r="D5066" s="2">
        <v>7.4</v>
      </c>
      <c r="E5066" s="2">
        <v>1979.0</v>
      </c>
      <c r="F5066" s="2" t="s">
        <v>10</v>
      </c>
      <c r="G5066" s="2" t="s">
        <v>10</v>
      </c>
    </row>
    <row r="5067" ht="14.25" customHeight="1">
      <c r="A5067" s="1" t="s">
        <v>4328</v>
      </c>
      <c r="B5067" s="1" t="s">
        <v>20</v>
      </c>
      <c r="C5067" s="2" t="s">
        <v>192</v>
      </c>
      <c r="D5067" s="2">
        <v>7.4</v>
      </c>
      <c r="E5067" s="2">
        <v>1981.0</v>
      </c>
      <c r="F5067" s="2" t="s">
        <v>10</v>
      </c>
      <c r="G5067" s="2" t="s">
        <v>10</v>
      </c>
    </row>
    <row r="5068" ht="14.25" customHeight="1">
      <c r="A5068" s="1" t="s">
        <v>4329</v>
      </c>
      <c r="B5068" s="1" t="s">
        <v>20</v>
      </c>
      <c r="C5068" s="2" t="s">
        <v>768</v>
      </c>
      <c r="D5068" s="2">
        <v>7.4</v>
      </c>
      <c r="E5068" s="2">
        <v>2004.0</v>
      </c>
      <c r="F5068" s="2" t="s">
        <v>10</v>
      </c>
      <c r="G5068" s="2" t="s">
        <v>10</v>
      </c>
    </row>
    <row r="5069" ht="14.25" customHeight="1">
      <c r="A5069" s="1" t="s">
        <v>4330</v>
      </c>
      <c r="B5069" s="1" t="s">
        <v>8</v>
      </c>
      <c r="C5069" s="2" t="s">
        <v>187</v>
      </c>
      <c r="D5069" s="2">
        <v>7.4</v>
      </c>
      <c r="E5069" s="2">
        <v>2013.0</v>
      </c>
      <c r="F5069" s="2">
        <v>2017.0</v>
      </c>
      <c r="G5069" s="2" t="s">
        <v>10</v>
      </c>
    </row>
    <row r="5070" ht="14.25" customHeight="1">
      <c r="A5070" s="1" t="s">
        <v>4331</v>
      </c>
      <c r="B5070" s="1" t="s">
        <v>8</v>
      </c>
      <c r="C5070" s="2" t="s">
        <v>2437</v>
      </c>
      <c r="D5070" s="2">
        <v>7.4</v>
      </c>
      <c r="E5070" s="2">
        <v>1986.0</v>
      </c>
      <c r="F5070" s="2" t="s">
        <v>10</v>
      </c>
      <c r="G5070" s="2" t="s">
        <v>10</v>
      </c>
    </row>
    <row r="5071" ht="14.25" customHeight="1">
      <c r="A5071" s="1" t="s">
        <v>4332</v>
      </c>
      <c r="B5071" s="1" t="s">
        <v>20</v>
      </c>
      <c r="C5071" s="2" t="s">
        <v>18</v>
      </c>
      <c r="D5071" s="2">
        <v>7.4</v>
      </c>
      <c r="E5071" s="2">
        <v>2021.0</v>
      </c>
      <c r="F5071" s="2" t="s">
        <v>10</v>
      </c>
      <c r="G5071" s="2" t="s">
        <v>10</v>
      </c>
    </row>
    <row r="5072" ht="14.25" customHeight="1">
      <c r="A5072" s="1" t="s">
        <v>4333</v>
      </c>
      <c r="B5072" s="1" t="s">
        <v>8</v>
      </c>
      <c r="C5072" s="2" t="s">
        <v>55</v>
      </c>
      <c r="D5072" s="2">
        <v>7.4</v>
      </c>
      <c r="E5072" s="2">
        <v>1991.0</v>
      </c>
      <c r="F5072" s="2" t="s">
        <v>10</v>
      </c>
      <c r="G5072" s="2" t="s">
        <v>10</v>
      </c>
    </row>
    <row r="5073" ht="14.25" customHeight="1">
      <c r="A5073" s="1" t="s">
        <v>4334</v>
      </c>
      <c r="B5073" s="1" t="s">
        <v>20</v>
      </c>
      <c r="C5073" s="2" t="s">
        <v>4335</v>
      </c>
      <c r="D5073" s="2">
        <v>7.4</v>
      </c>
      <c r="E5073" s="2">
        <v>2009.0</v>
      </c>
      <c r="F5073" s="2" t="s">
        <v>10</v>
      </c>
      <c r="G5073" s="2" t="s">
        <v>10</v>
      </c>
    </row>
    <row r="5074" ht="14.25" customHeight="1">
      <c r="A5074" s="1" t="s">
        <v>4336</v>
      </c>
      <c r="B5074" s="1" t="s">
        <v>20</v>
      </c>
      <c r="C5074" s="2" t="s">
        <v>63</v>
      </c>
      <c r="D5074" s="2">
        <v>7.4</v>
      </c>
      <c r="E5074" s="2">
        <v>1995.0</v>
      </c>
      <c r="F5074" s="2" t="s">
        <v>10</v>
      </c>
      <c r="G5074" s="2" t="s">
        <v>10</v>
      </c>
    </row>
    <row r="5075" ht="14.25" customHeight="1">
      <c r="A5075" s="1" t="s">
        <v>4337</v>
      </c>
      <c r="B5075" s="1" t="s">
        <v>8</v>
      </c>
      <c r="C5075" s="2" t="s">
        <v>53</v>
      </c>
      <c r="D5075" s="2">
        <v>7.4</v>
      </c>
      <c r="E5075" s="2">
        <v>2013.0</v>
      </c>
      <c r="F5075" s="2" t="s">
        <v>10</v>
      </c>
      <c r="G5075" s="2" t="s">
        <v>10</v>
      </c>
    </row>
    <row r="5076" ht="14.25" customHeight="1">
      <c r="A5076" s="1" t="s">
        <v>4338</v>
      </c>
      <c r="B5076" s="1" t="s">
        <v>20</v>
      </c>
      <c r="C5076" s="2" t="s">
        <v>63</v>
      </c>
      <c r="D5076" s="2">
        <v>7.4</v>
      </c>
      <c r="E5076" s="2">
        <v>1995.0</v>
      </c>
      <c r="F5076" s="2" t="s">
        <v>10</v>
      </c>
      <c r="G5076" s="2" t="s">
        <v>10</v>
      </c>
    </row>
    <row r="5077" ht="14.25" customHeight="1">
      <c r="A5077" s="1" t="s">
        <v>4339</v>
      </c>
      <c r="B5077" s="1" t="s">
        <v>20</v>
      </c>
      <c r="C5077" s="2" t="s">
        <v>192</v>
      </c>
      <c r="D5077" s="2">
        <v>7.4</v>
      </c>
      <c r="E5077" s="2">
        <v>1965.0</v>
      </c>
      <c r="F5077" s="2" t="s">
        <v>10</v>
      </c>
      <c r="G5077" s="2" t="s">
        <v>10</v>
      </c>
    </row>
    <row r="5078" ht="14.25" customHeight="1">
      <c r="A5078" s="1" t="s">
        <v>4340</v>
      </c>
      <c r="B5078" s="1" t="s">
        <v>20</v>
      </c>
      <c r="C5078" s="2" t="s">
        <v>910</v>
      </c>
      <c r="D5078" s="2">
        <v>7.4</v>
      </c>
      <c r="E5078" s="2">
        <v>2022.0</v>
      </c>
      <c r="F5078" s="2" t="s">
        <v>10</v>
      </c>
      <c r="G5078" s="2">
        <v>1.172E7</v>
      </c>
    </row>
    <row r="5079" ht="14.25" customHeight="1">
      <c r="A5079" s="1" t="s">
        <v>4340</v>
      </c>
      <c r="B5079" s="1" t="s">
        <v>20</v>
      </c>
      <c r="C5079" s="2" t="s">
        <v>910</v>
      </c>
      <c r="D5079" s="2">
        <v>7.4</v>
      </c>
      <c r="E5079" s="2">
        <v>2022.0</v>
      </c>
      <c r="F5079" s="2" t="s">
        <v>10</v>
      </c>
      <c r="G5079" s="2">
        <v>2.704E7</v>
      </c>
    </row>
    <row r="5080" ht="14.25" customHeight="1">
      <c r="A5080" s="1" t="s">
        <v>4340</v>
      </c>
      <c r="B5080" s="1" t="s">
        <v>20</v>
      </c>
      <c r="C5080" s="2" t="s">
        <v>910</v>
      </c>
      <c r="D5080" s="2">
        <v>7.4</v>
      </c>
      <c r="E5080" s="2">
        <v>2022.0</v>
      </c>
      <c r="F5080" s="2" t="s">
        <v>10</v>
      </c>
      <c r="G5080" s="2">
        <v>2.248E7</v>
      </c>
    </row>
    <row r="5081" ht="14.25" customHeight="1">
      <c r="A5081" s="1" t="s">
        <v>4341</v>
      </c>
      <c r="B5081" s="1" t="s">
        <v>20</v>
      </c>
      <c r="C5081" s="2" t="s">
        <v>53</v>
      </c>
      <c r="D5081" s="2">
        <v>7.4</v>
      </c>
      <c r="E5081" s="2">
        <v>2010.0</v>
      </c>
      <c r="F5081" s="2" t="s">
        <v>10</v>
      </c>
      <c r="G5081" s="2" t="s">
        <v>10</v>
      </c>
    </row>
    <row r="5082" ht="14.25" customHeight="1">
      <c r="A5082" s="1" t="s">
        <v>4342</v>
      </c>
      <c r="B5082" s="1" t="s">
        <v>8</v>
      </c>
      <c r="C5082" s="2" t="s">
        <v>284</v>
      </c>
      <c r="D5082" s="2">
        <v>7.4</v>
      </c>
      <c r="E5082" s="2">
        <v>2024.0</v>
      </c>
      <c r="F5082" s="2" t="s">
        <v>10</v>
      </c>
      <c r="G5082" s="2" t="s">
        <v>10</v>
      </c>
    </row>
    <row r="5083" ht="14.25" customHeight="1">
      <c r="A5083" s="1" t="s">
        <v>4343</v>
      </c>
      <c r="B5083" s="1" t="s">
        <v>8</v>
      </c>
      <c r="C5083" s="2" t="s">
        <v>1444</v>
      </c>
      <c r="D5083" s="2">
        <v>7.4</v>
      </c>
      <c r="E5083" s="2">
        <v>1984.0</v>
      </c>
      <c r="F5083" s="2" t="s">
        <v>10</v>
      </c>
      <c r="G5083" s="2" t="s">
        <v>10</v>
      </c>
    </row>
    <row r="5084" ht="14.25" customHeight="1">
      <c r="A5084" s="1" t="s">
        <v>4344</v>
      </c>
      <c r="B5084" s="1" t="s">
        <v>20</v>
      </c>
      <c r="C5084" s="2" t="s">
        <v>18</v>
      </c>
      <c r="D5084" s="2">
        <v>7.4</v>
      </c>
      <c r="E5084" s="2">
        <v>1997.0</v>
      </c>
      <c r="F5084" s="2" t="s">
        <v>10</v>
      </c>
      <c r="G5084" s="2" t="s">
        <v>10</v>
      </c>
    </row>
    <row r="5085" ht="14.25" customHeight="1">
      <c r="A5085" s="1" t="s">
        <v>4345</v>
      </c>
      <c r="B5085" s="1" t="s">
        <v>20</v>
      </c>
      <c r="C5085" s="2" t="s">
        <v>32</v>
      </c>
      <c r="D5085" s="2">
        <v>7.4</v>
      </c>
      <c r="E5085" s="2">
        <v>1987.0</v>
      </c>
      <c r="F5085" s="2" t="s">
        <v>10</v>
      </c>
      <c r="G5085" s="2" t="s">
        <v>10</v>
      </c>
    </row>
    <row r="5086" ht="14.25" customHeight="1">
      <c r="A5086" s="1" t="s">
        <v>4346</v>
      </c>
      <c r="B5086" s="1" t="s">
        <v>20</v>
      </c>
      <c r="C5086" s="2" t="s">
        <v>154</v>
      </c>
      <c r="D5086" s="2">
        <v>7.4</v>
      </c>
      <c r="E5086" s="2">
        <v>1963.0</v>
      </c>
      <c r="F5086" s="2" t="s">
        <v>10</v>
      </c>
      <c r="G5086" s="2" t="s">
        <v>10</v>
      </c>
    </row>
    <row r="5087" ht="14.25" customHeight="1">
      <c r="A5087" s="1" t="s">
        <v>3627</v>
      </c>
      <c r="B5087" s="1" t="s">
        <v>20</v>
      </c>
      <c r="C5087" s="2" t="s">
        <v>597</v>
      </c>
      <c r="D5087" s="2">
        <v>7.4</v>
      </c>
      <c r="E5087" s="2">
        <v>2010.0</v>
      </c>
      <c r="F5087" s="2" t="s">
        <v>10</v>
      </c>
      <c r="G5087" s="2" t="s">
        <v>10</v>
      </c>
    </row>
    <row r="5088" ht="14.25" customHeight="1">
      <c r="A5088" s="1" t="s">
        <v>4347</v>
      </c>
      <c r="B5088" s="1" t="s">
        <v>20</v>
      </c>
      <c r="C5088" s="2" t="s">
        <v>154</v>
      </c>
      <c r="D5088" s="2">
        <v>7.4</v>
      </c>
      <c r="E5088" s="2">
        <v>1992.0</v>
      </c>
      <c r="F5088" s="2">
        <v>1992.0</v>
      </c>
      <c r="G5088" s="2" t="s">
        <v>10</v>
      </c>
    </row>
    <row r="5089" ht="14.25" customHeight="1">
      <c r="A5089" s="1" t="s">
        <v>4348</v>
      </c>
      <c r="B5089" s="1" t="s">
        <v>8</v>
      </c>
      <c r="C5089" s="2" t="s">
        <v>118</v>
      </c>
      <c r="D5089" s="2">
        <v>7.4</v>
      </c>
      <c r="E5089" s="2">
        <v>2007.0</v>
      </c>
      <c r="F5089" s="2" t="s">
        <v>10</v>
      </c>
      <c r="G5089" s="2" t="s">
        <v>10</v>
      </c>
    </row>
    <row r="5090" ht="14.25" customHeight="1">
      <c r="A5090" s="1" t="s">
        <v>4349</v>
      </c>
      <c r="B5090" s="1" t="s">
        <v>20</v>
      </c>
      <c r="C5090" s="2" t="s">
        <v>36</v>
      </c>
      <c r="D5090" s="2">
        <v>7.4</v>
      </c>
      <c r="E5090" s="2">
        <v>2004.0</v>
      </c>
      <c r="F5090" s="2" t="s">
        <v>10</v>
      </c>
      <c r="G5090" s="2" t="s">
        <v>10</v>
      </c>
    </row>
    <row r="5091" ht="14.25" customHeight="1">
      <c r="A5091" s="1" t="s">
        <v>4350</v>
      </c>
      <c r="B5091" s="1" t="s">
        <v>20</v>
      </c>
      <c r="C5091" s="2" t="s">
        <v>527</v>
      </c>
      <c r="D5091" s="2">
        <v>7.4</v>
      </c>
      <c r="E5091" s="2">
        <v>2005.0</v>
      </c>
      <c r="F5091" s="2" t="s">
        <v>10</v>
      </c>
      <c r="G5091" s="2" t="s">
        <v>10</v>
      </c>
    </row>
    <row r="5092" ht="14.25" customHeight="1">
      <c r="A5092" s="1" t="s">
        <v>4351</v>
      </c>
      <c r="B5092" s="1" t="s">
        <v>20</v>
      </c>
      <c r="C5092" s="2" t="s">
        <v>299</v>
      </c>
      <c r="D5092" s="2">
        <v>7.4</v>
      </c>
      <c r="E5092" s="2">
        <v>2024.0</v>
      </c>
      <c r="F5092" s="2" t="s">
        <v>10</v>
      </c>
      <c r="G5092" s="2" t="s">
        <v>10</v>
      </c>
    </row>
    <row r="5093" ht="14.25" customHeight="1">
      <c r="A5093" s="1" t="s">
        <v>4352</v>
      </c>
      <c r="B5093" s="1" t="s">
        <v>8</v>
      </c>
      <c r="C5093" s="2" t="s">
        <v>53</v>
      </c>
      <c r="D5093" s="2">
        <v>7.4</v>
      </c>
      <c r="E5093" s="2">
        <v>2024.0</v>
      </c>
      <c r="F5093" s="2" t="s">
        <v>10</v>
      </c>
      <c r="G5093" s="2" t="s">
        <v>10</v>
      </c>
    </row>
    <row r="5094" ht="14.25" customHeight="1">
      <c r="A5094" s="1" t="s">
        <v>4096</v>
      </c>
      <c r="B5094" s="1" t="s">
        <v>20</v>
      </c>
      <c r="C5094" s="2" t="s">
        <v>63</v>
      </c>
      <c r="D5094" s="2">
        <v>7.4</v>
      </c>
      <c r="E5094" s="2">
        <v>2006.0</v>
      </c>
      <c r="F5094" s="2" t="s">
        <v>10</v>
      </c>
      <c r="G5094" s="2" t="s">
        <v>10</v>
      </c>
    </row>
    <row r="5095" ht="14.25" customHeight="1">
      <c r="A5095" s="1" t="s">
        <v>4353</v>
      </c>
      <c r="B5095" s="1" t="s">
        <v>8</v>
      </c>
      <c r="C5095" s="2" t="s">
        <v>507</v>
      </c>
      <c r="D5095" s="2">
        <v>7.4</v>
      </c>
      <c r="E5095" s="2">
        <v>2000.0</v>
      </c>
      <c r="F5095" s="2" t="s">
        <v>10</v>
      </c>
      <c r="G5095" s="2" t="s">
        <v>10</v>
      </c>
    </row>
    <row r="5096" ht="14.25" customHeight="1">
      <c r="A5096" s="1" t="s">
        <v>4354</v>
      </c>
      <c r="B5096" s="1" t="s">
        <v>20</v>
      </c>
      <c r="C5096" s="2" t="s">
        <v>910</v>
      </c>
      <c r="D5096" s="2">
        <v>7.4</v>
      </c>
      <c r="E5096" s="2">
        <v>2005.0</v>
      </c>
      <c r="F5096" s="2" t="s">
        <v>10</v>
      </c>
      <c r="G5096" s="2" t="s">
        <v>10</v>
      </c>
    </row>
    <row r="5097" ht="14.25" customHeight="1">
      <c r="A5097" s="1" t="s">
        <v>4355</v>
      </c>
      <c r="B5097" s="1" t="s">
        <v>20</v>
      </c>
      <c r="C5097" s="2" t="s">
        <v>299</v>
      </c>
      <c r="D5097" s="2">
        <v>7.4</v>
      </c>
      <c r="E5097" s="2">
        <v>1979.0</v>
      </c>
      <c r="F5097" s="2" t="s">
        <v>10</v>
      </c>
      <c r="G5097" s="2" t="s">
        <v>10</v>
      </c>
    </row>
    <row r="5098" ht="14.25" customHeight="1">
      <c r="A5098" s="1" t="s">
        <v>4356</v>
      </c>
      <c r="B5098" s="1" t="s">
        <v>20</v>
      </c>
      <c r="C5098" s="2" t="s">
        <v>361</v>
      </c>
      <c r="D5098" s="2">
        <v>7.4</v>
      </c>
      <c r="E5098" s="2">
        <v>1998.0</v>
      </c>
      <c r="F5098" s="2" t="s">
        <v>10</v>
      </c>
      <c r="G5098" s="2" t="s">
        <v>10</v>
      </c>
    </row>
    <row r="5099" ht="14.25" customHeight="1">
      <c r="A5099" s="1" t="s">
        <v>4357</v>
      </c>
      <c r="B5099" s="1" t="s">
        <v>20</v>
      </c>
      <c r="C5099" s="2" t="s">
        <v>154</v>
      </c>
      <c r="D5099" s="2">
        <v>7.4</v>
      </c>
      <c r="E5099" s="2">
        <v>1957.0</v>
      </c>
      <c r="F5099" s="2" t="s">
        <v>10</v>
      </c>
      <c r="G5099" s="2" t="s">
        <v>10</v>
      </c>
    </row>
    <row r="5100" ht="14.25" customHeight="1">
      <c r="A5100" s="1" t="s">
        <v>4358</v>
      </c>
      <c r="B5100" s="1" t="s">
        <v>20</v>
      </c>
      <c r="C5100" s="2" t="s">
        <v>187</v>
      </c>
      <c r="D5100" s="2">
        <v>7.4</v>
      </c>
      <c r="E5100" s="2">
        <v>2015.0</v>
      </c>
      <c r="F5100" s="2">
        <v>2015.0</v>
      </c>
      <c r="G5100" s="2" t="s">
        <v>10</v>
      </c>
    </row>
    <row r="5101" ht="14.25" customHeight="1">
      <c r="A5101" s="1" t="s">
        <v>4359</v>
      </c>
      <c r="B5101" s="1" t="s">
        <v>20</v>
      </c>
      <c r="C5101" s="2" t="s">
        <v>4270</v>
      </c>
      <c r="D5101" s="2">
        <v>7.4</v>
      </c>
      <c r="E5101" s="2">
        <v>1996.0</v>
      </c>
      <c r="F5101" s="2" t="s">
        <v>10</v>
      </c>
      <c r="G5101" s="2" t="s">
        <v>10</v>
      </c>
    </row>
    <row r="5102" ht="14.25" customHeight="1">
      <c r="A5102" s="1" t="s">
        <v>4360</v>
      </c>
      <c r="B5102" s="1" t="s">
        <v>20</v>
      </c>
      <c r="C5102" s="2" t="s">
        <v>530</v>
      </c>
      <c r="D5102" s="2">
        <v>7.4</v>
      </c>
      <c r="E5102" s="2">
        <v>2018.0</v>
      </c>
      <c r="F5102" s="2" t="s">
        <v>10</v>
      </c>
      <c r="G5102" s="2" t="s">
        <v>10</v>
      </c>
    </row>
    <row r="5103" ht="14.25" customHeight="1">
      <c r="A5103" s="1" t="s">
        <v>4361</v>
      </c>
      <c r="B5103" s="1" t="s">
        <v>20</v>
      </c>
      <c r="C5103" s="2" t="s">
        <v>154</v>
      </c>
      <c r="D5103" s="2">
        <v>7.4</v>
      </c>
      <c r="E5103" s="2">
        <v>2022.0</v>
      </c>
      <c r="F5103" s="2" t="s">
        <v>10</v>
      </c>
      <c r="G5103" s="2" t="s">
        <v>10</v>
      </c>
    </row>
    <row r="5104" ht="14.25" customHeight="1">
      <c r="A5104" s="1" t="s">
        <v>4362</v>
      </c>
      <c r="B5104" s="1" t="s">
        <v>20</v>
      </c>
      <c r="C5104" s="2" t="s">
        <v>154</v>
      </c>
      <c r="D5104" s="2">
        <v>7.4</v>
      </c>
      <c r="E5104" s="2">
        <v>2004.0</v>
      </c>
      <c r="F5104" s="2" t="s">
        <v>10</v>
      </c>
      <c r="G5104" s="2" t="s">
        <v>10</v>
      </c>
    </row>
    <row r="5105" ht="14.25" customHeight="1">
      <c r="A5105" s="1" t="s">
        <v>4363</v>
      </c>
      <c r="B5105" s="1" t="s">
        <v>20</v>
      </c>
      <c r="C5105" s="2" t="s">
        <v>643</v>
      </c>
      <c r="D5105" s="2">
        <v>7.4</v>
      </c>
      <c r="E5105" s="2">
        <v>1956.0</v>
      </c>
      <c r="F5105" s="2" t="s">
        <v>10</v>
      </c>
      <c r="G5105" s="2" t="s">
        <v>10</v>
      </c>
    </row>
    <row r="5106" ht="14.25" customHeight="1">
      <c r="A5106" s="1" t="s">
        <v>4364</v>
      </c>
      <c r="B5106" s="1" t="s">
        <v>20</v>
      </c>
      <c r="C5106" s="2" t="s">
        <v>25</v>
      </c>
      <c r="D5106" s="2">
        <v>7.4</v>
      </c>
      <c r="E5106" s="2">
        <v>2009.0</v>
      </c>
      <c r="F5106" s="2" t="s">
        <v>10</v>
      </c>
      <c r="G5106" s="2" t="s">
        <v>10</v>
      </c>
    </row>
    <row r="5107" ht="14.25" customHeight="1">
      <c r="A5107" s="1" t="s">
        <v>4365</v>
      </c>
      <c r="B5107" s="1" t="s">
        <v>8</v>
      </c>
      <c r="C5107" s="2" t="s">
        <v>36</v>
      </c>
      <c r="D5107" s="2">
        <v>7.4</v>
      </c>
      <c r="E5107" s="2">
        <v>2023.0</v>
      </c>
      <c r="F5107" s="2" t="s">
        <v>10</v>
      </c>
      <c r="G5107" s="2">
        <v>1.01E7</v>
      </c>
    </row>
    <row r="5108" ht="14.25" customHeight="1">
      <c r="A5108" s="1" t="s">
        <v>4365</v>
      </c>
      <c r="B5108" s="1" t="s">
        <v>8</v>
      </c>
      <c r="C5108" s="2" t="s">
        <v>36</v>
      </c>
      <c r="D5108" s="2">
        <v>7.4</v>
      </c>
      <c r="E5108" s="2">
        <v>2023.0</v>
      </c>
      <c r="F5108" s="2" t="s">
        <v>10</v>
      </c>
      <c r="G5108" s="2">
        <v>1.67E7</v>
      </c>
    </row>
    <row r="5109" ht="14.25" customHeight="1">
      <c r="A5109" s="1" t="s">
        <v>4365</v>
      </c>
      <c r="B5109" s="1" t="s">
        <v>8</v>
      </c>
      <c r="C5109" s="2" t="s">
        <v>36</v>
      </c>
      <c r="D5109" s="2">
        <v>7.4</v>
      </c>
      <c r="E5109" s="2">
        <v>2023.0</v>
      </c>
      <c r="F5109" s="2" t="s">
        <v>10</v>
      </c>
      <c r="G5109" s="2">
        <v>2.78E7</v>
      </c>
    </row>
    <row r="5110" ht="14.25" customHeight="1">
      <c r="A5110" s="1" t="s">
        <v>4365</v>
      </c>
      <c r="B5110" s="1" t="s">
        <v>8</v>
      </c>
      <c r="C5110" s="2" t="s">
        <v>36</v>
      </c>
      <c r="D5110" s="2">
        <v>7.4</v>
      </c>
      <c r="E5110" s="2">
        <v>2023.0</v>
      </c>
      <c r="F5110" s="2" t="s">
        <v>10</v>
      </c>
      <c r="G5110" s="2">
        <v>5.41E7</v>
      </c>
    </row>
    <row r="5111" ht="14.25" customHeight="1">
      <c r="A5111" s="1" t="s">
        <v>4365</v>
      </c>
      <c r="B5111" s="1" t="s">
        <v>8</v>
      </c>
      <c r="C5111" s="2" t="s">
        <v>36</v>
      </c>
      <c r="D5111" s="2">
        <v>7.4</v>
      </c>
      <c r="E5111" s="2">
        <v>2023.0</v>
      </c>
      <c r="F5111" s="2" t="s">
        <v>10</v>
      </c>
      <c r="G5111" s="2">
        <v>3.59E7</v>
      </c>
    </row>
    <row r="5112" ht="14.25" customHeight="1">
      <c r="A5112" s="1" t="s">
        <v>4366</v>
      </c>
      <c r="B5112" s="1" t="s">
        <v>20</v>
      </c>
      <c r="C5112" s="2" t="s">
        <v>154</v>
      </c>
      <c r="D5112" s="2">
        <v>7.4</v>
      </c>
      <c r="E5112" s="2">
        <v>2009.0</v>
      </c>
      <c r="F5112" s="2" t="s">
        <v>10</v>
      </c>
      <c r="G5112" s="2" t="s">
        <v>10</v>
      </c>
    </row>
    <row r="5113" ht="14.25" customHeight="1">
      <c r="A5113" s="1" t="s">
        <v>4367</v>
      </c>
      <c r="B5113" s="1" t="s">
        <v>20</v>
      </c>
      <c r="C5113" s="2" t="s">
        <v>18</v>
      </c>
      <c r="D5113" s="2">
        <v>7.4</v>
      </c>
      <c r="E5113" s="2">
        <v>2020.0</v>
      </c>
      <c r="F5113" s="2" t="s">
        <v>10</v>
      </c>
      <c r="G5113" s="2" t="s">
        <v>10</v>
      </c>
    </row>
    <row r="5114" ht="14.25" customHeight="1">
      <c r="A5114" s="1" t="s">
        <v>4368</v>
      </c>
      <c r="B5114" s="1" t="s">
        <v>20</v>
      </c>
      <c r="C5114" s="2" t="s">
        <v>1142</v>
      </c>
      <c r="D5114" s="2">
        <v>7.4</v>
      </c>
      <c r="E5114" s="2">
        <v>2008.0</v>
      </c>
      <c r="F5114" s="2" t="s">
        <v>10</v>
      </c>
      <c r="G5114" s="2" t="s">
        <v>10</v>
      </c>
    </row>
    <row r="5115" ht="14.25" customHeight="1">
      <c r="A5115" s="1" t="s">
        <v>4369</v>
      </c>
      <c r="B5115" s="1" t="s">
        <v>20</v>
      </c>
      <c r="C5115" s="2" t="s">
        <v>63</v>
      </c>
      <c r="D5115" s="2">
        <v>7.4</v>
      </c>
      <c r="E5115" s="2">
        <v>2010.0</v>
      </c>
      <c r="F5115" s="2" t="s">
        <v>10</v>
      </c>
      <c r="G5115" s="2" t="s">
        <v>10</v>
      </c>
    </row>
    <row r="5116" ht="14.25" customHeight="1">
      <c r="A5116" s="1" t="s">
        <v>4370</v>
      </c>
      <c r="B5116" s="1" t="s">
        <v>20</v>
      </c>
      <c r="C5116" s="2" t="s">
        <v>32</v>
      </c>
      <c r="D5116" s="2">
        <v>7.4</v>
      </c>
      <c r="E5116" s="2">
        <v>1996.0</v>
      </c>
      <c r="F5116" s="2" t="s">
        <v>10</v>
      </c>
      <c r="G5116" s="2" t="s">
        <v>10</v>
      </c>
    </row>
    <row r="5117" ht="14.25" customHeight="1">
      <c r="A5117" s="1" t="s">
        <v>4371</v>
      </c>
      <c r="B5117" s="1" t="s">
        <v>8</v>
      </c>
      <c r="C5117" s="2" t="s">
        <v>1060</v>
      </c>
      <c r="D5117" s="2">
        <v>7.4</v>
      </c>
      <c r="E5117" s="2">
        <v>2006.0</v>
      </c>
      <c r="F5117" s="2" t="s">
        <v>10</v>
      </c>
      <c r="G5117" s="2" t="s">
        <v>10</v>
      </c>
    </row>
    <row r="5118" ht="14.25" customHeight="1">
      <c r="A5118" s="1" t="s">
        <v>4372</v>
      </c>
      <c r="B5118" s="1" t="s">
        <v>20</v>
      </c>
      <c r="C5118" s="2" t="s">
        <v>187</v>
      </c>
      <c r="D5118" s="2">
        <v>7.4</v>
      </c>
      <c r="E5118" s="2">
        <v>2023.0</v>
      </c>
      <c r="F5118" s="2" t="s">
        <v>10</v>
      </c>
      <c r="G5118" s="2" t="s">
        <v>10</v>
      </c>
    </row>
    <row r="5119" ht="14.25" customHeight="1">
      <c r="A5119" s="1" t="s">
        <v>4373</v>
      </c>
      <c r="B5119" s="1" t="s">
        <v>20</v>
      </c>
      <c r="C5119" s="2" t="s">
        <v>825</v>
      </c>
      <c r="D5119" s="2">
        <v>7.4</v>
      </c>
      <c r="E5119" s="2">
        <v>2002.0</v>
      </c>
      <c r="F5119" s="2" t="s">
        <v>10</v>
      </c>
      <c r="G5119" s="2" t="s">
        <v>10</v>
      </c>
    </row>
    <row r="5120" ht="14.25" customHeight="1">
      <c r="A5120" s="1" t="s">
        <v>4374</v>
      </c>
      <c r="B5120" s="1" t="s">
        <v>20</v>
      </c>
      <c r="C5120" s="2" t="s">
        <v>169</v>
      </c>
      <c r="D5120" s="2">
        <v>7.4</v>
      </c>
      <c r="E5120" s="2">
        <v>2014.0</v>
      </c>
      <c r="F5120" s="2" t="s">
        <v>10</v>
      </c>
      <c r="G5120" s="2" t="s">
        <v>10</v>
      </c>
    </row>
    <row r="5121" ht="14.25" customHeight="1">
      <c r="A5121" s="1" t="s">
        <v>3634</v>
      </c>
      <c r="B5121" s="1" t="s">
        <v>8</v>
      </c>
      <c r="C5121" s="2" t="s">
        <v>92</v>
      </c>
      <c r="D5121" s="2">
        <v>7.4</v>
      </c>
      <c r="E5121" s="2">
        <v>2022.0</v>
      </c>
      <c r="F5121" s="2" t="s">
        <v>10</v>
      </c>
      <c r="G5121" s="2" t="s">
        <v>10</v>
      </c>
    </row>
    <row r="5122" ht="14.25" customHeight="1">
      <c r="A5122" s="1" t="s">
        <v>4375</v>
      </c>
      <c r="B5122" s="1" t="s">
        <v>8</v>
      </c>
      <c r="C5122" s="2" t="s">
        <v>36</v>
      </c>
      <c r="D5122" s="2">
        <v>7.4</v>
      </c>
      <c r="E5122" s="2">
        <v>2003.0</v>
      </c>
      <c r="F5122" s="2" t="s">
        <v>10</v>
      </c>
      <c r="G5122" s="2" t="s">
        <v>10</v>
      </c>
    </row>
    <row r="5123" ht="14.25" customHeight="1">
      <c r="A5123" s="1" t="s">
        <v>4376</v>
      </c>
      <c r="B5123" s="1" t="s">
        <v>20</v>
      </c>
      <c r="C5123" s="2" t="s">
        <v>4377</v>
      </c>
      <c r="D5123" s="2">
        <v>7.4</v>
      </c>
      <c r="E5123" s="2">
        <v>1973.0</v>
      </c>
      <c r="F5123" s="2" t="s">
        <v>10</v>
      </c>
      <c r="G5123" s="2" t="s">
        <v>10</v>
      </c>
    </row>
    <row r="5124" ht="14.25" customHeight="1">
      <c r="A5124" s="1" t="s">
        <v>4378</v>
      </c>
      <c r="B5124" s="1" t="s">
        <v>20</v>
      </c>
      <c r="C5124" s="2" t="s">
        <v>60</v>
      </c>
      <c r="D5124" s="2">
        <v>7.4</v>
      </c>
      <c r="E5124" s="2">
        <v>2019.0</v>
      </c>
      <c r="F5124" s="2" t="s">
        <v>10</v>
      </c>
      <c r="G5124" s="2">
        <v>5350000.0</v>
      </c>
    </row>
    <row r="5125" ht="14.25" customHeight="1">
      <c r="A5125" s="1" t="s">
        <v>4378</v>
      </c>
      <c r="B5125" s="1" t="s">
        <v>20</v>
      </c>
      <c r="C5125" s="2" t="s">
        <v>60</v>
      </c>
      <c r="D5125" s="2">
        <v>7.4</v>
      </c>
      <c r="E5125" s="2">
        <v>2019.0</v>
      </c>
      <c r="F5125" s="2" t="s">
        <v>10</v>
      </c>
      <c r="G5125" s="2">
        <v>5780000.0</v>
      </c>
    </row>
    <row r="5126" ht="14.25" customHeight="1">
      <c r="A5126" s="1" t="s">
        <v>4379</v>
      </c>
      <c r="B5126" s="1" t="s">
        <v>20</v>
      </c>
      <c r="C5126" s="2" t="s">
        <v>184</v>
      </c>
      <c r="D5126" s="2">
        <v>7.4</v>
      </c>
      <c r="E5126" s="2">
        <v>1977.0</v>
      </c>
      <c r="F5126" s="2" t="s">
        <v>10</v>
      </c>
      <c r="G5126" s="2" t="s">
        <v>10</v>
      </c>
    </row>
    <row r="5127" ht="14.25" customHeight="1">
      <c r="A5127" s="1" t="s">
        <v>4380</v>
      </c>
      <c r="B5127" s="1" t="s">
        <v>20</v>
      </c>
      <c r="C5127" s="2" t="s">
        <v>34</v>
      </c>
      <c r="D5127" s="2">
        <v>7.4</v>
      </c>
      <c r="E5127" s="2">
        <v>2012.0</v>
      </c>
      <c r="F5127" s="2" t="s">
        <v>10</v>
      </c>
      <c r="G5127" s="2" t="s">
        <v>10</v>
      </c>
    </row>
    <row r="5128" ht="14.25" customHeight="1">
      <c r="A5128" s="1" t="s">
        <v>4381</v>
      </c>
      <c r="B5128" s="1" t="s">
        <v>20</v>
      </c>
      <c r="C5128" s="2" t="s">
        <v>1240</v>
      </c>
      <c r="D5128" s="2">
        <v>7.4</v>
      </c>
      <c r="E5128" s="2">
        <v>2019.0</v>
      </c>
      <c r="F5128" s="2" t="s">
        <v>10</v>
      </c>
      <c r="G5128" s="2" t="s">
        <v>10</v>
      </c>
    </row>
    <row r="5129" ht="14.25" customHeight="1">
      <c r="A5129" s="1" t="s">
        <v>4382</v>
      </c>
      <c r="B5129" s="1" t="s">
        <v>8</v>
      </c>
      <c r="C5129" s="2" t="s">
        <v>53</v>
      </c>
      <c r="D5129" s="2">
        <v>7.4</v>
      </c>
      <c r="E5129" s="2">
        <v>2021.0</v>
      </c>
      <c r="F5129" s="2" t="s">
        <v>10</v>
      </c>
      <c r="G5129" s="2" t="s">
        <v>10</v>
      </c>
    </row>
    <row r="5130" ht="14.25" customHeight="1">
      <c r="A5130" s="1" t="s">
        <v>4383</v>
      </c>
      <c r="B5130" s="1" t="s">
        <v>20</v>
      </c>
      <c r="C5130" s="2" t="s">
        <v>12</v>
      </c>
      <c r="D5130" s="2">
        <v>7.4</v>
      </c>
      <c r="E5130" s="2">
        <v>2006.0</v>
      </c>
      <c r="F5130" s="2" t="s">
        <v>10</v>
      </c>
      <c r="G5130" s="2" t="s">
        <v>10</v>
      </c>
    </row>
    <row r="5131" ht="14.25" customHeight="1">
      <c r="A5131" s="1" t="s">
        <v>4384</v>
      </c>
      <c r="B5131" s="1" t="s">
        <v>20</v>
      </c>
      <c r="C5131" s="2" t="s">
        <v>18</v>
      </c>
      <c r="D5131" s="2">
        <v>7.4</v>
      </c>
      <c r="E5131" s="2">
        <v>2011.0</v>
      </c>
      <c r="F5131" s="2" t="s">
        <v>10</v>
      </c>
      <c r="G5131" s="2" t="s">
        <v>10</v>
      </c>
    </row>
    <row r="5132" ht="14.25" customHeight="1">
      <c r="A5132" s="1" t="s">
        <v>4385</v>
      </c>
      <c r="B5132" s="1" t="s">
        <v>20</v>
      </c>
      <c r="C5132" s="2" t="s">
        <v>18</v>
      </c>
      <c r="D5132" s="2">
        <v>7.4</v>
      </c>
      <c r="E5132" s="2">
        <v>2012.0</v>
      </c>
      <c r="F5132" s="2" t="s">
        <v>10</v>
      </c>
      <c r="G5132" s="2" t="s">
        <v>10</v>
      </c>
    </row>
    <row r="5133" ht="14.25" customHeight="1">
      <c r="A5133" s="1" t="s">
        <v>4386</v>
      </c>
      <c r="B5133" s="1" t="s">
        <v>20</v>
      </c>
      <c r="C5133" s="2" t="s">
        <v>12</v>
      </c>
      <c r="D5133" s="2">
        <v>7.4</v>
      </c>
      <c r="E5133" s="2">
        <v>2006.0</v>
      </c>
      <c r="F5133" s="2" t="s">
        <v>10</v>
      </c>
      <c r="G5133" s="2" t="s">
        <v>10</v>
      </c>
    </row>
    <row r="5134" ht="14.25" customHeight="1">
      <c r="A5134" s="1" t="s">
        <v>4387</v>
      </c>
      <c r="B5134" s="1" t="s">
        <v>20</v>
      </c>
      <c r="C5134" s="2" t="s">
        <v>187</v>
      </c>
      <c r="D5134" s="2">
        <v>7.4</v>
      </c>
      <c r="E5134" s="2">
        <v>2008.0</v>
      </c>
      <c r="F5134" s="2">
        <v>2008.0</v>
      </c>
      <c r="G5134" s="2" t="s">
        <v>10</v>
      </c>
    </row>
    <row r="5135" ht="14.25" customHeight="1">
      <c r="A5135" s="1" t="s">
        <v>4388</v>
      </c>
      <c r="B5135" s="1" t="s">
        <v>20</v>
      </c>
      <c r="C5135" s="2" t="s">
        <v>55</v>
      </c>
      <c r="D5135" s="2">
        <v>7.4</v>
      </c>
      <c r="E5135" s="2">
        <v>1968.0</v>
      </c>
      <c r="F5135" s="2" t="s">
        <v>10</v>
      </c>
      <c r="G5135" s="2" t="s">
        <v>10</v>
      </c>
    </row>
    <row r="5136" ht="14.25" customHeight="1">
      <c r="A5136" s="1" t="s">
        <v>4389</v>
      </c>
      <c r="B5136" s="1" t="s">
        <v>8</v>
      </c>
      <c r="C5136" s="2" t="s">
        <v>287</v>
      </c>
      <c r="D5136" s="2">
        <v>7.4</v>
      </c>
      <c r="E5136" s="2">
        <v>2021.0</v>
      </c>
      <c r="F5136" s="2" t="s">
        <v>10</v>
      </c>
      <c r="G5136" s="2" t="s">
        <v>10</v>
      </c>
    </row>
    <row r="5137" ht="14.25" customHeight="1">
      <c r="A5137" s="1" t="s">
        <v>4390</v>
      </c>
      <c r="B5137" s="1" t="s">
        <v>20</v>
      </c>
      <c r="C5137" s="2" t="s">
        <v>3639</v>
      </c>
      <c r="D5137" s="2">
        <v>7.4</v>
      </c>
      <c r="E5137" s="2">
        <v>1956.0</v>
      </c>
      <c r="F5137" s="2" t="s">
        <v>10</v>
      </c>
      <c r="G5137" s="2" t="s">
        <v>10</v>
      </c>
    </row>
    <row r="5138" ht="14.25" customHeight="1">
      <c r="A5138" s="1" t="s">
        <v>4391</v>
      </c>
      <c r="B5138" s="1" t="s">
        <v>8</v>
      </c>
      <c r="C5138" s="2" t="s">
        <v>455</v>
      </c>
      <c r="D5138" s="2">
        <v>7.4</v>
      </c>
      <c r="E5138" s="2">
        <v>2019.0</v>
      </c>
      <c r="F5138" s="2" t="s">
        <v>10</v>
      </c>
      <c r="G5138" s="2" t="s">
        <v>10</v>
      </c>
    </row>
    <row r="5139" ht="14.25" customHeight="1">
      <c r="A5139" s="1" t="s">
        <v>4392</v>
      </c>
      <c r="B5139" s="1" t="s">
        <v>8</v>
      </c>
      <c r="C5139" s="2" t="s">
        <v>468</v>
      </c>
      <c r="D5139" s="2">
        <v>7.4</v>
      </c>
      <c r="E5139" s="2">
        <v>2018.0</v>
      </c>
      <c r="F5139" s="2" t="s">
        <v>10</v>
      </c>
      <c r="G5139" s="2" t="s">
        <v>10</v>
      </c>
    </row>
    <row r="5140" ht="14.25" customHeight="1">
      <c r="A5140" s="1" t="s">
        <v>4393</v>
      </c>
      <c r="B5140" s="1" t="s">
        <v>8</v>
      </c>
      <c r="C5140" s="2" t="s">
        <v>34</v>
      </c>
      <c r="D5140" s="2">
        <v>7.4</v>
      </c>
      <c r="E5140" s="2">
        <v>2023.0</v>
      </c>
      <c r="F5140" s="2" t="s">
        <v>10</v>
      </c>
      <c r="G5140" s="2">
        <v>1.537E7</v>
      </c>
    </row>
    <row r="5141" ht="14.25" customHeight="1">
      <c r="A5141" s="1" t="s">
        <v>4393</v>
      </c>
      <c r="B5141" s="1" t="s">
        <v>8</v>
      </c>
      <c r="C5141" s="2" t="s">
        <v>34</v>
      </c>
      <c r="D5141" s="2">
        <v>7.4</v>
      </c>
      <c r="E5141" s="2">
        <v>2023.0</v>
      </c>
      <c r="F5141" s="2" t="s">
        <v>10</v>
      </c>
      <c r="G5141" s="2">
        <v>3.942E7</v>
      </c>
    </row>
    <row r="5142" ht="14.25" customHeight="1">
      <c r="A5142" s="1" t="s">
        <v>4393</v>
      </c>
      <c r="B5142" s="1" t="s">
        <v>8</v>
      </c>
      <c r="C5142" s="2" t="s">
        <v>34</v>
      </c>
      <c r="D5142" s="2">
        <v>7.4</v>
      </c>
      <c r="E5142" s="2">
        <v>2023.0</v>
      </c>
      <c r="F5142" s="2" t="s">
        <v>10</v>
      </c>
      <c r="G5142" s="2">
        <v>2.512E7</v>
      </c>
    </row>
    <row r="5143" ht="14.25" customHeight="1">
      <c r="A5143" s="1" t="s">
        <v>4394</v>
      </c>
      <c r="B5143" s="1" t="s">
        <v>8</v>
      </c>
      <c r="C5143" s="2" t="s">
        <v>476</v>
      </c>
      <c r="D5143" s="2">
        <v>7.4</v>
      </c>
      <c r="E5143" s="2">
        <v>2009.0</v>
      </c>
      <c r="F5143" s="2" t="s">
        <v>10</v>
      </c>
      <c r="G5143" s="2" t="s">
        <v>10</v>
      </c>
    </row>
    <row r="5144" ht="14.25" customHeight="1">
      <c r="A5144" s="1" t="s">
        <v>4395</v>
      </c>
      <c r="B5144" s="1" t="s">
        <v>20</v>
      </c>
      <c r="C5144" s="2" t="s">
        <v>184</v>
      </c>
      <c r="D5144" s="2">
        <v>7.4</v>
      </c>
      <c r="E5144" s="2">
        <v>1977.0</v>
      </c>
      <c r="F5144" s="2" t="s">
        <v>10</v>
      </c>
      <c r="G5144" s="2" t="s">
        <v>10</v>
      </c>
    </row>
    <row r="5145" ht="14.25" customHeight="1">
      <c r="A5145" s="1" t="s">
        <v>4396</v>
      </c>
      <c r="B5145" s="1" t="s">
        <v>20</v>
      </c>
      <c r="C5145" s="2" t="s">
        <v>32</v>
      </c>
      <c r="D5145" s="2">
        <v>7.4</v>
      </c>
      <c r="E5145" s="2">
        <v>1984.0</v>
      </c>
      <c r="F5145" s="2" t="s">
        <v>10</v>
      </c>
      <c r="G5145" s="2" t="s">
        <v>10</v>
      </c>
    </row>
    <row r="5146" ht="14.25" customHeight="1">
      <c r="A5146" s="1" t="s">
        <v>4397</v>
      </c>
      <c r="B5146" s="1" t="s">
        <v>8</v>
      </c>
      <c r="C5146" s="2" t="s">
        <v>53</v>
      </c>
      <c r="D5146" s="2">
        <v>7.4</v>
      </c>
      <c r="E5146" s="2">
        <v>2019.0</v>
      </c>
      <c r="F5146" s="2">
        <v>2019.0</v>
      </c>
      <c r="G5146" s="2" t="s">
        <v>10</v>
      </c>
    </row>
    <row r="5147" ht="14.25" customHeight="1">
      <c r="A5147" s="1" t="s">
        <v>4398</v>
      </c>
      <c r="B5147" s="1" t="s">
        <v>8</v>
      </c>
      <c r="C5147" s="2" t="s">
        <v>63</v>
      </c>
      <c r="D5147" s="2">
        <v>7.4</v>
      </c>
      <c r="E5147" s="2">
        <v>2012.0</v>
      </c>
      <c r="F5147" s="2" t="s">
        <v>10</v>
      </c>
      <c r="G5147" s="2" t="s">
        <v>10</v>
      </c>
    </row>
    <row r="5148" ht="14.25" customHeight="1">
      <c r="A5148" s="1" t="s">
        <v>4399</v>
      </c>
      <c r="B5148" s="1" t="s">
        <v>20</v>
      </c>
      <c r="C5148" s="2" t="s">
        <v>311</v>
      </c>
      <c r="D5148" s="2">
        <v>7.4</v>
      </c>
      <c r="E5148" s="2">
        <v>1994.0</v>
      </c>
      <c r="F5148" s="2" t="s">
        <v>10</v>
      </c>
      <c r="G5148" s="2" t="s">
        <v>10</v>
      </c>
    </row>
    <row r="5149" ht="14.25" customHeight="1">
      <c r="A5149" s="1" t="s">
        <v>4400</v>
      </c>
      <c r="B5149" s="1" t="s">
        <v>20</v>
      </c>
      <c r="C5149" s="2" t="s">
        <v>44</v>
      </c>
      <c r="D5149" s="2">
        <v>7.4</v>
      </c>
      <c r="E5149" s="2">
        <v>2012.0</v>
      </c>
      <c r="F5149" s="2" t="s">
        <v>10</v>
      </c>
      <c r="G5149" s="2" t="s">
        <v>10</v>
      </c>
    </row>
    <row r="5150" ht="14.25" customHeight="1">
      <c r="A5150" s="1" t="s">
        <v>4401</v>
      </c>
      <c r="B5150" s="1" t="s">
        <v>20</v>
      </c>
      <c r="C5150" s="2" t="s">
        <v>184</v>
      </c>
      <c r="D5150" s="2">
        <v>7.4</v>
      </c>
      <c r="E5150" s="2">
        <v>1979.0</v>
      </c>
      <c r="F5150" s="2" t="s">
        <v>10</v>
      </c>
      <c r="G5150" s="2" t="s">
        <v>10</v>
      </c>
    </row>
    <row r="5151" ht="14.25" customHeight="1">
      <c r="A5151" s="1" t="s">
        <v>4402</v>
      </c>
      <c r="B5151" s="1" t="s">
        <v>20</v>
      </c>
      <c r="C5151" s="2" t="s">
        <v>69</v>
      </c>
      <c r="D5151" s="2">
        <v>7.4</v>
      </c>
      <c r="E5151" s="2">
        <v>2015.0</v>
      </c>
      <c r="F5151" s="2" t="s">
        <v>10</v>
      </c>
      <c r="G5151" s="2" t="s">
        <v>10</v>
      </c>
    </row>
    <row r="5152" ht="14.25" customHeight="1">
      <c r="A5152" s="1" t="s">
        <v>4403</v>
      </c>
      <c r="B5152" s="1" t="s">
        <v>20</v>
      </c>
      <c r="C5152" s="2" t="s">
        <v>192</v>
      </c>
      <c r="D5152" s="2">
        <v>7.4</v>
      </c>
      <c r="E5152" s="2">
        <v>1990.0</v>
      </c>
      <c r="F5152" s="2" t="s">
        <v>10</v>
      </c>
      <c r="G5152" s="2" t="s">
        <v>10</v>
      </c>
    </row>
    <row r="5153" ht="14.25" customHeight="1">
      <c r="A5153" s="1" t="s">
        <v>4404</v>
      </c>
      <c r="B5153" s="1" t="s">
        <v>20</v>
      </c>
      <c r="C5153" s="2" t="s">
        <v>69</v>
      </c>
      <c r="D5153" s="2">
        <v>7.4</v>
      </c>
      <c r="E5153" s="2">
        <v>1986.0</v>
      </c>
      <c r="F5153" s="2" t="s">
        <v>10</v>
      </c>
      <c r="G5153" s="2" t="s">
        <v>10</v>
      </c>
    </row>
    <row r="5154" ht="14.25" customHeight="1">
      <c r="A5154" s="1" t="s">
        <v>4405</v>
      </c>
      <c r="B5154" s="1" t="s">
        <v>20</v>
      </c>
      <c r="C5154" s="2" t="s">
        <v>505</v>
      </c>
      <c r="D5154" s="2">
        <v>7.4</v>
      </c>
      <c r="E5154" s="2">
        <v>2021.0</v>
      </c>
      <c r="F5154" s="2">
        <v>2021.0</v>
      </c>
      <c r="G5154" s="2">
        <v>8040000.0</v>
      </c>
    </row>
    <row r="5155" ht="14.25" customHeight="1">
      <c r="A5155" s="1" t="s">
        <v>4405</v>
      </c>
      <c r="B5155" s="1" t="s">
        <v>20</v>
      </c>
      <c r="C5155" s="2" t="s">
        <v>505</v>
      </c>
      <c r="D5155" s="2">
        <v>7.4</v>
      </c>
      <c r="E5155" s="2">
        <v>2021.0</v>
      </c>
      <c r="F5155" s="2">
        <v>2021.0</v>
      </c>
      <c r="G5155" s="2">
        <v>1.729E7</v>
      </c>
    </row>
    <row r="5156" ht="14.25" customHeight="1">
      <c r="A5156" s="1" t="s">
        <v>4406</v>
      </c>
      <c r="B5156" s="1" t="s">
        <v>20</v>
      </c>
      <c r="C5156" s="2" t="s">
        <v>154</v>
      </c>
      <c r="D5156" s="2">
        <v>7.4</v>
      </c>
      <c r="E5156" s="2">
        <v>2003.0</v>
      </c>
      <c r="F5156" s="2" t="s">
        <v>10</v>
      </c>
      <c r="G5156" s="2" t="s">
        <v>10</v>
      </c>
    </row>
    <row r="5157" ht="14.25" customHeight="1">
      <c r="A5157" s="1" t="s">
        <v>4407</v>
      </c>
      <c r="B5157" s="1" t="s">
        <v>20</v>
      </c>
      <c r="C5157" s="2" t="s">
        <v>154</v>
      </c>
      <c r="D5157" s="2">
        <v>7.4</v>
      </c>
      <c r="E5157" s="2">
        <v>2011.0</v>
      </c>
      <c r="F5157" s="2" t="s">
        <v>10</v>
      </c>
      <c r="G5157" s="2" t="s">
        <v>10</v>
      </c>
    </row>
    <row r="5158" ht="14.25" customHeight="1">
      <c r="A5158" s="1" t="s">
        <v>4408</v>
      </c>
      <c r="B5158" s="1" t="s">
        <v>20</v>
      </c>
      <c r="C5158" s="2" t="s">
        <v>80</v>
      </c>
      <c r="D5158" s="2">
        <v>7.4</v>
      </c>
      <c r="E5158" s="2">
        <v>2006.0</v>
      </c>
      <c r="F5158" s="2" t="s">
        <v>10</v>
      </c>
      <c r="G5158" s="2" t="s">
        <v>10</v>
      </c>
    </row>
    <row r="5159" ht="14.25" customHeight="1">
      <c r="A5159" s="1" t="s">
        <v>4409</v>
      </c>
      <c r="B5159" s="1" t="s">
        <v>20</v>
      </c>
      <c r="C5159" s="2" t="s">
        <v>910</v>
      </c>
      <c r="D5159" s="2">
        <v>7.4</v>
      </c>
      <c r="E5159" s="2">
        <v>2022.0</v>
      </c>
      <c r="F5159" s="2" t="s">
        <v>10</v>
      </c>
      <c r="G5159" s="2" t="s">
        <v>10</v>
      </c>
    </row>
    <row r="5160" ht="14.25" customHeight="1">
      <c r="A5160" s="1" t="s">
        <v>4410</v>
      </c>
      <c r="B5160" s="1" t="s">
        <v>20</v>
      </c>
      <c r="C5160" s="2" t="s">
        <v>2758</v>
      </c>
      <c r="D5160" s="2">
        <v>7.4</v>
      </c>
      <c r="E5160" s="2">
        <v>1970.0</v>
      </c>
      <c r="F5160" s="2" t="s">
        <v>10</v>
      </c>
      <c r="G5160" s="2" t="s">
        <v>10</v>
      </c>
    </row>
    <row r="5161" ht="14.25" customHeight="1">
      <c r="A5161" s="1" t="s">
        <v>4411</v>
      </c>
      <c r="B5161" s="1" t="s">
        <v>20</v>
      </c>
      <c r="C5161" s="2" t="s">
        <v>742</v>
      </c>
      <c r="D5161" s="2">
        <v>7.4</v>
      </c>
      <c r="E5161" s="2">
        <v>1968.0</v>
      </c>
      <c r="F5161" s="2" t="s">
        <v>10</v>
      </c>
      <c r="G5161" s="2" t="s">
        <v>10</v>
      </c>
    </row>
    <row r="5162" ht="14.25" customHeight="1">
      <c r="A5162" s="1" t="s">
        <v>4412</v>
      </c>
      <c r="B5162" s="1" t="s">
        <v>20</v>
      </c>
      <c r="C5162" s="2" t="s">
        <v>2186</v>
      </c>
      <c r="D5162" s="2">
        <v>7.4</v>
      </c>
      <c r="E5162" s="2">
        <v>2020.0</v>
      </c>
      <c r="F5162" s="2">
        <v>2020.0</v>
      </c>
      <c r="G5162" s="2" t="s">
        <v>10</v>
      </c>
    </row>
    <row r="5163" ht="14.25" customHeight="1">
      <c r="A5163" s="1" t="s">
        <v>4413</v>
      </c>
      <c r="B5163" s="1" t="s">
        <v>20</v>
      </c>
      <c r="C5163" s="2" t="s">
        <v>36</v>
      </c>
      <c r="D5163" s="2">
        <v>7.4</v>
      </c>
      <c r="E5163" s="2">
        <v>1968.0</v>
      </c>
      <c r="F5163" s="2" t="s">
        <v>10</v>
      </c>
      <c r="G5163" s="2" t="s">
        <v>10</v>
      </c>
    </row>
    <row r="5164" ht="14.25" customHeight="1">
      <c r="A5164" s="1" t="s">
        <v>4414</v>
      </c>
      <c r="B5164" s="1" t="s">
        <v>8</v>
      </c>
      <c r="C5164" s="2" t="s">
        <v>287</v>
      </c>
      <c r="D5164" s="2">
        <v>7.4</v>
      </c>
      <c r="E5164" s="2">
        <v>2016.0</v>
      </c>
      <c r="F5164" s="2">
        <v>2020.0</v>
      </c>
      <c r="G5164" s="2" t="s">
        <v>10</v>
      </c>
    </row>
    <row r="5165" ht="14.25" customHeight="1">
      <c r="A5165" s="1" t="s">
        <v>4415</v>
      </c>
      <c r="B5165" s="1" t="s">
        <v>20</v>
      </c>
      <c r="C5165" s="2" t="s">
        <v>1444</v>
      </c>
      <c r="D5165" s="2">
        <v>7.4</v>
      </c>
      <c r="E5165" s="2">
        <v>2005.0</v>
      </c>
      <c r="F5165" s="2" t="s">
        <v>10</v>
      </c>
      <c r="G5165" s="2" t="s">
        <v>10</v>
      </c>
    </row>
    <row r="5166" ht="14.25" customHeight="1">
      <c r="A5166" s="1" t="s">
        <v>4416</v>
      </c>
      <c r="B5166" s="1" t="s">
        <v>20</v>
      </c>
      <c r="C5166" s="2" t="s">
        <v>187</v>
      </c>
      <c r="D5166" s="2">
        <v>7.4</v>
      </c>
      <c r="E5166" s="2">
        <v>2000.0</v>
      </c>
      <c r="F5166" s="2">
        <v>2009.0</v>
      </c>
      <c r="G5166" s="2" t="s">
        <v>10</v>
      </c>
    </row>
    <row r="5167" ht="14.25" customHeight="1">
      <c r="A5167" s="1" t="s">
        <v>4417</v>
      </c>
      <c r="B5167" s="1" t="s">
        <v>20</v>
      </c>
      <c r="C5167" s="2" t="s">
        <v>87</v>
      </c>
      <c r="D5167" s="2">
        <v>7.4</v>
      </c>
      <c r="E5167" s="2">
        <v>2010.0</v>
      </c>
      <c r="F5167" s="2" t="s">
        <v>10</v>
      </c>
      <c r="G5167" s="2" t="s">
        <v>10</v>
      </c>
    </row>
    <row r="5168" ht="14.25" customHeight="1">
      <c r="A5168" s="1" t="s">
        <v>4418</v>
      </c>
      <c r="B5168" s="1" t="s">
        <v>8</v>
      </c>
      <c r="C5168" s="2" t="s">
        <v>663</v>
      </c>
      <c r="D5168" s="2">
        <v>7.4</v>
      </c>
      <c r="E5168" s="2">
        <v>2021.0</v>
      </c>
      <c r="F5168" s="2" t="s">
        <v>10</v>
      </c>
      <c r="G5168" s="2" t="s">
        <v>10</v>
      </c>
    </row>
    <row r="5169" ht="14.25" customHeight="1">
      <c r="A5169" s="1" t="s">
        <v>4419</v>
      </c>
      <c r="B5169" s="1" t="s">
        <v>20</v>
      </c>
      <c r="C5169" s="2" t="s">
        <v>4420</v>
      </c>
      <c r="D5169" s="2">
        <v>7.4</v>
      </c>
      <c r="E5169" s="2">
        <v>1940.0</v>
      </c>
      <c r="F5169" s="2" t="s">
        <v>10</v>
      </c>
      <c r="G5169" s="2" t="s">
        <v>10</v>
      </c>
    </row>
    <row r="5170" ht="14.25" customHeight="1">
      <c r="A5170" s="1" t="s">
        <v>4421</v>
      </c>
      <c r="B5170" s="1" t="s">
        <v>20</v>
      </c>
      <c r="C5170" s="2" t="s">
        <v>9</v>
      </c>
      <c r="D5170" s="2">
        <v>7.4</v>
      </c>
      <c r="E5170" s="2">
        <v>2005.0</v>
      </c>
      <c r="F5170" s="2" t="s">
        <v>10</v>
      </c>
      <c r="G5170" s="2" t="s">
        <v>10</v>
      </c>
    </row>
    <row r="5171" ht="14.25" customHeight="1">
      <c r="A5171" s="1" t="s">
        <v>4422</v>
      </c>
      <c r="B5171" s="1" t="s">
        <v>20</v>
      </c>
      <c r="C5171" s="2" t="s">
        <v>12</v>
      </c>
      <c r="D5171" s="2">
        <v>7.4</v>
      </c>
      <c r="E5171" s="2">
        <v>2019.0</v>
      </c>
      <c r="F5171" s="2">
        <v>2019.0</v>
      </c>
      <c r="G5171" s="2" t="s">
        <v>10</v>
      </c>
    </row>
    <row r="5172" ht="14.25" customHeight="1">
      <c r="A5172" s="1" t="s">
        <v>4423</v>
      </c>
      <c r="B5172" s="1" t="s">
        <v>20</v>
      </c>
      <c r="C5172" s="2" t="s">
        <v>239</v>
      </c>
      <c r="D5172" s="2">
        <v>7.4</v>
      </c>
      <c r="E5172" s="2">
        <v>2015.0</v>
      </c>
      <c r="F5172" s="2" t="s">
        <v>10</v>
      </c>
      <c r="G5172" s="2" t="s">
        <v>10</v>
      </c>
    </row>
    <row r="5173" ht="14.25" customHeight="1">
      <c r="A5173" s="1" t="s">
        <v>4424</v>
      </c>
      <c r="B5173" s="1" t="s">
        <v>8</v>
      </c>
      <c r="C5173" s="2" t="s">
        <v>838</v>
      </c>
      <c r="D5173" s="2">
        <v>7.4</v>
      </c>
      <c r="E5173" s="2">
        <v>2020.0</v>
      </c>
      <c r="F5173" s="2" t="s">
        <v>10</v>
      </c>
      <c r="G5173" s="2" t="s">
        <v>10</v>
      </c>
    </row>
    <row r="5174" ht="14.25" customHeight="1">
      <c r="A5174" s="1" t="s">
        <v>4425</v>
      </c>
      <c r="B5174" s="1" t="s">
        <v>20</v>
      </c>
      <c r="C5174" s="2" t="s">
        <v>299</v>
      </c>
      <c r="D5174" s="2">
        <v>7.4</v>
      </c>
      <c r="E5174" s="2">
        <v>1962.0</v>
      </c>
      <c r="F5174" s="2" t="s">
        <v>10</v>
      </c>
      <c r="G5174" s="2" t="s">
        <v>10</v>
      </c>
    </row>
    <row r="5175" ht="14.25" customHeight="1">
      <c r="A5175" s="1" t="s">
        <v>4426</v>
      </c>
      <c r="B5175" s="1" t="s">
        <v>8</v>
      </c>
      <c r="C5175" s="2" t="s">
        <v>63</v>
      </c>
      <c r="D5175" s="2">
        <v>7.4</v>
      </c>
      <c r="E5175" s="2">
        <v>2018.0</v>
      </c>
      <c r="F5175" s="2">
        <v>2018.0</v>
      </c>
      <c r="G5175" s="2" t="s">
        <v>10</v>
      </c>
    </row>
    <row r="5176" ht="14.25" customHeight="1">
      <c r="A5176" s="1" t="s">
        <v>4427</v>
      </c>
      <c r="B5176" s="1" t="s">
        <v>8</v>
      </c>
      <c r="C5176" s="2" t="s">
        <v>25</v>
      </c>
      <c r="D5176" s="2">
        <v>7.4</v>
      </c>
      <c r="E5176" s="2">
        <v>1999.0</v>
      </c>
      <c r="F5176" s="2" t="s">
        <v>10</v>
      </c>
      <c r="G5176" s="2" t="s">
        <v>10</v>
      </c>
    </row>
    <row r="5177" ht="14.25" customHeight="1">
      <c r="A5177" s="1" t="s">
        <v>4428</v>
      </c>
      <c r="B5177" s="1" t="s">
        <v>20</v>
      </c>
      <c r="C5177" s="2" t="s">
        <v>18</v>
      </c>
      <c r="D5177" s="2">
        <v>7.4</v>
      </c>
      <c r="E5177" s="2">
        <v>2023.0</v>
      </c>
      <c r="F5177" s="2" t="s">
        <v>10</v>
      </c>
      <c r="G5177" s="2" t="s">
        <v>10</v>
      </c>
    </row>
    <row r="5178" ht="14.25" customHeight="1">
      <c r="A5178" s="1" t="s">
        <v>4429</v>
      </c>
      <c r="B5178" s="1" t="s">
        <v>20</v>
      </c>
      <c r="C5178" s="2" t="s">
        <v>22</v>
      </c>
      <c r="D5178" s="2">
        <v>7.4</v>
      </c>
      <c r="E5178" s="2">
        <v>1986.0</v>
      </c>
      <c r="F5178" s="2" t="s">
        <v>10</v>
      </c>
      <c r="G5178" s="2" t="s">
        <v>10</v>
      </c>
    </row>
    <row r="5179" ht="14.25" customHeight="1">
      <c r="A5179" s="1" t="s">
        <v>4430</v>
      </c>
      <c r="B5179" s="1" t="s">
        <v>20</v>
      </c>
      <c r="C5179" s="2" t="s">
        <v>844</v>
      </c>
      <c r="D5179" s="2">
        <v>7.4</v>
      </c>
      <c r="E5179" s="2">
        <v>1946.0</v>
      </c>
      <c r="F5179" s="2" t="s">
        <v>10</v>
      </c>
      <c r="G5179" s="2" t="s">
        <v>10</v>
      </c>
    </row>
    <row r="5180" ht="14.25" customHeight="1">
      <c r="A5180" s="1" t="s">
        <v>4431</v>
      </c>
      <c r="B5180" s="1" t="s">
        <v>20</v>
      </c>
      <c r="C5180" s="2" t="s">
        <v>169</v>
      </c>
      <c r="D5180" s="2">
        <v>7.4</v>
      </c>
      <c r="E5180" s="2">
        <v>1989.0</v>
      </c>
      <c r="F5180" s="2" t="s">
        <v>10</v>
      </c>
      <c r="G5180" s="2" t="s">
        <v>10</v>
      </c>
    </row>
    <row r="5181" ht="14.25" customHeight="1">
      <c r="A5181" s="1" t="s">
        <v>4432</v>
      </c>
      <c r="B5181" s="1" t="s">
        <v>20</v>
      </c>
      <c r="C5181" s="2" t="s">
        <v>118</v>
      </c>
      <c r="D5181" s="2">
        <v>7.4</v>
      </c>
      <c r="E5181" s="2">
        <v>1949.0</v>
      </c>
      <c r="F5181" s="2" t="s">
        <v>10</v>
      </c>
      <c r="G5181" s="2" t="s">
        <v>10</v>
      </c>
    </row>
    <row r="5182" ht="14.25" customHeight="1">
      <c r="A5182" s="1" t="s">
        <v>4433</v>
      </c>
      <c r="B5182" s="1" t="s">
        <v>20</v>
      </c>
      <c r="C5182" s="2" t="s">
        <v>14</v>
      </c>
      <c r="D5182" s="2">
        <v>7.4</v>
      </c>
      <c r="E5182" s="2">
        <v>2019.0</v>
      </c>
      <c r="F5182" s="2" t="s">
        <v>10</v>
      </c>
      <c r="G5182" s="2" t="s">
        <v>10</v>
      </c>
    </row>
    <row r="5183" ht="14.25" customHeight="1">
      <c r="A5183" s="1" t="s">
        <v>4434</v>
      </c>
      <c r="B5183" s="1" t="s">
        <v>20</v>
      </c>
      <c r="C5183" s="2" t="s">
        <v>18</v>
      </c>
      <c r="D5183" s="2">
        <v>7.4</v>
      </c>
      <c r="E5183" s="2">
        <v>2011.0</v>
      </c>
      <c r="F5183" s="2" t="s">
        <v>10</v>
      </c>
      <c r="G5183" s="2" t="s">
        <v>10</v>
      </c>
    </row>
    <row r="5184" ht="14.25" customHeight="1">
      <c r="A5184" s="1" t="s">
        <v>4435</v>
      </c>
      <c r="B5184" s="1" t="s">
        <v>20</v>
      </c>
      <c r="C5184" s="2" t="s">
        <v>69</v>
      </c>
      <c r="D5184" s="2">
        <v>7.4</v>
      </c>
      <c r="E5184" s="2">
        <v>2015.0</v>
      </c>
      <c r="F5184" s="2">
        <v>2015.0</v>
      </c>
      <c r="G5184" s="2" t="s">
        <v>10</v>
      </c>
    </row>
    <row r="5185" ht="14.25" customHeight="1">
      <c r="A5185" s="1" t="s">
        <v>4436</v>
      </c>
      <c r="B5185" s="1" t="s">
        <v>8</v>
      </c>
      <c r="C5185" s="2" t="s">
        <v>1531</v>
      </c>
      <c r="D5185" s="2">
        <v>7.4</v>
      </c>
      <c r="E5185" s="2">
        <v>2022.0</v>
      </c>
      <c r="F5185" s="2" t="s">
        <v>10</v>
      </c>
      <c r="G5185" s="2" t="s">
        <v>10</v>
      </c>
    </row>
    <row r="5186" ht="14.25" customHeight="1">
      <c r="A5186" s="1" t="s">
        <v>4437</v>
      </c>
      <c r="B5186" s="1" t="s">
        <v>20</v>
      </c>
      <c r="C5186" s="2" t="s">
        <v>530</v>
      </c>
      <c r="D5186" s="2">
        <v>7.4</v>
      </c>
      <c r="E5186" s="2">
        <v>2022.0</v>
      </c>
      <c r="F5186" s="2" t="s">
        <v>10</v>
      </c>
      <c r="G5186" s="2">
        <v>5840000.0</v>
      </c>
    </row>
    <row r="5187" ht="14.25" customHeight="1">
      <c r="A5187" s="1" t="s">
        <v>4437</v>
      </c>
      <c r="B5187" s="1" t="s">
        <v>20</v>
      </c>
      <c r="C5187" s="2" t="s">
        <v>530</v>
      </c>
      <c r="D5187" s="2">
        <v>7.4</v>
      </c>
      <c r="E5187" s="2">
        <v>2022.0</v>
      </c>
      <c r="F5187" s="2" t="s">
        <v>10</v>
      </c>
      <c r="G5187" s="2">
        <v>4450000.0</v>
      </c>
    </row>
    <row r="5188" ht="14.25" customHeight="1">
      <c r="A5188" s="1" t="s">
        <v>4438</v>
      </c>
      <c r="B5188" s="1" t="s">
        <v>8</v>
      </c>
      <c r="C5188" s="2" t="s">
        <v>25</v>
      </c>
      <c r="D5188" s="2">
        <v>7.4</v>
      </c>
      <c r="E5188" s="2">
        <v>2000.0</v>
      </c>
      <c r="F5188" s="2" t="s">
        <v>10</v>
      </c>
      <c r="G5188" s="2" t="s">
        <v>10</v>
      </c>
    </row>
    <row r="5189" ht="14.25" customHeight="1">
      <c r="A5189" s="1" t="s">
        <v>4439</v>
      </c>
      <c r="B5189" s="1" t="s">
        <v>20</v>
      </c>
      <c r="C5189" s="2" t="s">
        <v>69</v>
      </c>
      <c r="D5189" s="2">
        <v>7.4</v>
      </c>
      <c r="E5189" s="2">
        <v>1974.0</v>
      </c>
      <c r="F5189" s="2" t="s">
        <v>10</v>
      </c>
      <c r="G5189" s="2" t="s">
        <v>10</v>
      </c>
    </row>
    <row r="5190" ht="14.25" customHeight="1">
      <c r="A5190" s="1" t="s">
        <v>4440</v>
      </c>
      <c r="B5190" s="1" t="s">
        <v>20</v>
      </c>
      <c r="C5190" s="2" t="s">
        <v>114</v>
      </c>
      <c r="D5190" s="2">
        <v>7.4</v>
      </c>
      <c r="E5190" s="2">
        <v>2006.0</v>
      </c>
      <c r="F5190" s="2" t="s">
        <v>10</v>
      </c>
      <c r="G5190" s="2" t="s">
        <v>10</v>
      </c>
    </row>
    <row r="5191" ht="14.25" customHeight="1">
      <c r="A5191" s="1" t="s">
        <v>4441</v>
      </c>
      <c r="B5191" s="1" t="s">
        <v>8</v>
      </c>
      <c r="C5191" s="2" t="s">
        <v>611</v>
      </c>
      <c r="D5191" s="2">
        <v>7.4</v>
      </c>
      <c r="E5191" s="2">
        <v>2023.0</v>
      </c>
      <c r="F5191" s="2" t="s">
        <v>10</v>
      </c>
      <c r="G5191" s="2" t="s">
        <v>10</v>
      </c>
    </row>
    <row r="5192" ht="14.25" customHeight="1">
      <c r="A5192" s="1" t="s">
        <v>314</v>
      </c>
      <c r="B5192" s="1" t="s">
        <v>8</v>
      </c>
      <c r="C5192" s="2" t="s">
        <v>4442</v>
      </c>
      <c r="D5192" s="2">
        <v>7.4</v>
      </c>
      <c r="E5192" s="2">
        <v>1974.0</v>
      </c>
      <c r="F5192" s="2" t="s">
        <v>10</v>
      </c>
      <c r="G5192" s="2" t="s">
        <v>10</v>
      </c>
    </row>
    <row r="5193" ht="14.25" customHeight="1">
      <c r="A5193" s="1" t="s">
        <v>4443</v>
      </c>
      <c r="B5193" s="1" t="s">
        <v>8</v>
      </c>
      <c r="C5193" s="2" t="s">
        <v>53</v>
      </c>
      <c r="D5193" s="2">
        <v>7.4</v>
      </c>
      <c r="E5193" s="2">
        <v>2022.0</v>
      </c>
      <c r="F5193" s="2" t="s">
        <v>10</v>
      </c>
      <c r="G5193" s="2" t="s">
        <v>10</v>
      </c>
    </row>
    <row r="5194" ht="14.25" customHeight="1">
      <c r="A5194" s="1" t="s">
        <v>4444</v>
      </c>
      <c r="B5194" s="1" t="s">
        <v>20</v>
      </c>
      <c r="C5194" s="2" t="s">
        <v>2378</v>
      </c>
      <c r="D5194" s="2">
        <v>7.4</v>
      </c>
      <c r="E5194" s="2">
        <v>1932.0</v>
      </c>
      <c r="F5194" s="2" t="s">
        <v>10</v>
      </c>
      <c r="G5194" s="2" t="s">
        <v>10</v>
      </c>
    </row>
    <row r="5195" ht="14.25" customHeight="1">
      <c r="A5195" s="1" t="s">
        <v>4445</v>
      </c>
      <c r="B5195" s="1" t="s">
        <v>8</v>
      </c>
      <c r="C5195" s="2" t="s">
        <v>203</v>
      </c>
      <c r="D5195" s="2">
        <v>7.4</v>
      </c>
      <c r="E5195" s="2">
        <v>2011.0</v>
      </c>
      <c r="F5195" s="2" t="s">
        <v>10</v>
      </c>
      <c r="G5195" s="2" t="s">
        <v>10</v>
      </c>
    </row>
    <row r="5196" ht="14.25" customHeight="1">
      <c r="A5196" s="1" t="s">
        <v>4446</v>
      </c>
      <c r="B5196" s="1" t="s">
        <v>20</v>
      </c>
      <c r="C5196" s="2" t="s">
        <v>9</v>
      </c>
      <c r="D5196" s="2">
        <v>7.4</v>
      </c>
      <c r="E5196" s="2">
        <v>1960.0</v>
      </c>
      <c r="F5196" s="2" t="s">
        <v>10</v>
      </c>
      <c r="G5196" s="2" t="s">
        <v>10</v>
      </c>
    </row>
    <row r="5197" ht="14.25" customHeight="1">
      <c r="A5197" s="1" t="s">
        <v>4447</v>
      </c>
      <c r="B5197" s="1" t="s">
        <v>20</v>
      </c>
      <c r="C5197" s="2" t="s">
        <v>249</v>
      </c>
      <c r="D5197" s="2">
        <v>7.4</v>
      </c>
      <c r="E5197" s="2">
        <v>2017.0</v>
      </c>
      <c r="F5197" s="2" t="s">
        <v>10</v>
      </c>
      <c r="G5197" s="2" t="s">
        <v>10</v>
      </c>
    </row>
    <row r="5198" ht="14.25" customHeight="1">
      <c r="A5198" s="1" t="s">
        <v>4448</v>
      </c>
      <c r="B5198" s="1" t="s">
        <v>20</v>
      </c>
      <c r="C5198" s="2" t="s">
        <v>18</v>
      </c>
      <c r="D5198" s="2">
        <v>7.4</v>
      </c>
      <c r="E5198" s="2">
        <v>2016.0</v>
      </c>
      <c r="F5198" s="2">
        <v>2016.0</v>
      </c>
      <c r="G5198" s="2" t="s">
        <v>10</v>
      </c>
    </row>
    <row r="5199" ht="14.25" customHeight="1">
      <c r="A5199" s="1" t="s">
        <v>4449</v>
      </c>
      <c r="B5199" s="1" t="s">
        <v>8</v>
      </c>
      <c r="C5199" s="2" t="s">
        <v>9</v>
      </c>
      <c r="D5199" s="2">
        <v>7.4</v>
      </c>
      <c r="E5199" s="2">
        <v>2021.0</v>
      </c>
      <c r="F5199" s="2" t="s">
        <v>10</v>
      </c>
      <c r="G5199" s="2">
        <v>1.216E7</v>
      </c>
    </row>
    <row r="5200" ht="14.25" customHeight="1">
      <c r="A5200" s="1" t="s">
        <v>4449</v>
      </c>
      <c r="B5200" s="1" t="s">
        <v>8</v>
      </c>
      <c r="C5200" s="2" t="s">
        <v>9</v>
      </c>
      <c r="D5200" s="2">
        <v>7.4</v>
      </c>
      <c r="E5200" s="2">
        <v>2021.0</v>
      </c>
      <c r="F5200" s="2" t="s">
        <v>10</v>
      </c>
      <c r="G5200" s="2">
        <v>2.981E7</v>
      </c>
    </row>
    <row r="5201" ht="14.25" customHeight="1">
      <c r="A5201" s="1" t="s">
        <v>4449</v>
      </c>
      <c r="B5201" s="1" t="s">
        <v>8</v>
      </c>
      <c r="C5201" s="2" t="s">
        <v>9</v>
      </c>
      <c r="D5201" s="2">
        <v>7.4</v>
      </c>
      <c r="E5201" s="2">
        <v>2021.0</v>
      </c>
      <c r="F5201" s="2" t="s">
        <v>10</v>
      </c>
      <c r="G5201" s="2">
        <v>4.885E7</v>
      </c>
    </row>
    <row r="5202" ht="14.25" customHeight="1">
      <c r="A5202" s="1" t="s">
        <v>4450</v>
      </c>
      <c r="B5202" s="1" t="s">
        <v>8</v>
      </c>
      <c r="C5202" s="2" t="s">
        <v>4451</v>
      </c>
      <c r="D5202" s="2">
        <v>7.4</v>
      </c>
      <c r="E5202" s="2">
        <v>1995.0</v>
      </c>
      <c r="F5202" s="2" t="s">
        <v>10</v>
      </c>
      <c r="G5202" s="2" t="s">
        <v>10</v>
      </c>
    </row>
    <row r="5203" ht="14.25" customHeight="1">
      <c r="A5203" s="1" t="s">
        <v>4452</v>
      </c>
      <c r="B5203" s="1" t="s">
        <v>8</v>
      </c>
      <c r="C5203" s="2" t="s">
        <v>468</v>
      </c>
      <c r="D5203" s="2">
        <v>7.4</v>
      </c>
      <c r="E5203" s="2">
        <v>2021.0</v>
      </c>
      <c r="F5203" s="2" t="s">
        <v>10</v>
      </c>
      <c r="G5203" s="2" t="s">
        <v>10</v>
      </c>
    </row>
    <row r="5204" ht="14.25" customHeight="1">
      <c r="A5204" s="1" t="s">
        <v>4453</v>
      </c>
      <c r="B5204" s="1" t="s">
        <v>8</v>
      </c>
      <c r="C5204" s="2" t="s">
        <v>69</v>
      </c>
      <c r="D5204" s="2">
        <v>7.4</v>
      </c>
      <c r="E5204" s="2">
        <v>2020.0</v>
      </c>
      <c r="F5204" s="2" t="s">
        <v>10</v>
      </c>
      <c r="G5204" s="2" t="s">
        <v>10</v>
      </c>
    </row>
    <row r="5205" ht="14.25" customHeight="1">
      <c r="A5205" s="1" t="s">
        <v>4454</v>
      </c>
      <c r="B5205" s="1" t="s">
        <v>20</v>
      </c>
      <c r="C5205" s="2" t="s">
        <v>284</v>
      </c>
      <c r="D5205" s="2">
        <v>7.4</v>
      </c>
      <c r="E5205" s="2">
        <v>2019.0</v>
      </c>
      <c r="F5205" s="2" t="s">
        <v>10</v>
      </c>
      <c r="G5205" s="2" t="s">
        <v>10</v>
      </c>
    </row>
    <row r="5206" ht="14.25" customHeight="1">
      <c r="A5206" s="1" t="s">
        <v>4455</v>
      </c>
      <c r="B5206" s="1" t="s">
        <v>8</v>
      </c>
      <c r="C5206" s="2" t="s">
        <v>395</v>
      </c>
      <c r="D5206" s="2">
        <v>7.4</v>
      </c>
      <c r="E5206" s="2">
        <v>1991.0</v>
      </c>
      <c r="F5206" s="2" t="s">
        <v>10</v>
      </c>
      <c r="G5206" s="2" t="s">
        <v>10</v>
      </c>
    </row>
    <row r="5207" ht="14.25" customHeight="1">
      <c r="A5207" s="1" t="s">
        <v>4456</v>
      </c>
      <c r="B5207" s="1" t="s">
        <v>20</v>
      </c>
      <c r="C5207" s="2" t="s">
        <v>134</v>
      </c>
      <c r="D5207" s="2">
        <v>7.4</v>
      </c>
      <c r="E5207" s="2">
        <v>2018.0</v>
      </c>
      <c r="F5207" s="2" t="s">
        <v>10</v>
      </c>
      <c r="G5207" s="2" t="s">
        <v>10</v>
      </c>
    </row>
    <row r="5208" ht="14.25" customHeight="1">
      <c r="A5208" s="1" t="s">
        <v>4457</v>
      </c>
      <c r="B5208" s="1" t="s">
        <v>20</v>
      </c>
      <c r="C5208" s="2" t="s">
        <v>18</v>
      </c>
      <c r="D5208" s="2">
        <v>7.4</v>
      </c>
      <c r="E5208" s="2">
        <v>2010.0</v>
      </c>
      <c r="F5208" s="2" t="s">
        <v>10</v>
      </c>
      <c r="G5208" s="2" t="s">
        <v>10</v>
      </c>
    </row>
    <row r="5209" ht="14.25" customHeight="1">
      <c r="A5209" s="1" t="s">
        <v>4458</v>
      </c>
      <c r="B5209" s="1" t="s">
        <v>20</v>
      </c>
      <c r="C5209" s="2" t="s">
        <v>249</v>
      </c>
      <c r="D5209" s="2">
        <v>7.4</v>
      </c>
      <c r="E5209" s="2">
        <v>1948.0</v>
      </c>
      <c r="F5209" s="2" t="s">
        <v>10</v>
      </c>
      <c r="G5209" s="2" t="s">
        <v>10</v>
      </c>
    </row>
    <row r="5210" ht="14.25" customHeight="1">
      <c r="A5210" s="1" t="s">
        <v>2674</v>
      </c>
      <c r="B5210" s="1" t="s">
        <v>8</v>
      </c>
      <c r="C5210" s="2" t="s">
        <v>845</v>
      </c>
      <c r="D5210" s="2">
        <v>7.4</v>
      </c>
      <c r="E5210" s="2">
        <v>2016.0</v>
      </c>
      <c r="F5210" s="2" t="s">
        <v>10</v>
      </c>
      <c r="G5210" s="2" t="s">
        <v>10</v>
      </c>
    </row>
    <row r="5211" ht="14.25" customHeight="1">
      <c r="A5211" s="1" t="s">
        <v>4459</v>
      </c>
      <c r="B5211" s="1" t="s">
        <v>20</v>
      </c>
      <c r="C5211" s="2" t="s">
        <v>1100</v>
      </c>
      <c r="D5211" s="2">
        <v>7.4</v>
      </c>
      <c r="E5211" s="2">
        <v>1999.0</v>
      </c>
      <c r="F5211" s="2" t="s">
        <v>10</v>
      </c>
      <c r="G5211" s="2" t="s">
        <v>10</v>
      </c>
    </row>
    <row r="5212" ht="14.25" customHeight="1">
      <c r="A5212" s="1" t="s">
        <v>4460</v>
      </c>
      <c r="B5212" s="1" t="s">
        <v>20</v>
      </c>
      <c r="C5212" s="2" t="s">
        <v>154</v>
      </c>
      <c r="D5212" s="2">
        <v>7.4</v>
      </c>
      <c r="E5212" s="2">
        <v>2010.0</v>
      </c>
      <c r="F5212" s="2">
        <v>2010.0</v>
      </c>
      <c r="G5212" s="2" t="s">
        <v>10</v>
      </c>
    </row>
    <row r="5213" ht="14.25" customHeight="1">
      <c r="A5213" s="1" t="s">
        <v>4461</v>
      </c>
      <c r="B5213" s="1" t="s">
        <v>8</v>
      </c>
      <c r="C5213" s="2" t="s">
        <v>305</v>
      </c>
      <c r="D5213" s="2">
        <v>7.4</v>
      </c>
      <c r="E5213" s="2">
        <v>2004.0</v>
      </c>
      <c r="F5213" s="2" t="s">
        <v>10</v>
      </c>
      <c r="G5213" s="2" t="s">
        <v>10</v>
      </c>
    </row>
    <row r="5214" ht="14.25" customHeight="1">
      <c r="A5214" s="1" t="s">
        <v>4462</v>
      </c>
      <c r="B5214" s="1" t="s">
        <v>20</v>
      </c>
      <c r="C5214" s="2" t="s">
        <v>25</v>
      </c>
      <c r="D5214" s="2">
        <v>7.4</v>
      </c>
      <c r="E5214" s="2">
        <v>2020.0</v>
      </c>
      <c r="F5214" s="2" t="s">
        <v>10</v>
      </c>
      <c r="G5214" s="2" t="s">
        <v>10</v>
      </c>
    </row>
    <row r="5215" ht="14.25" customHeight="1">
      <c r="A5215" s="1" t="s">
        <v>4463</v>
      </c>
      <c r="B5215" s="1" t="s">
        <v>8</v>
      </c>
      <c r="C5215" s="2" t="s">
        <v>63</v>
      </c>
      <c r="D5215" s="2">
        <v>7.4</v>
      </c>
      <c r="E5215" s="2">
        <v>2024.0</v>
      </c>
      <c r="F5215" s="2" t="s">
        <v>10</v>
      </c>
      <c r="G5215" s="2" t="s">
        <v>10</v>
      </c>
    </row>
    <row r="5216" ht="14.25" customHeight="1">
      <c r="A5216" s="1" t="s">
        <v>4464</v>
      </c>
      <c r="B5216" s="1" t="s">
        <v>20</v>
      </c>
      <c r="C5216" s="2" t="s">
        <v>118</v>
      </c>
      <c r="D5216" s="2">
        <v>7.4</v>
      </c>
      <c r="E5216" s="2">
        <v>1959.0</v>
      </c>
      <c r="F5216" s="2" t="s">
        <v>10</v>
      </c>
      <c r="G5216" s="2" t="s">
        <v>10</v>
      </c>
    </row>
    <row r="5217" ht="14.25" customHeight="1">
      <c r="A5217" s="1" t="s">
        <v>4465</v>
      </c>
      <c r="B5217" s="1" t="s">
        <v>20</v>
      </c>
      <c r="C5217" s="2" t="s">
        <v>361</v>
      </c>
      <c r="D5217" s="2">
        <v>7.4</v>
      </c>
      <c r="E5217" s="2">
        <v>2014.0</v>
      </c>
      <c r="F5217" s="2" t="s">
        <v>10</v>
      </c>
      <c r="G5217" s="2" t="s">
        <v>10</v>
      </c>
    </row>
    <row r="5218" ht="14.25" customHeight="1">
      <c r="A5218" s="1" t="s">
        <v>4466</v>
      </c>
      <c r="B5218" s="1" t="s">
        <v>20</v>
      </c>
      <c r="C5218" s="2" t="s">
        <v>9</v>
      </c>
      <c r="D5218" s="2">
        <v>7.4</v>
      </c>
      <c r="E5218" s="2">
        <v>2018.0</v>
      </c>
      <c r="F5218" s="2" t="s">
        <v>10</v>
      </c>
      <c r="G5218" s="2" t="s">
        <v>10</v>
      </c>
    </row>
    <row r="5219" ht="14.25" customHeight="1">
      <c r="A5219" s="1" t="s">
        <v>4467</v>
      </c>
      <c r="B5219" s="1" t="s">
        <v>20</v>
      </c>
      <c r="C5219" s="2" t="s">
        <v>192</v>
      </c>
      <c r="D5219" s="2">
        <v>7.4</v>
      </c>
      <c r="E5219" s="2">
        <v>2005.0</v>
      </c>
      <c r="F5219" s="2" t="s">
        <v>10</v>
      </c>
      <c r="G5219" s="2" t="s">
        <v>10</v>
      </c>
    </row>
    <row r="5220" ht="14.25" customHeight="1">
      <c r="A5220" s="1" t="s">
        <v>4468</v>
      </c>
      <c r="B5220" s="1" t="s">
        <v>20</v>
      </c>
      <c r="C5220" s="2" t="s">
        <v>217</v>
      </c>
      <c r="D5220" s="2">
        <v>7.4</v>
      </c>
      <c r="E5220" s="2">
        <v>2021.0</v>
      </c>
      <c r="F5220" s="2" t="s">
        <v>10</v>
      </c>
      <c r="G5220" s="2" t="s">
        <v>10</v>
      </c>
    </row>
    <row r="5221" ht="14.25" customHeight="1">
      <c r="A5221" s="1" t="s">
        <v>4469</v>
      </c>
      <c r="B5221" s="1" t="s">
        <v>20</v>
      </c>
      <c r="C5221" s="2" t="s">
        <v>53</v>
      </c>
      <c r="D5221" s="2">
        <v>7.4</v>
      </c>
      <c r="E5221" s="2">
        <v>1977.0</v>
      </c>
      <c r="F5221" s="2" t="s">
        <v>10</v>
      </c>
      <c r="G5221" s="2" t="s">
        <v>10</v>
      </c>
    </row>
    <row r="5222" ht="14.25" customHeight="1">
      <c r="A5222" s="1" t="s">
        <v>4470</v>
      </c>
      <c r="B5222" s="1" t="s">
        <v>20</v>
      </c>
      <c r="C5222" s="2" t="s">
        <v>80</v>
      </c>
      <c r="D5222" s="2">
        <v>7.4</v>
      </c>
      <c r="E5222" s="2">
        <v>1994.0</v>
      </c>
      <c r="F5222" s="2" t="s">
        <v>10</v>
      </c>
      <c r="G5222" s="2" t="s">
        <v>10</v>
      </c>
    </row>
    <row r="5223" ht="14.25" customHeight="1">
      <c r="A5223" s="1" t="s">
        <v>4471</v>
      </c>
      <c r="B5223" s="1" t="s">
        <v>8</v>
      </c>
      <c r="C5223" s="2" t="s">
        <v>476</v>
      </c>
      <c r="D5223" s="2">
        <v>7.4</v>
      </c>
      <c r="E5223" s="2">
        <v>2019.0</v>
      </c>
      <c r="F5223" s="2">
        <v>2019.0</v>
      </c>
      <c r="G5223" s="2" t="s">
        <v>10</v>
      </c>
    </row>
    <row r="5224" ht="14.25" customHeight="1">
      <c r="A5224" s="1" t="s">
        <v>4472</v>
      </c>
      <c r="B5224" s="1" t="s">
        <v>20</v>
      </c>
      <c r="C5224" s="2" t="s">
        <v>910</v>
      </c>
      <c r="D5224" s="2">
        <v>7.4</v>
      </c>
      <c r="E5224" s="2">
        <v>2016.0</v>
      </c>
      <c r="F5224" s="2" t="s">
        <v>10</v>
      </c>
      <c r="G5224" s="2" t="s">
        <v>10</v>
      </c>
    </row>
    <row r="5225" ht="14.25" customHeight="1">
      <c r="A5225" s="1" t="s">
        <v>4473</v>
      </c>
      <c r="B5225" s="1" t="s">
        <v>20</v>
      </c>
      <c r="C5225" s="2" t="s">
        <v>611</v>
      </c>
      <c r="D5225" s="2">
        <v>7.4</v>
      </c>
      <c r="E5225" s="2">
        <v>2018.0</v>
      </c>
      <c r="F5225" s="2" t="s">
        <v>10</v>
      </c>
      <c r="G5225" s="2" t="s">
        <v>10</v>
      </c>
    </row>
    <row r="5226" ht="14.25" customHeight="1">
      <c r="A5226" s="1" t="s">
        <v>4474</v>
      </c>
      <c r="B5226" s="1" t="s">
        <v>20</v>
      </c>
      <c r="C5226" s="2" t="s">
        <v>69</v>
      </c>
      <c r="D5226" s="2">
        <v>7.4</v>
      </c>
      <c r="E5226" s="2">
        <v>2010.0</v>
      </c>
      <c r="F5226" s="2">
        <v>2010.0</v>
      </c>
      <c r="G5226" s="2" t="s">
        <v>10</v>
      </c>
    </row>
    <row r="5227" ht="14.25" customHeight="1">
      <c r="A5227" s="1" t="s">
        <v>4475</v>
      </c>
      <c r="B5227" s="1" t="s">
        <v>20</v>
      </c>
      <c r="C5227" s="2" t="s">
        <v>591</v>
      </c>
      <c r="D5227" s="2">
        <v>7.4</v>
      </c>
      <c r="E5227" s="2">
        <v>2021.0</v>
      </c>
      <c r="F5227" s="2" t="s">
        <v>10</v>
      </c>
      <c r="G5227" s="2" t="s">
        <v>10</v>
      </c>
    </row>
    <row r="5228" ht="14.25" customHeight="1">
      <c r="A5228" s="1" t="s">
        <v>4476</v>
      </c>
      <c r="B5228" s="1" t="s">
        <v>8</v>
      </c>
      <c r="C5228" s="2" t="s">
        <v>18</v>
      </c>
      <c r="D5228" s="2">
        <v>7.4</v>
      </c>
      <c r="E5228" s="2">
        <v>2020.0</v>
      </c>
      <c r="F5228" s="2" t="s">
        <v>10</v>
      </c>
      <c r="G5228" s="2" t="s">
        <v>10</v>
      </c>
    </row>
    <row r="5229" ht="14.25" customHeight="1">
      <c r="A5229" s="1" t="s">
        <v>4477</v>
      </c>
      <c r="B5229" s="1" t="s">
        <v>20</v>
      </c>
      <c r="C5229" s="2" t="s">
        <v>69</v>
      </c>
      <c r="D5229" s="2">
        <v>7.4</v>
      </c>
      <c r="E5229" s="2">
        <v>2009.0</v>
      </c>
      <c r="F5229" s="2">
        <v>2009.0</v>
      </c>
      <c r="G5229" s="2" t="s">
        <v>10</v>
      </c>
    </row>
    <row r="5230" ht="14.25" customHeight="1">
      <c r="A5230" s="1" t="s">
        <v>4478</v>
      </c>
      <c r="B5230" s="1" t="s">
        <v>8</v>
      </c>
      <c r="C5230" s="2" t="s">
        <v>32</v>
      </c>
      <c r="D5230" s="2">
        <v>7.4</v>
      </c>
      <c r="E5230" s="2">
        <v>2018.0</v>
      </c>
      <c r="F5230" s="2" t="s">
        <v>10</v>
      </c>
      <c r="G5230" s="2" t="s">
        <v>10</v>
      </c>
    </row>
    <row r="5231" ht="14.25" customHeight="1">
      <c r="A5231" s="1" t="s">
        <v>4479</v>
      </c>
      <c r="B5231" s="1" t="s">
        <v>8</v>
      </c>
      <c r="C5231" s="2" t="s">
        <v>118</v>
      </c>
      <c r="D5231" s="2">
        <v>7.4</v>
      </c>
      <c r="E5231" s="2">
        <v>1998.0</v>
      </c>
      <c r="F5231" s="2" t="s">
        <v>10</v>
      </c>
      <c r="G5231" s="2" t="s">
        <v>10</v>
      </c>
    </row>
    <row r="5232" ht="14.25" customHeight="1">
      <c r="A5232" s="1" t="s">
        <v>4480</v>
      </c>
      <c r="B5232" s="1" t="s">
        <v>8</v>
      </c>
      <c r="C5232" s="2" t="s">
        <v>284</v>
      </c>
      <c r="D5232" s="2">
        <v>7.4</v>
      </c>
      <c r="E5232" s="2">
        <v>2024.0</v>
      </c>
      <c r="F5232" s="2" t="s">
        <v>10</v>
      </c>
      <c r="G5232" s="2" t="s">
        <v>10</v>
      </c>
    </row>
    <row r="5233" ht="14.25" customHeight="1">
      <c r="A5233" s="1" t="s">
        <v>4481</v>
      </c>
      <c r="B5233" s="1" t="s">
        <v>20</v>
      </c>
      <c r="C5233" s="2" t="s">
        <v>18</v>
      </c>
      <c r="D5233" s="2">
        <v>7.4</v>
      </c>
      <c r="E5233" s="2">
        <v>1964.0</v>
      </c>
      <c r="F5233" s="2" t="s">
        <v>10</v>
      </c>
      <c r="G5233" s="2" t="s">
        <v>10</v>
      </c>
    </row>
    <row r="5234" ht="14.25" customHeight="1">
      <c r="A5234" s="1" t="s">
        <v>4482</v>
      </c>
      <c r="B5234" s="1" t="s">
        <v>20</v>
      </c>
      <c r="C5234" s="2" t="s">
        <v>4483</v>
      </c>
      <c r="D5234" s="2">
        <v>7.4</v>
      </c>
      <c r="E5234" s="2">
        <v>2004.0</v>
      </c>
      <c r="F5234" s="2" t="s">
        <v>10</v>
      </c>
      <c r="G5234" s="2" t="s">
        <v>10</v>
      </c>
    </row>
    <row r="5235" ht="14.25" customHeight="1">
      <c r="A5235" s="1" t="s">
        <v>4484</v>
      </c>
      <c r="B5235" s="1" t="s">
        <v>20</v>
      </c>
      <c r="C5235" s="2" t="s">
        <v>75</v>
      </c>
      <c r="D5235" s="2">
        <v>7.4</v>
      </c>
      <c r="E5235" s="2">
        <v>2010.0</v>
      </c>
      <c r="F5235" s="2" t="s">
        <v>10</v>
      </c>
      <c r="G5235" s="2" t="s">
        <v>10</v>
      </c>
    </row>
    <row r="5236" ht="14.25" customHeight="1">
      <c r="A5236" s="1" t="s">
        <v>4485</v>
      </c>
      <c r="B5236" s="1" t="s">
        <v>8</v>
      </c>
      <c r="C5236" s="2" t="s">
        <v>2342</v>
      </c>
      <c r="D5236" s="2">
        <v>7.4</v>
      </c>
      <c r="E5236" s="2">
        <v>1965.0</v>
      </c>
      <c r="F5236" s="2" t="s">
        <v>10</v>
      </c>
      <c r="G5236" s="2" t="s">
        <v>10</v>
      </c>
    </row>
    <row r="5237" ht="14.25" customHeight="1">
      <c r="A5237" s="1" t="s">
        <v>4486</v>
      </c>
      <c r="B5237" s="1" t="s">
        <v>8</v>
      </c>
      <c r="C5237" s="2" t="s">
        <v>187</v>
      </c>
      <c r="D5237" s="2">
        <v>7.4</v>
      </c>
      <c r="E5237" s="2">
        <v>2020.0</v>
      </c>
      <c r="F5237" s="2">
        <v>2020.0</v>
      </c>
      <c r="G5237" s="2">
        <v>1.26E7</v>
      </c>
    </row>
    <row r="5238" ht="14.25" customHeight="1">
      <c r="A5238" s="1" t="s">
        <v>4487</v>
      </c>
      <c r="B5238" s="1" t="s">
        <v>20</v>
      </c>
      <c r="C5238" s="2" t="s">
        <v>69</v>
      </c>
      <c r="D5238" s="2">
        <v>7.4</v>
      </c>
      <c r="E5238" s="2">
        <v>1981.0</v>
      </c>
      <c r="F5238" s="2" t="s">
        <v>10</v>
      </c>
      <c r="G5238" s="2" t="s">
        <v>10</v>
      </c>
    </row>
    <row r="5239" ht="14.25" customHeight="1">
      <c r="A5239" s="1" t="s">
        <v>4488</v>
      </c>
      <c r="B5239" s="1" t="s">
        <v>20</v>
      </c>
      <c r="C5239" s="2" t="s">
        <v>154</v>
      </c>
      <c r="D5239" s="2">
        <v>7.4</v>
      </c>
      <c r="E5239" s="2">
        <v>2003.0</v>
      </c>
      <c r="F5239" s="2" t="s">
        <v>10</v>
      </c>
      <c r="G5239" s="2" t="s">
        <v>10</v>
      </c>
    </row>
    <row r="5240" ht="14.25" customHeight="1">
      <c r="A5240" s="1" t="s">
        <v>4489</v>
      </c>
      <c r="B5240" s="1" t="s">
        <v>20</v>
      </c>
      <c r="C5240" s="2" t="s">
        <v>154</v>
      </c>
      <c r="D5240" s="2">
        <v>7.4</v>
      </c>
      <c r="E5240" s="2">
        <v>1966.0</v>
      </c>
      <c r="F5240" s="2" t="s">
        <v>10</v>
      </c>
      <c r="G5240" s="2" t="s">
        <v>10</v>
      </c>
    </row>
    <row r="5241" ht="14.25" customHeight="1">
      <c r="A5241" s="1" t="s">
        <v>3693</v>
      </c>
      <c r="B5241" s="1" t="s">
        <v>8</v>
      </c>
      <c r="C5241" s="2" t="s">
        <v>845</v>
      </c>
      <c r="D5241" s="2">
        <v>7.4</v>
      </c>
      <c r="E5241" s="2">
        <v>2006.0</v>
      </c>
      <c r="F5241" s="2" t="s">
        <v>10</v>
      </c>
      <c r="G5241" s="2" t="s">
        <v>10</v>
      </c>
    </row>
    <row r="5242" ht="14.25" customHeight="1">
      <c r="A5242" s="1" t="s">
        <v>4490</v>
      </c>
      <c r="B5242" s="1" t="s">
        <v>8</v>
      </c>
      <c r="C5242" s="2" t="s">
        <v>686</v>
      </c>
      <c r="D5242" s="2">
        <v>7.4</v>
      </c>
      <c r="E5242" s="2">
        <v>2003.0</v>
      </c>
      <c r="F5242" s="2" t="s">
        <v>10</v>
      </c>
      <c r="G5242" s="2" t="s">
        <v>10</v>
      </c>
    </row>
    <row r="5243" ht="14.25" customHeight="1">
      <c r="A5243" s="1" t="s">
        <v>4491</v>
      </c>
      <c r="B5243" s="1" t="s">
        <v>8</v>
      </c>
      <c r="C5243" s="2" t="s">
        <v>305</v>
      </c>
      <c r="D5243" s="2">
        <v>7.4</v>
      </c>
      <c r="E5243" s="2">
        <v>1964.0</v>
      </c>
      <c r="F5243" s="2" t="s">
        <v>10</v>
      </c>
      <c r="G5243" s="2" t="s">
        <v>10</v>
      </c>
    </row>
    <row r="5244" ht="14.25" customHeight="1">
      <c r="A5244" s="1" t="s">
        <v>4492</v>
      </c>
      <c r="B5244" s="1" t="s">
        <v>20</v>
      </c>
      <c r="C5244" s="2" t="s">
        <v>154</v>
      </c>
      <c r="D5244" s="2">
        <v>7.4</v>
      </c>
      <c r="E5244" s="2">
        <v>2013.0</v>
      </c>
      <c r="F5244" s="2" t="s">
        <v>10</v>
      </c>
      <c r="G5244" s="2" t="s">
        <v>10</v>
      </c>
    </row>
    <row r="5245" ht="14.25" customHeight="1">
      <c r="A5245" s="1" t="s">
        <v>4493</v>
      </c>
      <c r="B5245" s="1" t="s">
        <v>8</v>
      </c>
      <c r="C5245" s="2" t="s">
        <v>616</v>
      </c>
      <c r="D5245" s="2">
        <v>7.4</v>
      </c>
      <c r="E5245" s="2">
        <v>2020.0</v>
      </c>
      <c r="F5245" s="2" t="s">
        <v>10</v>
      </c>
      <c r="G5245" s="2" t="s">
        <v>10</v>
      </c>
    </row>
    <row r="5246" ht="14.25" customHeight="1">
      <c r="A5246" s="1" t="s">
        <v>2455</v>
      </c>
      <c r="B5246" s="1" t="s">
        <v>20</v>
      </c>
      <c r="C5246" s="2" t="s">
        <v>53</v>
      </c>
      <c r="D5246" s="2">
        <v>7.4</v>
      </c>
      <c r="E5246" s="2">
        <v>1945.0</v>
      </c>
      <c r="F5246" s="2" t="s">
        <v>10</v>
      </c>
      <c r="G5246" s="2" t="s">
        <v>10</v>
      </c>
    </row>
    <row r="5247" ht="14.25" customHeight="1">
      <c r="A5247" s="1" t="s">
        <v>4494</v>
      </c>
      <c r="B5247" s="1" t="s">
        <v>20</v>
      </c>
      <c r="C5247" s="2" t="s">
        <v>643</v>
      </c>
      <c r="D5247" s="2">
        <v>7.4</v>
      </c>
      <c r="E5247" s="2">
        <v>1949.0</v>
      </c>
      <c r="F5247" s="2" t="s">
        <v>10</v>
      </c>
      <c r="G5247" s="2" t="s">
        <v>10</v>
      </c>
    </row>
    <row r="5248" ht="14.25" customHeight="1">
      <c r="A5248" s="1" t="s">
        <v>4495</v>
      </c>
      <c r="B5248" s="1" t="s">
        <v>20</v>
      </c>
      <c r="C5248" s="2" t="s">
        <v>18</v>
      </c>
      <c r="D5248" s="2">
        <v>7.4</v>
      </c>
      <c r="E5248" s="2">
        <v>2017.0</v>
      </c>
      <c r="F5248" s="2" t="s">
        <v>10</v>
      </c>
      <c r="G5248" s="2" t="s">
        <v>10</v>
      </c>
    </row>
    <row r="5249" ht="14.25" customHeight="1">
      <c r="A5249" s="1" t="s">
        <v>4496</v>
      </c>
      <c r="B5249" s="1" t="s">
        <v>20</v>
      </c>
      <c r="C5249" s="2" t="s">
        <v>69</v>
      </c>
      <c r="D5249" s="2">
        <v>7.4</v>
      </c>
      <c r="E5249" s="2">
        <v>2004.0</v>
      </c>
      <c r="F5249" s="2" t="s">
        <v>10</v>
      </c>
      <c r="G5249" s="2" t="s">
        <v>10</v>
      </c>
    </row>
    <row r="5250" ht="14.25" customHeight="1">
      <c r="A5250" s="1" t="s">
        <v>4497</v>
      </c>
      <c r="B5250" s="1" t="s">
        <v>20</v>
      </c>
      <c r="C5250" s="2" t="s">
        <v>516</v>
      </c>
      <c r="D5250" s="2">
        <v>7.4</v>
      </c>
      <c r="E5250" s="2">
        <v>1991.0</v>
      </c>
      <c r="F5250" s="2" t="s">
        <v>10</v>
      </c>
      <c r="G5250" s="2" t="s">
        <v>10</v>
      </c>
    </row>
    <row r="5251" ht="14.25" customHeight="1">
      <c r="A5251" s="1" t="s">
        <v>4498</v>
      </c>
      <c r="B5251" s="1" t="s">
        <v>20</v>
      </c>
      <c r="C5251" s="2" t="s">
        <v>825</v>
      </c>
      <c r="D5251" s="2">
        <v>7.4</v>
      </c>
      <c r="E5251" s="2">
        <v>2008.0</v>
      </c>
      <c r="F5251" s="2" t="s">
        <v>10</v>
      </c>
      <c r="G5251" s="2" t="s">
        <v>10</v>
      </c>
    </row>
    <row r="5252" ht="14.25" customHeight="1">
      <c r="A5252" s="1" t="s">
        <v>4499</v>
      </c>
      <c r="B5252" s="1" t="s">
        <v>20</v>
      </c>
      <c r="C5252" s="2" t="s">
        <v>187</v>
      </c>
      <c r="D5252" s="2">
        <v>7.4</v>
      </c>
      <c r="E5252" s="2">
        <v>1977.0</v>
      </c>
      <c r="F5252" s="2" t="s">
        <v>10</v>
      </c>
      <c r="G5252" s="2" t="s">
        <v>10</v>
      </c>
    </row>
    <row r="5253" ht="14.25" customHeight="1">
      <c r="A5253" s="1" t="s">
        <v>4500</v>
      </c>
      <c r="B5253" s="1" t="s">
        <v>8</v>
      </c>
      <c r="C5253" s="2" t="s">
        <v>55</v>
      </c>
      <c r="D5253" s="2">
        <v>7.4</v>
      </c>
      <c r="E5253" s="2">
        <v>1996.0</v>
      </c>
      <c r="F5253" s="2">
        <v>2011.0</v>
      </c>
      <c r="G5253" s="2" t="s">
        <v>10</v>
      </c>
    </row>
    <row r="5254" ht="14.25" customHeight="1">
      <c r="A5254" s="1" t="s">
        <v>4501</v>
      </c>
      <c r="B5254" s="1" t="s">
        <v>20</v>
      </c>
      <c r="C5254" s="2" t="s">
        <v>361</v>
      </c>
      <c r="D5254" s="2">
        <v>7.4</v>
      </c>
      <c r="E5254" s="2">
        <v>2007.0</v>
      </c>
      <c r="F5254" s="2" t="s">
        <v>10</v>
      </c>
      <c r="G5254" s="2" t="s">
        <v>10</v>
      </c>
    </row>
    <row r="5255" ht="14.25" customHeight="1">
      <c r="A5255" s="1" t="s">
        <v>4502</v>
      </c>
      <c r="B5255" s="1" t="s">
        <v>8</v>
      </c>
      <c r="C5255" s="2" t="s">
        <v>32</v>
      </c>
      <c r="D5255" s="2">
        <v>7.4</v>
      </c>
      <c r="E5255" s="2">
        <v>2010.0</v>
      </c>
      <c r="F5255" s="2" t="s">
        <v>10</v>
      </c>
      <c r="G5255" s="2" t="s">
        <v>10</v>
      </c>
    </row>
    <row r="5256" ht="14.25" customHeight="1">
      <c r="A5256" s="1" t="s">
        <v>4503</v>
      </c>
      <c r="B5256" s="1" t="s">
        <v>8</v>
      </c>
      <c r="C5256" s="2" t="s">
        <v>25</v>
      </c>
      <c r="D5256" s="2">
        <v>7.4</v>
      </c>
      <c r="E5256" s="2">
        <v>2023.0</v>
      </c>
      <c r="F5256" s="2" t="s">
        <v>10</v>
      </c>
      <c r="G5256" s="2">
        <v>6800000.0</v>
      </c>
    </row>
    <row r="5257" ht="14.25" customHeight="1">
      <c r="A5257" s="1" t="s">
        <v>4503</v>
      </c>
      <c r="B5257" s="1" t="s">
        <v>8</v>
      </c>
      <c r="C5257" s="2" t="s">
        <v>25</v>
      </c>
      <c r="D5257" s="2">
        <v>7.4</v>
      </c>
      <c r="E5257" s="2">
        <v>2023.0</v>
      </c>
      <c r="F5257" s="2" t="s">
        <v>10</v>
      </c>
      <c r="G5257" s="2">
        <v>9800000.0</v>
      </c>
    </row>
    <row r="5258" ht="14.25" customHeight="1">
      <c r="A5258" s="1" t="s">
        <v>4504</v>
      </c>
      <c r="B5258" s="1" t="s">
        <v>20</v>
      </c>
      <c r="C5258" s="2" t="s">
        <v>1271</v>
      </c>
      <c r="D5258" s="2">
        <v>7.4</v>
      </c>
      <c r="E5258" s="2">
        <v>1956.0</v>
      </c>
      <c r="F5258" s="2" t="s">
        <v>10</v>
      </c>
      <c r="G5258" s="2" t="s">
        <v>10</v>
      </c>
    </row>
    <row r="5259" ht="14.25" customHeight="1">
      <c r="A5259" s="1" t="s">
        <v>4505</v>
      </c>
      <c r="B5259" s="1" t="s">
        <v>20</v>
      </c>
      <c r="C5259" s="2" t="s">
        <v>157</v>
      </c>
      <c r="D5259" s="2">
        <v>7.4</v>
      </c>
      <c r="E5259" s="2">
        <v>1972.0</v>
      </c>
      <c r="F5259" s="2" t="s">
        <v>10</v>
      </c>
      <c r="G5259" s="2" t="s">
        <v>10</v>
      </c>
    </row>
    <row r="5260" ht="14.25" customHeight="1">
      <c r="A5260" s="1" t="s">
        <v>4506</v>
      </c>
      <c r="B5260" s="1" t="s">
        <v>8</v>
      </c>
      <c r="C5260" s="2" t="s">
        <v>2237</v>
      </c>
      <c r="D5260" s="2">
        <v>7.4</v>
      </c>
      <c r="E5260" s="2">
        <v>2022.0</v>
      </c>
      <c r="F5260" s="2" t="s">
        <v>10</v>
      </c>
      <c r="G5260" s="2" t="s">
        <v>10</v>
      </c>
    </row>
    <row r="5261" ht="14.25" customHeight="1">
      <c r="A5261" s="1" t="s">
        <v>4507</v>
      </c>
      <c r="B5261" s="1" t="s">
        <v>20</v>
      </c>
      <c r="C5261" s="2" t="s">
        <v>468</v>
      </c>
      <c r="D5261" s="2">
        <v>7.4</v>
      </c>
      <c r="E5261" s="2">
        <v>2006.0</v>
      </c>
      <c r="F5261" s="2" t="s">
        <v>10</v>
      </c>
      <c r="G5261" s="2" t="s">
        <v>10</v>
      </c>
    </row>
    <row r="5262" ht="14.25" customHeight="1">
      <c r="A5262" s="1" t="s">
        <v>4508</v>
      </c>
      <c r="B5262" s="1" t="s">
        <v>20</v>
      </c>
      <c r="C5262" s="2" t="s">
        <v>4509</v>
      </c>
      <c r="D5262" s="2">
        <v>7.4</v>
      </c>
      <c r="E5262" s="2">
        <v>1957.0</v>
      </c>
      <c r="F5262" s="2" t="s">
        <v>10</v>
      </c>
      <c r="G5262" s="2" t="s">
        <v>10</v>
      </c>
    </row>
    <row r="5263" ht="14.25" customHeight="1">
      <c r="A5263" s="1" t="s">
        <v>4510</v>
      </c>
      <c r="B5263" s="1" t="s">
        <v>20</v>
      </c>
      <c r="C5263" s="2" t="s">
        <v>36</v>
      </c>
      <c r="D5263" s="2">
        <v>7.4</v>
      </c>
      <c r="E5263" s="2">
        <v>2002.0</v>
      </c>
      <c r="F5263" s="2" t="s">
        <v>10</v>
      </c>
      <c r="G5263" s="2" t="s">
        <v>10</v>
      </c>
    </row>
    <row r="5264" ht="14.25" customHeight="1">
      <c r="A5264" s="1" t="s">
        <v>4511</v>
      </c>
      <c r="B5264" s="1" t="s">
        <v>20</v>
      </c>
      <c r="C5264" s="2" t="s">
        <v>53</v>
      </c>
      <c r="D5264" s="2">
        <v>7.4</v>
      </c>
      <c r="E5264" s="2">
        <v>2003.0</v>
      </c>
      <c r="F5264" s="2" t="s">
        <v>10</v>
      </c>
      <c r="G5264" s="2" t="s">
        <v>10</v>
      </c>
    </row>
    <row r="5265" ht="14.25" customHeight="1">
      <c r="A5265" s="1" t="s">
        <v>4512</v>
      </c>
      <c r="B5265" s="1" t="s">
        <v>8</v>
      </c>
      <c r="C5265" s="2" t="s">
        <v>9</v>
      </c>
      <c r="D5265" s="2">
        <v>7.4</v>
      </c>
      <c r="E5265" s="2">
        <v>2022.0</v>
      </c>
      <c r="F5265" s="2" t="s">
        <v>10</v>
      </c>
      <c r="G5265" s="2" t="s">
        <v>10</v>
      </c>
    </row>
    <row r="5266" ht="14.25" customHeight="1">
      <c r="A5266" s="1" t="s">
        <v>4513</v>
      </c>
      <c r="B5266" s="1" t="s">
        <v>20</v>
      </c>
      <c r="C5266" s="2" t="s">
        <v>18</v>
      </c>
      <c r="D5266" s="2">
        <v>7.4</v>
      </c>
      <c r="E5266" s="2">
        <v>1999.0</v>
      </c>
      <c r="F5266" s="2" t="s">
        <v>10</v>
      </c>
      <c r="G5266" s="2" t="s">
        <v>10</v>
      </c>
    </row>
    <row r="5267" ht="14.25" customHeight="1">
      <c r="A5267" s="1" t="s">
        <v>4514</v>
      </c>
      <c r="B5267" s="1" t="s">
        <v>8</v>
      </c>
      <c r="C5267" s="2" t="s">
        <v>299</v>
      </c>
      <c r="D5267" s="2">
        <v>7.4</v>
      </c>
      <c r="E5267" s="2">
        <v>2018.0</v>
      </c>
      <c r="F5267" s="2" t="s">
        <v>10</v>
      </c>
      <c r="G5267" s="2" t="s">
        <v>10</v>
      </c>
    </row>
    <row r="5268" ht="14.25" customHeight="1">
      <c r="A5268" s="1" t="s">
        <v>4515</v>
      </c>
      <c r="B5268" s="1" t="s">
        <v>8</v>
      </c>
      <c r="C5268" s="2" t="s">
        <v>258</v>
      </c>
      <c r="D5268" s="2">
        <v>7.4</v>
      </c>
      <c r="E5268" s="2">
        <v>2011.0</v>
      </c>
      <c r="F5268" s="2">
        <v>2017.0</v>
      </c>
      <c r="G5268" s="2" t="s">
        <v>10</v>
      </c>
    </row>
    <row r="5269" ht="14.25" customHeight="1">
      <c r="A5269" s="1" t="s">
        <v>4516</v>
      </c>
      <c r="B5269" s="1" t="s">
        <v>20</v>
      </c>
      <c r="C5269" s="2" t="s">
        <v>63</v>
      </c>
      <c r="D5269" s="2">
        <v>7.4</v>
      </c>
      <c r="E5269" s="2">
        <v>1987.0</v>
      </c>
      <c r="F5269" s="2" t="s">
        <v>10</v>
      </c>
      <c r="G5269" s="2" t="s">
        <v>10</v>
      </c>
    </row>
    <row r="5270" ht="14.25" customHeight="1">
      <c r="A5270" s="1" t="s">
        <v>4517</v>
      </c>
      <c r="B5270" s="1" t="s">
        <v>20</v>
      </c>
      <c r="C5270" s="2" t="s">
        <v>725</v>
      </c>
      <c r="D5270" s="2">
        <v>7.4</v>
      </c>
      <c r="E5270" s="2">
        <v>1930.0</v>
      </c>
      <c r="F5270" s="2">
        <v>2020.0</v>
      </c>
      <c r="G5270" s="2" t="s">
        <v>10</v>
      </c>
    </row>
    <row r="5271" ht="14.25" customHeight="1">
      <c r="A5271" s="1" t="s">
        <v>4518</v>
      </c>
      <c r="B5271" s="1" t="s">
        <v>8</v>
      </c>
      <c r="C5271" s="2" t="s">
        <v>311</v>
      </c>
      <c r="D5271" s="2">
        <v>7.4</v>
      </c>
      <c r="E5271" s="2">
        <v>2022.0</v>
      </c>
      <c r="F5271" s="2" t="s">
        <v>10</v>
      </c>
      <c r="G5271" s="2">
        <v>1.092E7</v>
      </c>
    </row>
    <row r="5272" ht="14.25" customHeight="1">
      <c r="A5272" s="1" t="s">
        <v>4519</v>
      </c>
      <c r="B5272" s="1" t="s">
        <v>20</v>
      </c>
      <c r="C5272" s="2" t="s">
        <v>69</v>
      </c>
      <c r="D5272" s="2">
        <v>7.4</v>
      </c>
      <c r="E5272" s="2">
        <v>2013.0</v>
      </c>
      <c r="F5272" s="2" t="s">
        <v>10</v>
      </c>
      <c r="G5272" s="2" t="s">
        <v>10</v>
      </c>
    </row>
    <row r="5273" ht="14.25" customHeight="1">
      <c r="A5273" s="1" t="s">
        <v>4520</v>
      </c>
      <c r="B5273" s="1" t="s">
        <v>20</v>
      </c>
      <c r="C5273" s="2" t="s">
        <v>154</v>
      </c>
      <c r="D5273" s="2">
        <v>7.4</v>
      </c>
      <c r="E5273" s="2">
        <v>1938.0</v>
      </c>
      <c r="F5273" s="2">
        <v>2019.0</v>
      </c>
      <c r="G5273" s="2" t="s">
        <v>10</v>
      </c>
    </row>
    <row r="5274" ht="14.25" customHeight="1">
      <c r="A5274" s="1" t="s">
        <v>4521</v>
      </c>
      <c r="B5274" s="1" t="s">
        <v>20</v>
      </c>
      <c r="C5274" s="2" t="s">
        <v>44</v>
      </c>
      <c r="D5274" s="2">
        <v>7.4</v>
      </c>
      <c r="E5274" s="2">
        <v>1971.0</v>
      </c>
      <c r="F5274" s="2" t="s">
        <v>10</v>
      </c>
      <c r="G5274" s="2" t="s">
        <v>10</v>
      </c>
    </row>
    <row r="5275" ht="14.25" customHeight="1">
      <c r="A5275" s="1" t="s">
        <v>4522</v>
      </c>
      <c r="B5275" s="1" t="s">
        <v>8</v>
      </c>
      <c r="C5275" s="2" t="s">
        <v>125</v>
      </c>
      <c r="D5275" s="2">
        <v>7.4</v>
      </c>
      <c r="E5275" s="2">
        <v>2016.0</v>
      </c>
      <c r="F5275" s="2">
        <v>2018.0</v>
      </c>
      <c r="G5275" s="2" t="s">
        <v>10</v>
      </c>
    </row>
    <row r="5276" ht="14.25" customHeight="1">
      <c r="A5276" s="1" t="s">
        <v>4523</v>
      </c>
      <c r="B5276" s="1" t="s">
        <v>20</v>
      </c>
      <c r="C5276" s="2" t="s">
        <v>249</v>
      </c>
      <c r="D5276" s="2">
        <v>7.4</v>
      </c>
      <c r="E5276" s="2">
        <v>1962.0</v>
      </c>
      <c r="F5276" s="2" t="s">
        <v>10</v>
      </c>
      <c r="G5276" s="2" t="s">
        <v>10</v>
      </c>
    </row>
    <row r="5277" ht="14.25" customHeight="1">
      <c r="A5277" s="1" t="s">
        <v>4524</v>
      </c>
      <c r="B5277" s="1" t="s">
        <v>20</v>
      </c>
      <c r="C5277" s="2" t="s">
        <v>4525</v>
      </c>
      <c r="D5277" s="2">
        <v>7.4</v>
      </c>
      <c r="E5277" s="2">
        <v>1973.0</v>
      </c>
      <c r="F5277" s="2" t="s">
        <v>10</v>
      </c>
      <c r="G5277" s="2" t="s">
        <v>10</v>
      </c>
    </row>
    <row r="5278" ht="14.25" customHeight="1">
      <c r="A5278" s="1" t="s">
        <v>4526</v>
      </c>
      <c r="B5278" s="1" t="s">
        <v>8</v>
      </c>
      <c r="C5278" s="2" t="s">
        <v>69</v>
      </c>
      <c r="D5278" s="2">
        <v>7.4</v>
      </c>
      <c r="E5278" s="2">
        <v>2010.0</v>
      </c>
      <c r="F5278" s="2" t="s">
        <v>10</v>
      </c>
      <c r="G5278" s="2" t="s">
        <v>10</v>
      </c>
    </row>
    <row r="5279" ht="14.25" customHeight="1">
      <c r="A5279" s="1" t="s">
        <v>4527</v>
      </c>
      <c r="B5279" s="1" t="s">
        <v>8</v>
      </c>
      <c r="C5279" s="2" t="s">
        <v>727</v>
      </c>
      <c r="D5279" s="2">
        <v>7.4</v>
      </c>
      <c r="E5279" s="2">
        <v>2021.0</v>
      </c>
      <c r="F5279" s="2" t="s">
        <v>10</v>
      </c>
      <c r="G5279" s="2" t="s">
        <v>10</v>
      </c>
    </row>
    <row r="5280" ht="14.25" customHeight="1">
      <c r="A5280" s="1" t="s">
        <v>4528</v>
      </c>
      <c r="B5280" s="1" t="s">
        <v>20</v>
      </c>
      <c r="C5280" s="2" t="s">
        <v>1375</v>
      </c>
      <c r="D5280" s="2">
        <v>7.4</v>
      </c>
      <c r="E5280" s="2">
        <v>2023.0</v>
      </c>
      <c r="F5280" s="2" t="s">
        <v>10</v>
      </c>
      <c r="G5280" s="2" t="s">
        <v>10</v>
      </c>
    </row>
    <row r="5281" ht="14.25" customHeight="1">
      <c r="A5281" s="1" t="s">
        <v>4529</v>
      </c>
      <c r="B5281" s="1" t="s">
        <v>20</v>
      </c>
      <c r="C5281" s="2" t="s">
        <v>69</v>
      </c>
      <c r="D5281" s="2">
        <v>7.4</v>
      </c>
      <c r="E5281" s="2">
        <v>2022.0</v>
      </c>
      <c r="F5281" s="2" t="s">
        <v>10</v>
      </c>
      <c r="G5281" s="2" t="s">
        <v>10</v>
      </c>
    </row>
    <row r="5282" ht="14.25" customHeight="1">
      <c r="A5282" s="1" t="s">
        <v>4530</v>
      </c>
      <c r="B5282" s="1" t="s">
        <v>8</v>
      </c>
      <c r="C5282" s="2" t="s">
        <v>25</v>
      </c>
      <c r="D5282" s="2">
        <v>7.4</v>
      </c>
      <c r="E5282" s="2">
        <v>2007.0</v>
      </c>
      <c r="F5282" s="2">
        <v>2015.0</v>
      </c>
      <c r="G5282" s="2" t="s">
        <v>10</v>
      </c>
    </row>
    <row r="5283" ht="14.25" customHeight="1">
      <c r="A5283" s="1" t="s">
        <v>4531</v>
      </c>
      <c r="B5283" s="1" t="s">
        <v>20</v>
      </c>
      <c r="C5283" s="2" t="s">
        <v>18</v>
      </c>
      <c r="D5283" s="2">
        <v>7.4</v>
      </c>
      <c r="E5283" s="2">
        <v>2003.0</v>
      </c>
      <c r="F5283" s="2" t="s">
        <v>10</v>
      </c>
      <c r="G5283" s="2" t="s">
        <v>10</v>
      </c>
    </row>
    <row r="5284" ht="14.25" customHeight="1">
      <c r="A5284" s="1" t="s">
        <v>4532</v>
      </c>
      <c r="B5284" s="1" t="s">
        <v>20</v>
      </c>
      <c r="C5284" s="2" t="s">
        <v>284</v>
      </c>
      <c r="D5284" s="2">
        <v>7.4</v>
      </c>
      <c r="E5284" s="2">
        <v>1965.0</v>
      </c>
      <c r="F5284" s="2" t="s">
        <v>10</v>
      </c>
      <c r="G5284" s="2" t="s">
        <v>10</v>
      </c>
    </row>
    <row r="5285" ht="14.25" customHeight="1">
      <c r="A5285" s="1" t="s">
        <v>4533</v>
      </c>
      <c r="B5285" s="1" t="s">
        <v>20</v>
      </c>
      <c r="C5285" s="2" t="s">
        <v>1060</v>
      </c>
      <c r="D5285" s="2">
        <v>7.4</v>
      </c>
      <c r="E5285" s="2">
        <v>2000.0</v>
      </c>
      <c r="F5285" s="2" t="s">
        <v>10</v>
      </c>
      <c r="G5285" s="2" t="s">
        <v>10</v>
      </c>
    </row>
    <row r="5286" ht="14.25" customHeight="1">
      <c r="A5286" s="1" t="s">
        <v>4534</v>
      </c>
      <c r="B5286" s="1" t="s">
        <v>20</v>
      </c>
      <c r="C5286" s="2" t="s">
        <v>187</v>
      </c>
      <c r="D5286" s="2">
        <v>7.4</v>
      </c>
      <c r="E5286" s="2">
        <v>1967.0</v>
      </c>
      <c r="F5286" s="2" t="s">
        <v>10</v>
      </c>
      <c r="G5286" s="2" t="s">
        <v>10</v>
      </c>
    </row>
    <row r="5287" ht="14.25" customHeight="1">
      <c r="A5287" s="1" t="s">
        <v>4535</v>
      </c>
      <c r="B5287" s="1" t="s">
        <v>20</v>
      </c>
      <c r="C5287" s="2" t="s">
        <v>719</v>
      </c>
      <c r="D5287" s="2">
        <v>7.4</v>
      </c>
      <c r="E5287" s="2">
        <v>1940.0</v>
      </c>
      <c r="F5287" s="2" t="s">
        <v>10</v>
      </c>
      <c r="G5287" s="2" t="s">
        <v>10</v>
      </c>
    </row>
    <row r="5288" ht="14.25" customHeight="1">
      <c r="A5288" s="1" t="s">
        <v>4536</v>
      </c>
      <c r="B5288" s="1" t="s">
        <v>20</v>
      </c>
      <c r="C5288" s="2" t="s">
        <v>63</v>
      </c>
      <c r="D5288" s="2">
        <v>7.4</v>
      </c>
      <c r="E5288" s="2">
        <v>2015.0</v>
      </c>
      <c r="F5288" s="2" t="s">
        <v>10</v>
      </c>
      <c r="G5288" s="2" t="s">
        <v>10</v>
      </c>
    </row>
    <row r="5289" ht="14.25" customHeight="1">
      <c r="A5289" s="1" t="s">
        <v>4537</v>
      </c>
      <c r="B5289" s="1" t="s">
        <v>20</v>
      </c>
      <c r="C5289" s="2" t="s">
        <v>80</v>
      </c>
      <c r="D5289" s="2">
        <v>7.4</v>
      </c>
      <c r="E5289" s="2">
        <v>1987.0</v>
      </c>
      <c r="F5289" s="2" t="s">
        <v>10</v>
      </c>
      <c r="G5289" s="2" t="s">
        <v>10</v>
      </c>
    </row>
    <row r="5290" ht="14.25" customHeight="1">
      <c r="A5290" s="1" t="s">
        <v>4538</v>
      </c>
      <c r="B5290" s="1" t="s">
        <v>8</v>
      </c>
      <c r="C5290" s="2" t="s">
        <v>173</v>
      </c>
      <c r="D5290" s="2">
        <v>7.4</v>
      </c>
      <c r="E5290" s="2">
        <v>2003.0</v>
      </c>
      <c r="F5290" s="2" t="s">
        <v>10</v>
      </c>
      <c r="G5290" s="2" t="s">
        <v>10</v>
      </c>
    </row>
    <row r="5291" ht="14.25" customHeight="1">
      <c r="A5291" s="1" t="s">
        <v>4215</v>
      </c>
      <c r="B5291" s="1" t="s">
        <v>8</v>
      </c>
      <c r="C5291" s="2" t="s">
        <v>686</v>
      </c>
      <c r="D5291" s="2">
        <v>7.4</v>
      </c>
      <c r="E5291" s="2">
        <v>2016.0</v>
      </c>
      <c r="F5291" s="2">
        <v>2016.0</v>
      </c>
      <c r="G5291" s="2" t="s">
        <v>10</v>
      </c>
    </row>
    <row r="5292" ht="14.25" customHeight="1">
      <c r="A5292" s="1" t="s">
        <v>4539</v>
      </c>
      <c r="B5292" s="1" t="s">
        <v>8</v>
      </c>
      <c r="C5292" s="2" t="s">
        <v>9</v>
      </c>
      <c r="D5292" s="2">
        <v>7.4</v>
      </c>
      <c r="E5292" s="2">
        <v>2017.0</v>
      </c>
      <c r="F5292" s="2">
        <v>2017.0</v>
      </c>
      <c r="G5292" s="2" t="s">
        <v>10</v>
      </c>
    </row>
    <row r="5293" ht="14.25" customHeight="1">
      <c r="A5293" s="1" t="s">
        <v>4540</v>
      </c>
      <c r="B5293" s="1" t="s">
        <v>20</v>
      </c>
      <c r="C5293" s="2" t="s">
        <v>725</v>
      </c>
      <c r="D5293" s="2">
        <v>7.4</v>
      </c>
      <c r="E5293" s="2">
        <v>1931.0</v>
      </c>
      <c r="F5293" s="2" t="s">
        <v>10</v>
      </c>
      <c r="G5293" s="2" t="s">
        <v>10</v>
      </c>
    </row>
    <row r="5294" ht="14.25" customHeight="1">
      <c r="A5294" s="1" t="s">
        <v>4541</v>
      </c>
      <c r="B5294" s="1" t="s">
        <v>20</v>
      </c>
      <c r="C5294" s="2" t="s">
        <v>4542</v>
      </c>
      <c r="D5294" s="2">
        <v>7.4</v>
      </c>
      <c r="E5294" s="2">
        <v>1979.0</v>
      </c>
      <c r="F5294" s="2" t="s">
        <v>10</v>
      </c>
      <c r="G5294" s="2" t="s">
        <v>10</v>
      </c>
    </row>
    <row r="5295" ht="14.25" customHeight="1">
      <c r="A5295" s="1" t="s">
        <v>4543</v>
      </c>
      <c r="B5295" s="1" t="s">
        <v>20</v>
      </c>
      <c r="C5295" s="2" t="s">
        <v>44</v>
      </c>
      <c r="D5295" s="2">
        <v>7.4</v>
      </c>
      <c r="E5295" s="2">
        <v>2010.0</v>
      </c>
      <c r="F5295" s="2">
        <v>2010.0</v>
      </c>
      <c r="G5295" s="2" t="s">
        <v>10</v>
      </c>
    </row>
    <row r="5296" ht="14.25" customHeight="1">
      <c r="A5296" s="1" t="s">
        <v>4544</v>
      </c>
      <c r="B5296" s="1" t="s">
        <v>8</v>
      </c>
      <c r="C5296" s="2" t="s">
        <v>481</v>
      </c>
      <c r="D5296" s="2">
        <v>7.4</v>
      </c>
      <c r="E5296" s="2">
        <v>2017.0</v>
      </c>
      <c r="F5296" s="2">
        <v>2019.0</v>
      </c>
      <c r="G5296" s="2" t="s">
        <v>10</v>
      </c>
    </row>
    <row r="5297" ht="14.25" customHeight="1">
      <c r="A5297" s="1" t="s">
        <v>4545</v>
      </c>
      <c r="B5297" s="1" t="s">
        <v>20</v>
      </c>
      <c r="C5297" s="2" t="s">
        <v>815</v>
      </c>
      <c r="D5297" s="2">
        <v>7.4</v>
      </c>
      <c r="E5297" s="2">
        <v>1988.0</v>
      </c>
      <c r="F5297" s="2" t="s">
        <v>10</v>
      </c>
      <c r="G5297" s="2" t="s">
        <v>10</v>
      </c>
    </row>
    <row r="5298" ht="14.25" customHeight="1">
      <c r="A5298" s="1" t="s">
        <v>4546</v>
      </c>
      <c r="B5298" s="1" t="s">
        <v>20</v>
      </c>
      <c r="C5298" s="2" t="s">
        <v>253</v>
      </c>
      <c r="D5298" s="2">
        <v>7.4</v>
      </c>
      <c r="E5298" s="2">
        <v>2011.0</v>
      </c>
      <c r="F5298" s="2" t="s">
        <v>10</v>
      </c>
      <c r="G5298" s="2" t="s">
        <v>10</v>
      </c>
    </row>
    <row r="5299" ht="14.25" customHeight="1">
      <c r="A5299" s="1" t="s">
        <v>4547</v>
      </c>
      <c r="B5299" s="1" t="s">
        <v>20</v>
      </c>
      <c r="C5299" s="2" t="s">
        <v>249</v>
      </c>
      <c r="D5299" s="2">
        <v>7.4</v>
      </c>
      <c r="E5299" s="2">
        <v>1967.0</v>
      </c>
      <c r="F5299" s="2" t="s">
        <v>10</v>
      </c>
      <c r="G5299" s="2" t="s">
        <v>10</v>
      </c>
    </row>
    <row r="5300" ht="14.25" customHeight="1">
      <c r="A5300" s="1" t="s">
        <v>4548</v>
      </c>
      <c r="B5300" s="1" t="s">
        <v>20</v>
      </c>
      <c r="C5300" s="2" t="s">
        <v>9</v>
      </c>
      <c r="D5300" s="2">
        <v>7.4</v>
      </c>
      <c r="E5300" s="2">
        <v>2002.0</v>
      </c>
      <c r="F5300" s="2" t="s">
        <v>10</v>
      </c>
      <c r="G5300" s="2" t="s">
        <v>10</v>
      </c>
    </row>
    <row r="5301" ht="14.25" customHeight="1">
      <c r="A5301" s="1" t="s">
        <v>4549</v>
      </c>
      <c r="B5301" s="1" t="s">
        <v>8</v>
      </c>
      <c r="C5301" s="2" t="s">
        <v>18</v>
      </c>
      <c r="D5301" s="2">
        <v>7.4</v>
      </c>
      <c r="E5301" s="2">
        <v>2015.0</v>
      </c>
      <c r="F5301" s="2" t="s">
        <v>10</v>
      </c>
      <c r="G5301" s="2" t="s">
        <v>10</v>
      </c>
    </row>
    <row r="5302" ht="14.25" customHeight="1">
      <c r="A5302" s="1" t="s">
        <v>4550</v>
      </c>
      <c r="B5302" s="1" t="s">
        <v>20</v>
      </c>
      <c r="C5302" s="2" t="s">
        <v>18</v>
      </c>
      <c r="D5302" s="2">
        <v>7.4</v>
      </c>
      <c r="E5302" s="2">
        <v>1984.0</v>
      </c>
      <c r="F5302" s="2" t="s">
        <v>10</v>
      </c>
      <c r="G5302" s="2" t="s">
        <v>10</v>
      </c>
    </row>
    <row r="5303" ht="14.25" customHeight="1">
      <c r="A5303" s="1" t="s">
        <v>4551</v>
      </c>
      <c r="B5303" s="1" t="s">
        <v>20</v>
      </c>
      <c r="C5303" s="2" t="s">
        <v>87</v>
      </c>
      <c r="D5303" s="2">
        <v>7.4</v>
      </c>
      <c r="E5303" s="2">
        <v>2013.0</v>
      </c>
      <c r="F5303" s="2">
        <v>2013.0</v>
      </c>
      <c r="G5303" s="2" t="s">
        <v>10</v>
      </c>
    </row>
    <row r="5304" ht="14.25" customHeight="1">
      <c r="A5304" s="1" t="s">
        <v>2275</v>
      </c>
      <c r="B5304" s="1" t="s">
        <v>8</v>
      </c>
      <c r="C5304" s="2" t="s">
        <v>25</v>
      </c>
      <c r="D5304" s="2">
        <v>7.4</v>
      </c>
      <c r="E5304" s="2">
        <v>2004.0</v>
      </c>
      <c r="F5304" s="2" t="s">
        <v>10</v>
      </c>
      <c r="G5304" s="2" t="s">
        <v>10</v>
      </c>
    </row>
    <row r="5305" ht="14.25" customHeight="1">
      <c r="A5305" s="1" t="s">
        <v>4552</v>
      </c>
      <c r="B5305" s="1" t="s">
        <v>20</v>
      </c>
      <c r="C5305" s="2" t="s">
        <v>12</v>
      </c>
      <c r="D5305" s="2">
        <v>7.4</v>
      </c>
      <c r="E5305" s="2">
        <v>2013.0</v>
      </c>
      <c r="F5305" s="2" t="s">
        <v>10</v>
      </c>
      <c r="G5305" s="2" t="s">
        <v>10</v>
      </c>
    </row>
    <row r="5306" ht="14.25" customHeight="1">
      <c r="A5306" s="1" t="s">
        <v>4553</v>
      </c>
      <c r="B5306" s="1" t="s">
        <v>20</v>
      </c>
      <c r="C5306" s="2" t="s">
        <v>12</v>
      </c>
      <c r="D5306" s="2">
        <v>7.4</v>
      </c>
      <c r="E5306" s="2">
        <v>2022.0</v>
      </c>
      <c r="F5306" s="2" t="s">
        <v>10</v>
      </c>
      <c r="G5306" s="2">
        <v>9910000.0</v>
      </c>
    </row>
    <row r="5307" ht="14.25" customHeight="1">
      <c r="A5307" s="1" t="s">
        <v>4553</v>
      </c>
      <c r="B5307" s="1" t="s">
        <v>20</v>
      </c>
      <c r="C5307" s="2" t="s">
        <v>12</v>
      </c>
      <c r="D5307" s="2">
        <v>7.4</v>
      </c>
      <c r="E5307" s="2">
        <v>2022.0</v>
      </c>
      <c r="F5307" s="2" t="s">
        <v>10</v>
      </c>
      <c r="G5307" s="2">
        <v>7420000.0</v>
      </c>
    </row>
    <row r="5308" ht="14.25" customHeight="1">
      <c r="A5308" s="1" t="s">
        <v>4554</v>
      </c>
      <c r="B5308" s="1" t="s">
        <v>20</v>
      </c>
      <c r="C5308" s="2" t="s">
        <v>187</v>
      </c>
      <c r="D5308" s="2">
        <v>7.4</v>
      </c>
      <c r="E5308" s="2">
        <v>2004.0</v>
      </c>
      <c r="F5308" s="2" t="s">
        <v>10</v>
      </c>
      <c r="G5308" s="2" t="s">
        <v>10</v>
      </c>
    </row>
    <row r="5309" ht="14.25" customHeight="1">
      <c r="A5309" s="1" t="s">
        <v>4555</v>
      </c>
      <c r="B5309" s="1" t="s">
        <v>20</v>
      </c>
      <c r="C5309" s="2" t="s">
        <v>18</v>
      </c>
      <c r="D5309" s="2">
        <v>7.4</v>
      </c>
      <c r="E5309" s="2">
        <v>2006.0</v>
      </c>
      <c r="F5309" s="2" t="s">
        <v>10</v>
      </c>
      <c r="G5309" s="2" t="s">
        <v>10</v>
      </c>
    </row>
    <row r="5310" ht="14.25" customHeight="1">
      <c r="A5310" s="1" t="s">
        <v>4556</v>
      </c>
      <c r="B5310" s="1" t="s">
        <v>20</v>
      </c>
      <c r="C5310" s="2" t="s">
        <v>1316</v>
      </c>
      <c r="D5310" s="2">
        <v>7.4</v>
      </c>
      <c r="E5310" s="2">
        <v>1959.0</v>
      </c>
      <c r="F5310" s="2" t="s">
        <v>10</v>
      </c>
      <c r="G5310" s="2" t="s">
        <v>10</v>
      </c>
    </row>
    <row r="5311" ht="14.25" customHeight="1">
      <c r="A5311" s="1" t="s">
        <v>4557</v>
      </c>
      <c r="B5311" s="1" t="s">
        <v>20</v>
      </c>
      <c r="C5311" s="2" t="s">
        <v>67</v>
      </c>
      <c r="D5311" s="2">
        <v>7.4</v>
      </c>
      <c r="E5311" s="2">
        <v>1997.0</v>
      </c>
      <c r="F5311" s="2" t="s">
        <v>10</v>
      </c>
      <c r="G5311" s="2" t="s">
        <v>10</v>
      </c>
    </row>
    <row r="5312" ht="14.25" customHeight="1">
      <c r="A5312" s="1" t="s">
        <v>4558</v>
      </c>
      <c r="B5312" s="1" t="s">
        <v>8</v>
      </c>
      <c r="C5312" s="2" t="s">
        <v>32</v>
      </c>
      <c r="D5312" s="2">
        <v>7.4</v>
      </c>
      <c r="E5312" s="2">
        <v>2013.0</v>
      </c>
      <c r="F5312" s="2" t="s">
        <v>10</v>
      </c>
      <c r="G5312" s="2" t="s">
        <v>10</v>
      </c>
    </row>
    <row r="5313" ht="14.25" customHeight="1">
      <c r="A5313" s="1" t="s">
        <v>4559</v>
      </c>
      <c r="B5313" s="1" t="s">
        <v>20</v>
      </c>
      <c r="C5313" s="2" t="s">
        <v>63</v>
      </c>
      <c r="D5313" s="2">
        <v>7.4</v>
      </c>
      <c r="E5313" s="2">
        <v>2011.0</v>
      </c>
      <c r="F5313" s="2" t="s">
        <v>10</v>
      </c>
      <c r="G5313" s="2" t="s">
        <v>10</v>
      </c>
    </row>
    <row r="5314" ht="14.25" customHeight="1">
      <c r="A5314" s="1" t="s">
        <v>4560</v>
      </c>
      <c r="B5314" s="1" t="s">
        <v>8</v>
      </c>
      <c r="C5314" s="2" t="s">
        <v>1301</v>
      </c>
      <c r="D5314" s="2">
        <v>7.4</v>
      </c>
      <c r="E5314" s="2">
        <v>2005.0</v>
      </c>
      <c r="F5314" s="2" t="s">
        <v>10</v>
      </c>
      <c r="G5314" s="2" t="s">
        <v>10</v>
      </c>
    </row>
    <row r="5315" ht="14.25" customHeight="1">
      <c r="A5315" s="1" t="s">
        <v>4561</v>
      </c>
      <c r="B5315" s="1" t="s">
        <v>20</v>
      </c>
      <c r="C5315" s="2" t="s">
        <v>80</v>
      </c>
      <c r="D5315" s="2">
        <v>7.4</v>
      </c>
      <c r="E5315" s="2">
        <v>2015.0</v>
      </c>
      <c r="F5315" s="2">
        <v>2015.0</v>
      </c>
      <c r="G5315" s="2" t="s">
        <v>10</v>
      </c>
    </row>
    <row r="5316" ht="14.25" customHeight="1">
      <c r="A5316" s="1" t="s">
        <v>4562</v>
      </c>
      <c r="B5316" s="1" t="s">
        <v>8</v>
      </c>
      <c r="C5316" s="2" t="s">
        <v>69</v>
      </c>
      <c r="D5316" s="2">
        <v>7.4</v>
      </c>
      <c r="E5316" s="2">
        <v>2014.0</v>
      </c>
      <c r="F5316" s="2" t="s">
        <v>10</v>
      </c>
      <c r="G5316" s="2" t="s">
        <v>10</v>
      </c>
    </row>
    <row r="5317" ht="14.25" customHeight="1">
      <c r="A5317" s="1" t="s">
        <v>4563</v>
      </c>
      <c r="B5317" s="1" t="s">
        <v>20</v>
      </c>
      <c r="C5317" s="2" t="s">
        <v>18</v>
      </c>
      <c r="D5317" s="2">
        <v>7.4</v>
      </c>
      <c r="E5317" s="2">
        <v>2024.0</v>
      </c>
      <c r="F5317" s="2" t="s">
        <v>10</v>
      </c>
      <c r="G5317" s="2" t="s">
        <v>10</v>
      </c>
    </row>
    <row r="5318" ht="14.25" customHeight="1">
      <c r="A5318" s="1" t="s">
        <v>4564</v>
      </c>
      <c r="B5318" s="1" t="s">
        <v>20</v>
      </c>
      <c r="C5318" s="2" t="s">
        <v>154</v>
      </c>
      <c r="D5318" s="2">
        <v>7.4</v>
      </c>
      <c r="E5318" s="2">
        <v>2006.0</v>
      </c>
      <c r="F5318" s="2" t="s">
        <v>10</v>
      </c>
      <c r="G5318" s="2" t="s">
        <v>10</v>
      </c>
    </row>
    <row r="5319" ht="14.25" customHeight="1">
      <c r="A5319" s="1" t="s">
        <v>4565</v>
      </c>
      <c r="B5319" s="1" t="s">
        <v>8</v>
      </c>
      <c r="C5319" s="2" t="s">
        <v>1144</v>
      </c>
      <c r="D5319" s="2">
        <v>7.4</v>
      </c>
      <c r="E5319" s="2">
        <v>2021.0</v>
      </c>
      <c r="F5319" s="2" t="s">
        <v>10</v>
      </c>
      <c r="G5319" s="2">
        <v>9220000.0</v>
      </c>
    </row>
    <row r="5320" ht="14.25" customHeight="1">
      <c r="A5320" s="1" t="s">
        <v>4566</v>
      </c>
      <c r="B5320" s="1" t="s">
        <v>8</v>
      </c>
      <c r="C5320" s="2" t="s">
        <v>154</v>
      </c>
      <c r="D5320" s="2">
        <v>7.4</v>
      </c>
      <c r="E5320" s="2">
        <v>2014.0</v>
      </c>
      <c r="F5320" s="2">
        <v>2017.0</v>
      </c>
      <c r="G5320" s="2" t="s">
        <v>10</v>
      </c>
    </row>
    <row r="5321" ht="14.25" customHeight="1">
      <c r="A5321" s="1" t="s">
        <v>4567</v>
      </c>
      <c r="B5321" s="1" t="s">
        <v>20</v>
      </c>
      <c r="C5321" s="2" t="s">
        <v>154</v>
      </c>
      <c r="D5321" s="2">
        <v>7.4</v>
      </c>
      <c r="E5321" s="2">
        <v>2005.0</v>
      </c>
      <c r="F5321" s="2" t="s">
        <v>10</v>
      </c>
      <c r="G5321" s="2" t="s">
        <v>10</v>
      </c>
    </row>
    <row r="5322" ht="14.25" customHeight="1">
      <c r="A5322" s="1" t="s">
        <v>4568</v>
      </c>
      <c r="B5322" s="1" t="s">
        <v>20</v>
      </c>
      <c r="C5322" s="2" t="s">
        <v>1100</v>
      </c>
      <c r="D5322" s="2">
        <v>7.4</v>
      </c>
      <c r="E5322" s="2">
        <v>2007.0</v>
      </c>
      <c r="F5322" s="2" t="s">
        <v>10</v>
      </c>
      <c r="G5322" s="2" t="s">
        <v>10</v>
      </c>
    </row>
    <row r="5323" ht="14.25" customHeight="1">
      <c r="A5323" s="1" t="s">
        <v>4569</v>
      </c>
      <c r="B5323" s="1" t="s">
        <v>20</v>
      </c>
      <c r="C5323" s="2" t="s">
        <v>18</v>
      </c>
      <c r="D5323" s="2">
        <v>7.4</v>
      </c>
      <c r="E5323" s="2">
        <v>2015.0</v>
      </c>
      <c r="F5323" s="2" t="s">
        <v>10</v>
      </c>
      <c r="G5323" s="2" t="s">
        <v>10</v>
      </c>
    </row>
    <row r="5324" ht="14.25" customHeight="1">
      <c r="A5324" s="1" t="s">
        <v>4570</v>
      </c>
      <c r="B5324" s="1" t="s">
        <v>20</v>
      </c>
      <c r="C5324" s="2" t="s">
        <v>169</v>
      </c>
      <c r="D5324" s="2">
        <v>7.4</v>
      </c>
      <c r="E5324" s="2">
        <v>2024.0</v>
      </c>
      <c r="F5324" s="2" t="s">
        <v>10</v>
      </c>
      <c r="G5324" s="2" t="s">
        <v>10</v>
      </c>
    </row>
    <row r="5325" ht="14.25" customHeight="1">
      <c r="A5325" s="1" t="s">
        <v>2738</v>
      </c>
      <c r="B5325" s="1" t="s">
        <v>8</v>
      </c>
      <c r="C5325" s="2" t="s">
        <v>226</v>
      </c>
      <c r="D5325" s="2">
        <v>7.4</v>
      </c>
      <c r="E5325" s="2">
        <v>2000.0</v>
      </c>
      <c r="F5325" s="2" t="s">
        <v>10</v>
      </c>
      <c r="G5325" s="2" t="s">
        <v>10</v>
      </c>
    </row>
    <row r="5326" ht="14.25" customHeight="1">
      <c r="A5326" s="1" t="s">
        <v>4571</v>
      </c>
      <c r="B5326" s="1" t="s">
        <v>20</v>
      </c>
      <c r="C5326" s="2" t="s">
        <v>63</v>
      </c>
      <c r="D5326" s="2">
        <v>7.4</v>
      </c>
      <c r="E5326" s="2">
        <v>2016.0</v>
      </c>
      <c r="F5326" s="2" t="s">
        <v>10</v>
      </c>
      <c r="G5326" s="2" t="s">
        <v>10</v>
      </c>
    </row>
    <row r="5327" ht="14.25" customHeight="1">
      <c r="A5327" s="1" t="s">
        <v>4572</v>
      </c>
      <c r="B5327" s="1" t="s">
        <v>20</v>
      </c>
      <c r="C5327" s="2" t="s">
        <v>184</v>
      </c>
      <c r="D5327" s="2">
        <v>7.4</v>
      </c>
      <c r="E5327" s="2">
        <v>2020.0</v>
      </c>
      <c r="F5327" s="2" t="s">
        <v>10</v>
      </c>
      <c r="G5327" s="2" t="s">
        <v>10</v>
      </c>
    </row>
    <row r="5328" ht="14.25" customHeight="1">
      <c r="A5328" s="1" t="s">
        <v>4573</v>
      </c>
      <c r="B5328" s="1" t="s">
        <v>20</v>
      </c>
      <c r="C5328" s="2" t="s">
        <v>2758</v>
      </c>
      <c r="D5328" s="2">
        <v>7.4</v>
      </c>
      <c r="E5328" s="2">
        <v>1969.0</v>
      </c>
      <c r="F5328" s="2" t="s">
        <v>10</v>
      </c>
      <c r="G5328" s="2" t="s">
        <v>10</v>
      </c>
    </row>
    <row r="5329" ht="14.25" customHeight="1">
      <c r="A5329" s="1" t="s">
        <v>4574</v>
      </c>
      <c r="B5329" s="1" t="s">
        <v>20</v>
      </c>
      <c r="C5329" s="2" t="s">
        <v>18</v>
      </c>
      <c r="D5329" s="2">
        <v>7.4</v>
      </c>
      <c r="E5329" s="2">
        <v>1970.0</v>
      </c>
      <c r="F5329" s="2" t="s">
        <v>10</v>
      </c>
      <c r="G5329" s="2" t="s">
        <v>10</v>
      </c>
    </row>
    <row r="5330" ht="14.25" customHeight="1">
      <c r="A5330" s="1" t="s">
        <v>4575</v>
      </c>
      <c r="B5330" s="1" t="s">
        <v>8</v>
      </c>
      <c r="C5330" s="2" t="s">
        <v>249</v>
      </c>
      <c r="D5330" s="2">
        <v>7.4</v>
      </c>
      <c r="E5330" s="2">
        <v>2023.0</v>
      </c>
      <c r="F5330" s="2" t="s">
        <v>10</v>
      </c>
      <c r="G5330" s="2" t="s">
        <v>10</v>
      </c>
    </row>
    <row r="5331" ht="14.25" customHeight="1">
      <c r="A5331" s="1" t="s">
        <v>4576</v>
      </c>
      <c r="B5331" s="1" t="s">
        <v>8</v>
      </c>
      <c r="C5331" s="2" t="s">
        <v>53</v>
      </c>
      <c r="D5331" s="2">
        <v>7.4</v>
      </c>
      <c r="E5331" s="2">
        <v>2008.0</v>
      </c>
      <c r="F5331" s="2" t="s">
        <v>10</v>
      </c>
      <c r="G5331" s="2" t="s">
        <v>10</v>
      </c>
    </row>
    <row r="5332" ht="14.25" customHeight="1">
      <c r="A5332" s="1" t="s">
        <v>4577</v>
      </c>
      <c r="B5332" s="1" t="s">
        <v>20</v>
      </c>
      <c r="C5332" s="2" t="s">
        <v>505</v>
      </c>
      <c r="D5332" s="2">
        <v>7.4</v>
      </c>
      <c r="E5332" s="2">
        <v>2008.0</v>
      </c>
      <c r="F5332" s="2">
        <v>2008.0</v>
      </c>
      <c r="G5332" s="2" t="s">
        <v>10</v>
      </c>
    </row>
    <row r="5333" ht="14.25" customHeight="1">
      <c r="A5333" s="1" t="s">
        <v>4578</v>
      </c>
      <c r="B5333" s="1" t="s">
        <v>20</v>
      </c>
      <c r="C5333" s="2" t="s">
        <v>63</v>
      </c>
      <c r="D5333" s="2">
        <v>7.4</v>
      </c>
      <c r="E5333" s="2">
        <v>2010.0</v>
      </c>
      <c r="F5333" s="2" t="s">
        <v>10</v>
      </c>
      <c r="G5333" s="2" t="s">
        <v>10</v>
      </c>
    </row>
    <row r="5334" ht="14.25" customHeight="1">
      <c r="A5334" s="1" t="s">
        <v>4579</v>
      </c>
      <c r="B5334" s="1" t="s">
        <v>20</v>
      </c>
      <c r="C5334" s="2" t="s">
        <v>829</v>
      </c>
      <c r="D5334" s="2">
        <v>7.4</v>
      </c>
      <c r="E5334" s="2">
        <v>1953.0</v>
      </c>
      <c r="F5334" s="2" t="s">
        <v>10</v>
      </c>
      <c r="G5334" s="2" t="s">
        <v>10</v>
      </c>
    </row>
    <row r="5335" ht="14.25" customHeight="1">
      <c r="A5335" s="1" t="s">
        <v>4580</v>
      </c>
      <c r="B5335" s="1" t="s">
        <v>8</v>
      </c>
      <c r="C5335" s="2" t="s">
        <v>838</v>
      </c>
      <c r="D5335" s="2">
        <v>7.4</v>
      </c>
      <c r="E5335" s="2">
        <v>2016.0</v>
      </c>
      <c r="F5335" s="2" t="s">
        <v>10</v>
      </c>
      <c r="G5335" s="2" t="s">
        <v>10</v>
      </c>
    </row>
    <row r="5336" ht="14.25" customHeight="1">
      <c r="A5336" s="1" t="s">
        <v>4581</v>
      </c>
      <c r="B5336" s="1" t="s">
        <v>8</v>
      </c>
      <c r="C5336" s="2" t="s">
        <v>4582</v>
      </c>
      <c r="D5336" s="2">
        <v>7.4</v>
      </c>
      <c r="E5336" s="2">
        <v>2022.0</v>
      </c>
      <c r="F5336" s="2" t="s">
        <v>10</v>
      </c>
      <c r="G5336" s="2" t="s">
        <v>10</v>
      </c>
    </row>
    <row r="5337" ht="14.25" customHeight="1">
      <c r="A5337" s="1" t="s">
        <v>4583</v>
      </c>
      <c r="B5337" s="1" t="s">
        <v>20</v>
      </c>
      <c r="C5337" s="2" t="s">
        <v>179</v>
      </c>
      <c r="D5337" s="2">
        <v>7.4</v>
      </c>
      <c r="E5337" s="2">
        <v>2004.0</v>
      </c>
      <c r="F5337" s="2" t="s">
        <v>10</v>
      </c>
      <c r="G5337" s="2" t="s">
        <v>10</v>
      </c>
    </row>
    <row r="5338" ht="14.25" customHeight="1">
      <c r="A5338" s="1" t="s">
        <v>4584</v>
      </c>
      <c r="B5338" s="1" t="s">
        <v>20</v>
      </c>
      <c r="C5338" s="2" t="s">
        <v>32</v>
      </c>
      <c r="D5338" s="2">
        <v>7.4</v>
      </c>
      <c r="E5338" s="2">
        <v>1992.0</v>
      </c>
      <c r="F5338" s="2" t="s">
        <v>10</v>
      </c>
      <c r="G5338" s="2" t="s">
        <v>10</v>
      </c>
    </row>
    <row r="5339" ht="14.25" customHeight="1">
      <c r="A5339" s="1" t="s">
        <v>4585</v>
      </c>
      <c r="B5339" s="1" t="s">
        <v>8</v>
      </c>
      <c r="C5339" s="2" t="s">
        <v>36</v>
      </c>
      <c r="D5339" s="2">
        <v>7.4</v>
      </c>
      <c r="E5339" s="2">
        <v>2020.0</v>
      </c>
      <c r="F5339" s="2" t="s">
        <v>10</v>
      </c>
      <c r="G5339" s="2" t="s">
        <v>10</v>
      </c>
    </row>
    <row r="5340" ht="14.25" customHeight="1">
      <c r="A5340" s="1" t="s">
        <v>4586</v>
      </c>
      <c r="B5340" s="1" t="s">
        <v>20</v>
      </c>
      <c r="C5340" s="2" t="s">
        <v>18</v>
      </c>
      <c r="D5340" s="2">
        <v>7.4</v>
      </c>
      <c r="E5340" s="2">
        <v>1999.0</v>
      </c>
      <c r="F5340" s="2" t="s">
        <v>10</v>
      </c>
      <c r="G5340" s="2" t="s">
        <v>10</v>
      </c>
    </row>
    <row r="5341" ht="14.25" customHeight="1">
      <c r="A5341" s="1" t="s">
        <v>4587</v>
      </c>
      <c r="B5341" s="1" t="s">
        <v>20</v>
      </c>
      <c r="C5341" s="2" t="s">
        <v>154</v>
      </c>
      <c r="D5341" s="2">
        <v>7.4</v>
      </c>
      <c r="E5341" s="2">
        <v>1939.0</v>
      </c>
      <c r="F5341" s="2" t="s">
        <v>10</v>
      </c>
      <c r="G5341" s="2" t="s">
        <v>10</v>
      </c>
    </row>
    <row r="5342" ht="14.25" customHeight="1">
      <c r="A5342" s="1" t="s">
        <v>4588</v>
      </c>
      <c r="B5342" s="1" t="s">
        <v>20</v>
      </c>
      <c r="C5342" s="2" t="s">
        <v>207</v>
      </c>
      <c r="D5342" s="2">
        <v>7.4</v>
      </c>
      <c r="E5342" s="2">
        <v>1959.0</v>
      </c>
      <c r="F5342" s="2" t="s">
        <v>10</v>
      </c>
      <c r="G5342" s="2" t="s">
        <v>10</v>
      </c>
    </row>
    <row r="5343" ht="14.25" customHeight="1">
      <c r="A5343" s="1" t="s">
        <v>4589</v>
      </c>
      <c r="B5343" s="1" t="s">
        <v>20</v>
      </c>
      <c r="C5343" s="2" t="s">
        <v>36</v>
      </c>
      <c r="D5343" s="2">
        <v>7.4</v>
      </c>
      <c r="E5343" s="2">
        <v>1973.0</v>
      </c>
      <c r="F5343" s="2" t="s">
        <v>10</v>
      </c>
      <c r="G5343" s="2" t="s">
        <v>10</v>
      </c>
    </row>
    <row r="5344" ht="14.25" customHeight="1">
      <c r="A5344" s="1" t="s">
        <v>4590</v>
      </c>
      <c r="B5344" s="1" t="s">
        <v>20</v>
      </c>
      <c r="C5344" s="2" t="s">
        <v>34</v>
      </c>
      <c r="D5344" s="2">
        <v>7.4</v>
      </c>
      <c r="E5344" s="2">
        <v>1957.0</v>
      </c>
      <c r="F5344" s="2" t="s">
        <v>10</v>
      </c>
      <c r="G5344" s="2" t="s">
        <v>10</v>
      </c>
    </row>
    <row r="5345" ht="14.25" customHeight="1">
      <c r="A5345" s="1" t="s">
        <v>4591</v>
      </c>
      <c r="B5345" s="1" t="s">
        <v>20</v>
      </c>
      <c r="C5345" s="2" t="s">
        <v>63</v>
      </c>
      <c r="D5345" s="2">
        <v>7.4</v>
      </c>
      <c r="E5345" s="2">
        <v>1967.0</v>
      </c>
      <c r="F5345" s="2" t="s">
        <v>10</v>
      </c>
      <c r="G5345" s="2" t="s">
        <v>10</v>
      </c>
    </row>
    <row r="5346" ht="14.25" customHeight="1">
      <c r="A5346" s="1" t="s">
        <v>4592</v>
      </c>
      <c r="B5346" s="1" t="s">
        <v>20</v>
      </c>
      <c r="C5346" s="2" t="s">
        <v>530</v>
      </c>
      <c r="D5346" s="2">
        <v>7.4</v>
      </c>
      <c r="E5346" s="2">
        <v>1990.0</v>
      </c>
      <c r="F5346" s="2" t="s">
        <v>10</v>
      </c>
      <c r="G5346" s="2" t="s">
        <v>10</v>
      </c>
    </row>
    <row r="5347" ht="14.25" customHeight="1">
      <c r="A5347" s="1" t="s">
        <v>4593</v>
      </c>
      <c r="B5347" s="1" t="s">
        <v>8</v>
      </c>
      <c r="C5347" s="2" t="s">
        <v>53</v>
      </c>
      <c r="D5347" s="2">
        <v>7.4</v>
      </c>
      <c r="E5347" s="2">
        <v>2020.0</v>
      </c>
      <c r="F5347" s="2" t="s">
        <v>10</v>
      </c>
      <c r="G5347" s="2" t="s">
        <v>10</v>
      </c>
    </row>
    <row r="5348" ht="14.25" customHeight="1">
      <c r="A5348" s="1" t="s">
        <v>4594</v>
      </c>
      <c r="B5348" s="1" t="s">
        <v>20</v>
      </c>
      <c r="C5348" s="2" t="s">
        <v>9</v>
      </c>
      <c r="D5348" s="2">
        <v>7.4</v>
      </c>
      <c r="E5348" s="2">
        <v>1968.0</v>
      </c>
      <c r="F5348" s="2" t="s">
        <v>10</v>
      </c>
      <c r="G5348" s="2" t="s">
        <v>10</v>
      </c>
    </row>
    <row r="5349" ht="14.25" customHeight="1">
      <c r="A5349" s="1" t="s">
        <v>4595</v>
      </c>
      <c r="B5349" s="1" t="s">
        <v>8</v>
      </c>
      <c r="C5349" s="2" t="s">
        <v>1037</v>
      </c>
      <c r="D5349" s="2">
        <v>7.4</v>
      </c>
      <c r="E5349" s="2">
        <v>2013.0</v>
      </c>
      <c r="F5349" s="2" t="s">
        <v>10</v>
      </c>
      <c r="G5349" s="2" t="s">
        <v>10</v>
      </c>
    </row>
    <row r="5350" ht="14.25" customHeight="1">
      <c r="A5350" s="1" t="s">
        <v>4596</v>
      </c>
      <c r="B5350" s="1" t="s">
        <v>8</v>
      </c>
      <c r="C5350" s="2" t="s">
        <v>36</v>
      </c>
      <c r="D5350" s="2">
        <v>7.4</v>
      </c>
      <c r="E5350" s="2">
        <v>2014.0</v>
      </c>
      <c r="F5350" s="2" t="s">
        <v>10</v>
      </c>
      <c r="G5350" s="2" t="s">
        <v>10</v>
      </c>
    </row>
    <row r="5351" ht="14.25" customHeight="1">
      <c r="A5351" s="1" t="s">
        <v>4597</v>
      </c>
      <c r="B5351" s="1" t="s">
        <v>8</v>
      </c>
      <c r="C5351" s="2" t="s">
        <v>40</v>
      </c>
      <c r="D5351" s="2">
        <v>7.4</v>
      </c>
      <c r="E5351" s="2">
        <v>2020.0</v>
      </c>
      <c r="F5351" s="2" t="s">
        <v>10</v>
      </c>
      <c r="G5351" s="2" t="s">
        <v>10</v>
      </c>
    </row>
    <row r="5352" ht="14.25" customHeight="1">
      <c r="A5352" s="1" t="s">
        <v>4598</v>
      </c>
      <c r="B5352" s="1" t="s">
        <v>20</v>
      </c>
      <c r="C5352" s="2" t="s">
        <v>275</v>
      </c>
      <c r="D5352" s="2">
        <v>7.4</v>
      </c>
      <c r="E5352" s="2">
        <v>1993.0</v>
      </c>
      <c r="F5352" s="2" t="s">
        <v>10</v>
      </c>
      <c r="G5352" s="2" t="s">
        <v>10</v>
      </c>
    </row>
    <row r="5353" ht="14.25" customHeight="1">
      <c r="A5353" s="1" t="s">
        <v>4599</v>
      </c>
      <c r="B5353" s="1" t="s">
        <v>8</v>
      </c>
      <c r="C5353" s="2" t="s">
        <v>187</v>
      </c>
      <c r="D5353" s="2">
        <v>7.4</v>
      </c>
      <c r="E5353" s="2">
        <v>2020.0</v>
      </c>
      <c r="F5353" s="2">
        <v>2020.0</v>
      </c>
      <c r="G5353" s="2" t="s">
        <v>10</v>
      </c>
    </row>
    <row r="5354" ht="14.25" customHeight="1">
      <c r="A5354" s="1" t="s">
        <v>4600</v>
      </c>
      <c r="B5354" s="1" t="s">
        <v>20</v>
      </c>
      <c r="C5354" s="2" t="s">
        <v>18</v>
      </c>
      <c r="D5354" s="2">
        <v>7.4</v>
      </c>
      <c r="E5354" s="2">
        <v>2021.0</v>
      </c>
      <c r="F5354" s="2" t="s">
        <v>10</v>
      </c>
      <c r="G5354" s="2" t="s">
        <v>10</v>
      </c>
    </row>
    <row r="5355" ht="14.25" customHeight="1">
      <c r="A5355" s="1" t="s">
        <v>4601</v>
      </c>
      <c r="B5355" s="1" t="s">
        <v>20</v>
      </c>
      <c r="C5355" s="2" t="s">
        <v>36</v>
      </c>
      <c r="D5355" s="2">
        <v>7.4</v>
      </c>
      <c r="E5355" s="2">
        <v>1983.0</v>
      </c>
      <c r="F5355" s="2" t="s">
        <v>10</v>
      </c>
      <c r="G5355" s="2" t="s">
        <v>10</v>
      </c>
    </row>
    <row r="5356" ht="14.25" customHeight="1">
      <c r="A5356" s="1" t="s">
        <v>4602</v>
      </c>
      <c r="B5356" s="1" t="s">
        <v>8</v>
      </c>
      <c r="C5356" s="2" t="s">
        <v>32</v>
      </c>
      <c r="D5356" s="2">
        <v>7.4</v>
      </c>
      <c r="E5356" s="2">
        <v>2016.0</v>
      </c>
      <c r="F5356" s="2" t="s">
        <v>10</v>
      </c>
      <c r="G5356" s="2" t="s">
        <v>10</v>
      </c>
    </row>
    <row r="5357" ht="14.25" customHeight="1">
      <c r="A5357" s="1" t="s">
        <v>4603</v>
      </c>
      <c r="B5357" s="1" t="s">
        <v>20</v>
      </c>
      <c r="C5357" s="2" t="s">
        <v>4604</v>
      </c>
      <c r="D5357" s="2">
        <v>7.4</v>
      </c>
      <c r="E5357" s="2">
        <v>2014.0</v>
      </c>
      <c r="F5357" s="2" t="s">
        <v>10</v>
      </c>
      <c r="G5357" s="2" t="s">
        <v>10</v>
      </c>
    </row>
    <row r="5358" ht="14.25" customHeight="1">
      <c r="A5358" s="1" t="s">
        <v>4605</v>
      </c>
      <c r="B5358" s="1" t="s">
        <v>20</v>
      </c>
      <c r="C5358" s="2" t="s">
        <v>18</v>
      </c>
      <c r="D5358" s="2">
        <v>7.4</v>
      </c>
      <c r="E5358" s="2">
        <v>1968.0</v>
      </c>
      <c r="F5358" s="2" t="s">
        <v>10</v>
      </c>
      <c r="G5358" s="2" t="s">
        <v>10</v>
      </c>
    </row>
    <row r="5359" ht="14.25" customHeight="1">
      <c r="A5359" s="1" t="s">
        <v>4606</v>
      </c>
      <c r="B5359" s="1" t="s">
        <v>20</v>
      </c>
      <c r="C5359" s="2" t="s">
        <v>134</v>
      </c>
      <c r="D5359" s="2">
        <v>7.4</v>
      </c>
      <c r="E5359" s="2">
        <v>1939.0</v>
      </c>
      <c r="F5359" s="2" t="s">
        <v>10</v>
      </c>
      <c r="G5359" s="2" t="s">
        <v>10</v>
      </c>
    </row>
    <row r="5360" ht="14.25" customHeight="1">
      <c r="A5360" s="1" t="s">
        <v>4607</v>
      </c>
      <c r="B5360" s="1" t="s">
        <v>20</v>
      </c>
      <c r="C5360" s="2" t="s">
        <v>12</v>
      </c>
      <c r="D5360" s="2">
        <v>7.4</v>
      </c>
      <c r="E5360" s="2">
        <v>2019.0</v>
      </c>
      <c r="F5360" s="2">
        <v>2019.0</v>
      </c>
      <c r="G5360" s="2" t="s">
        <v>10</v>
      </c>
    </row>
    <row r="5361" ht="14.25" customHeight="1">
      <c r="A5361" s="1" t="s">
        <v>4608</v>
      </c>
      <c r="B5361" s="1" t="s">
        <v>8</v>
      </c>
      <c r="C5361" s="2" t="s">
        <v>564</v>
      </c>
      <c r="D5361" s="2">
        <v>7.4</v>
      </c>
      <c r="E5361" s="2">
        <v>2004.0</v>
      </c>
      <c r="F5361" s="2" t="s">
        <v>10</v>
      </c>
      <c r="G5361" s="2" t="s">
        <v>10</v>
      </c>
    </row>
    <row r="5362" ht="14.25" customHeight="1">
      <c r="A5362" s="1" t="s">
        <v>4609</v>
      </c>
      <c r="B5362" s="1" t="s">
        <v>8</v>
      </c>
      <c r="C5362" s="2" t="s">
        <v>87</v>
      </c>
      <c r="D5362" s="2">
        <v>7.4</v>
      </c>
      <c r="E5362" s="2">
        <v>2021.0</v>
      </c>
      <c r="F5362" s="2">
        <v>2021.0</v>
      </c>
      <c r="G5362" s="2" t="s">
        <v>10</v>
      </c>
    </row>
    <row r="5363" ht="14.25" customHeight="1">
      <c r="A5363" s="1" t="s">
        <v>4610</v>
      </c>
      <c r="B5363" s="1" t="s">
        <v>20</v>
      </c>
      <c r="C5363" s="2" t="s">
        <v>67</v>
      </c>
      <c r="D5363" s="2">
        <v>7.4</v>
      </c>
      <c r="E5363" s="2">
        <v>1960.0</v>
      </c>
      <c r="F5363" s="2" t="s">
        <v>10</v>
      </c>
      <c r="G5363" s="2" t="s">
        <v>10</v>
      </c>
    </row>
    <row r="5364" ht="14.25" customHeight="1">
      <c r="A5364" s="1" t="s">
        <v>4611</v>
      </c>
      <c r="B5364" s="1" t="s">
        <v>20</v>
      </c>
      <c r="C5364" s="2" t="s">
        <v>4612</v>
      </c>
      <c r="D5364" s="2">
        <v>7.4</v>
      </c>
      <c r="E5364" s="2">
        <v>2022.0</v>
      </c>
      <c r="F5364" s="2" t="s">
        <v>10</v>
      </c>
      <c r="G5364" s="2">
        <v>1.029E7</v>
      </c>
    </row>
    <row r="5365" ht="14.25" customHeight="1">
      <c r="A5365" s="1" t="s">
        <v>4611</v>
      </c>
      <c r="B5365" s="1" t="s">
        <v>20</v>
      </c>
      <c r="C5365" s="2" t="s">
        <v>4612</v>
      </c>
      <c r="D5365" s="2">
        <v>7.4</v>
      </c>
      <c r="E5365" s="2">
        <v>2022.0</v>
      </c>
      <c r="F5365" s="2" t="s">
        <v>10</v>
      </c>
      <c r="G5365" s="2">
        <v>7850000.0</v>
      </c>
    </row>
    <row r="5366" ht="14.25" customHeight="1">
      <c r="A5366" s="1" t="s">
        <v>4613</v>
      </c>
      <c r="B5366" s="1" t="s">
        <v>20</v>
      </c>
      <c r="C5366" s="2" t="s">
        <v>63</v>
      </c>
      <c r="D5366" s="2">
        <v>7.4</v>
      </c>
      <c r="E5366" s="2">
        <v>2019.0</v>
      </c>
      <c r="F5366" s="2" t="s">
        <v>10</v>
      </c>
      <c r="G5366" s="2" t="s">
        <v>10</v>
      </c>
    </row>
    <row r="5367" ht="14.25" customHeight="1">
      <c r="A5367" s="1" t="s">
        <v>4614</v>
      </c>
      <c r="B5367" s="1" t="s">
        <v>20</v>
      </c>
      <c r="C5367" s="2" t="s">
        <v>12</v>
      </c>
      <c r="D5367" s="2">
        <v>7.4</v>
      </c>
      <c r="E5367" s="2">
        <v>2010.0</v>
      </c>
      <c r="F5367" s="2">
        <v>2010.0</v>
      </c>
      <c r="G5367" s="2" t="s">
        <v>10</v>
      </c>
    </row>
    <row r="5368" ht="14.25" customHeight="1">
      <c r="A5368" s="1" t="s">
        <v>4615</v>
      </c>
      <c r="B5368" s="1" t="s">
        <v>8</v>
      </c>
      <c r="C5368" s="2" t="s">
        <v>1474</v>
      </c>
      <c r="D5368" s="2">
        <v>7.4</v>
      </c>
      <c r="E5368" s="2">
        <v>2008.0</v>
      </c>
      <c r="F5368" s="2" t="s">
        <v>10</v>
      </c>
      <c r="G5368" s="2" t="s">
        <v>10</v>
      </c>
    </row>
    <row r="5369" ht="14.25" customHeight="1">
      <c r="A5369" s="1" t="s">
        <v>4616</v>
      </c>
      <c r="B5369" s="1" t="s">
        <v>20</v>
      </c>
      <c r="C5369" s="2" t="s">
        <v>112</v>
      </c>
      <c r="D5369" s="2">
        <v>7.4</v>
      </c>
      <c r="E5369" s="2">
        <v>1955.0</v>
      </c>
      <c r="F5369" s="2" t="s">
        <v>10</v>
      </c>
      <c r="G5369" s="2" t="s">
        <v>10</v>
      </c>
    </row>
    <row r="5370" ht="14.25" customHeight="1">
      <c r="A5370" s="1" t="s">
        <v>4617</v>
      </c>
      <c r="B5370" s="1" t="s">
        <v>20</v>
      </c>
      <c r="C5370" s="2" t="s">
        <v>187</v>
      </c>
      <c r="D5370" s="2">
        <v>7.4</v>
      </c>
      <c r="E5370" s="2">
        <v>1964.0</v>
      </c>
      <c r="F5370" s="2" t="s">
        <v>10</v>
      </c>
      <c r="G5370" s="2" t="s">
        <v>10</v>
      </c>
    </row>
    <row r="5371" ht="14.25" customHeight="1">
      <c r="A5371" s="1" t="s">
        <v>4618</v>
      </c>
      <c r="B5371" s="1" t="s">
        <v>8</v>
      </c>
      <c r="C5371" s="2" t="s">
        <v>192</v>
      </c>
      <c r="D5371" s="2">
        <v>7.4</v>
      </c>
      <c r="E5371" s="2">
        <v>2020.0</v>
      </c>
      <c r="F5371" s="2" t="s">
        <v>10</v>
      </c>
      <c r="G5371" s="2" t="s">
        <v>10</v>
      </c>
    </row>
    <row r="5372" ht="14.25" customHeight="1">
      <c r="A5372" s="1" t="s">
        <v>4619</v>
      </c>
      <c r="B5372" s="1" t="s">
        <v>20</v>
      </c>
      <c r="C5372" s="2" t="s">
        <v>1240</v>
      </c>
      <c r="D5372" s="2">
        <v>7.4</v>
      </c>
      <c r="E5372" s="2">
        <v>1987.0</v>
      </c>
      <c r="F5372" s="2" t="s">
        <v>10</v>
      </c>
      <c r="G5372" s="2" t="s">
        <v>10</v>
      </c>
    </row>
    <row r="5373" ht="14.25" customHeight="1">
      <c r="A5373" s="1" t="s">
        <v>4620</v>
      </c>
      <c r="B5373" s="1" t="s">
        <v>20</v>
      </c>
      <c r="C5373" s="2" t="s">
        <v>63</v>
      </c>
      <c r="D5373" s="2">
        <v>7.4</v>
      </c>
      <c r="E5373" s="2">
        <v>1990.0</v>
      </c>
      <c r="F5373" s="2" t="s">
        <v>10</v>
      </c>
      <c r="G5373" s="2" t="s">
        <v>10</v>
      </c>
    </row>
    <row r="5374" ht="14.25" customHeight="1">
      <c r="A5374" s="1" t="s">
        <v>4621</v>
      </c>
      <c r="B5374" s="1" t="s">
        <v>20</v>
      </c>
      <c r="C5374" s="2" t="s">
        <v>184</v>
      </c>
      <c r="D5374" s="2">
        <v>7.4</v>
      </c>
      <c r="E5374" s="2">
        <v>2006.0</v>
      </c>
      <c r="F5374" s="2" t="s">
        <v>10</v>
      </c>
      <c r="G5374" s="2" t="s">
        <v>10</v>
      </c>
    </row>
    <row r="5375" ht="14.25" customHeight="1">
      <c r="A5375" s="1" t="s">
        <v>4622</v>
      </c>
      <c r="B5375" s="1" t="s">
        <v>20</v>
      </c>
      <c r="C5375" s="2" t="s">
        <v>60</v>
      </c>
      <c r="D5375" s="2">
        <v>7.4</v>
      </c>
      <c r="E5375" s="2">
        <v>2018.0</v>
      </c>
      <c r="F5375" s="2" t="s">
        <v>10</v>
      </c>
      <c r="G5375" s="2" t="s">
        <v>10</v>
      </c>
    </row>
    <row r="5376" ht="14.25" customHeight="1">
      <c r="A5376" s="1" t="s">
        <v>4623</v>
      </c>
      <c r="B5376" s="1" t="s">
        <v>8</v>
      </c>
      <c r="C5376" s="2" t="s">
        <v>25</v>
      </c>
      <c r="D5376" s="2">
        <v>7.4</v>
      </c>
      <c r="E5376" s="2">
        <v>2015.0</v>
      </c>
      <c r="F5376" s="2">
        <v>2015.0</v>
      </c>
      <c r="G5376" s="2" t="s">
        <v>10</v>
      </c>
    </row>
    <row r="5377" ht="14.25" customHeight="1">
      <c r="A5377" s="1" t="s">
        <v>4624</v>
      </c>
      <c r="B5377" s="1" t="s">
        <v>20</v>
      </c>
      <c r="C5377" s="2" t="s">
        <v>207</v>
      </c>
      <c r="D5377" s="2">
        <v>7.4</v>
      </c>
      <c r="E5377" s="2">
        <v>1988.0</v>
      </c>
      <c r="F5377" s="2" t="s">
        <v>10</v>
      </c>
      <c r="G5377" s="2" t="s">
        <v>10</v>
      </c>
    </row>
    <row r="5378" ht="14.25" customHeight="1">
      <c r="A5378" s="1" t="s">
        <v>4625</v>
      </c>
      <c r="B5378" s="1" t="s">
        <v>20</v>
      </c>
      <c r="C5378" s="2" t="s">
        <v>4626</v>
      </c>
      <c r="D5378" s="2">
        <v>7.4</v>
      </c>
      <c r="E5378" s="2">
        <v>1932.0</v>
      </c>
      <c r="F5378" s="2" t="s">
        <v>10</v>
      </c>
      <c r="G5378" s="2" t="s">
        <v>10</v>
      </c>
    </row>
    <row r="5379" ht="14.25" customHeight="1">
      <c r="A5379" s="1" t="s">
        <v>4627</v>
      </c>
      <c r="B5379" s="1" t="s">
        <v>20</v>
      </c>
      <c r="C5379" s="2" t="s">
        <v>1905</v>
      </c>
      <c r="D5379" s="2">
        <v>7.4</v>
      </c>
      <c r="E5379" s="2">
        <v>1987.0</v>
      </c>
      <c r="F5379" s="2" t="s">
        <v>10</v>
      </c>
      <c r="G5379" s="2" t="s">
        <v>10</v>
      </c>
    </row>
    <row r="5380" ht="14.25" customHeight="1">
      <c r="A5380" s="1" t="s">
        <v>4628</v>
      </c>
      <c r="B5380" s="1" t="s">
        <v>20</v>
      </c>
      <c r="C5380" s="2" t="s">
        <v>2024</v>
      </c>
      <c r="D5380" s="2">
        <v>7.4</v>
      </c>
      <c r="E5380" s="2">
        <v>1946.0</v>
      </c>
      <c r="F5380" s="2" t="s">
        <v>10</v>
      </c>
      <c r="G5380" s="2" t="s">
        <v>10</v>
      </c>
    </row>
    <row r="5381" ht="14.25" customHeight="1">
      <c r="A5381" s="1" t="s">
        <v>4629</v>
      </c>
      <c r="B5381" s="1" t="s">
        <v>20</v>
      </c>
      <c r="C5381" s="2" t="s">
        <v>530</v>
      </c>
      <c r="D5381" s="2">
        <v>7.4</v>
      </c>
      <c r="E5381" s="2">
        <v>2017.0</v>
      </c>
      <c r="F5381" s="2" t="s">
        <v>10</v>
      </c>
      <c r="G5381" s="2" t="s">
        <v>10</v>
      </c>
    </row>
    <row r="5382" ht="14.25" customHeight="1">
      <c r="A5382" s="1" t="s">
        <v>4630</v>
      </c>
      <c r="B5382" s="1" t="s">
        <v>8</v>
      </c>
      <c r="C5382" s="2" t="s">
        <v>53</v>
      </c>
      <c r="D5382" s="2">
        <v>7.4</v>
      </c>
      <c r="E5382" s="2">
        <v>2022.0</v>
      </c>
      <c r="F5382" s="2" t="s">
        <v>10</v>
      </c>
      <c r="G5382" s="2" t="s">
        <v>10</v>
      </c>
    </row>
    <row r="5383" ht="14.25" customHeight="1">
      <c r="A5383" s="1" t="s">
        <v>4631</v>
      </c>
      <c r="B5383" s="1" t="s">
        <v>20</v>
      </c>
      <c r="C5383" s="2" t="s">
        <v>34</v>
      </c>
      <c r="D5383" s="2">
        <v>7.4</v>
      </c>
      <c r="E5383" s="2">
        <v>2021.0</v>
      </c>
      <c r="F5383" s="2" t="s">
        <v>10</v>
      </c>
      <c r="G5383" s="2" t="s">
        <v>10</v>
      </c>
    </row>
    <row r="5384" ht="14.25" customHeight="1">
      <c r="A5384" s="1" t="s">
        <v>4632</v>
      </c>
      <c r="B5384" s="1" t="s">
        <v>8</v>
      </c>
      <c r="C5384" s="2" t="s">
        <v>25</v>
      </c>
      <c r="D5384" s="2">
        <v>7.4</v>
      </c>
      <c r="E5384" s="2">
        <v>2018.0</v>
      </c>
      <c r="F5384" s="2" t="s">
        <v>10</v>
      </c>
      <c r="G5384" s="2" t="s">
        <v>10</v>
      </c>
    </row>
    <row r="5385" ht="14.25" customHeight="1">
      <c r="A5385" s="1" t="s">
        <v>4633</v>
      </c>
      <c r="B5385" s="1" t="s">
        <v>20</v>
      </c>
      <c r="C5385" s="2" t="s">
        <v>154</v>
      </c>
      <c r="D5385" s="2">
        <v>7.4</v>
      </c>
      <c r="E5385" s="2">
        <v>2022.0</v>
      </c>
      <c r="F5385" s="2" t="s">
        <v>10</v>
      </c>
      <c r="G5385" s="2">
        <v>3060000.0</v>
      </c>
    </row>
    <row r="5386" ht="14.25" customHeight="1">
      <c r="A5386" s="1" t="s">
        <v>4633</v>
      </c>
      <c r="B5386" s="1" t="s">
        <v>20</v>
      </c>
      <c r="C5386" s="2" t="s">
        <v>154</v>
      </c>
      <c r="D5386" s="2">
        <v>7.4</v>
      </c>
      <c r="E5386" s="2">
        <v>2022.0</v>
      </c>
      <c r="F5386" s="2" t="s">
        <v>10</v>
      </c>
      <c r="G5386" s="2">
        <v>7550000.0</v>
      </c>
    </row>
    <row r="5387" ht="14.25" customHeight="1">
      <c r="A5387" s="1" t="s">
        <v>4633</v>
      </c>
      <c r="B5387" s="1" t="s">
        <v>20</v>
      </c>
      <c r="C5387" s="2" t="s">
        <v>154</v>
      </c>
      <c r="D5387" s="2">
        <v>7.4</v>
      </c>
      <c r="E5387" s="2">
        <v>2022.0</v>
      </c>
      <c r="F5387" s="2" t="s">
        <v>10</v>
      </c>
      <c r="G5387" s="2">
        <v>1.59E7</v>
      </c>
    </row>
    <row r="5388" ht="14.25" customHeight="1">
      <c r="A5388" s="1" t="s">
        <v>4633</v>
      </c>
      <c r="B5388" s="1" t="s">
        <v>20</v>
      </c>
      <c r="C5388" s="2" t="s">
        <v>154</v>
      </c>
      <c r="D5388" s="2">
        <v>7.4</v>
      </c>
      <c r="E5388" s="2">
        <v>2022.0</v>
      </c>
      <c r="F5388" s="2" t="s">
        <v>10</v>
      </c>
      <c r="G5388" s="3">
        <v>8000000.0</v>
      </c>
    </row>
    <row r="5389" ht="14.25" customHeight="1">
      <c r="A5389" s="1" t="s">
        <v>4634</v>
      </c>
      <c r="B5389" s="1" t="s">
        <v>20</v>
      </c>
      <c r="C5389" s="2" t="s">
        <v>1749</v>
      </c>
      <c r="D5389" s="2">
        <v>7.4</v>
      </c>
      <c r="E5389" s="2">
        <v>1955.0</v>
      </c>
      <c r="F5389" s="2" t="s">
        <v>10</v>
      </c>
      <c r="G5389" s="2" t="s">
        <v>10</v>
      </c>
    </row>
    <row r="5390" ht="14.25" customHeight="1">
      <c r="A5390" s="1" t="s">
        <v>4635</v>
      </c>
      <c r="B5390" s="1" t="s">
        <v>20</v>
      </c>
      <c r="C5390" s="2" t="s">
        <v>12</v>
      </c>
      <c r="D5390" s="2">
        <v>7.4</v>
      </c>
      <c r="E5390" s="2">
        <v>2014.0</v>
      </c>
      <c r="F5390" s="2" t="s">
        <v>10</v>
      </c>
      <c r="G5390" s="2" t="s">
        <v>10</v>
      </c>
    </row>
    <row r="5391" ht="14.25" customHeight="1">
      <c r="A5391" s="1" t="s">
        <v>4636</v>
      </c>
      <c r="B5391" s="1" t="s">
        <v>20</v>
      </c>
      <c r="C5391" s="2" t="s">
        <v>154</v>
      </c>
      <c r="D5391" s="2">
        <v>7.4</v>
      </c>
      <c r="E5391" s="2">
        <v>1970.0</v>
      </c>
      <c r="F5391" s="2" t="s">
        <v>10</v>
      </c>
      <c r="G5391" s="2" t="s">
        <v>10</v>
      </c>
    </row>
    <row r="5392" ht="14.25" customHeight="1">
      <c r="A5392" s="1" t="s">
        <v>4637</v>
      </c>
      <c r="B5392" s="1" t="s">
        <v>20</v>
      </c>
      <c r="C5392" s="2" t="s">
        <v>844</v>
      </c>
      <c r="D5392" s="2">
        <v>7.4</v>
      </c>
      <c r="E5392" s="2">
        <v>1942.0</v>
      </c>
      <c r="F5392" s="2" t="s">
        <v>10</v>
      </c>
      <c r="G5392" s="2" t="s">
        <v>10</v>
      </c>
    </row>
    <row r="5393" ht="14.25" customHeight="1">
      <c r="A5393" s="1" t="s">
        <v>4638</v>
      </c>
      <c r="B5393" s="1" t="s">
        <v>20</v>
      </c>
      <c r="C5393" s="2" t="s">
        <v>187</v>
      </c>
      <c r="D5393" s="2">
        <v>7.4</v>
      </c>
      <c r="E5393" s="2">
        <v>1970.0</v>
      </c>
      <c r="F5393" s="2" t="s">
        <v>10</v>
      </c>
      <c r="G5393" s="2" t="s">
        <v>10</v>
      </c>
    </row>
    <row r="5394" ht="14.25" customHeight="1">
      <c r="A5394" s="1" t="s">
        <v>4639</v>
      </c>
      <c r="B5394" s="1" t="s">
        <v>8</v>
      </c>
      <c r="C5394" s="2" t="s">
        <v>239</v>
      </c>
      <c r="D5394" s="2">
        <v>7.4</v>
      </c>
      <c r="E5394" s="2">
        <v>2012.0</v>
      </c>
      <c r="F5394" s="2" t="s">
        <v>10</v>
      </c>
      <c r="G5394" s="2" t="s">
        <v>10</v>
      </c>
    </row>
    <row r="5395" ht="14.25" customHeight="1">
      <c r="A5395" s="1" t="s">
        <v>4640</v>
      </c>
      <c r="B5395" s="1" t="s">
        <v>20</v>
      </c>
      <c r="C5395" s="2" t="s">
        <v>643</v>
      </c>
      <c r="D5395" s="2">
        <v>7.4</v>
      </c>
      <c r="E5395" s="2">
        <v>1948.0</v>
      </c>
      <c r="F5395" s="2" t="s">
        <v>10</v>
      </c>
      <c r="G5395" s="2" t="s">
        <v>10</v>
      </c>
    </row>
    <row r="5396" ht="14.25" customHeight="1">
      <c r="A5396" s="1" t="s">
        <v>4641</v>
      </c>
      <c r="B5396" s="1" t="s">
        <v>8</v>
      </c>
      <c r="C5396" s="2" t="s">
        <v>507</v>
      </c>
      <c r="D5396" s="2">
        <v>7.4</v>
      </c>
      <c r="E5396" s="2">
        <v>2018.0</v>
      </c>
      <c r="F5396" s="2" t="s">
        <v>10</v>
      </c>
      <c r="G5396" s="2" t="s">
        <v>10</v>
      </c>
    </row>
    <row r="5397" ht="14.25" customHeight="1">
      <c r="A5397" s="1" t="s">
        <v>4642</v>
      </c>
      <c r="B5397" s="1" t="s">
        <v>20</v>
      </c>
      <c r="C5397" s="2" t="s">
        <v>1838</v>
      </c>
      <c r="D5397" s="2">
        <v>7.4</v>
      </c>
      <c r="E5397" s="2">
        <v>2014.0</v>
      </c>
      <c r="F5397" s="2" t="s">
        <v>10</v>
      </c>
      <c r="G5397" s="2" t="s">
        <v>10</v>
      </c>
    </row>
    <row r="5398" ht="14.25" customHeight="1">
      <c r="A5398" s="1" t="s">
        <v>4643</v>
      </c>
      <c r="B5398" s="1" t="s">
        <v>20</v>
      </c>
      <c r="C5398" s="2" t="s">
        <v>1037</v>
      </c>
      <c r="D5398" s="2">
        <v>7.4</v>
      </c>
      <c r="E5398" s="2">
        <v>2010.0</v>
      </c>
      <c r="F5398" s="2" t="s">
        <v>10</v>
      </c>
      <c r="G5398" s="2" t="s">
        <v>10</v>
      </c>
    </row>
    <row r="5399" ht="14.25" customHeight="1">
      <c r="A5399" s="1" t="s">
        <v>4644</v>
      </c>
      <c r="B5399" s="1" t="s">
        <v>20</v>
      </c>
      <c r="C5399" s="2" t="s">
        <v>1100</v>
      </c>
      <c r="D5399" s="2">
        <v>7.4</v>
      </c>
      <c r="E5399" s="2">
        <v>1995.0</v>
      </c>
      <c r="F5399" s="2" t="s">
        <v>10</v>
      </c>
      <c r="G5399" s="2" t="s">
        <v>10</v>
      </c>
    </row>
    <row r="5400" ht="14.25" customHeight="1">
      <c r="A5400" s="1" t="s">
        <v>4645</v>
      </c>
      <c r="B5400" s="1" t="s">
        <v>8</v>
      </c>
      <c r="C5400" s="2" t="s">
        <v>497</v>
      </c>
      <c r="D5400" s="2">
        <v>7.4</v>
      </c>
      <c r="E5400" s="2">
        <v>2019.0</v>
      </c>
      <c r="F5400" s="2">
        <v>2019.0</v>
      </c>
      <c r="G5400" s="2" t="s">
        <v>10</v>
      </c>
    </row>
    <row r="5401" ht="14.25" customHeight="1">
      <c r="A5401" s="1" t="s">
        <v>4646</v>
      </c>
      <c r="B5401" s="1" t="s">
        <v>8</v>
      </c>
      <c r="C5401" s="2" t="s">
        <v>25</v>
      </c>
      <c r="D5401" s="2">
        <v>7.4</v>
      </c>
      <c r="E5401" s="2">
        <v>2022.0</v>
      </c>
      <c r="F5401" s="2" t="s">
        <v>10</v>
      </c>
      <c r="G5401" s="2">
        <v>1.181E7</v>
      </c>
    </row>
    <row r="5402" ht="14.25" customHeight="1">
      <c r="A5402" s="1" t="s">
        <v>4646</v>
      </c>
      <c r="B5402" s="1" t="s">
        <v>8</v>
      </c>
      <c r="C5402" s="2" t="s">
        <v>25</v>
      </c>
      <c r="D5402" s="2">
        <v>7.4</v>
      </c>
      <c r="E5402" s="2">
        <v>2022.0</v>
      </c>
      <c r="F5402" s="2" t="s">
        <v>10</v>
      </c>
      <c r="G5402" s="2">
        <v>2.085E7</v>
      </c>
    </row>
    <row r="5403" ht="14.25" customHeight="1">
      <c r="A5403" s="1" t="s">
        <v>4646</v>
      </c>
      <c r="B5403" s="1" t="s">
        <v>8</v>
      </c>
      <c r="C5403" s="2" t="s">
        <v>25</v>
      </c>
      <c r="D5403" s="2">
        <v>7.4</v>
      </c>
      <c r="E5403" s="2">
        <v>2022.0</v>
      </c>
      <c r="F5403" s="2" t="s">
        <v>10</v>
      </c>
      <c r="G5403" s="2">
        <v>1.463E7</v>
      </c>
    </row>
    <row r="5404" ht="14.25" customHeight="1">
      <c r="A5404" s="1" t="s">
        <v>4647</v>
      </c>
      <c r="B5404" s="1" t="s">
        <v>8</v>
      </c>
      <c r="C5404" s="2" t="s">
        <v>53</v>
      </c>
      <c r="D5404" s="2">
        <v>7.4</v>
      </c>
      <c r="E5404" s="2">
        <v>2015.0</v>
      </c>
      <c r="F5404" s="2">
        <v>2015.0</v>
      </c>
      <c r="G5404" s="2" t="s">
        <v>10</v>
      </c>
    </row>
    <row r="5405" ht="14.25" customHeight="1">
      <c r="A5405" s="1" t="s">
        <v>4648</v>
      </c>
      <c r="B5405" s="1" t="s">
        <v>20</v>
      </c>
      <c r="C5405" s="2" t="s">
        <v>36</v>
      </c>
      <c r="D5405" s="2">
        <v>7.4</v>
      </c>
      <c r="E5405" s="2">
        <v>1978.0</v>
      </c>
      <c r="F5405" s="2" t="s">
        <v>10</v>
      </c>
      <c r="G5405" s="2" t="s">
        <v>10</v>
      </c>
    </row>
    <row r="5406" ht="14.25" customHeight="1">
      <c r="A5406" s="1" t="s">
        <v>4649</v>
      </c>
      <c r="B5406" s="1" t="s">
        <v>8</v>
      </c>
      <c r="C5406" s="2" t="s">
        <v>53</v>
      </c>
      <c r="D5406" s="2">
        <v>7.4</v>
      </c>
      <c r="E5406" s="2">
        <v>2021.0</v>
      </c>
      <c r="F5406" s="2" t="s">
        <v>10</v>
      </c>
      <c r="G5406" s="2" t="s">
        <v>10</v>
      </c>
    </row>
    <row r="5407" ht="14.25" customHeight="1">
      <c r="A5407" s="1" t="s">
        <v>4650</v>
      </c>
      <c r="B5407" s="1" t="s">
        <v>20</v>
      </c>
      <c r="C5407" s="2" t="s">
        <v>154</v>
      </c>
      <c r="D5407" s="2">
        <v>7.4</v>
      </c>
      <c r="E5407" s="2">
        <v>1945.0</v>
      </c>
      <c r="F5407" s="2" t="s">
        <v>10</v>
      </c>
      <c r="G5407" s="2" t="s">
        <v>10</v>
      </c>
    </row>
    <row r="5408" ht="14.25" customHeight="1">
      <c r="A5408" s="1" t="s">
        <v>4651</v>
      </c>
      <c r="B5408" s="1" t="s">
        <v>20</v>
      </c>
      <c r="C5408" s="2" t="s">
        <v>359</v>
      </c>
      <c r="D5408" s="2">
        <v>7.4</v>
      </c>
      <c r="E5408" s="2">
        <v>2004.0</v>
      </c>
      <c r="F5408" s="2" t="s">
        <v>10</v>
      </c>
      <c r="G5408" s="2" t="s">
        <v>10</v>
      </c>
    </row>
    <row r="5409" ht="14.25" customHeight="1">
      <c r="A5409" s="1" t="s">
        <v>4652</v>
      </c>
      <c r="B5409" s="1" t="s">
        <v>20</v>
      </c>
      <c r="C5409" s="2" t="s">
        <v>184</v>
      </c>
      <c r="D5409" s="2">
        <v>7.4</v>
      </c>
      <c r="E5409" s="2">
        <v>1969.0</v>
      </c>
      <c r="F5409" s="2" t="s">
        <v>10</v>
      </c>
      <c r="G5409" s="2" t="s">
        <v>10</v>
      </c>
    </row>
    <row r="5410" ht="14.25" customHeight="1">
      <c r="A5410" s="1" t="s">
        <v>4653</v>
      </c>
      <c r="B5410" s="1" t="s">
        <v>20</v>
      </c>
      <c r="C5410" s="2" t="s">
        <v>253</v>
      </c>
      <c r="D5410" s="2">
        <v>7.4</v>
      </c>
      <c r="E5410" s="2">
        <v>2023.0</v>
      </c>
      <c r="F5410" s="2" t="s">
        <v>10</v>
      </c>
      <c r="G5410" s="2" t="s">
        <v>10</v>
      </c>
    </row>
    <row r="5411" ht="14.25" customHeight="1">
      <c r="A5411" s="1" t="s">
        <v>4654</v>
      </c>
      <c r="B5411" s="1" t="s">
        <v>8</v>
      </c>
      <c r="C5411" s="2" t="s">
        <v>53</v>
      </c>
      <c r="D5411" s="2">
        <v>7.4</v>
      </c>
      <c r="E5411" s="2">
        <v>2018.0</v>
      </c>
      <c r="F5411" s="2" t="s">
        <v>10</v>
      </c>
      <c r="G5411" s="2" t="s">
        <v>10</v>
      </c>
    </row>
    <row r="5412" ht="14.25" customHeight="1">
      <c r="A5412" s="1" t="s">
        <v>4655</v>
      </c>
      <c r="B5412" s="1" t="s">
        <v>8</v>
      </c>
      <c r="C5412" s="2" t="s">
        <v>616</v>
      </c>
      <c r="D5412" s="2">
        <v>7.4</v>
      </c>
      <c r="E5412" s="2">
        <v>2016.0</v>
      </c>
      <c r="F5412" s="2">
        <v>2016.0</v>
      </c>
      <c r="G5412" s="2" t="s">
        <v>10</v>
      </c>
    </row>
    <row r="5413" ht="14.25" customHeight="1">
      <c r="A5413" s="1" t="s">
        <v>4656</v>
      </c>
      <c r="B5413" s="1" t="s">
        <v>20</v>
      </c>
      <c r="C5413" s="2" t="s">
        <v>335</v>
      </c>
      <c r="D5413" s="2">
        <v>7.4</v>
      </c>
      <c r="E5413" s="2">
        <v>1994.0</v>
      </c>
      <c r="F5413" s="2" t="s">
        <v>10</v>
      </c>
      <c r="G5413" s="2" t="s">
        <v>10</v>
      </c>
    </row>
    <row r="5414" ht="14.25" customHeight="1">
      <c r="A5414" s="1" t="s">
        <v>4657</v>
      </c>
      <c r="B5414" s="1" t="s">
        <v>8</v>
      </c>
      <c r="C5414" s="2" t="s">
        <v>25</v>
      </c>
      <c r="D5414" s="2">
        <v>7.4</v>
      </c>
      <c r="E5414" s="2">
        <v>2023.0</v>
      </c>
      <c r="F5414" s="2" t="s">
        <v>10</v>
      </c>
      <c r="G5414" s="3">
        <v>2000000.0</v>
      </c>
    </row>
    <row r="5415" ht="14.25" customHeight="1">
      <c r="A5415" s="1" t="s">
        <v>4657</v>
      </c>
      <c r="B5415" s="1" t="s">
        <v>8</v>
      </c>
      <c r="C5415" s="2" t="s">
        <v>25</v>
      </c>
      <c r="D5415" s="2">
        <v>7.4</v>
      </c>
      <c r="E5415" s="2">
        <v>2023.0</v>
      </c>
      <c r="F5415" s="2" t="s">
        <v>10</v>
      </c>
      <c r="G5415" s="2">
        <v>4100000.0</v>
      </c>
    </row>
    <row r="5416" ht="14.25" customHeight="1">
      <c r="A5416" s="1" t="s">
        <v>4657</v>
      </c>
      <c r="B5416" s="1" t="s">
        <v>8</v>
      </c>
      <c r="C5416" s="2" t="s">
        <v>25</v>
      </c>
      <c r="D5416" s="2">
        <v>7.4</v>
      </c>
      <c r="E5416" s="2">
        <v>2023.0</v>
      </c>
      <c r="F5416" s="2" t="s">
        <v>10</v>
      </c>
      <c r="G5416" s="2">
        <v>1.34E7</v>
      </c>
    </row>
    <row r="5417" ht="14.25" customHeight="1">
      <c r="A5417" s="1" t="s">
        <v>4657</v>
      </c>
      <c r="B5417" s="1" t="s">
        <v>8</v>
      </c>
      <c r="C5417" s="2" t="s">
        <v>25</v>
      </c>
      <c r="D5417" s="2">
        <v>7.4</v>
      </c>
      <c r="E5417" s="2">
        <v>2023.0</v>
      </c>
      <c r="F5417" s="2" t="s">
        <v>10</v>
      </c>
      <c r="G5417" s="2">
        <v>1.42E7</v>
      </c>
    </row>
    <row r="5418" ht="14.25" customHeight="1">
      <c r="A5418" s="1" t="s">
        <v>4657</v>
      </c>
      <c r="B5418" s="1" t="s">
        <v>8</v>
      </c>
      <c r="C5418" s="2" t="s">
        <v>25</v>
      </c>
      <c r="D5418" s="2">
        <v>7.4</v>
      </c>
      <c r="E5418" s="2">
        <v>2023.0</v>
      </c>
      <c r="F5418" s="2" t="s">
        <v>10</v>
      </c>
      <c r="G5418" s="2">
        <v>2500000.0</v>
      </c>
    </row>
    <row r="5419" ht="14.25" customHeight="1">
      <c r="A5419" s="1" t="s">
        <v>4657</v>
      </c>
      <c r="B5419" s="1" t="s">
        <v>8</v>
      </c>
      <c r="C5419" s="2" t="s">
        <v>25</v>
      </c>
      <c r="D5419" s="2">
        <v>7.4</v>
      </c>
      <c r="E5419" s="2">
        <v>2023.0</v>
      </c>
      <c r="F5419" s="2" t="s">
        <v>10</v>
      </c>
      <c r="G5419" s="2">
        <v>2100000.0</v>
      </c>
    </row>
    <row r="5420" ht="14.25" customHeight="1">
      <c r="A5420" s="1" t="s">
        <v>4657</v>
      </c>
      <c r="B5420" s="1" t="s">
        <v>8</v>
      </c>
      <c r="C5420" s="2" t="s">
        <v>25</v>
      </c>
      <c r="D5420" s="2">
        <v>7.4</v>
      </c>
      <c r="E5420" s="2">
        <v>2023.0</v>
      </c>
      <c r="F5420" s="2" t="s">
        <v>10</v>
      </c>
      <c r="G5420" s="2">
        <v>1900000.0</v>
      </c>
    </row>
    <row r="5421" ht="14.25" customHeight="1">
      <c r="A5421" s="1" t="s">
        <v>4657</v>
      </c>
      <c r="B5421" s="1" t="s">
        <v>8</v>
      </c>
      <c r="C5421" s="2" t="s">
        <v>25</v>
      </c>
      <c r="D5421" s="2">
        <v>7.4</v>
      </c>
      <c r="E5421" s="2">
        <v>2023.0</v>
      </c>
      <c r="F5421" s="2" t="s">
        <v>10</v>
      </c>
      <c r="G5421" s="2">
        <v>1300000.0</v>
      </c>
    </row>
    <row r="5422" ht="14.25" customHeight="1">
      <c r="A5422" s="1" t="s">
        <v>4658</v>
      </c>
      <c r="B5422" s="1" t="s">
        <v>20</v>
      </c>
      <c r="C5422" s="2" t="s">
        <v>36</v>
      </c>
      <c r="D5422" s="2">
        <v>7.4</v>
      </c>
      <c r="E5422" s="2">
        <v>1955.0</v>
      </c>
      <c r="F5422" s="2" t="s">
        <v>10</v>
      </c>
      <c r="G5422" s="2" t="s">
        <v>10</v>
      </c>
    </row>
    <row r="5423" ht="14.25" customHeight="1">
      <c r="A5423" s="1" t="s">
        <v>4659</v>
      </c>
      <c r="B5423" s="1" t="s">
        <v>8</v>
      </c>
      <c r="C5423" s="2" t="s">
        <v>22</v>
      </c>
      <c r="D5423" s="2">
        <v>7.4</v>
      </c>
      <c r="E5423" s="2">
        <v>2024.0</v>
      </c>
      <c r="F5423" s="2" t="s">
        <v>10</v>
      </c>
      <c r="G5423" s="2" t="s">
        <v>10</v>
      </c>
    </row>
    <row r="5424" ht="14.25" customHeight="1">
      <c r="A5424" s="1" t="s">
        <v>4660</v>
      </c>
      <c r="B5424" s="1" t="s">
        <v>20</v>
      </c>
      <c r="C5424" s="2" t="s">
        <v>3552</v>
      </c>
      <c r="D5424" s="2">
        <v>7.4</v>
      </c>
      <c r="E5424" s="2">
        <v>1995.0</v>
      </c>
      <c r="F5424" s="2" t="s">
        <v>10</v>
      </c>
      <c r="G5424" s="2" t="s">
        <v>10</v>
      </c>
    </row>
    <row r="5425" ht="14.25" customHeight="1">
      <c r="A5425" s="1" t="s">
        <v>4661</v>
      </c>
      <c r="B5425" s="1" t="s">
        <v>20</v>
      </c>
      <c r="C5425" s="2" t="s">
        <v>151</v>
      </c>
      <c r="D5425" s="2">
        <v>7.3</v>
      </c>
      <c r="E5425" s="2">
        <v>2015.0</v>
      </c>
      <c r="F5425" s="2" t="s">
        <v>10</v>
      </c>
      <c r="G5425" s="2" t="s">
        <v>10</v>
      </c>
    </row>
    <row r="5426" ht="14.25" customHeight="1">
      <c r="A5426" s="1" t="s">
        <v>4662</v>
      </c>
      <c r="B5426" s="1" t="s">
        <v>20</v>
      </c>
      <c r="C5426" s="2" t="s">
        <v>151</v>
      </c>
      <c r="D5426" s="2">
        <v>7.3</v>
      </c>
      <c r="E5426" s="2">
        <v>2018.0</v>
      </c>
      <c r="F5426" s="2">
        <v>2018.0</v>
      </c>
      <c r="G5426" s="2" t="s">
        <v>10</v>
      </c>
    </row>
    <row r="5427" ht="14.25" customHeight="1">
      <c r="A5427" s="1" t="s">
        <v>4663</v>
      </c>
      <c r="B5427" s="1" t="s">
        <v>20</v>
      </c>
      <c r="C5427" s="2" t="s">
        <v>212</v>
      </c>
      <c r="D5427" s="2">
        <v>7.3</v>
      </c>
      <c r="E5427" s="2">
        <v>2017.0</v>
      </c>
      <c r="F5427" s="2" t="s">
        <v>10</v>
      </c>
      <c r="G5427" s="2" t="s">
        <v>10</v>
      </c>
    </row>
    <row r="5428" ht="14.25" customHeight="1">
      <c r="A5428" s="1" t="s">
        <v>683</v>
      </c>
      <c r="B5428" s="1" t="s">
        <v>20</v>
      </c>
      <c r="C5428" s="2" t="s">
        <v>151</v>
      </c>
      <c r="D5428" s="2">
        <v>7.3</v>
      </c>
      <c r="E5428" s="2">
        <v>2000.0</v>
      </c>
      <c r="F5428" s="2" t="s">
        <v>10</v>
      </c>
      <c r="G5428" s="2" t="s">
        <v>10</v>
      </c>
    </row>
    <row r="5429" ht="14.25" customHeight="1">
      <c r="A5429" s="1" t="s">
        <v>4664</v>
      </c>
      <c r="B5429" s="1" t="s">
        <v>20</v>
      </c>
      <c r="C5429" s="2" t="s">
        <v>1301</v>
      </c>
      <c r="D5429" s="2">
        <v>7.3</v>
      </c>
      <c r="E5429" s="2">
        <v>2017.0</v>
      </c>
      <c r="F5429" s="2" t="s">
        <v>10</v>
      </c>
      <c r="G5429" s="2">
        <v>8350000.0</v>
      </c>
    </row>
    <row r="5430" ht="14.25" customHeight="1">
      <c r="A5430" s="1" t="s">
        <v>4665</v>
      </c>
      <c r="B5430" s="1" t="s">
        <v>20</v>
      </c>
      <c r="C5430" s="2" t="s">
        <v>845</v>
      </c>
      <c r="D5430" s="2">
        <v>7.3</v>
      </c>
      <c r="E5430" s="2">
        <v>1997.0</v>
      </c>
      <c r="F5430" s="2">
        <v>1997.0</v>
      </c>
      <c r="G5430" s="2" t="s">
        <v>10</v>
      </c>
    </row>
    <row r="5431" ht="14.25" customHeight="1">
      <c r="A5431" s="1" t="s">
        <v>4666</v>
      </c>
      <c r="B5431" s="1" t="s">
        <v>20</v>
      </c>
      <c r="C5431" s="2" t="s">
        <v>1959</v>
      </c>
      <c r="D5431" s="2">
        <v>7.3</v>
      </c>
      <c r="E5431" s="2">
        <v>2020.0</v>
      </c>
      <c r="F5431" s="2" t="s">
        <v>10</v>
      </c>
      <c r="G5431" s="2" t="s">
        <v>10</v>
      </c>
    </row>
    <row r="5432" ht="14.25" customHeight="1">
      <c r="A5432" s="1" t="s">
        <v>4667</v>
      </c>
      <c r="B5432" s="1" t="s">
        <v>20</v>
      </c>
      <c r="C5432" s="2" t="s">
        <v>307</v>
      </c>
      <c r="D5432" s="2">
        <v>7.3</v>
      </c>
      <c r="E5432" s="2">
        <v>2004.0</v>
      </c>
      <c r="F5432" s="2">
        <v>2018.0</v>
      </c>
      <c r="G5432" s="2" t="s">
        <v>10</v>
      </c>
    </row>
    <row r="5433" ht="14.25" customHeight="1">
      <c r="A5433" s="1" t="s">
        <v>4668</v>
      </c>
      <c r="B5433" s="1" t="s">
        <v>20</v>
      </c>
      <c r="C5433" s="2" t="s">
        <v>2363</v>
      </c>
      <c r="D5433" s="2">
        <v>7.3</v>
      </c>
      <c r="E5433" s="2">
        <v>2016.0</v>
      </c>
      <c r="F5433" s="2" t="s">
        <v>10</v>
      </c>
      <c r="G5433" s="2" t="s">
        <v>10</v>
      </c>
    </row>
    <row r="5434" ht="14.25" customHeight="1">
      <c r="A5434" s="1" t="s">
        <v>4669</v>
      </c>
      <c r="B5434" s="1" t="s">
        <v>20</v>
      </c>
      <c r="C5434" s="2" t="s">
        <v>833</v>
      </c>
      <c r="D5434" s="2">
        <v>7.3</v>
      </c>
      <c r="E5434" s="2">
        <v>2014.0</v>
      </c>
      <c r="F5434" s="2" t="s">
        <v>10</v>
      </c>
      <c r="G5434" s="2" t="s">
        <v>10</v>
      </c>
    </row>
    <row r="5435" ht="14.25" customHeight="1">
      <c r="A5435" s="1" t="s">
        <v>4670</v>
      </c>
      <c r="B5435" s="1" t="s">
        <v>20</v>
      </c>
      <c r="C5435" s="2" t="s">
        <v>55</v>
      </c>
      <c r="D5435" s="2">
        <v>7.3</v>
      </c>
      <c r="E5435" s="2">
        <v>2006.0</v>
      </c>
      <c r="F5435" s="2" t="s">
        <v>10</v>
      </c>
      <c r="G5435" s="2" t="s">
        <v>10</v>
      </c>
    </row>
    <row r="5436" ht="14.25" customHeight="1">
      <c r="A5436" s="1" t="s">
        <v>4671</v>
      </c>
      <c r="B5436" s="1" t="s">
        <v>20</v>
      </c>
      <c r="C5436" s="2" t="s">
        <v>1507</v>
      </c>
      <c r="D5436" s="2">
        <v>7.3</v>
      </c>
      <c r="E5436" s="2">
        <v>2022.0</v>
      </c>
      <c r="F5436" s="2" t="s">
        <v>10</v>
      </c>
      <c r="G5436" s="2">
        <v>6940000.0</v>
      </c>
    </row>
    <row r="5437" ht="14.25" customHeight="1">
      <c r="A5437" s="1" t="s">
        <v>4671</v>
      </c>
      <c r="B5437" s="1" t="s">
        <v>20</v>
      </c>
      <c r="C5437" s="2" t="s">
        <v>1507</v>
      </c>
      <c r="D5437" s="2">
        <v>7.3</v>
      </c>
      <c r="E5437" s="2">
        <v>2022.0</v>
      </c>
      <c r="F5437" s="2" t="s">
        <v>10</v>
      </c>
      <c r="G5437" s="2">
        <v>7250000.0</v>
      </c>
    </row>
    <row r="5438" ht="14.25" customHeight="1">
      <c r="A5438" s="1" t="s">
        <v>4671</v>
      </c>
      <c r="B5438" s="1" t="s">
        <v>20</v>
      </c>
      <c r="C5438" s="2" t="s">
        <v>1507</v>
      </c>
      <c r="D5438" s="2">
        <v>7.3</v>
      </c>
      <c r="E5438" s="2">
        <v>2022.0</v>
      </c>
      <c r="F5438" s="2" t="s">
        <v>10</v>
      </c>
      <c r="G5438" s="2">
        <v>1.353E7</v>
      </c>
    </row>
    <row r="5439" ht="14.25" customHeight="1">
      <c r="A5439" s="1" t="s">
        <v>4671</v>
      </c>
      <c r="B5439" s="1" t="s">
        <v>20</v>
      </c>
      <c r="C5439" s="2" t="s">
        <v>1507</v>
      </c>
      <c r="D5439" s="2">
        <v>7.3</v>
      </c>
      <c r="E5439" s="2">
        <v>2022.0</v>
      </c>
      <c r="F5439" s="2" t="s">
        <v>10</v>
      </c>
      <c r="G5439" s="2">
        <v>2.462E7</v>
      </c>
    </row>
    <row r="5440" ht="14.25" customHeight="1">
      <c r="A5440" s="1" t="s">
        <v>4671</v>
      </c>
      <c r="B5440" s="1" t="s">
        <v>20</v>
      </c>
      <c r="C5440" s="2" t="s">
        <v>1507</v>
      </c>
      <c r="D5440" s="2">
        <v>7.3</v>
      </c>
      <c r="E5440" s="2">
        <v>2022.0</v>
      </c>
      <c r="F5440" s="2" t="s">
        <v>10</v>
      </c>
      <c r="G5440" s="2">
        <v>1.132E7</v>
      </c>
    </row>
    <row r="5441" ht="14.25" customHeight="1">
      <c r="A5441" s="1" t="s">
        <v>4672</v>
      </c>
      <c r="B5441" s="1" t="s">
        <v>20</v>
      </c>
      <c r="C5441" s="2" t="s">
        <v>1622</v>
      </c>
      <c r="D5441" s="2">
        <v>7.3</v>
      </c>
      <c r="E5441" s="2">
        <v>2021.0</v>
      </c>
      <c r="F5441" s="2" t="s">
        <v>10</v>
      </c>
      <c r="G5441" s="2" t="s">
        <v>10</v>
      </c>
    </row>
    <row r="5442" ht="14.25" customHeight="1">
      <c r="A5442" s="1" t="s">
        <v>4673</v>
      </c>
      <c r="B5442" s="1" t="s">
        <v>20</v>
      </c>
      <c r="C5442" s="2" t="s">
        <v>1474</v>
      </c>
      <c r="D5442" s="2">
        <v>7.3</v>
      </c>
      <c r="E5442" s="2">
        <v>2017.0</v>
      </c>
      <c r="F5442" s="2" t="s">
        <v>10</v>
      </c>
      <c r="G5442" s="2" t="s">
        <v>10</v>
      </c>
    </row>
    <row r="5443" ht="14.25" customHeight="1">
      <c r="A5443" s="1" t="s">
        <v>4674</v>
      </c>
      <c r="B5443" s="1" t="s">
        <v>20</v>
      </c>
      <c r="C5443" s="2" t="s">
        <v>231</v>
      </c>
      <c r="D5443" s="2">
        <v>7.3</v>
      </c>
      <c r="E5443" s="2">
        <v>2000.0</v>
      </c>
      <c r="F5443" s="2" t="s">
        <v>10</v>
      </c>
      <c r="G5443" s="2" t="s">
        <v>10</v>
      </c>
    </row>
    <row r="5444" ht="14.25" customHeight="1">
      <c r="A5444" s="1" t="s">
        <v>4675</v>
      </c>
      <c r="B5444" s="1" t="s">
        <v>20</v>
      </c>
      <c r="C5444" s="2" t="s">
        <v>55</v>
      </c>
      <c r="D5444" s="2">
        <v>7.3</v>
      </c>
      <c r="E5444" s="2">
        <v>2013.0</v>
      </c>
      <c r="F5444" s="2" t="s">
        <v>10</v>
      </c>
      <c r="G5444" s="2">
        <v>5500000.0</v>
      </c>
    </row>
    <row r="5445" ht="14.25" customHeight="1">
      <c r="A5445" s="1" t="s">
        <v>4675</v>
      </c>
      <c r="B5445" s="1" t="s">
        <v>20</v>
      </c>
      <c r="C5445" s="2" t="s">
        <v>55</v>
      </c>
      <c r="D5445" s="2">
        <v>7.3</v>
      </c>
      <c r="E5445" s="2">
        <v>2013.0</v>
      </c>
      <c r="F5445" s="2" t="s">
        <v>10</v>
      </c>
      <c r="G5445" s="2">
        <v>7800000.0</v>
      </c>
    </row>
    <row r="5446" ht="14.25" customHeight="1">
      <c r="A5446" s="1" t="s">
        <v>4675</v>
      </c>
      <c r="B5446" s="1" t="s">
        <v>20</v>
      </c>
      <c r="C5446" s="2" t="s">
        <v>55</v>
      </c>
      <c r="D5446" s="2">
        <v>7.3</v>
      </c>
      <c r="E5446" s="2">
        <v>2013.0</v>
      </c>
      <c r="F5446" s="2" t="s">
        <v>10</v>
      </c>
      <c r="G5446" s="2">
        <v>7160000.0</v>
      </c>
    </row>
    <row r="5447" ht="14.25" customHeight="1">
      <c r="A5447" s="1" t="s">
        <v>4675</v>
      </c>
      <c r="B5447" s="1" t="s">
        <v>20</v>
      </c>
      <c r="C5447" s="2" t="s">
        <v>55</v>
      </c>
      <c r="D5447" s="2">
        <v>7.3</v>
      </c>
      <c r="E5447" s="2">
        <v>2013.0</v>
      </c>
      <c r="F5447" s="2" t="s">
        <v>10</v>
      </c>
      <c r="G5447" s="2">
        <v>7590000.0</v>
      </c>
    </row>
    <row r="5448" ht="14.25" customHeight="1">
      <c r="A5448" s="1" t="s">
        <v>4675</v>
      </c>
      <c r="B5448" s="1" t="s">
        <v>20</v>
      </c>
      <c r="C5448" s="2" t="s">
        <v>55</v>
      </c>
      <c r="D5448" s="2">
        <v>7.3</v>
      </c>
      <c r="E5448" s="2">
        <v>2013.0</v>
      </c>
      <c r="F5448" s="2" t="s">
        <v>10</v>
      </c>
      <c r="G5448" s="2">
        <v>5750000.0</v>
      </c>
    </row>
    <row r="5449" ht="14.25" customHeight="1">
      <c r="A5449" s="1" t="s">
        <v>4675</v>
      </c>
      <c r="B5449" s="1" t="s">
        <v>20</v>
      </c>
      <c r="C5449" s="2" t="s">
        <v>55</v>
      </c>
      <c r="D5449" s="2">
        <v>7.3</v>
      </c>
      <c r="E5449" s="2">
        <v>2013.0</v>
      </c>
      <c r="F5449" s="2" t="s">
        <v>10</v>
      </c>
      <c r="G5449" s="2">
        <v>5720000.0</v>
      </c>
    </row>
    <row r="5450" ht="14.25" customHeight="1">
      <c r="A5450" s="1" t="s">
        <v>4675</v>
      </c>
      <c r="B5450" s="1" t="s">
        <v>20</v>
      </c>
      <c r="C5450" s="2" t="s">
        <v>55</v>
      </c>
      <c r="D5450" s="2">
        <v>7.3</v>
      </c>
      <c r="E5450" s="2">
        <v>2013.0</v>
      </c>
      <c r="F5450" s="2" t="s">
        <v>10</v>
      </c>
      <c r="G5450" s="2">
        <v>6890000.0</v>
      </c>
    </row>
    <row r="5451" ht="14.25" customHeight="1">
      <c r="A5451" s="1" t="s">
        <v>4675</v>
      </c>
      <c r="B5451" s="1" t="s">
        <v>20</v>
      </c>
      <c r="C5451" s="2" t="s">
        <v>55</v>
      </c>
      <c r="D5451" s="2">
        <v>7.3</v>
      </c>
      <c r="E5451" s="2">
        <v>2013.0</v>
      </c>
      <c r="F5451" s="2" t="s">
        <v>10</v>
      </c>
      <c r="G5451" s="2">
        <v>9750000.0</v>
      </c>
    </row>
    <row r="5452" ht="14.25" customHeight="1">
      <c r="A5452" s="1" t="s">
        <v>4675</v>
      </c>
      <c r="B5452" s="1" t="s">
        <v>20</v>
      </c>
      <c r="C5452" s="2" t="s">
        <v>55</v>
      </c>
      <c r="D5452" s="2">
        <v>7.3</v>
      </c>
      <c r="E5452" s="2">
        <v>2013.0</v>
      </c>
      <c r="F5452" s="2" t="s">
        <v>10</v>
      </c>
      <c r="G5452" s="2">
        <v>1.151E7</v>
      </c>
    </row>
    <row r="5453" ht="14.25" customHeight="1">
      <c r="A5453" s="1" t="s">
        <v>4675</v>
      </c>
      <c r="B5453" s="1" t="s">
        <v>20</v>
      </c>
      <c r="C5453" s="2" t="s">
        <v>55</v>
      </c>
      <c r="D5453" s="2">
        <v>7.3</v>
      </c>
      <c r="E5453" s="2">
        <v>2013.0</v>
      </c>
      <c r="F5453" s="2" t="s">
        <v>10</v>
      </c>
      <c r="G5453" s="2">
        <v>1.308E7</v>
      </c>
    </row>
    <row r="5454" ht="14.25" customHeight="1">
      <c r="A5454" s="1" t="s">
        <v>4675</v>
      </c>
      <c r="B5454" s="1" t="s">
        <v>20</v>
      </c>
      <c r="C5454" s="2" t="s">
        <v>55</v>
      </c>
      <c r="D5454" s="2">
        <v>7.3</v>
      </c>
      <c r="E5454" s="2">
        <v>2013.0</v>
      </c>
      <c r="F5454" s="2" t="s">
        <v>10</v>
      </c>
      <c r="G5454" s="2">
        <v>1.434E7</v>
      </c>
    </row>
    <row r="5455" ht="14.25" customHeight="1">
      <c r="A5455" s="1" t="s">
        <v>4676</v>
      </c>
      <c r="B5455" s="1" t="s">
        <v>20</v>
      </c>
      <c r="C5455" s="2" t="s">
        <v>32</v>
      </c>
      <c r="D5455" s="2">
        <v>7.3</v>
      </c>
      <c r="E5455" s="2">
        <v>1994.0</v>
      </c>
      <c r="F5455" s="2" t="s">
        <v>10</v>
      </c>
      <c r="G5455" s="2" t="s">
        <v>10</v>
      </c>
    </row>
    <row r="5456" ht="14.25" customHeight="1">
      <c r="A5456" s="1" t="s">
        <v>4677</v>
      </c>
      <c r="B5456" s="1" t="s">
        <v>20</v>
      </c>
      <c r="C5456" s="2" t="s">
        <v>291</v>
      </c>
      <c r="D5456" s="2">
        <v>7.3</v>
      </c>
      <c r="E5456" s="2">
        <v>2011.0</v>
      </c>
      <c r="F5456" s="2" t="s">
        <v>10</v>
      </c>
      <c r="G5456" s="2" t="s">
        <v>10</v>
      </c>
    </row>
    <row r="5457" ht="14.25" customHeight="1">
      <c r="A5457" s="1" t="s">
        <v>4678</v>
      </c>
      <c r="B5457" s="1" t="s">
        <v>20</v>
      </c>
      <c r="C5457" s="2" t="s">
        <v>3155</v>
      </c>
      <c r="D5457" s="2">
        <v>7.3</v>
      </c>
      <c r="E5457" s="2">
        <v>1997.0</v>
      </c>
      <c r="F5457" s="2" t="s">
        <v>10</v>
      </c>
      <c r="G5457" s="2" t="s">
        <v>10</v>
      </c>
    </row>
    <row r="5458" ht="14.25" customHeight="1">
      <c r="A5458" s="1" t="s">
        <v>4679</v>
      </c>
      <c r="B5458" s="1" t="s">
        <v>20</v>
      </c>
      <c r="C5458" s="2" t="s">
        <v>187</v>
      </c>
      <c r="D5458" s="2">
        <v>7.3</v>
      </c>
      <c r="E5458" s="2">
        <v>1999.0</v>
      </c>
      <c r="F5458" s="2" t="s">
        <v>10</v>
      </c>
      <c r="G5458" s="2" t="s">
        <v>10</v>
      </c>
    </row>
    <row r="5459" ht="14.25" customHeight="1">
      <c r="A5459" s="1" t="s">
        <v>4680</v>
      </c>
      <c r="B5459" s="1" t="s">
        <v>20</v>
      </c>
      <c r="C5459" s="2" t="s">
        <v>476</v>
      </c>
      <c r="D5459" s="2">
        <v>7.3</v>
      </c>
      <c r="E5459" s="2">
        <v>2018.0</v>
      </c>
      <c r="F5459" s="2" t="s">
        <v>10</v>
      </c>
      <c r="G5459" s="2" t="s">
        <v>10</v>
      </c>
    </row>
    <row r="5460" ht="14.25" customHeight="1">
      <c r="A5460" s="1" t="s">
        <v>4681</v>
      </c>
      <c r="B5460" s="1" t="s">
        <v>20</v>
      </c>
      <c r="C5460" s="2" t="s">
        <v>1622</v>
      </c>
      <c r="D5460" s="2">
        <v>7.3</v>
      </c>
      <c r="E5460" s="2">
        <v>1994.0</v>
      </c>
      <c r="F5460" s="2" t="s">
        <v>10</v>
      </c>
      <c r="G5460" s="2" t="s">
        <v>10</v>
      </c>
    </row>
    <row r="5461" ht="14.25" customHeight="1">
      <c r="A5461" s="1" t="s">
        <v>4682</v>
      </c>
      <c r="B5461" s="1" t="s">
        <v>20</v>
      </c>
      <c r="C5461" s="2" t="s">
        <v>4509</v>
      </c>
      <c r="D5461" s="2">
        <v>7.3</v>
      </c>
      <c r="E5461" s="2">
        <v>1999.0</v>
      </c>
      <c r="F5461" s="2" t="s">
        <v>10</v>
      </c>
      <c r="G5461" s="2" t="s">
        <v>10</v>
      </c>
    </row>
    <row r="5462" ht="14.25" customHeight="1">
      <c r="A5462" s="1" t="s">
        <v>4683</v>
      </c>
      <c r="B5462" s="1" t="s">
        <v>20</v>
      </c>
      <c r="C5462" s="2" t="s">
        <v>4684</v>
      </c>
      <c r="D5462" s="2">
        <v>7.3</v>
      </c>
      <c r="E5462" s="2">
        <v>2007.0</v>
      </c>
      <c r="F5462" s="2">
        <v>2007.0</v>
      </c>
      <c r="G5462" s="2" t="s">
        <v>10</v>
      </c>
    </row>
    <row r="5463" ht="14.25" customHeight="1">
      <c r="A5463" s="1" t="s">
        <v>4685</v>
      </c>
      <c r="B5463" s="1" t="s">
        <v>20</v>
      </c>
      <c r="C5463" s="2" t="s">
        <v>299</v>
      </c>
      <c r="D5463" s="2">
        <v>7.3</v>
      </c>
      <c r="E5463" s="2">
        <v>2012.0</v>
      </c>
      <c r="F5463" s="2" t="s">
        <v>10</v>
      </c>
      <c r="G5463" s="2">
        <v>1.071E7</v>
      </c>
    </row>
    <row r="5464" ht="14.25" customHeight="1">
      <c r="A5464" s="1" t="s">
        <v>4686</v>
      </c>
      <c r="B5464" s="1" t="s">
        <v>20</v>
      </c>
      <c r="C5464" s="2" t="s">
        <v>55</v>
      </c>
      <c r="D5464" s="2">
        <v>7.3</v>
      </c>
      <c r="E5464" s="2">
        <v>2007.0</v>
      </c>
      <c r="F5464" s="2" t="s">
        <v>10</v>
      </c>
      <c r="G5464" s="2" t="s">
        <v>10</v>
      </c>
    </row>
    <row r="5465" ht="14.25" customHeight="1">
      <c r="A5465" s="1" t="s">
        <v>4687</v>
      </c>
      <c r="B5465" s="1" t="s">
        <v>20</v>
      </c>
      <c r="C5465" s="2" t="s">
        <v>1267</v>
      </c>
      <c r="D5465" s="2">
        <v>7.3</v>
      </c>
      <c r="E5465" s="2">
        <v>2002.0</v>
      </c>
      <c r="F5465" s="2">
        <v>2002.0</v>
      </c>
      <c r="G5465" s="2" t="s">
        <v>10</v>
      </c>
    </row>
    <row r="5466" ht="14.25" customHeight="1">
      <c r="A5466" s="1" t="s">
        <v>4688</v>
      </c>
      <c r="B5466" s="1" t="s">
        <v>20</v>
      </c>
      <c r="C5466" s="2" t="s">
        <v>60</v>
      </c>
      <c r="D5466" s="2">
        <v>7.3</v>
      </c>
      <c r="E5466" s="2">
        <v>2013.0</v>
      </c>
      <c r="F5466" s="2" t="s">
        <v>10</v>
      </c>
      <c r="G5466" s="2" t="s">
        <v>10</v>
      </c>
    </row>
    <row r="5467" ht="14.25" customHeight="1">
      <c r="A5467" s="1" t="s">
        <v>4689</v>
      </c>
      <c r="B5467" s="1" t="s">
        <v>20</v>
      </c>
      <c r="C5467" s="2" t="s">
        <v>69</v>
      </c>
      <c r="D5467" s="2">
        <v>7.3</v>
      </c>
      <c r="E5467" s="2">
        <v>2016.0</v>
      </c>
      <c r="F5467" s="2" t="s">
        <v>10</v>
      </c>
      <c r="G5467" s="2" t="s">
        <v>10</v>
      </c>
    </row>
    <row r="5468" ht="14.25" customHeight="1">
      <c r="A5468" s="1" t="s">
        <v>4690</v>
      </c>
      <c r="B5468" s="1" t="s">
        <v>20</v>
      </c>
      <c r="C5468" s="2" t="s">
        <v>25</v>
      </c>
      <c r="D5468" s="2">
        <v>7.3</v>
      </c>
      <c r="E5468" s="2">
        <v>2011.0</v>
      </c>
      <c r="F5468" s="2">
        <v>2011.0</v>
      </c>
      <c r="G5468" s="2" t="s">
        <v>10</v>
      </c>
    </row>
    <row r="5469" ht="14.25" customHeight="1">
      <c r="A5469" s="1" t="s">
        <v>4691</v>
      </c>
      <c r="B5469" s="1" t="s">
        <v>20</v>
      </c>
      <c r="C5469" s="2" t="s">
        <v>151</v>
      </c>
      <c r="D5469" s="2">
        <v>7.3</v>
      </c>
      <c r="E5469" s="2">
        <v>1997.0</v>
      </c>
      <c r="F5469" s="2" t="s">
        <v>10</v>
      </c>
      <c r="G5469" s="2" t="s">
        <v>10</v>
      </c>
    </row>
    <row r="5470" ht="14.25" customHeight="1">
      <c r="A5470" s="1" t="s">
        <v>4692</v>
      </c>
      <c r="B5470" s="1" t="s">
        <v>20</v>
      </c>
      <c r="C5470" s="2" t="s">
        <v>34</v>
      </c>
      <c r="D5470" s="2">
        <v>7.3</v>
      </c>
      <c r="E5470" s="2">
        <v>2005.0</v>
      </c>
      <c r="F5470" s="2" t="s">
        <v>10</v>
      </c>
      <c r="G5470" s="2" t="s">
        <v>10</v>
      </c>
    </row>
    <row r="5471" ht="14.25" customHeight="1">
      <c r="A5471" s="1" t="s">
        <v>4693</v>
      </c>
      <c r="B5471" s="1" t="s">
        <v>20</v>
      </c>
      <c r="C5471" s="2" t="s">
        <v>459</v>
      </c>
      <c r="D5471" s="2">
        <v>7.3</v>
      </c>
      <c r="E5471" s="2">
        <v>2016.0</v>
      </c>
      <c r="F5471" s="2">
        <v>2016.0</v>
      </c>
      <c r="G5471" s="2" t="s">
        <v>10</v>
      </c>
    </row>
    <row r="5472" ht="14.25" customHeight="1">
      <c r="A5472" s="1" t="s">
        <v>4694</v>
      </c>
      <c r="B5472" s="1" t="s">
        <v>20</v>
      </c>
      <c r="C5472" s="2" t="s">
        <v>69</v>
      </c>
      <c r="D5472" s="2">
        <v>7.3</v>
      </c>
      <c r="E5472" s="2">
        <v>2019.0</v>
      </c>
      <c r="F5472" s="2" t="s">
        <v>10</v>
      </c>
      <c r="G5472" s="2" t="s">
        <v>10</v>
      </c>
    </row>
    <row r="5473" ht="14.25" customHeight="1">
      <c r="A5473" s="1" t="s">
        <v>4695</v>
      </c>
      <c r="B5473" s="1" t="s">
        <v>20</v>
      </c>
      <c r="C5473" s="2" t="s">
        <v>151</v>
      </c>
      <c r="D5473" s="2">
        <v>7.3</v>
      </c>
      <c r="E5473" s="2">
        <v>2019.0</v>
      </c>
      <c r="F5473" s="2" t="s">
        <v>10</v>
      </c>
      <c r="G5473" s="2" t="s">
        <v>10</v>
      </c>
    </row>
    <row r="5474" ht="14.25" customHeight="1">
      <c r="A5474" s="1" t="s">
        <v>4696</v>
      </c>
      <c r="B5474" s="1" t="s">
        <v>20</v>
      </c>
      <c r="C5474" s="2" t="s">
        <v>25</v>
      </c>
      <c r="D5474" s="2">
        <v>7.3</v>
      </c>
      <c r="E5474" s="2">
        <v>2010.0</v>
      </c>
      <c r="F5474" s="2" t="s">
        <v>10</v>
      </c>
      <c r="G5474" s="2" t="s">
        <v>10</v>
      </c>
    </row>
    <row r="5475" ht="14.25" customHeight="1">
      <c r="A5475" s="1" t="s">
        <v>4697</v>
      </c>
      <c r="B5475" s="1" t="s">
        <v>20</v>
      </c>
      <c r="C5475" s="2" t="s">
        <v>25</v>
      </c>
      <c r="D5475" s="2">
        <v>7.3</v>
      </c>
      <c r="E5475" s="2">
        <v>2011.0</v>
      </c>
      <c r="F5475" s="2">
        <v>2011.0</v>
      </c>
      <c r="G5475" s="2" t="s">
        <v>10</v>
      </c>
    </row>
    <row r="5476" ht="14.25" customHeight="1">
      <c r="A5476" s="1" t="s">
        <v>3182</v>
      </c>
      <c r="B5476" s="1" t="s">
        <v>20</v>
      </c>
      <c r="C5476" s="2" t="s">
        <v>25</v>
      </c>
      <c r="D5476" s="2">
        <v>7.3</v>
      </c>
      <c r="E5476" s="2">
        <v>2016.0</v>
      </c>
      <c r="F5476" s="2">
        <v>2010.0</v>
      </c>
      <c r="G5476" s="2" t="s">
        <v>10</v>
      </c>
    </row>
    <row r="5477" ht="14.25" customHeight="1">
      <c r="A5477" s="1" t="s">
        <v>4698</v>
      </c>
      <c r="B5477" s="1" t="s">
        <v>20</v>
      </c>
      <c r="C5477" s="2" t="s">
        <v>9</v>
      </c>
      <c r="D5477" s="2">
        <v>7.3</v>
      </c>
      <c r="E5477" s="2">
        <v>2012.0</v>
      </c>
      <c r="F5477" s="2">
        <v>2012.0</v>
      </c>
      <c r="G5477" s="2" t="s">
        <v>10</v>
      </c>
    </row>
    <row r="5478" ht="14.25" customHeight="1">
      <c r="A5478" s="1" t="s">
        <v>4699</v>
      </c>
      <c r="B5478" s="1" t="s">
        <v>20</v>
      </c>
      <c r="C5478" s="2" t="s">
        <v>187</v>
      </c>
      <c r="D5478" s="2">
        <v>7.3</v>
      </c>
      <c r="E5478" s="2">
        <v>1996.0</v>
      </c>
      <c r="F5478" s="2" t="s">
        <v>10</v>
      </c>
      <c r="G5478" s="2" t="s">
        <v>10</v>
      </c>
    </row>
    <row r="5479" ht="14.25" customHeight="1">
      <c r="A5479" s="1" t="s">
        <v>4700</v>
      </c>
      <c r="B5479" s="1" t="s">
        <v>20</v>
      </c>
      <c r="C5479" s="2" t="s">
        <v>1507</v>
      </c>
      <c r="D5479" s="2">
        <v>7.3</v>
      </c>
      <c r="E5479" s="2">
        <v>1994.0</v>
      </c>
      <c r="F5479" s="2" t="s">
        <v>10</v>
      </c>
      <c r="G5479" s="2" t="s">
        <v>10</v>
      </c>
    </row>
    <row r="5480" ht="14.25" customHeight="1">
      <c r="A5480" s="1" t="s">
        <v>4701</v>
      </c>
      <c r="B5480" s="1" t="s">
        <v>8</v>
      </c>
      <c r="C5480" s="2" t="s">
        <v>212</v>
      </c>
      <c r="D5480" s="2">
        <v>7.3</v>
      </c>
      <c r="E5480" s="2">
        <v>2022.0</v>
      </c>
      <c r="F5480" s="2" t="s">
        <v>10</v>
      </c>
      <c r="G5480" s="2" t="s">
        <v>10</v>
      </c>
    </row>
    <row r="5481" ht="14.25" customHeight="1">
      <c r="A5481" s="1" t="s">
        <v>4702</v>
      </c>
      <c r="B5481" s="1" t="s">
        <v>20</v>
      </c>
      <c r="C5481" s="2" t="s">
        <v>80</v>
      </c>
      <c r="D5481" s="2">
        <v>7.3</v>
      </c>
      <c r="E5481" s="2">
        <v>2012.0</v>
      </c>
      <c r="F5481" s="2">
        <v>2012.0</v>
      </c>
      <c r="G5481" s="2" t="s">
        <v>10</v>
      </c>
    </row>
    <row r="5482" ht="14.25" customHeight="1">
      <c r="A5482" s="1" t="s">
        <v>4703</v>
      </c>
      <c r="B5482" s="1" t="s">
        <v>20</v>
      </c>
      <c r="C5482" s="2" t="s">
        <v>963</v>
      </c>
      <c r="D5482" s="2">
        <v>7.3</v>
      </c>
      <c r="E5482" s="2">
        <v>2021.0</v>
      </c>
      <c r="F5482" s="2" t="s">
        <v>10</v>
      </c>
      <c r="G5482" s="2" t="s">
        <v>10</v>
      </c>
    </row>
    <row r="5483" ht="14.25" customHeight="1">
      <c r="A5483" s="1" t="s">
        <v>4704</v>
      </c>
      <c r="B5483" s="1" t="s">
        <v>20</v>
      </c>
      <c r="C5483" s="2" t="s">
        <v>616</v>
      </c>
      <c r="D5483" s="2">
        <v>7.3</v>
      </c>
      <c r="E5483" s="2">
        <v>2003.0</v>
      </c>
      <c r="F5483" s="2" t="s">
        <v>10</v>
      </c>
      <c r="G5483" s="2" t="s">
        <v>10</v>
      </c>
    </row>
    <row r="5484" ht="14.25" customHeight="1">
      <c r="A5484" s="1" t="s">
        <v>4705</v>
      </c>
      <c r="B5484" s="1" t="s">
        <v>20</v>
      </c>
      <c r="C5484" s="2" t="s">
        <v>262</v>
      </c>
      <c r="D5484" s="2">
        <v>7.3</v>
      </c>
      <c r="E5484" s="2">
        <v>2015.0</v>
      </c>
      <c r="F5484" s="2" t="s">
        <v>10</v>
      </c>
      <c r="G5484" s="2" t="s">
        <v>10</v>
      </c>
    </row>
    <row r="5485" ht="14.25" customHeight="1">
      <c r="A5485" s="1" t="s">
        <v>4706</v>
      </c>
      <c r="B5485" s="1" t="s">
        <v>20</v>
      </c>
      <c r="C5485" s="2" t="s">
        <v>1025</v>
      </c>
      <c r="D5485" s="2">
        <v>7.3</v>
      </c>
      <c r="E5485" s="2">
        <v>1998.0</v>
      </c>
      <c r="F5485" s="2" t="s">
        <v>10</v>
      </c>
      <c r="G5485" s="2" t="s">
        <v>10</v>
      </c>
    </row>
    <row r="5486" ht="14.25" customHeight="1">
      <c r="A5486" s="1" t="s">
        <v>4707</v>
      </c>
      <c r="B5486" s="1" t="s">
        <v>20</v>
      </c>
      <c r="C5486" s="2" t="s">
        <v>25</v>
      </c>
      <c r="D5486" s="2">
        <v>7.3</v>
      </c>
      <c r="E5486" s="2">
        <v>1997.0</v>
      </c>
      <c r="F5486" s="2" t="s">
        <v>10</v>
      </c>
      <c r="G5486" s="2" t="s">
        <v>10</v>
      </c>
    </row>
    <row r="5487" ht="14.25" customHeight="1">
      <c r="A5487" s="1" t="s">
        <v>2404</v>
      </c>
      <c r="B5487" s="1" t="s">
        <v>20</v>
      </c>
      <c r="C5487" s="2" t="s">
        <v>53</v>
      </c>
      <c r="D5487" s="2">
        <v>7.3</v>
      </c>
      <c r="E5487" s="2">
        <v>2011.0</v>
      </c>
      <c r="F5487" s="2">
        <v>2011.0</v>
      </c>
      <c r="G5487" s="2">
        <v>1.53E7</v>
      </c>
    </row>
    <row r="5488" ht="14.25" customHeight="1">
      <c r="A5488" s="1" t="s">
        <v>2404</v>
      </c>
      <c r="B5488" s="1" t="s">
        <v>20</v>
      </c>
      <c r="C5488" s="2" t="s">
        <v>53</v>
      </c>
      <c r="D5488" s="2">
        <v>7.3</v>
      </c>
      <c r="E5488" s="2">
        <v>2011.0</v>
      </c>
      <c r="F5488" s="2">
        <v>2011.0</v>
      </c>
      <c r="G5488" s="2">
        <v>2.35E7</v>
      </c>
    </row>
    <row r="5489" ht="14.25" customHeight="1">
      <c r="A5489" s="1" t="s">
        <v>2404</v>
      </c>
      <c r="B5489" s="1" t="s">
        <v>20</v>
      </c>
      <c r="C5489" s="2" t="s">
        <v>53</v>
      </c>
      <c r="D5489" s="2">
        <v>7.3</v>
      </c>
      <c r="E5489" s="2">
        <v>2011.0</v>
      </c>
      <c r="F5489" s="2">
        <v>2011.0</v>
      </c>
      <c r="G5489" s="2">
        <v>4.24E7</v>
      </c>
    </row>
    <row r="5490" ht="14.25" customHeight="1">
      <c r="A5490" s="1" t="s">
        <v>2404</v>
      </c>
      <c r="B5490" s="1" t="s">
        <v>20</v>
      </c>
      <c r="C5490" s="2" t="s">
        <v>53</v>
      </c>
      <c r="D5490" s="2">
        <v>7.3</v>
      </c>
      <c r="E5490" s="2">
        <v>2011.0</v>
      </c>
      <c r="F5490" s="2">
        <v>2011.0</v>
      </c>
      <c r="G5490" s="2">
        <v>1.83E7</v>
      </c>
    </row>
    <row r="5491" ht="14.25" customHeight="1">
      <c r="A5491" s="1" t="s">
        <v>2404</v>
      </c>
      <c r="B5491" s="1" t="s">
        <v>20</v>
      </c>
      <c r="C5491" s="2" t="s">
        <v>53</v>
      </c>
      <c r="D5491" s="2">
        <v>7.3</v>
      </c>
      <c r="E5491" s="2">
        <v>2011.0</v>
      </c>
      <c r="F5491" s="2">
        <v>2011.0</v>
      </c>
      <c r="G5491" s="2">
        <v>5.52E7</v>
      </c>
    </row>
    <row r="5492" ht="14.25" customHeight="1">
      <c r="A5492" s="1" t="s">
        <v>2404</v>
      </c>
      <c r="B5492" s="1" t="s">
        <v>20</v>
      </c>
      <c r="C5492" s="2" t="s">
        <v>53</v>
      </c>
      <c r="D5492" s="2">
        <v>7.3</v>
      </c>
      <c r="E5492" s="2">
        <v>2011.0</v>
      </c>
      <c r="F5492" s="2">
        <v>2011.0</v>
      </c>
      <c r="G5492" s="2">
        <v>1.73E7</v>
      </c>
    </row>
    <row r="5493" ht="14.25" customHeight="1">
      <c r="A5493" s="1" t="s">
        <v>2404</v>
      </c>
      <c r="B5493" s="1" t="s">
        <v>20</v>
      </c>
      <c r="C5493" s="2" t="s">
        <v>53</v>
      </c>
      <c r="D5493" s="2">
        <v>7.3</v>
      </c>
      <c r="E5493" s="2">
        <v>2011.0</v>
      </c>
      <c r="F5493" s="2">
        <v>2011.0</v>
      </c>
      <c r="G5493" s="2">
        <v>1.26E7</v>
      </c>
    </row>
    <row r="5494" ht="14.25" customHeight="1">
      <c r="A5494" s="1" t="s">
        <v>2404</v>
      </c>
      <c r="B5494" s="1" t="s">
        <v>20</v>
      </c>
      <c r="C5494" s="2" t="s">
        <v>53</v>
      </c>
      <c r="D5494" s="2">
        <v>7.3</v>
      </c>
      <c r="E5494" s="2">
        <v>2011.0</v>
      </c>
      <c r="F5494" s="2">
        <v>2011.0</v>
      </c>
      <c r="G5494" s="2">
        <v>1.94E7</v>
      </c>
    </row>
    <row r="5495" ht="14.25" customHeight="1">
      <c r="A5495" s="1" t="s">
        <v>2404</v>
      </c>
      <c r="B5495" s="1" t="s">
        <v>20</v>
      </c>
      <c r="C5495" s="2" t="s">
        <v>53</v>
      </c>
      <c r="D5495" s="2">
        <v>7.3</v>
      </c>
      <c r="E5495" s="2">
        <v>2011.0</v>
      </c>
      <c r="F5495" s="2">
        <v>2011.0</v>
      </c>
      <c r="G5495" s="2">
        <v>1.78E7</v>
      </c>
    </row>
    <row r="5496" ht="14.25" customHeight="1">
      <c r="A5496" s="1" t="s">
        <v>2404</v>
      </c>
      <c r="B5496" s="1" t="s">
        <v>20</v>
      </c>
      <c r="C5496" s="2" t="s">
        <v>53</v>
      </c>
      <c r="D5496" s="2">
        <v>7.3</v>
      </c>
      <c r="E5496" s="2">
        <v>2011.0</v>
      </c>
      <c r="F5496" s="2">
        <v>2011.0</v>
      </c>
      <c r="G5496" s="2">
        <v>3.53E7</v>
      </c>
    </row>
    <row r="5497" ht="14.25" customHeight="1">
      <c r="A5497" s="1" t="s">
        <v>2404</v>
      </c>
      <c r="B5497" s="1" t="s">
        <v>20</v>
      </c>
      <c r="C5497" s="2" t="s">
        <v>53</v>
      </c>
      <c r="D5497" s="2">
        <v>7.3</v>
      </c>
      <c r="E5497" s="2">
        <v>2011.0</v>
      </c>
      <c r="F5497" s="2">
        <v>2011.0</v>
      </c>
      <c r="G5497" s="2">
        <v>2.83E7</v>
      </c>
    </row>
    <row r="5498" ht="14.25" customHeight="1">
      <c r="A5498" s="1" t="s">
        <v>2404</v>
      </c>
      <c r="B5498" s="1" t="s">
        <v>20</v>
      </c>
      <c r="C5498" s="2" t="s">
        <v>53</v>
      </c>
      <c r="D5498" s="2">
        <v>7.3</v>
      </c>
      <c r="E5498" s="2">
        <v>2011.0</v>
      </c>
      <c r="F5498" s="2">
        <v>2011.0</v>
      </c>
      <c r="G5498" s="2">
        <v>3.14E7</v>
      </c>
    </row>
    <row r="5499" ht="14.25" customHeight="1">
      <c r="A5499" s="1" t="s">
        <v>2404</v>
      </c>
      <c r="B5499" s="1" t="s">
        <v>20</v>
      </c>
      <c r="C5499" s="2" t="s">
        <v>53</v>
      </c>
      <c r="D5499" s="2">
        <v>7.3</v>
      </c>
      <c r="E5499" s="2">
        <v>2011.0</v>
      </c>
      <c r="F5499" s="2">
        <v>2011.0</v>
      </c>
      <c r="G5499" s="2">
        <v>1.92E7</v>
      </c>
    </row>
    <row r="5500" ht="14.25" customHeight="1">
      <c r="A5500" s="1" t="s">
        <v>2404</v>
      </c>
      <c r="B5500" s="1" t="s">
        <v>20</v>
      </c>
      <c r="C5500" s="2" t="s">
        <v>53</v>
      </c>
      <c r="D5500" s="2">
        <v>7.3</v>
      </c>
      <c r="E5500" s="2">
        <v>2011.0</v>
      </c>
      <c r="F5500" s="2">
        <v>2011.0</v>
      </c>
      <c r="G5500" s="2">
        <v>1.755E7</v>
      </c>
    </row>
    <row r="5501" ht="14.25" customHeight="1">
      <c r="A5501" s="1" t="s">
        <v>2404</v>
      </c>
      <c r="B5501" s="1" t="s">
        <v>20</v>
      </c>
      <c r="C5501" s="2" t="s">
        <v>53</v>
      </c>
      <c r="D5501" s="2">
        <v>7.3</v>
      </c>
      <c r="E5501" s="2">
        <v>2011.0</v>
      </c>
      <c r="F5501" s="2">
        <v>2011.0</v>
      </c>
      <c r="G5501" s="2">
        <v>2.719E7</v>
      </c>
    </row>
    <row r="5502" ht="14.25" customHeight="1">
      <c r="A5502" s="1" t="s">
        <v>2404</v>
      </c>
      <c r="B5502" s="1" t="s">
        <v>20</v>
      </c>
      <c r="C5502" s="2" t="s">
        <v>53</v>
      </c>
      <c r="D5502" s="2">
        <v>7.3</v>
      </c>
      <c r="E5502" s="2">
        <v>2011.0</v>
      </c>
      <c r="F5502" s="2">
        <v>2011.0</v>
      </c>
      <c r="G5502" s="2">
        <v>4.253E7</v>
      </c>
    </row>
    <row r="5503" ht="14.25" customHeight="1">
      <c r="A5503" s="1" t="s">
        <v>2404</v>
      </c>
      <c r="B5503" s="1" t="s">
        <v>20</v>
      </c>
      <c r="C5503" s="2" t="s">
        <v>53</v>
      </c>
      <c r="D5503" s="2">
        <v>7.3</v>
      </c>
      <c r="E5503" s="2">
        <v>2011.0</v>
      </c>
      <c r="F5503" s="2">
        <v>2011.0</v>
      </c>
      <c r="G5503" s="2">
        <v>6.482E7</v>
      </c>
    </row>
    <row r="5504" ht="14.25" customHeight="1">
      <c r="A5504" s="1" t="s">
        <v>2404</v>
      </c>
      <c r="B5504" s="1" t="s">
        <v>20</v>
      </c>
      <c r="C5504" s="2" t="s">
        <v>53</v>
      </c>
      <c r="D5504" s="2">
        <v>7.3</v>
      </c>
      <c r="E5504" s="2">
        <v>2011.0</v>
      </c>
      <c r="F5504" s="2">
        <v>2011.0</v>
      </c>
      <c r="G5504" s="2">
        <v>1.0809E8</v>
      </c>
    </row>
    <row r="5505" ht="14.25" customHeight="1">
      <c r="A5505" s="1" t="s">
        <v>2404</v>
      </c>
      <c r="B5505" s="1" t="s">
        <v>20</v>
      </c>
      <c r="C5505" s="2" t="s">
        <v>53</v>
      </c>
      <c r="D5505" s="2">
        <v>7.3</v>
      </c>
      <c r="E5505" s="2">
        <v>2011.0</v>
      </c>
      <c r="F5505" s="2">
        <v>2011.0</v>
      </c>
      <c r="G5505" s="2">
        <v>4.509E7</v>
      </c>
    </row>
    <row r="5506" ht="14.25" customHeight="1">
      <c r="A5506" s="1" t="s">
        <v>4708</v>
      </c>
      <c r="B5506" s="1" t="s">
        <v>20</v>
      </c>
      <c r="C5506" s="2" t="s">
        <v>359</v>
      </c>
      <c r="D5506" s="2">
        <v>7.3</v>
      </c>
      <c r="E5506" s="2">
        <v>1984.0</v>
      </c>
      <c r="F5506" s="2" t="s">
        <v>10</v>
      </c>
      <c r="G5506" s="2" t="s">
        <v>10</v>
      </c>
    </row>
    <row r="5507" ht="14.25" customHeight="1">
      <c r="A5507" s="1" t="s">
        <v>4709</v>
      </c>
      <c r="B5507" s="1" t="s">
        <v>20</v>
      </c>
      <c r="C5507" s="2" t="s">
        <v>63</v>
      </c>
      <c r="D5507" s="2">
        <v>7.3</v>
      </c>
      <c r="E5507" s="2">
        <v>2011.0</v>
      </c>
      <c r="F5507" s="2" t="s">
        <v>10</v>
      </c>
      <c r="G5507" s="2" t="s">
        <v>10</v>
      </c>
    </row>
    <row r="5508" ht="14.25" customHeight="1">
      <c r="A5508" s="1" t="s">
        <v>4710</v>
      </c>
      <c r="B5508" s="1" t="s">
        <v>20</v>
      </c>
      <c r="C5508" s="2" t="s">
        <v>55</v>
      </c>
      <c r="D5508" s="2">
        <v>7.3</v>
      </c>
      <c r="E5508" s="2">
        <v>1999.0</v>
      </c>
      <c r="F5508" s="2">
        <v>1999.0</v>
      </c>
      <c r="G5508" s="2" t="s">
        <v>10</v>
      </c>
    </row>
    <row r="5509" ht="14.25" customHeight="1">
      <c r="A5509" s="1" t="s">
        <v>4711</v>
      </c>
      <c r="B5509" s="1" t="s">
        <v>20</v>
      </c>
      <c r="C5509" s="2" t="s">
        <v>4712</v>
      </c>
      <c r="D5509" s="2">
        <v>7.3</v>
      </c>
      <c r="E5509" s="2">
        <v>1984.0</v>
      </c>
      <c r="F5509" s="2">
        <v>1984.0</v>
      </c>
      <c r="G5509" s="2" t="s">
        <v>10</v>
      </c>
    </row>
    <row r="5510" ht="14.25" customHeight="1">
      <c r="A5510" s="1" t="s">
        <v>947</v>
      </c>
      <c r="B5510" s="1" t="s">
        <v>20</v>
      </c>
      <c r="C5510" s="2" t="s">
        <v>25</v>
      </c>
      <c r="D5510" s="2">
        <v>7.3</v>
      </c>
      <c r="E5510" s="2">
        <v>2011.0</v>
      </c>
      <c r="F5510" s="2">
        <v>2011.0</v>
      </c>
      <c r="G5510" s="2" t="s">
        <v>10</v>
      </c>
    </row>
    <row r="5511" ht="14.25" customHeight="1">
      <c r="A5511" s="1" t="s">
        <v>4713</v>
      </c>
      <c r="B5511" s="1" t="s">
        <v>20</v>
      </c>
      <c r="C5511" s="2" t="s">
        <v>284</v>
      </c>
      <c r="D5511" s="2">
        <v>7.3</v>
      </c>
      <c r="E5511" s="2">
        <v>1988.0</v>
      </c>
      <c r="F5511" s="2" t="s">
        <v>10</v>
      </c>
      <c r="G5511" s="2" t="s">
        <v>10</v>
      </c>
    </row>
    <row r="5512" ht="14.25" customHeight="1">
      <c r="A5512" s="1" t="s">
        <v>4714</v>
      </c>
      <c r="B5512" s="1" t="s">
        <v>20</v>
      </c>
      <c r="C5512" s="2" t="s">
        <v>311</v>
      </c>
      <c r="D5512" s="2">
        <v>7.3</v>
      </c>
      <c r="E5512" s="2">
        <v>2022.0</v>
      </c>
      <c r="F5512" s="2" t="s">
        <v>10</v>
      </c>
      <c r="G5512" s="2" t="s">
        <v>10</v>
      </c>
    </row>
    <row r="5513" ht="14.25" customHeight="1">
      <c r="A5513" s="1" t="s">
        <v>4715</v>
      </c>
      <c r="B5513" s="1" t="s">
        <v>20</v>
      </c>
      <c r="C5513" s="2" t="s">
        <v>60</v>
      </c>
      <c r="D5513" s="2">
        <v>7.3</v>
      </c>
      <c r="E5513" s="2">
        <v>2014.0</v>
      </c>
      <c r="F5513" s="2">
        <v>2014.0</v>
      </c>
      <c r="G5513" s="2" t="s">
        <v>10</v>
      </c>
    </row>
    <row r="5514" ht="14.25" customHeight="1">
      <c r="A5514" s="1" t="s">
        <v>4716</v>
      </c>
      <c r="B5514" s="1" t="s">
        <v>20</v>
      </c>
      <c r="C5514" s="2" t="s">
        <v>262</v>
      </c>
      <c r="D5514" s="2">
        <v>7.3</v>
      </c>
      <c r="E5514" s="2">
        <v>1979.0</v>
      </c>
      <c r="F5514" s="2">
        <v>1979.0</v>
      </c>
      <c r="G5514" s="2" t="s">
        <v>10</v>
      </c>
    </row>
    <row r="5515" ht="14.25" customHeight="1">
      <c r="A5515" s="1" t="s">
        <v>4717</v>
      </c>
      <c r="B5515" s="1" t="s">
        <v>20</v>
      </c>
      <c r="C5515" s="2" t="s">
        <v>60</v>
      </c>
      <c r="D5515" s="2">
        <v>7.3</v>
      </c>
      <c r="E5515" s="2">
        <v>1999.0</v>
      </c>
      <c r="F5515" s="2" t="s">
        <v>10</v>
      </c>
      <c r="G5515" s="2" t="s">
        <v>10</v>
      </c>
    </row>
    <row r="5516" ht="14.25" customHeight="1">
      <c r="A5516" s="1" t="s">
        <v>4718</v>
      </c>
      <c r="B5516" s="1" t="s">
        <v>20</v>
      </c>
      <c r="C5516" s="2" t="s">
        <v>154</v>
      </c>
      <c r="D5516" s="2">
        <v>7.3</v>
      </c>
      <c r="E5516" s="2">
        <v>2008.0</v>
      </c>
      <c r="F5516" s="2">
        <v>2008.0</v>
      </c>
      <c r="G5516" s="2" t="s">
        <v>10</v>
      </c>
    </row>
    <row r="5517" ht="14.25" customHeight="1">
      <c r="A5517" s="1" t="s">
        <v>4719</v>
      </c>
      <c r="B5517" s="1" t="s">
        <v>20</v>
      </c>
      <c r="C5517" s="2" t="s">
        <v>92</v>
      </c>
      <c r="D5517" s="2">
        <v>7.3</v>
      </c>
      <c r="E5517" s="2">
        <v>2019.0</v>
      </c>
      <c r="F5517" s="2" t="s">
        <v>10</v>
      </c>
      <c r="G5517" s="2" t="s">
        <v>10</v>
      </c>
    </row>
    <row r="5518" ht="14.25" customHeight="1">
      <c r="A5518" s="1" t="s">
        <v>4720</v>
      </c>
      <c r="B5518" s="1" t="s">
        <v>20</v>
      </c>
      <c r="C5518" s="2" t="s">
        <v>154</v>
      </c>
      <c r="D5518" s="2">
        <v>7.3</v>
      </c>
      <c r="E5518" s="2">
        <v>2002.0</v>
      </c>
      <c r="F5518" s="2">
        <v>2002.0</v>
      </c>
      <c r="G5518" s="2" t="s">
        <v>10</v>
      </c>
    </row>
    <row r="5519" ht="14.25" customHeight="1">
      <c r="A5519" s="1" t="s">
        <v>2886</v>
      </c>
      <c r="B5519" s="1" t="s">
        <v>20</v>
      </c>
      <c r="C5519" s="2" t="s">
        <v>792</v>
      </c>
      <c r="D5519" s="2">
        <v>7.3</v>
      </c>
      <c r="E5519" s="2">
        <v>1991.0</v>
      </c>
      <c r="F5519" s="2" t="s">
        <v>10</v>
      </c>
      <c r="G5519" s="2" t="s">
        <v>10</v>
      </c>
    </row>
    <row r="5520" ht="14.25" customHeight="1">
      <c r="A5520" s="1" t="s">
        <v>4721</v>
      </c>
      <c r="B5520" s="1" t="s">
        <v>20</v>
      </c>
      <c r="C5520" s="2" t="s">
        <v>169</v>
      </c>
      <c r="D5520" s="2">
        <v>7.3</v>
      </c>
      <c r="E5520" s="2">
        <v>1999.0</v>
      </c>
      <c r="F5520" s="2" t="s">
        <v>10</v>
      </c>
      <c r="G5520" s="2" t="s">
        <v>10</v>
      </c>
    </row>
    <row r="5521" ht="14.25" customHeight="1">
      <c r="A5521" s="1" t="s">
        <v>4722</v>
      </c>
      <c r="B5521" s="1" t="s">
        <v>20</v>
      </c>
      <c r="C5521" s="2" t="s">
        <v>55</v>
      </c>
      <c r="D5521" s="2">
        <v>7.3</v>
      </c>
      <c r="E5521" s="2">
        <v>2002.0</v>
      </c>
      <c r="F5521" s="2" t="s">
        <v>10</v>
      </c>
      <c r="G5521" s="2" t="s">
        <v>10</v>
      </c>
    </row>
    <row r="5522" ht="14.25" customHeight="1">
      <c r="A5522" s="1" t="s">
        <v>4723</v>
      </c>
      <c r="B5522" s="1" t="s">
        <v>20</v>
      </c>
      <c r="C5522" s="2" t="s">
        <v>154</v>
      </c>
      <c r="D5522" s="2">
        <v>7.3</v>
      </c>
      <c r="E5522" s="2">
        <v>2010.0</v>
      </c>
      <c r="F5522" s="2">
        <v>2010.0</v>
      </c>
      <c r="G5522" s="2" t="s">
        <v>10</v>
      </c>
    </row>
    <row r="5523" ht="14.25" customHeight="1">
      <c r="A5523" s="1" t="s">
        <v>4724</v>
      </c>
      <c r="B5523" s="1" t="s">
        <v>20</v>
      </c>
      <c r="C5523" s="2" t="s">
        <v>187</v>
      </c>
      <c r="D5523" s="2">
        <v>7.3</v>
      </c>
      <c r="E5523" s="2">
        <v>2013.0</v>
      </c>
      <c r="F5523" s="2">
        <v>2013.0</v>
      </c>
      <c r="G5523" s="2" t="s">
        <v>10</v>
      </c>
    </row>
    <row r="5524" ht="14.25" customHeight="1">
      <c r="A5524" s="1" t="s">
        <v>4725</v>
      </c>
      <c r="B5524" s="1" t="s">
        <v>20</v>
      </c>
      <c r="C5524" s="2" t="s">
        <v>69</v>
      </c>
      <c r="D5524" s="2">
        <v>7.3</v>
      </c>
      <c r="E5524" s="2">
        <v>2010.0</v>
      </c>
      <c r="F5524" s="2">
        <v>2010.0</v>
      </c>
      <c r="G5524" s="2" t="s">
        <v>10</v>
      </c>
    </row>
    <row r="5525" ht="14.25" customHeight="1">
      <c r="A5525" s="1" t="s">
        <v>4726</v>
      </c>
      <c r="B5525" s="1" t="s">
        <v>20</v>
      </c>
      <c r="C5525" s="2" t="s">
        <v>291</v>
      </c>
      <c r="D5525" s="2">
        <v>7.3</v>
      </c>
      <c r="E5525" s="2">
        <v>1991.0</v>
      </c>
      <c r="F5525" s="2" t="s">
        <v>10</v>
      </c>
      <c r="G5525" s="2" t="s">
        <v>10</v>
      </c>
    </row>
    <row r="5526" ht="14.25" customHeight="1">
      <c r="A5526" s="1" t="s">
        <v>4727</v>
      </c>
      <c r="B5526" s="1" t="s">
        <v>20</v>
      </c>
      <c r="C5526" s="2" t="s">
        <v>80</v>
      </c>
      <c r="D5526" s="2">
        <v>7.3</v>
      </c>
      <c r="E5526" s="2">
        <v>2018.0</v>
      </c>
      <c r="F5526" s="2" t="s">
        <v>10</v>
      </c>
      <c r="G5526" s="2" t="s">
        <v>10</v>
      </c>
    </row>
    <row r="5527" ht="14.25" customHeight="1">
      <c r="A5527" s="1" t="s">
        <v>4728</v>
      </c>
      <c r="B5527" s="1" t="s">
        <v>20</v>
      </c>
      <c r="C5527" s="2" t="s">
        <v>311</v>
      </c>
      <c r="D5527" s="2">
        <v>7.3</v>
      </c>
      <c r="E5527" s="2">
        <v>2019.0</v>
      </c>
      <c r="F5527" s="2" t="s">
        <v>10</v>
      </c>
      <c r="G5527" s="2" t="s">
        <v>10</v>
      </c>
    </row>
    <row r="5528" ht="14.25" customHeight="1">
      <c r="A5528" s="1" t="s">
        <v>4729</v>
      </c>
      <c r="B5528" s="1" t="s">
        <v>20</v>
      </c>
      <c r="C5528" s="2" t="s">
        <v>9</v>
      </c>
      <c r="D5528" s="2">
        <v>7.3</v>
      </c>
      <c r="E5528" s="2">
        <v>2004.0</v>
      </c>
      <c r="F5528" s="2">
        <v>2004.0</v>
      </c>
      <c r="G5528" s="2" t="s">
        <v>10</v>
      </c>
    </row>
    <row r="5529" ht="14.25" customHeight="1">
      <c r="A5529" s="1" t="s">
        <v>4730</v>
      </c>
      <c r="B5529" s="1" t="s">
        <v>20</v>
      </c>
      <c r="C5529" s="2" t="s">
        <v>291</v>
      </c>
      <c r="D5529" s="2">
        <v>7.3</v>
      </c>
      <c r="E5529" s="2">
        <v>1989.0</v>
      </c>
      <c r="F5529" s="2" t="s">
        <v>10</v>
      </c>
      <c r="G5529" s="2" t="s">
        <v>10</v>
      </c>
    </row>
    <row r="5530" ht="14.25" customHeight="1">
      <c r="A5530" s="1" t="s">
        <v>4731</v>
      </c>
      <c r="B5530" s="1" t="s">
        <v>20</v>
      </c>
      <c r="C5530" s="2" t="s">
        <v>63</v>
      </c>
      <c r="D5530" s="2">
        <v>7.3</v>
      </c>
      <c r="E5530" s="2">
        <v>2022.0</v>
      </c>
      <c r="F5530" s="2" t="s">
        <v>10</v>
      </c>
      <c r="G5530" s="2" t="s">
        <v>10</v>
      </c>
    </row>
    <row r="5531" ht="14.25" customHeight="1">
      <c r="A5531" s="1" t="s">
        <v>4732</v>
      </c>
      <c r="B5531" s="1" t="s">
        <v>20</v>
      </c>
      <c r="C5531" s="2" t="s">
        <v>22</v>
      </c>
      <c r="D5531" s="2">
        <v>7.3</v>
      </c>
      <c r="E5531" s="2">
        <v>2021.0</v>
      </c>
      <c r="F5531" s="2" t="s">
        <v>10</v>
      </c>
      <c r="G5531" s="2" t="s">
        <v>10</v>
      </c>
    </row>
    <row r="5532" ht="14.25" customHeight="1">
      <c r="A5532" s="1" t="s">
        <v>4733</v>
      </c>
      <c r="B5532" s="1" t="s">
        <v>20</v>
      </c>
      <c r="C5532" s="2" t="s">
        <v>18</v>
      </c>
      <c r="D5532" s="2">
        <v>7.3</v>
      </c>
      <c r="E5532" s="2">
        <v>2020.0</v>
      </c>
      <c r="F5532" s="2" t="s">
        <v>10</v>
      </c>
      <c r="G5532" s="2" t="s">
        <v>10</v>
      </c>
    </row>
    <row r="5533" ht="14.25" customHeight="1">
      <c r="A5533" s="1" t="s">
        <v>4734</v>
      </c>
      <c r="B5533" s="1" t="s">
        <v>20</v>
      </c>
      <c r="C5533" s="2" t="s">
        <v>476</v>
      </c>
      <c r="D5533" s="2">
        <v>7.3</v>
      </c>
      <c r="E5533" s="2">
        <v>1998.0</v>
      </c>
      <c r="F5533" s="2" t="s">
        <v>10</v>
      </c>
      <c r="G5533" s="2" t="s">
        <v>10</v>
      </c>
    </row>
    <row r="5534" ht="14.25" customHeight="1">
      <c r="A5534" s="1" t="s">
        <v>4735</v>
      </c>
      <c r="B5534" s="1" t="s">
        <v>20</v>
      </c>
      <c r="C5534" s="2" t="s">
        <v>55</v>
      </c>
      <c r="D5534" s="2">
        <v>7.3</v>
      </c>
      <c r="E5534" s="2">
        <v>1961.0</v>
      </c>
      <c r="F5534" s="2" t="s">
        <v>10</v>
      </c>
      <c r="G5534" s="2" t="s">
        <v>10</v>
      </c>
    </row>
    <row r="5535" ht="14.25" customHeight="1">
      <c r="A5535" s="1" t="s">
        <v>4736</v>
      </c>
      <c r="B5535" s="1" t="s">
        <v>20</v>
      </c>
      <c r="C5535" s="2" t="s">
        <v>2363</v>
      </c>
      <c r="D5535" s="2">
        <v>7.3</v>
      </c>
      <c r="E5535" s="2">
        <v>1982.0</v>
      </c>
      <c r="F5535" s="2" t="s">
        <v>10</v>
      </c>
      <c r="G5535" s="2" t="s">
        <v>10</v>
      </c>
    </row>
    <row r="5536" ht="14.25" customHeight="1">
      <c r="A5536" s="1" t="s">
        <v>4737</v>
      </c>
      <c r="B5536" s="1" t="s">
        <v>20</v>
      </c>
      <c r="C5536" s="2" t="s">
        <v>187</v>
      </c>
      <c r="D5536" s="2">
        <v>7.3</v>
      </c>
      <c r="E5536" s="2">
        <v>2002.0</v>
      </c>
      <c r="F5536" s="2" t="s">
        <v>10</v>
      </c>
      <c r="G5536" s="2" t="s">
        <v>10</v>
      </c>
    </row>
    <row r="5537" ht="14.25" customHeight="1">
      <c r="A5537" s="1" t="s">
        <v>4738</v>
      </c>
      <c r="B5537" s="1" t="s">
        <v>20</v>
      </c>
      <c r="C5537" s="2" t="s">
        <v>25</v>
      </c>
      <c r="D5537" s="2">
        <v>7.3</v>
      </c>
      <c r="E5537" s="2">
        <v>2017.0</v>
      </c>
      <c r="F5537" s="2" t="s">
        <v>10</v>
      </c>
      <c r="G5537" s="2" t="s">
        <v>10</v>
      </c>
    </row>
    <row r="5538" ht="14.25" customHeight="1">
      <c r="A5538" s="1" t="s">
        <v>4739</v>
      </c>
      <c r="B5538" s="1" t="s">
        <v>20</v>
      </c>
      <c r="C5538" s="2" t="s">
        <v>1637</v>
      </c>
      <c r="D5538" s="2">
        <v>7.3</v>
      </c>
      <c r="E5538" s="2">
        <v>1950.0</v>
      </c>
      <c r="F5538" s="2" t="s">
        <v>10</v>
      </c>
      <c r="G5538" s="2" t="s">
        <v>10</v>
      </c>
    </row>
    <row r="5539" ht="14.25" customHeight="1">
      <c r="A5539" s="1" t="s">
        <v>4740</v>
      </c>
      <c r="B5539" s="1" t="s">
        <v>20</v>
      </c>
      <c r="C5539" s="2" t="s">
        <v>25</v>
      </c>
      <c r="D5539" s="2">
        <v>7.3</v>
      </c>
      <c r="E5539" s="2">
        <v>2021.0</v>
      </c>
      <c r="F5539" s="2" t="s">
        <v>10</v>
      </c>
      <c r="G5539" s="2" t="s">
        <v>10</v>
      </c>
    </row>
    <row r="5540" ht="14.25" customHeight="1">
      <c r="A5540" s="1" t="s">
        <v>4741</v>
      </c>
      <c r="B5540" s="1" t="s">
        <v>20</v>
      </c>
      <c r="C5540" s="2" t="s">
        <v>910</v>
      </c>
      <c r="D5540" s="2">
        <v>7.3</v>
      </c>
      <c r="E5540" s="2">
        <v>2005.0</v>
      </c>
      <c r="F5540" s="2">
        <v>2005.0</v>
      </c>
      <c r="G5540" s="2">
        <v>5450000.0</v>
      </c>
    </row>
    <row r="5541" ht="14.25" customHeight="1">
      <c r="A5541" s="1" t="s">
        <v>4742</v>
      </c>
      <c r="B5541" s="1" t="s">
        <v>20</v>
      </c>
      <c r="C5541" s="2" t="s">
        <v>80</v>
      </c>
      <c r="D5541" s="2">
        <v>7.3</v>
      </c>
      <c r="E5541" s="2">
        <v>2009.0</v>
      </c>
      <c r="F5541" s="2">
        <v>2009.0</v>
      </c>
      <c r="G5541" s="2" t="s">
        <v>10</v>
      </c>
    </row>
    <row r="5542" ht="14.25" customHeight="1">
      <c r="A5542" s="1" t="s">
        <v>4743</v>
      </c>
      <c r="B5542" s="1" t="s">
        <v>20</v>
      </c>
      <c r="C5542" s="2" t="s">
        <v>36</v>
      </c>
      <c r="D5542" s="2">
        <v>7.3</v>
      </c>
      <c r="E5542" s="2">
        <v>1987.0</v>
      </c>
      <c r="F5542" s="2" t="s">
        <v>10</v>
      </c>
      <c r="G5542" s="2" t="s">
        <v>10</v>
      </c>
    </row>
    <row r="5543" ht="14.25" customHeight="1">
      <c r="A5543" s="1" t="s">
        <v>4744</v>
      </c>
      <c r="B5543" s="1" t="s">
        <v>20</v>
      </c>
      <c r="C5543" s="2" t="s">
        <v>742</v>
      </c>
      <c r="D5543" s="2">
        <v>7.3</v>
      </c>
      <c r="E5543" s="2">
        <v>2017.0</v>
      </c>
      <c r="F5543" s="2">
        <v>2017.0</v>
      </c>
      <c r="G5543" s="2" t="s">
        <v>10</v>
      </c>
    </row>
    <row r="5544" ht="14.25" customHeight="1">
      <c r="A5544" s="1" t="s">
        <v>4745</v>
      </c>
      <c r="B5544" s="1" t="s">
        <v>20</v>
      </c>
      <c r="C5544" s="2" t="s">
        <v>14</v>
      </c>
      <c r="D5544" s="2">
        <v>7.3</v>
      </c>
      <c r="E5544" s="2">
        <v>2016.0</v>
      </c>
      <c r="F5544" s="2" t="s">
        <v>10</v>
      </c>
      <c r="G5544" s="2">
        <v>9900000.0</v>
      </c>
    </row>
    <row r="5545" ht="14.25" customHeight="1">
      <c r="A5545" s="1" t="s">
        <v>4745</v>
      </c>
      <c r="B5545" s="1" t="s">
        <v>20</v>
      </c>
      <c r="C5545" s="2" t="s">
        <v>14</v>
      </c>
      <c r="D5545" s="2">
        <v>7.3</v>
      </c>
      <c r="E5545" s="2">
        <v>2016.0</v>
      </c>
      <c r="F5545" s="2" t="s">
        <v>10</v>
      </c>
      <c r="G5545" s="2">
        <v>1.327E7</v>
      </c>
    </row>
    <row r="5546" ht="14.25" customHeight="1">
      <c r="A5546" s="1" t="s">
        <v>4745</v>
      </c>
      <c r="B5546" s="1" t="s">
        <v>20</v>
      </c>
      <c r="C5546" s="2" t="s">
        <v>14</v>
      </c>
      <c r="D5546" s="2">
        <v>7.3</v>
      </c>
      <c r="E5546" s="2">
        <v>2016.0</v>
      </c>
      <c r="F5546" s="2" t="s">
        <v>10</v>
      </c>
      <c r="G5546" s="2">
        <v>1.298E7</v>
      </c>
    </row>
    <row r="5547" ht="14.25" customHeight="1">
      <c r="A5547" s="1" t="s">
        <v>4746</v>
      </c>
      <c r="B5547" s="1" t="s">
        <v>20</v>
      </c>
      <c r="C5547" s="2" t="s">
        <v>40</v>
      </c>
      <c r="D5547" s="2">
        <v>7.3</v>
      </c>
      <c r="E5547" s="2">
        <v>2016.0</v>
      </c>
      <c r="F5547" s="2">
        <v>2016.0</v>
      </c>
      <c r="G5547" s="2" t="s">
        <v>10</v>
      </c>
    </row>
    <row r="5548" ht="14.25" customHeight="1">
      <c r="A5548" s="1" t="s">
        <v>267</v>
      </c>
      <c r="B5548" s="1" t="s">
        <v>20</v>
      </c>
      <c r="C5548" s="2" t="s">
        <v>40</v>
      </c>
      <c r="D5548" s="2">
        <v>7.3</v>
      </c>
      <c r="E5548" s="2">
        <v>2003.0</v>
      </c>
      <c r="F5548" s="2">
        <v>2021.0</v>
      </c>
      <c r="G5548" s="2" t="s">
        <v>10</v>
      </c>
    </row>
    <row r="5549" ht="14.25" customHeight="1">
      <c r="A5549" s="1" t="s">
        <v>4747</v>
      </c>
      <c r="B5549" s="1" t="s">
        <v>20</v>
      </c>
      <c r="C5549" s="2" t="s">
        <v>154</v>
      </c>
      <c r="D5549" s="2">
        <v>7.3</v>
      </c>
      <c r="E5549" s="2">
        <v>2005.0</v>
      </c>
      <c r="F5549" s="2">
        <v>2005.0</v>
      </c>
      <c r="G5549" s="2">
        <v>1.02E7</v>
      </c>
    </row>
    <row r="5550" ht="14.25" customHeight="1">
      <c r="A5550" s="1" t="s">
        <v>4748</v>
      </c>
      <c r="B5550" s="1" t="s">
        <v>20</v>
      </c>
      <c r="C5550" s="2" t="s">
        <v>36</v>
      </c>
      <c r="D5550" s="2">
        <v>7.3</v>
      </c>
      <c r="E5550" s="2">
        <v>1998.0</v>
      </c>
      <c r="F5550" s="2">
        <v>1998.0</v>
      </c>
      <c r="G5550" s="2" t="s">
        <v>10</v>
      </c>
    </row>
    <row r="5551" ht="14.25" customHeight="1">
      <c r="A5551" s="1" t="s">
        <v>4749</v>
      </c>
      <c r="B5551" s="1" t="s">
        <v>20</v>
      </c>
      <c r="C5551" s="2" t="s">
        <v>105</v>
      </c>
      <c r="D5551" s="2">
        <v>7.3</v>
      </c>
      <c r="E5551" s="2">
        <v>1984.0</v>
      </c>
      <c r="F5551" s="2" t="s">
        <v>10</v>
      </c>
      <c r="G5551" s="2" t="s">
        <v>10</v>
      </c>
    </row>
    <row r="5552" ht="14.25" customHeight="1">
      <c r="A5552" s="1" t="s">
        <v>4750</v>
      </c>
      <c r="B5552" s="1" t="s">
        <v>20</v>
      </c>
      <c r="C5552" s="2" t="s">
        <v>80</v>
      </c>
      <c r="D5552" s="2">
        <v>7.3</v>
      </c>
      <c r="E5552" s="2">
        <v>2019.0</v>
      </c>
      <c r="F5552" s="2">
        <v>2019.0</v>
      </c>
      <c r="G5552" s="2" t="s">
        <v>10</v>
      </c>
    </row>
    <row r="5553" ht="14.25" customHeight="1">
      <c r="A5553" s="1" t="s">
        <v>4751</v>
      </c>
      <c r="B5553" s="1" t="s">
        <v>20</v>
      </c>
      <c r="C5553" s="2" t="s">
        <v>187</v>
      </c>
      <c r="D5553" s="2">
        <v>7.3</v>
      </c>
      <c r="E5553" s="2">
        <v>2007.0</v>
      </c>
      <c r="F5553" s="2" t="s">
        <v>10</v>
      </c>
      <c r="G5553" s="2" t="s">
        <v>10</v>
      </c>
    </row>
    <row r="5554" ht="14.25" customHeight="1">
      <c r="A5554" s="1" t="s">
        <v>4752</v>
      </c>
      <c r="B5554" s="1" t="s">
        <v>20</v>
      </c>
      <c r="C5554" s="2" t="s">
        <v>53</v>
      </c>
      <c r="D5554" s="2">
        <v>7.3</v>
      </c>
      <c r="E5554" s="2">
        <v>2007.0</v>
      </c>
      <c r="F5554" s="2" t="s">
        <v>10</v>
      </c>
      <c r="G5554" s="2" t="s">
        <v>10</v>
      </c>
    </row>
    <row r="5555" ht="14.25" customHeight="1">
      <c r="A5555" s="1" t="s">
        <v>4753</v>
      </c>
      <c r="B5555" s="1" t="s">
        <v>20</v>
      </c>
      <c r="C5555" s="2" t="s">
        <v>69</v>
      </c>
      <c r="D5555" s="2">
        <v>7.3</v>
      </c>
      <c r="E5555" s="2">
        <v>1998.0</v>
      </c>
      <c r="F5555" s="2" t="s">
        <v>10</v>
      </c>
      <c r="G5555" s="2" t="s">
        <v>10</v>
      </c>
    </row>
    <row r="5556" ht="14.25" customHeight="1">
      <c r="A5556" s="1" t="s">
        <v>4754</v>
      </c>
      <c r="B5556" s="1" t="s">
        <v>20</v>
      </c>
      <c r="C5556" s="2" t="s">
        <v>55</v>
      </c>
      <c r="D5556" s="2">
        <v>7.3</v>
      </c>
      <c r="E5556" s="2">
        <v>1951.0</v>
      </c>
      <c r="F5556" s="2" t="s">
        <v>10</v>
      </c>
      <c r="G5556" s="2" t="s">
        <v>10</v>
      </c>
    </row>
    <row r="5557" ht="14.25" customHeight="1">
      <c r="A5557" s="1" t="s">
        <v>4755</v>
      </c>
      <c r="B5557" s="1" t="s">
        <v>20</v>
      </c>
      <c r="C5557" s="2" t="s">
        <v>742</v>
      </c>
      <c r="D5557" s="2">
        <v>7.3</v>
      </c>
      <c r="E5557" s="2">
        <v>1987.0</v>
      </c>
      <c r="F5557" s="2" t="s">
        <v>10</v>
      </c>
      <c r="G5557" s="2" t="s">
        <v>10</v>
      </c>
    </row>
    <row r="5558" ht="14.25" customHeight="1">
      <c r="A5558" s="1" t="s">
        <v>4756</v>
      </c>
      <c r="B5558" s="1" t="s">
        <v>20</v>
      </c>
      <c r="C5558" s="2" t="s">
        <v>395</v>
      </c>
      <c r="D5558" s="2">
        <v>7.3</v>
      </c>
      <c r="E5558" s="2">
        <v>1942.0</v>
      </c>
      <c r="F5558" s="2" t="s">
        <v>10</v>
      </c>
      <c r="G5558" s="2" t="s">
        <v>10</v>
      </c>
    </row>
    <row r="5559" ht="14.25" customHeight="1">
      <c r="A5559" s="1" t="s">
        <v>4757</v>
      </c>
      <c r="B5559" s="1" t="s">
        <v>20</v>
      </c>
      <c r="C5559" s="2" t="s">
        <v>328</v>
      </c>
      <c r="D5559" s="2">
        <v>7.3</v>
      </c>
      <c r="E5559" s="2">
        <v>1953.0</v>
      </c>
      <c r="F5559" s="2" t="s">
        <v>10</v>
      </c>
      <c r="G5559" s="2" t="s">
        <v>10</v>
      </c>
    </row>
    <row r="5560" ht="14.25" customHeight="1">
      <c r="A5560" s="1" t="s">
        <v>4758</v>
      </c>
      <c r="B5560" s="1" t="s">
        <v>20</v>
      </c>
      <c r="C5560" s="2" t="s">
        <v>719</v>
      </c>
      <c r="D5560" s="2">
        <v>7.3</v>
      </c>
      <c r="E5560" s="2">
        <v>1986.0</v>
      </c>
      <c r="F5560" s="2">
        <v>1986.0</v>
      </c>
      <c r="G5560" s="2" t="s">
        <v>10</v>
      </c>
    </row>
    <row r="5561" ht="14.25" customHeight="1">
      <c r="A5561" s="1" t="s">
        <v>4759</v>
      </c>
      <c r="B5561" s="1" t="s">
        <v>20</v>
      </c>
      <c r="C5561" s="2" t="s">
        <v>527</v>
      </c>
      <c r="D5561" s="2">
        <v>7.3</v>
      </c>
      <c r="E5561" s="2">
        <v>1987.0</v>
      </c>
      <c r="F5561" s="2" t="s">
        <v>10</v>
      </c>
      <c r="G5561" s="2" t="s">
        <v>10</v>
      </c>
    </row>
    <row r="5562" ht="14.25" customHeight="1">
      <c r="A5562" s="1" t="s">
        <v>4760</v>
      </c>
      <c r="B5562" s="1" t="s">
        <v>20</v>
      </c>
      <c r="C5562" s="2" t="s">
        <v>55</v>
      </c>
      <c r="D5562" s="2">
        <v>7.3</v>
      </c>
      <c r="E5562" s="2">
        <v>1955.0</v>
      </c>
      <c r="F5562" s="2" t="s">
        <v>10</v>
      </c>
      <c r="G5562" s="2" t="s">
        <v>10</v>
      </c>
    </row>
    <row r="5563" ht="14.25" customHeight="1">
      <c r="A5563" s="1" t="s">
        <v>4761</v>
      </c>
      <c r="B5563" s="1" t="s">
        <v>20</v>
      </c>
      <c r="C5563" s="2" t="s">
        <v>53</v>
      </c>
      <c r="D5563" s="2">
        <v>7.3</v>
      </c>
      <c r="E5563" s="2">
        <v>2002.0</v>
      </c>
      <c r="F5563" s="2" t="s">
        <v>10</v>
      </c>
      <c r="G5563" s="2" t="s">
        <v>10</v>
      </c>
    </row>
    <row r="5564" ht="14.25" customHeight="1">
      <c r="A5564" s="1" t="s">
        <v>4762</v>
      </c>
      <c r="B5564" s="1" t="s">
        <v>20</v>
      </c>
      <c r="C5564" s="2" t="s">
        <v>1060</v>
      </c>
      <c r="D5564" s="2">
        <v>7.3</v>
      </c>
      <c r="E5564" s="2">
        <v>2005.0</v>
      </c>
      <c r="F5564" s="2" t="s">
        <v>10</v>
      </c>
      <c r="G5564" s="2" t="s">
        <v>10</v>
      </c>
    </row>
    <row r="5565" ht="14.25" customHeight="1">
      <c r="A5565" s="1" t="s">
        <v>1173</v>
      </c>
      <c r="B5565" s="1" t="s">
        <v>20</v>
      </c>
      <c r="C5565" s="2" t="s">
        <v>159</v>
      </c>
      <c r="D5565" s="2">
        <v>7.3</v>
      </c>
      <c r="E5565" s="2">
        <v>2022.0</v>
      </c>
      <c r="F5565" s="2" t="s">
        <v>10</v>
      </c>
      <c r="G5565" s="2">
        <v>6450000.0</v>
      </c>
    </row>
    <row r="5566" ht="14.25" customHeight="1">
      <c r="A5566" s="1" t="s">
        <v>1173</v>
      </c>
      <c r="B5566" s="1" t="s">
        <v>20</v>
      </c>
      <c r="C5566" s="2" t="s">
        <v>159</v>
      </c>
      <c r="D5566" s="2">
        <v>7.3</v>
      </c>
      <c r="E5566" s="2">
        <v>2022.0</v>
      </c>
      <c r="F5566" s="2" t="s">
        <v>10</v>
      </c>
      <c r="G5566" s="2">
        <v>9400000.0</v>
      </c>
    </row>
    <row r="5567" ht="14.25" customHeight="1">
      <c r="A5567" s="1" t="s">
        <v>1173</v>
      </c>
      <c r="B5567" s="1" t="s">
        <v>20</v>
      </c>
      <c r="C5567" s="2" t="s">
        <v>159</v>
      </c>
      <c r="D5567" s="2">
        <v>7.3</v>
      </c>
      <c r="E5567" s="2">
        <v>2022.0</v>
      </c>
      <c r="F5567" s="2" t="s">
        <v>10</v>
      </c>
      <c r="G5567" s="2">
        <v>1.464E7</v>
      </c>
    </row>
    <row r="5568" ht="14.25" customHeight="1">
      <c r="A5568" s="1" t="s">
        <v>1173</v>
      </c>
      <c r="B5568" s="1" t="s">
        <v>20</v>
      </c>
      <c r="C5568" s="2" t="s">
        <v>159</v>
      </c>
      <c r="D5568" s="2">
        <v>7.3</v>
      </c>
      <c r="E5568" s="2">
        <v>2022.0</v>
      </c>
      <c r="F5568" s="2" t="s">
        <v>10</v>
      </c>
      <c r="G5568" s="2">
        <v>2.605E7</v>
      </c>
    </row>
    <row r="5569" ht="14.25" customHeight="1">
      <c r="A5569" s="1" t="s">
        <v>1173</v>
      </c>
      <c r="B5569" s="1" t="s">
        <v>20</v>
      </c>
      <c r="C5569" s="2" t="s">
        <v>159</v>
      </c>
      <c r="D5569" s="2">
        <v>7.3</v>
      </c>
      <c r="E5569" s="2">
        <v>2022.0</v>
      </c>
      <c r="F5569" s="2" t="s">
        <v>10</v>
      </c>
      <c r="G5569" s="2">
        <v>5.719E7</v>
      </c>
    </row>
    <row r="5570" ht="14.25" customHeight="1">
      <c r="A5570" s="1" t="s">
        <v>1173</v>
      </c>
      <c r="B5570" s="1" t="s">
        <v>20</v>
      </c>
      <c r="C5570" s="2" t="s">
        <v>159</v>
      </c>
      <c r="D5570" s="2">
        <v>7.3</v>
      </c>
      <c r="E5570" s="2">
        <v>2022.0</v>
      </c>
      <c r="F5570" s="2" t="s">
        <v>10</v>
      </c>
      <c r="G5570" s="2">
        <v>8.458E7</v>
      </c>
    </row>
    <row r="5571" ht="14.25" customHeight="1">
      <c r="A5571" s="1" t="s">
        <v>4763</v>
      </c>
      <c r="B5571" s="1" t="s">
        <v>8</v>
      </c>
      <c r="C5571" s="2" t="s">
        <v>187</v>
      </c>
      <c r="D5571" s="2">
        <v>7.3</v>
      </c>
      <c r="E5571" s="2">
        <v>1998.0</v>
      </c>
      <c r="F5571" s="2" t="s">
        <v>10</v>
      </c>
      <c r="G5571" s="2" t="s">
        <v>10</v>
      </c>
    </row>
    <row r="5572" ht="14.25" customHeight="1">
      <c r="A5572" s="1" t="s">
        <v>4764</v>
      </c>
      <c r="B5572" s="1" t="s">
        <v>20</v>
      </c>
      <c r="C5572" s="2" t="s">
        <v>1622</v>
      </c>
      <c r="D5572" s="2">
        <v>7.3</v>
      </c>
      <c r="E5572" s="2">
        <v>1963.0</v>
      </c>
      <c r="F5572" s="2" t="s">
        <v>10</v>
      </c>
      <c r="G5572" s="2" t="s">
        <v>10</v>
      </c>
    </row>
    <row r="5573" ht="14.25" customHeight="1">
      <c r="A5573" s="1" t="s">
        <v>4765</v>
      </c>
      <c r="B5573" s="1" t="s">
        <v>20</v>
      </c>
      <c r="C5573" s="2" t="s">
        <v>154</v>
      </c>
      <c r="D5573" s="2">
        <v>7.3</v>
      </c>
      <c r="E5573" s="2">
        <v>2015.0</v>
      </c>
      <c r="F5573" s="2">
        <v>2015.0</v>
      </c>
      <c r="G5573" s="2" t="s">
        <v>10</v>
      </c>
    </row>
    <row r="5574" ht="14.25" customHeight="1">
      <c r="A5574" s="1" t="s">
        <v>4766</v>
      </c>
      <c r="B5574" s="1" t="s">
        <v>20</v>
      </c>
      <c r="C5574" s="2" t="s">
        <v>9</v>
      </c>
      <c r="D5574" s="2">
        <v>7.3</v>
      </c>
      <c r="E5574" s="2">
        <v>2017.0</v>
      </c>
      <c r="F5574" s="2">
        <v>2017.0</v>
      </c>
      <c r="G5574" s="2" t="s">
        <v>10</v>
      </c>
    </row>
    <row r="5575" ht="14.25" customHeight="1">
      <c r="A5575" s="1" t="s">
        <v>4767</v>
      </c>
      <c r="B5575" s="1" t="s">
        <v>20</v>
      </c>
      <c r="C5575" s="2" t="s">
        <v>63</v>
      </c>
      <c r="D5575" s="2">
        <v>7.3</v>
      </c>
      <c r="E5575" s="2">
        <v>2016.0</v>
      </c>
      <c r="F5575" s="2">
        <v>2016.0</v>
      </c>
      <c r="G5575" s="2" t="s">
        <v>10</v>
      </c>
    </row>
    <row r="5576" ht="14.25" customHeight="1">
      <c r="A5576" s="1" t="s">
        <v>4768</v>
      </c>
      <c r="B5576" s="1" t="s">
        <v>20</v>
      </c>
      <c r="C5576" s="2" t="s">
        <v>40</v>
      </c>
      <c r="D5576" s="2">
        <v>7.3</v>
      </c>
      <c r="E5576" s="2">
        <v>2005.0</v>
      </c>
      <c r="F5576" s="2" t="s">
        <v>10</v>
      </c>
      <c r="G5576" s="2" t="s">
        <v>10</v>
      </c>
    </row>
    <row r="5577" ht="14.25" customHeight="1">
      <c r="A5577" s="1" t="s">
        <v>4769</v>
      </c>
      <c r="B5577" s="1" t="s">
        <v>20</v>
      </c>
      <c r="C5577" s="2" t="s">
        <v>32</v>
      </c>
      <c r="D5577" s="2">
        <v>7.3</v>
      </c>
      <c r="E5577" s="2">
        <v>2006.0</v>
      </c>
      <c r="F5577" s="2" t="s">
        <v>10</v>
      </c>
      <c r="G5577" s="2" t="s">
        <v>10</v>
      </c>
    </row>
    <row r="5578" ht="14.25" customHeight="1">
      <c r="A5578" s="1" t="s">
        <v>4770</v>
      </c>
      <c r="B5578" s="1" t="s">
        <v>20</v>
      </c>
      <c r="C5578" s="2" t="s">
        <v>530</v>
      </c>
      <c r="D5578" s="2">
        <v>7.3</v>
      </c>
      <c r="E5578" s="2">
        <v>2003.0</v>
      </c>
      <c r="F5578" s="2" t="s">
        <v>10</v>
      </c>
      <c r="G5578" s="2" t="s">
        <v>10</v>
      </c>
    </row>
    <row r="5579" ht="14.25" customHeight="1">
      <c r="A5579" s="1" t="s">
        <v>4771</v>
      </c>
      <c r="B5579" s="1" t="s">
        <v>20</v>
      </c>
      <c r="C5579" s="2" t="s">
        <v>1187</v>
      </c>
      <c r="D5579" s="2">
        <v>7.3</v>
      </c>
      <c r="E5579" s="2">
        <v>2014.0</v>
      </c>
      <c r="F5579" s="2" t="s">
        <v>10</v>
      </c>
      <c r="G5579" s="2" t="s">
        <v>10</v>
      </c>
    </row>
    <row r="5580" ht="14.25" customHeight="1">
      <c r="A5580" s="1" t="s">
        <v>4772</v>
      </c>
      <c r="B5580" s="1" t="s">
        <v>20</v>
      </c>
      <c r="C5580" s="2" t="s">
        <v>825</v>
      </c>
      <c r="D5580" s="2">
        <v>7.3</v>
      </c>
      <c r="E5580" s="2">
        <v>2015.0</v>
      </c>
      <c r="F5580" s="2" t="s">
        <v>10</v>
      </c>
      <c r="G5580" s="2" t="s">
        <v>10</v>
      </c>
    </row>
    <row r="5581" ht="14.25" customHeight="1">
      <c r="A5581" s="1" t="s">
        <v>4773</v>
      </c>
      <c r="B5581" s="1" t="s">
        <v>20</v>
      </c>
      <c r="C5581" s="2" t="s">
        <v>1060</v>
      </c>
      <c r="D5581" s="2">
        <v>7.3</v>
      </c>
      <c r="E5581" s="2">
        <v>2014.0</v>
      </c>
      <c r="F5581" s="2" t="s">
        <v>10</v>
      </c>
      <c r="G5581" s="2" t="s">
        <v>10</v>
      </c>
    </row>
    <row r="5582" ht="14.25" customHeight="1">
      <c r="A5582" s="1" t="s">
        <v>4774</v>
      </c>
      <c r="B5582" s="1" t="s">
        <v>20</v>
      </c>
      <c r="C5582" s="2" t="s">
        <v>34</v>
      </c>
      <c r="D5582" s="2">
        <v>7.3</v>
      </c>
      <c r="E5582" s="2">
        <v>2017.0</v>
      </c>
      <c r="F5582" s="2">
        <v>2017.0</v>
      </c>
      <c r="G5582" s="2" t="s">
        <v>10</v>
      </c>
    </row>
    <row r="5583" ht="14.25" customHeight="1">
      <c r="A5583" s="1" t="s">
        <v>4775</v>
      </c>
      <c r="B5583" s="1" t="s">
        <v>20</v>
      </c>
      <c r="C5583" s="2" t="s">
        <v>2378</v>
      </c>
      <c r="D5583" s="2">
        <v>7.3</v>
      </c>
      <c r="E5583" s="2">
        <v>1977.0</v>
      </c>
      <c r="F5583" s="2" t="s">
        <v>10</v>
      </c>
      <c r="G5583" s="2" t="s">
        <v>10</v>
      </c>
    </row>
    <row r="5584" ht="14.25" customHeight="1">
      <c r="A5584" s="1" t="s">
        <v>4776</v>
      </c>
      <c r="B5584" s="1" t="s">
        <v>20</v>
      </c>
      <c r="C5584" s="2" t="s">
        <v>63</v>
      </c>
      <c r="D5584" s="2">
        <v>7.3</v>
      </c>
      <c r="E5584" s="2">
        <v>2001.0</v>
      </c>
      <c r="F5584" s="2" t="s">
        <v>10</v>
      </c>
      <c r="G5584" s="2" t="s">
        <v>10</v>
      </c>
    </row>
    <row r="5585" ht="14.25" customHeight="1">
      <c r="A5585" s="1" t="s">
        <v>4777</v>
      </c>
      <c r="B5585" s="1" t="s">
        <v>20</v>
      </c>
      <c r="C5585" s="2" t="s">
        <v>63</v>
      </c>
      <c r="D5585" s="2">
        <v>7.3</v>
      </c>
      <c r="E5585" s="2">
        <v>2018.0</v>
      </c>
      <c r="F5585" s="2" t="s">
        <v>10</v>
      </c>
      <c r="G5585" s="2" t="s">
        <v>10</v>
      </c>
    </row>
    <row r="5586" ht="14.25" customHeight="1">
      <c r="A5586" s="1" t="s">
        <v>4778</v>
      </c>
      <c r="B5586" s="1" t="s">
        <v>20</v>
      </c>
      <c r="C5586" s="2" t="s">
        <v>40</v>
      </c>
      <c r="D5586" s="2">
        <v>7.3</v>
      </c>
      <c r="E5586" s="2">
        <v>1995.0</v>
      </c>
      <c r="F5586" s="2" t="s">
        <v>10</v>
      </c>
      <c r="G5586" s="2" t="s">
        <v>10</v>
      </c>
    </row>
    <row r="5587" ht="14.25" customHeight="1">
      <c r="A5587" s="1" t="s">
        <v>3385</v>
      </c>
      <c r="B5587" s="1" t="s">
        <v>20</v>
      </c>
      <c r="C5587" s="2" t="s">
        <v>159</v>
      </c>
      <c r="D5587" s="2">
        <v>7.3</v>
      </c>
      <c r="E5587" s="2">
        <v>1992.0</v>
      </c>
      <c r="F5587" s="2" t="s">
        <v>10</v>
      </c>
      <c r="G5587" s="2" t="s">
        <v>10</v>
      </c>
    </row>
    <row r="5588" ht="14.25" customHeight="1">
      <c r="A5588" s="1" t="s">
        <v>4779</v>
      </c>
      <c r="B5588" s="1" t="s">
        <v>20</v>
      </c>
      <c r="C5588" s="2" t="s">
        <v>349</v>
      </c>
      <c r="D5588" s="2">
        <v>7.3</v>
      </c>
      <c r="E5588" s="2">
        <v>2010.0</v>
      </c>
      <c r="F5588" s="2" t="s">
        <v>10</v>
      </c>
      <c r="G5588" s="2" t="s">
        <v>10</v>
      </c>
    </row>
    <row r="5589" ht="14.25" customHeight="1">
      <c r="A5589" s="1" t="s">
        <v>4780</v>
      </c>
      <c r="B5589" s="1" t="s">
        <v>20</v>
      </c>
      <c r="C5589" s="2" t="s">
        <v>32</v>
      </c>
      <c r="D5589" s="2">
        <v>7.3</v>
      </c>
      <c r="E5589" s="2">
        <v>2007.0</v>
      </c>
      <c r="F5589" s="2">
        <v>2010.0</v>
      </c>
      <c r="G5589" s="2" t="s">
        <v>10</v>
      </c>
    </row>
    <row r="5590" ht="14.25" customHeight="1">
      <c r="A5590" s="1" t="s">
        <v>4781</v>
      </c>
      <c r="B5590" s="1" t="s">
        <v>20</v>
      </c>
      <c r="C5590" s="2" t="s">
        <v>4525</v>
      </c>
      <c r="D5590" s="2">
        <v>7.3</v>
      </c>
      <c r="E5590" s="2">
        <v>1983.0</v>
      </c>
      <c r="F5590" s="2" t="s">
        <v>10</v>
      </c>
      <c r="G5590" s="2" t="s">
        <v>10</v>
      </c>
    </row>
    <row r="5591" ht="14.25" customHeight="1">
      <c r="A5591" s="1" t="s">
        <v>4782</v>
      </c>
      <c r="B5591" s="1" t="s">
        <v>20</v>
      </c>
      <c r="C5591" s="2" t="s">
        <v>63</v>
      </c>
      <c r="D5591" s="2">
        <v>7.3</v>
      </c>
      <c r="E5591" s="2">
        <v>1989.0</v>
      </c>
      <c r="F5591" s="2" t="s">
        <v>10</v>
      </c>
      <c r="G5591" s="2" t="s">
        <v>10</v>
      </c>
    </row>
    <row r="5592" ht="14.25" customHeight="1">
      <c r="A5592" s="1" t="s">
        <v>4783</v>
      </c>
      <c r="B5592" s="1" t="s">
        <v>20</v>
      </c>
      <c r="C5592" s="2" t="s">
        <v>18</v>
      </c>
      <c r="D5592" s="2">
        <v>7.3</v>
      </c>
      <c r="E5592" s="2">
        <v>2009.0</v>
      </c>
      <c r="F5592" s="2" t="s">
        <v>10</v>
      </c>
      <c r="G5592" s="2" t="s">
        <v>10</v>
      </c>
    </row>
    <row r="5593" ht="14.25" customHeight="1">
      <c r="A5593" s="1" t="s">
        <v>4784</v>
      </c>
      <c r="B5593" s="1" t="s">
        <v>20</v>
      </c>
      <c r="C5593" s="2" t="s">
        <v>361</v>
      </c>
      <c r="D5593" s="2">
        <v>7.3</v>
      </c>
      <c r="E5593" s="2">
        <v>2009.0</v>
      </c>
      <c r="F5593" s="2" t="s">
        <v>10</v>
      </c>
      <c r="G5593" s="2" t="s">
        <v>10</v>
      </c>
    </row>
    <row r="5594" ht="14.25" customHeight="1">
      <c r="A5594" s="1" t="s">
        <v>4785</v>
      </c>
      <c r="B5594" s="1" t="s">
        <v>20</v>
      </c>
      <c r="C5594" s="2" t="s">
        <v>1784</v>
      </c>
      <c r="D5594" s="2">
        <v>7.3</v>
      </c>
      <c r="E5594" s="2">
        <v>2017.0</v>
      </c>
      <c r="F5594" s="2">
        <v>2017.0</v>
      </c>
      <c r="G5594" s="2" t="s">
        <v>10</v>
      </c>
    </row>
    <row r="5595" ht="14.25" customHeight="1">
      <c r="A5595" s="1" t="s">
        <v>4786</v>
      </c>
      <c r="B5595" s="1" t="s">
        <v>20</v>
      </c>
      <c r="C5595" s="2" t="s">
        <v>169</v>
      </c>
      <c r="D5595" s="2">
        <v>7.3</v>
      </c>
      <c r="E5595" s="2">
        <v>2006.0</v>
      </c>
      <c r="F5595" s="2">
        <v>2006.0</v>
      </c>
      <c r="G5595" s="2" t="s">
        <v>10</v>
      </c>
    </row>
    <row r="5596" ht="14.25" customHeight="1">
      <c r="A5596" s="1" t="s">
        <v>4787</v>
      </c>
      <c r="B5596" s="1" t="s">
        <v>20</v>
      </c>
      <c r="C5596" s="2" t="s">
        <v>69</v>
      </c>
      <c r="D5596" s="2">
        <v>7.3</v>
      </c>
      <c r="E5596" s="2">
        <v>2016.0</v>
      </c>
      <c r="F5596" s="2" t="s">
        <v>10</v>
      </c>
      <c r="G5596" s="2" t="s">
        <v>10</v>
      </c>
    </row>
    <row r="5597" ht="14.25" customHeight="1">
      <c r="A5597" s="1" t="s">
        <v>4788</v>
      </c>
      <c r="B5597" s="1" t="s">
        <v>20</v>
      </c>
      <c r="C5597" s="2" t="s">
        <v>4789</v>
      </c>
      <c r="D5597" s="2">
        <v>7.3</v>
      </c>
      <c r="E5597" s="2">
        <v>2007.0</v>
      </c>
      <c r="F5597" s="2">
        <v>2007.0</v>
      </c>
      <c r="G5597" s="2" t="s">
        <v>10</v>
      </c>
    </row>
    <row r="5598" ht="14.25" customHeight="1">
      <c r="A5598" s="1" t="s">
        <v>4790</v>
      </c>
      <c r="B5598" s="1" t="s">
        <v>20</v>
      </c>
      <c r="C5598" s="2" t="s">
        <v>9</v>
      </c>
      <c r="D5598" s="2">
        <v>7.3</v>
      </c>
      <c r="E5598" s="2">
        <v>2007.0</v>
      </c>
      <c r="F5598" s="2" t="s">
        <v>10</v>
      </c>
      <c r="G5598" s="2" t="s">
        <v>10</v>
      </c>
    </row>
    <row r="5599" ht="14.25" customHeight="1">
      <c r="A5599" s="1" t="s">
        <v>4791</v>
      </c>
      <c r="B5599" s="1" t="s">
        <v>20</v>
      </c>
      <c r="C5599" s="2" t="s">
        <v>663</v>
      </c>
      <c r="D5599" s="2">
        <v>7.3</v>
      </c>
      <c r="E5599" s="2">
        <v>1985.0</v>
      </c>
      <c r="F5599" s="2" t="s">
        <v>10</v>
      </c>
      <c r="G5599" s="2" t="s">
        <v>10</v>
      </c>
    </row>
    <row r="5600" ht="14.25" customHeight="1">
      <c r="A5600" s="1">
        <v>1899.0</v>
      </c>
      <c r="B5600" s="1" t="s">
        <v>8</v>
      </c>
      <c r="C5600" s="2" t="s">
        <v>476</v>
      </c>
      <c r="D5600" s="2">
        <v>7.3</v>
      </c>
      <c r="E5600" s="2">
        <v>2022.0</v>
      </c>
      <c r="F5600" s="2" t="s">
        <v>10</v>
      </c>
      <c r="G5600" s="2">
        <v>1.785E7</v>
      </c>
    </row>
    <row r="5601" ht="14.25" customHeight="1">
      <c r="A5601" s="1">
        <v>1899.0</v>
      </c>
      <c r="B5601" s="1" t="s">
        <v>8</v>
      </c>
      <c r="C5601" s="2" t="s">
        <v>476</v>
      </c>
      <c r="D5601" s="2">
        <v>7.3</v>
      </c>
      <c r="E5601" s="2">
        <v>2022.0</v>
      </c>
      <c r="F5601" s="2" t="s">
        <v>10</v>
      </c>
      <c r="G5601" s="2">
        <v>2.753E7</v>
      </c>
    </row>
    <row r="5602" ht="14.25" customHeight="1">
      <c r="A5602" s="1">
        <v>1899.0</v>
      </c>
      <c r="B5602" s="1" t="s">
        <v>8</v>
      </c>
      <c r="C5602" s="2" t="s">
        <v>476</v>
      </c>
      <c r="D5602" s="2">
        <v>7.3</v>
      </c>
      <c r="E5602" s="2">
        <v>2022.0</v>
      </c>
      <c r="F5602" s="2" t="s">
        <v>10</v>
      </c>
      <c r="G5602" s="2">
        <v>4.462E7</v>
      </c>
    </row>
    <row r="5603" ht="14.25" customHeight="1">
      <c r="A5603" s="1">
        <v>1899.0</v>
      </c>
      <c r="B5603" s="1" t="s">
        <v>8</v>
      </c>
      <c r="C5603" s="2" t="s">
        <v>476</v>
      </c>
      <c r="D5603" s="2">
        <v>7.3</v>
      </c>
      <c r="E5603" s="2">
        <v>2022.0</v>
      </c>
      <c r="F5603" s="2" t="s">
        <v>10</v>
      </c>
      <c r="G5603" s="2">
        <v>8.789E7</v>
      </c>
    </row>
    <row r="5604" ht="14.25" customHeight="1">
      <c r="A5604" s="1">
        <v>1899.0</v>
      </c>
      <c r="B5604" s="1" t="s">
        <v>8</v>
      </c>
      <c r="C5604" s="2" t="s">
        <v>476</v>
      </c>
      <c r="D5604" s="2">
        <v>7.3</v>
      </c>
      <c r="E5604" s="2">
        <v>2022.0</v>
      </c>
      <c r="F5604" s="2" t="s">
        <v>10</v>
      </c>
      <c r="G5604" s="2">
        <v>7.927E7</v>
      </c>
    </row>
    <row r="5605" ht="14.25" customHeight="1">
      <c r="A5605" s="1" t="s">
        <v>4792</v>
      </c>
      <c r="B5605" s="1" t="s">
        <v>20</v>
      </c>
      <c r="C5605" s="2" t="s">
        <v>4793</v>
      </c>
      <c r="D5605" s="2">
        <v>7.3</v>
      </c>
      <c r="E5605" s="2">
        <v>2006.0</v>
      </c>
      <c r="F5605" s="2" t="s">
        <v>10</v>
      </c>
      <c r="G5605" s="2" t="s">
        <v>10</v>
      </c>
    </row>
    <row r="5606" ht="14.25" customHeight="1">
      <c r="A5606" s="1" t="s">
        <v>4794</v>
      </c>
      <c r="B5606" s="1" t="s">
        <v>20</v>
      </c>
      <c r="C5606" s="2" t="s">
        <v>299</v>
      </c>
      <c r="D5606" s="2">
        <v>7.3</v>
      </c>
      <c r="E5606" s="2">
        <v>2011.0</v>
      </c>
      <c r="F5606" s="2" t="s">
        <v>10</v>
      </c>
      <c r="G5606" s="2" t="s">
        <v>10</v>
      </c>
    </row>
    <row r="5607" ht="14.25" customHeight="1">
      <c r="A5607" s="1" t="s">
        <v>4795</v>
      </c>
      <c r="B5607" s="1" t="s">
        <v>20</v>
      </c>
      <c r="C5607" s="2" t="s">
        <v>1301</v>
      </c>
      <c r="D5607" s="2">
        <v>7.3</v>
      </c>
      <c r="E5607" s="2">
        <v>1977.0</v>
      </c>
      <c r="F5607" s="2" t="s">
        <v>10</v>
      </c>
      <c r="G5607" s="2" t="s">
        <v>10</v>
      </c>
    </row>
    <row r="5608" ht="14.25" customHeight="1">
      <c r="A5608" s="1" t="s">
        <v>4796</v>
      </c>
      <c r="B5608" s="1" t="s">
        <v>20</v>
      </c>
      <c r="C5608" s="2" t="s">
        <v>476</v>
      </c>
      <c r="D5608" s="2">
        <v>7.3</v>
      </c>
      <c r="E5608" s="2">
        <v>1992.0</v>
      </c>
      <c r="F5608" s="2" t="s">
        <v>10</v>
      </c>
      <c r="G5608" s="2" t="s">
        <v>10</v>
      </c>
    </row>
    <row r="5609" ht="14.25" customHeight="1">
      <c r="A5609" s="1" t="s">
        <v>4797</v>
      </c>
      <c r="B5609" s="1" t="s">
        <v>8</v>
      </c>
      <c r="C5609" s="2" t="s">
        <v>105</v>
      </c>
      <c r="D5609" s="2">
        <v>7.3</v>
      </c>
      <c r="E5609" s="2">
        <v>2018.0</v>
      </c>
      <c r="F5609" s="2">
        <v>2019.0</v>
      </c>
      <c r="G5609" s="2">
        <v>1.165E7</v>
      </c>
    </row>
    <row r="5610" ht="14.25" customHeight="1">
      <c r="A5610" s="1" t="s">
        <v>4797</v>
      </c>
      <c r="B5610" s="1" t="s">
        <v>8</v>
      </c>
      <c r="C5610" s="2" t="s">
        <v>105</v>
      </c>
      <c r="D5610" s="2">
        <v>7.3</v>
      </c>
      <c r="E5610" s="2">
        <v>2018.0</v>
      </c>
      <c r="F5610" s="2">
        <v>2019.0</v>
      </c>
      <c r="G5610" s="2">
        <v>1.901E7</v>
      </c>
    </row>
    <row r="5611" ht="14.25" customHeight="1">
      <c r="A5611" s="1" t="s">
        <v>4797</v>
      </c>
      <c r="B5611" s="1" t="s">
        <v>8</v>
      </c>
      <c r="C5611" s="2" t="s">
        <v>105</v>
      </c>
      <c r="D5611" s="2">
        <v>7.3</v>
      </c>
      <c r="E5611" s="2">
        <v>2018.0</v>
      </c>
      <c r="F5611" s="2">
        <v>2019.0</v>
      </c>
      <c r="G5611" s="2">
        <v>1.196E7</v>
      </c>
    </row>
    <row r="5612" ht="14.25" customHeight="1">
      <c r="A5612" s="1" t="s">
        <v>4797</v>
      </c>
      <c r="B5612" s="1" t="s">
        <v>8</v>
      </c>
      <c r="C5612" s="2" t="s">
        <v>105</v>
      </c>
      <c r="D5612" s="2">
        <v>7.3</v>
      </c>
      <c r="E5612" s="2">
        <v>2018.0</v>
      </c>
      <c r="F5612" s="2">
        <v>2019.0</v>
      </c>
      <c r="G5612" s="2">
        <v>3.582E7</v>
      </c>
    </row>
    <row r="5613" ht="14.25" customHeight="1">
      <c r="A5613" s="1" t="s">
        <v>4797</v>
      </c>
      <c r="B5613" s="1" t="s">
        <v>8</v>
      </c>
      <c r="C5613" s="2" t="s">
        <v>105</v>
      </c>
      <c r="D5613" s="2">
        <v>7.3</v>
      </c>
      <c r="E5613" s="2">
        <v>2018.0</v>
      </c>
      <c r="F5613" s="2">
        <v>2019.0</v>
      </c>
      <c r="G5613" s="2">
        <v>2.32E7</v>
      </c>
    </row>
    <row r="5614" ht="14.25" customHeight="1">
      <c r="A5614" s="1" t="s">
        <v>4797</v>
      </c>
      <c r="B5614" s="1" t="s">
        <v>8</v>
      </c>
      <c r="C5614" s="2" t="s">
        <v>105</v>
      </c>
      <c r="D5614" s="2">
        <v>7.3</v>
      </c>
      <c r="E5614" s="2">
        <v>2018.0</v>
      </c>
      <c r="F5614" s="2">
        <v>2019.0</v>
      </c>
      <c r="G5614" s="2">
        <v>1.524E7</v>
      </c>
    </row>
    <row r="5615" ht="14.25" customHeight="1">
      <c r="A5615" s="1" t="s">
        <v>4797</v>
      </c>
      <c r="B5615" s="1" t="s">
        <v>8</v>
      </c>
      <c r="C5615" s="2" t="s">
        <v>105</v>
      </c>
      <c r="D5615" s="2">
        <v>7.3</v>
      </c>
      <c r="E5615" s="2">
        <v>2018.0</v>
      </c>
      <c r="F5615" s="2">
        <v>2019.0</v>
      </c>
      <c r="G5615" s="2">
        <v>4.738E7</v>
      </c>
    </row>
    <row r="5616" ht="14.25" customHeight="1">
      <c r="A5616" s="1" t="s">
        <v>4797</v>
      </c>
      <c r="B5616" s="1" t="s">
        <v>8</v>
      </c>
      <c r="C5616" s="2" t="s">
        <v>105</v>
      </c>
      <c r="D5616" s="2">
        <v>7.3</v>
      </c>
      <c r="E5616" s="2">
        <v>2018.0</v>
      </c>
      <c r="F5616" s="2">
        <v>2019.0</v>
      </c>
      <c r="G5616" s="2">
        <v>2.092E7</v>
      </c>
    </row>
    <row r="5617" ht="14.25" customHeight="1">
      <c r="A5617" s="1" t="s">
        <v>4798</v>
      </c>
      <c r="B5617" s="1" t="s">
        <v>20</v>
      </c>
      <c r="C5617" s="2" t="s">
        <v>9</v>
      </c>
      <c r="D5617" s="2">
        <v>7.3</v>
      </c>
      <c r="E5617" s="2">
        <v>2017.0</v>
      </c>
      <c r="F5617" s="2">
        <v>2017.0</v>
      </c>
      <c r="G5617" s="2" t="s">
        <v>10</v>
      </c>
    </row>
    <row r="5618" ht="14.25" customHeight="1">
      <c r="A5618" s="1" t="s">
        <v>4799</v>
      </c>
      <c r="B5618" s="1" t="s">
        <v>20</v>
      </c>
      <c r="C5618" s="2" t="s">
        <v>69</v>
      </c>
      <c r="D5618" s="2">
        <v>7.3</v>
      </c>
      <c r="E5618" s="2">
        <v>2006.0</v>
      </c>
      <c r="F5618" s="2" t="s">
        <v>10</v>
      </c>
      <c r="G5618" s="2" t="s">
        <v>10</v>
      </c>
    </row>
    <row r="5619" ht="14.25" customHeight="1">
      <c r="A5619" s="1" t="s">
        <v>4800</v>
      </c>
      <c r="B5619" s="1" t="s">
        <v>20</v>
      </c>
      <c r="C5619" s="2" t="s">
        <v>4801</v>
      </c>
      <c r="D5619" s="2">
        <v>7.3</v>
      </c>
      <c r="E5619" s="2">
        <v>2015.0</v>
      </c>
      <c r="F5619" s="2" t="s">
        <v>10</v>
      </c>
      <c r="G5619" s="2" t="s">
        <v>10</v>
      </c>
    </row>
    <row r="5620" ht="14.25" customHeight="1">
      <c r="A5620" s="1" t="s">
        <v>4802</v>
      </c>
      <c r="B5620" s="1" t="s">
        <v>20</v>
      </c>
      <c r="C5620" s="2" t="s">
        <v>169</v>
      </c>
      <c r="D5620" s="2">
        <v>7.3</v>
      </c>
      <c r="E5620" s="2">
        <v>1996.0</v>
      </c>
      <c r="F5620" s="2" t="s">
        <v>10</v>
      </c>
      <c r="G5620" s="2" t="s">
        <v>10</v>
      </c>
    </row>
    <row r="5621" ht="14.25" customHeight="1">
      <c r="A5621" s="1" t="s">
        <v>4803</v>
      </c>
      <c r="B5621" s="1" t="s">
        <v>20</v>
      </c>
      <c r="C5621" s="2" t="s">
        <v>217</v>
      </c>
      <c r="D5621" s="2">
        <v>7.3</v>
      </c>
      <c r="E5621" s="2">
        <v>1997.0</v>
      </c>
      <c r="F5621" s="2" t="s">
        <v>10</v>
      </c>
      <c r="G5621" s="2" t="s">
        <v>10</v>
      </c>
    </row>
    <row r="5622" ht="14.25" customHeight="1">
      <c r="A5622" s="1" t="s">
        <v>4804</v>
      </c>
      <c r="B5622" s="1" t="s">
        <v>8</v>
      </c>
      <c r="C5622" s="2" t="s">
        <v>92</v>
      </c>
      <c r="D5622" s="2">
        <v>7.3</v>
      </c>
      <c r="E5622" s="2">
        <v>2020.0</v>
      </c>
      <c r="F5622" s="2">
        <v>2020.0</v>
      </c>
      <c r="G5622" s="2">
        <v>1.463E7</v>
      </c>
    </row>
    <row r="5623" ht="14.25" customHeight="1">
      <c r="A5623" s="1" t="s">
        <v>4804</v>
      </c>
      <c r="B5623" s="1" t="s">
        <v>8</v>
      </c>
      <c r="C5623" s="2" t="s">
        <v>92</v>
      </c>
      <c r="D5623" s="2">
        <v>7.3</v>
      </c>
      <c r="E5623" s="2">
        <v>2020.0</v>
      </c>
      <c r="F5623" s="2">
        <v>2020.0</v>
      </c>
      <c r="G5623" s="2">
        <v>2.831E7</v>
      </c>
    </row>
    <row r="5624" ht="14.25" customHeight="1">
      <c r="A5624" s="1" t="s">
        <v>4804</v>
      </c>
      <c r="B5624" s="1" t="s">
        <v>8</v>
      </c>
      <c r="C5624" s="2" t="s">
        <v>92</v>
      </c>
      <c r="D5624" s="2">
        <v>7.3</v>
      </c>
      <c r="E5624" s="2">
        <v>2020.0</v>
      </c>
      <c r="F5624" s="2">
        <v>2020.0</v>
      </c>
      <c r="G5624" s="2">
        <v>3.844E7</v>
      </c>
    </row>
    <row r="5625" ht="14.25" customHeight="1">
      <c r="A5625" s="1" t="s">
        <v>4804</v>
      </c>
      <c r="B5625" s="1" t="s">
        <v>8</v>
      </c>
      <c r="C5625" s="2" t="s">
        <v>92</v>
      </c>
      <c r="D5625" s="2">
        <v>7.3</v>
      </c>
      <c r="E5625" s="2">
        <v>2020.0</v>
      </c>
      <c r="F5625" s="2">
        <v>2020.0</v>
      </c>
      <c r="G5625" s="2">
        <v>1.234E7</v>
      </c>
    </row>
    <row r="5626" ht="14.25" customHeight="1">
      <c r="A5626" s="1" t="s">
        <v>4804</v>
      </c>
      <c r="B5626" s="1" t="s">
        <v>8</v>
      </c>
      <c r="C5626" s="2" t="s">
        <v>92</v>
      </c>
      <c r="D5626" s="2">
        <v>7.3</v>
      </c>
      <c r="E5626" s="2">
        <v>2020.0</v>
      </c>
      <c r="F5626" s="2">
        <v>2020.0</v>
      </c>
      <c r="G5626" s="2">
        <v>1.877E7</v>
      </c>
    </row>
    <row r="5627" ht="14.25" customHeight="1">
      <c r="A5627" s="1" t="s">
        <v>4804</v>
      </c>
      <c r="B5627" s="1" t="s">
        <v>8</v>
      </c>
      <c r="C5627" s="2" t="s">
        <v>92</v>
      </c>
      <c r="D5627" s="2">
        <v>7.3</v>
      </c>
      <c r="E5627" s="2">
        <v>2020.0</v>
      </c>
      <c r="F5627" s="2">
        <v>2020.0</v>
      </c>
      <c r="G5627" s="2">
        <v>3.225E7</v>
      </c>
    </row>
    <row r="5628" ht="14.25" customHeight="1">
      <c r="A5628" s="1" t="s">
        <v>4804</v>
      </c>
      <c r="B5628" s="1" t="s">
        <v>8</v>
      </c>
      <c r="C5628" s="2" t="s">
        <v>92</v>
      </c>
      <c r="D5628" s="2">
        <v>7.3</v>
      </c>
      <c r="E5628" s="2">
        <v>2020.0</v>
      </c>
      <c r="F5628" s="2">
        <v>2020.0</v>
      </c>
      <c r="G5628" s="2">
        <v>1.595E7</v>
      </c>
    </row>
    <row r="5629" ht="14.25" customHeight="1">
      <c r="A5629" s="1" t="s">
        <v>4804</v>
      </c>
      <c r="B5629" s="1" t="s">
        <v>8</v>
      </c>
      <c r="C5629" s="2" t="s">
        <v>92</v>
      </c>
      <c r="D5629" s="2">
        <v>7.3</v>
      </c>
      <c r="E5629" s="2">
        <v>2020.0</v>
      </c>
      <c r="F5629" s="2">
        <v>2020.0</v>
      </c>
      <c r="G5629" s="2">
        <v>5.649E7</v>
      </c>
    </row>
    <row r="5630" ht="14.25" customHeight="1">
      <c r="A5630" s="1" t="s">
        <v>4804</v>
      </c>
      <c r="B5630" s="1" t="s">
        <v>8</v>
      </c>
      <c r="C5630" s="2" t="s">
        <v>92</v>
      </c>
      <c r="D5630" s="2">
        <v>7.3</v>
      </c>
      <c r="E5630" s="2">
        <v>2020.0</v>
      </c>
      <c r="F5630" s="2">
        <v>2020.0</v>
      </c>
      <c r="G5630" s="2">
        <v>2.459E7</v>
      </c>
    </row>
    <row r="5631" ht="14.25" customHeight="1">
      <c r="A5631" s="1" t="s">
        <v>4804</v>
      </c>
      <c r="B5631" s="1" t="s">
        <v>8</v>
      </c>
      <c r="C5631" s="2" t="s">
        <v>92</v>
      </c>
      <c r="D5631" s="2">
        <v>7.3</v>
      </c>
      <c r="E5631" s="2">
        <v>2020.0</v>
      </c>
      <c r="F5631" s="2">
        <v>2020.0</v>
      </c>
      <c r="G5631" s="2">
        <v>3.553E7</v>
      </c>
    </row>
    <row r="5632" ht="14.25" customHeight="1">
      <c r="A5632" s="1" t="s">
        <v>4804</v>
      </c>
      <c r="B5632" s="1" t="s">
        <v>8</v>
      </c>
      <c r="C5632" s="2" t="s">
        <v>92</v>
      </c>
      <c r="D5632" s="2">
        <v>7.3</v>
      </c>
      <c r="E5632" s="2">
        <v>2020.0</v>
      </c>
      <c r="F5632" s="2">
        <v>2020.0</v>
      </c>
      <c r="G5632" s="2">
        <v>1.571E7</v>
      </c>
    </row>
    <row r="5633" ht="14.25" customHeight="1">
      <c r="A5633" s="1" t="s">
        <v>4805</v>
      </c>
      <c r="B5633" s="1" t="s">
        <v>8</v>
      </c>
      <c r="C5633" s="2" t="s">
        <v>151</v>
      </c>
      <c r="D5633" s="2">
        <v>7.3</v>
      </c>
      <c r="E5633" s="2">
        <v>2022.0</v>
      </c>
      <c r="F5633" s="2" t="s">
        <v>10</v>
      </c>
      <c r="G5633" s="2" t="s">
        <v>10</v>
      </c>
    </row>
    <row r="5634" ht="14.25" customHeight="1">
      <c r="A5634" s="1" t="s">
        <v>4806</v>
      </c>
      <c r="B5634" s="1" t="s">
        <v>20</v>
      </c>
      <c r="C5634" s="2" t="s">
        <v>114</v>
      </c>
      <c r="D5634" s="2">
        <v>7.3</v>
      </c>
      <c r="E5634" s="2">
        <v>2009.0</v>
      </c>
      <c r="F5634" s="2">
        <v>2009.0</v>
      </c>
      <c r="G5634" s="2" t="s">
        <v>10</v>
      </c>
    </row>
    <row r="5635" ht="14.25" customHeight="1">
      <c r="A5635" s="1" t="s">
        <v>4807</v>
      </c>
      <c r="B5635" s="1" t="s">
        <v>20</v>
      </c>
      <c r="C5635" s="2" t="s">
        <v>187</v>
      </c>
      <c r="D5635" s="2">
        <v>7.3</v>
      </c>
      <c r="E5635" s="2">
        <v>1989.0</v>
      </c>
      <c r="F5635" s="2" t="s">
        <v>10</v>
      </c>
      <c r="G5635" s="2" t="s">
        <v>10</v>
      </c>
    </row>
    <row r="5636" ht="14.25" customHeight="1">
      <c r="A5636" s="1" t="s">
        <v>4808</v>
      </c>
      <c r="B5636" s="1" t="s">
        <v>20</v>
      </c>
      <c r="C5636" s="2" t="s">
        <v>187</v>
      </c>
      <c r="D5636" s="2">
        <v>7.3</v>
      </c>
      <c r="E5636" s="2">
        <v>2010.0</v>
      </c>
      <c r="F5636" s="2" t="s">
        <v>10</v>
      </c>
      <c r="G5636" s="2" t="s">
        <v>10</v>
      </c>
    </row>
    <row r="5637" ht="14.25" customHeight="1">
      <c r="A5637" s="1" t="s">
        <v>4809</v>
      </c>
      <c r="B5637" s="1" t="s">
        <v>20</v>
      </c>
      <c r="C5637" s="2" t="s">
        <v>989</v>
      </c>
      <c r="D5637" s="2">
        <v>7.3</v>
      </c>
      <c r="E5637" s="2">
        <v>2011.0</v>
      </c>
      <c r="F5637" s="2" t="s">
        <v>10</v>
      </c>
      <c r="G5637" s="2" t="s">
        <v>10</v>
      </c>
    </row>
    <row r="5638" ht="14.25" customHeight="1">
      <c r="A5638" s="1" t="s">
        <v>4810</v>
      </c>
      <c r="B5638" s="1" t="s">
        <v>20</v>
      </c>
      <c r="C5638" s="2" t="s">
        <v>1240</v>
      </c>
      <c r="D5638" s="2">
        <v>7.3</v>
      </c>
      <c r="E5638" s="2">
        <v>2002.0</v>
      </c>
      <c r="F5638" s="2" t="s">
        <v>10</v>
      </c>
      <c r="G5638" s="2" t="s">
        <v>10</v>
      </c>
    </row>
    <row r="5639" ht="14.25" customHeight="1">
      <c r="A5639" s="1" t="s">
        <v>929</v>
      </c>
      <c r="B5639" s="1" t="s">
        <v>20</v>
      </c>
      <c r="C5639" s="2" t="s">
        <v>1060</v>
      </c>
      <c r="D5639" s="2">
        <v>7.3</v>
      </c>
      <c r="E5639" s="2">
        <v>2011.0</v>
      </c>
      <c r="F5639" s="2" t="s">
        <v>10</v>
      </c>
      <c r="G5639" s="2" t="s">
        <v>10</v>
      </c>
    </row>
    <row r="5640" ht="14.25" customHeight="1">
      <c r="A5640" s="1" t="s">
        <v>4811</v>
      </c>
      <c r="B5640" s="1" t="s">
        <v>20</v>
      </c>
      <c r="C5640" s="2" t="s">
        <v>611</v>
      </c>
      <c r="D5640" s="2">
        <v>7.3</v>
      </c>
      <c r="E5640" s="2">
        <v>2015.0</v>
      </c>
      <c r="F5640" s="2" t="s">
        <v>10</v>
      </c>
      <c r="G5640" s="2" t="s">
        <v>10</v>
      </c>
    </row>
    <row r="5641" ht="14.25" customHeight="1">
      <c r="A5641" s="1" t="s">
        <v>4812</v>
      </c>
      <c r="B5641" s="1" t="s">
        <v>20</v>
      </c>
      <c r="C5641" s="2" t="s">
        <v>446</v>
      </c>
      <c r="D5641" s="2">
        <v>7.3</v>
      </c>
      <c r="E5641" s="2">
        <v>1986.0</v>
      </c>
      <c r="F5641" s="2" t="s">
        <v>10</v>
      </c>
      <c r="G5641" s="2" t="s">
        <v>10</v>
      </c>
    </row>
    <row r="5642" ht="14.25" customHeight="1">
      <c r="A5642" s="1" t="s">
        <v>4813</v>
      </c>
      <c r="B5642" s="1" t="s">
        <v>20</v>
      </c>
      <c r="C5642" s="2" t="s">
        <v>55</v>
      </c>
      <c r="D5642" s="2">
        <v>7.3</v>
      </c>
      <c r="E5642" s="2">
        <v>2021.0</v>
      </c>
      <c r="F5642" s="2" t="s">
        <v>10</v>
      </c>
      <c r="G5642" s="2">
        <v>4500000.0</v>
      </c>
    </row>
    <row r="5643" ht="14.25" customHeight="1">
      <c r="A5643" s="1" t="s">
        <v>4813</v>
      </c>
      <c r="B5643" s="1" t="s">
        <v>20</v>
      </c>
      <c r="C5643" s="2" t="s">
        <v>55</v>
      </c>
      <c r="D5643" s="2">
        <v>7.3</v>
      </c>
      <c r="E5643" s="2">
        <v>2021.0</v>
      </c>
      <c r="F5643" s="2" t="s">
        <v>10</v>
      </c>
      <c r="G5643" s="2">
        <v>7270000.0</v>
      </c>
    </row>
    <row r="5644" ht="14.25" customHeight="1">
      <c r="A5644" s="1" t="s">
        <v>4813</v>
      </c>
      <c r="B5644" s="1" t="s">
        <v>20</v>
      </c>
      <c r="C5644" s="2" t="s">
        <v>55</v>
      </c>
      <c r="D5644" s="2">
        <v>7.3</v>
      </c>
      <c r="E5644" s="2">
        <v>2021.0</v>
      </c>
      <c r="F5644" s="2" t="s">
        <v>10</v>
      </c>
      <c r="G5644" s="2">
        <v>7950000.0</v>
      </c>
    </row>
    <row r="5645" ht="14.25" customHeight="1">
      <c r="A5645" s="1" t="s">
        <v>4813</v>
      </c>
      <c r="B5645" s="1" t="s">
        <v>20</v>
      </c>
      <c r="C5645" s="2" t="s">
        <v>55</v>
      </c>
      <c r="D5645" s="2">
        <v>7.3</v>
      </c>
      <c r="E5645" s="2">
        <v>2021.0</v>
      </c>
      <c r="F5645" s="2" t="s">
        <v>10</v>
      </c>
      <c r="G5645" s="2">
        <v>9370000.0</v>
      </c>
    </row>
    <row r="5646" ht="14.25" customHeight="1">
      <c r="A5646" s="1" t="s">
        <v>4813</v>
      </c>
      <c r="B5646" s="1" t="s">
        <v>20</v>
      </c>
      <c r="C5646" s="2" t="s">
        <v>55</v>
      </c>
      <c r="D5646" s="2">
        <v>7.3</v>
      </c>
      <c r="E5646" s="2">
        <v>2021.0</v>
      </c>
      <c r="F5646" s="2" t="s">
        <v>10</v>
      </c>
      <c r="G5646" s="2">
        <v>1.015E7</v>
      </c>
    </row>
    <row r="5647" ht="14.25" customHeight="1">
      <c r="A5647" s="1" t="s">
        <v>4813</v>
      </c>
      <c r="B5647" s="1" t="s">
        <v>20</v>
      </c>
      <c r="C5647" s="2" t="s">
        <v>55</v>
      </c>
      <c r="D5647" s="2">
        <v>7.3</v>
      </c>
      <c r="E5647" s="2">
        <v>2021.0</v>
      </c>
      <c r="F5647" s="2" t="s">
        <v>10</v>
      </c>
      <c r="G5647" s="2">
        <v>1.222E7</v>
      </c>
    </row>
    <row r="5648" ht="14.25" customHeight="1">
      <c r="A5648" s="1" t="s">
        <v>4813</v>
      </c>
      <c r="B5648" s="1" t="s">
        <v>20</v>
      </c>
      <c r="C5648" s="2" t="s">
        <v>55</v>
      </c>
      <c r="D5648" s="2">
        <v>7.3</v>
      </c>
      <c r="E5648" s="2">
        <v>2021.0</v>
      </c>
      <c r="F5648" s="2" t="s">
        <v>10</v>
      </c>
      <c r="G5648" s="2">
        <v>1.658E7</v>
      </c>
    </row>
    <row r="5649" ht="14.25" customHeight="1">
      <c r="A5649" s="1" t="s">
        <v>4813</v>
      </c>
      <c r="B5649" s="1" t="s">
        <v>20</v>
      </c>
      <c r="C5649" s="2" t="s">
        <v>55</v>
      </c>
      <c r="D5649" s="2">
        <v>7.3</v>
      </c>
      <c r="E5649" s="2">
        <v>2021.0</v>
      </c>
      <c r="F5649" s="2" t="s">
        <v>10</v>
      </c>
      <c r="G5649" s="2">
        <v>2.408E7</v>
      </c>
    </row>
    <row r="5650" ht="14.25" customHeight="1">
      <c r="A5650" s="1" t="s">
        <v>4813</v>
      </c>
      <c r="B5650" s="1" t="s">
        <v>20</v>
      </c>
      <c r="C5650" s="2" t="s">
        <v>55</v>
      </c>
      <c r="D5650" s="2">
        <v>7.3</v>
      </c>
      <c r="E5650" s="2">
        <v>2021.0</v>
      </c>
      <c r="F5650" s="2" t="s">
        <v>10</v>
      </c>
      <c r="G5650" s="2">
        <v>2.427E7</v>
      </c>
    </row>
    <row r="5651" ht="14.25" customHeight="1">
      <c r="A5651" s="1" t="s">
        <v>4814</v>
      </c>
      <c r="B5651" s="1" t="s">
        <v>20</v>
      </c>
      <c r="C5651" s="2" t="s">
        <v>63</v>
      </c>
      <c r="D5651" s="2">
        <v>7.3</v>
      </c>
      <c r="E5651" s="2">
        <v>2005.0</v>
      </c>
      <c r="F5651" s="2">
        <v>2005.0</v>
      </c>
      <c r="G5651" s="2" t="s">
        <v>10</v>
      </c>
    </row>
    <row r="5652" ht="14.25" customHeight="1">
      <c r="A5652" s="1" t="s">
        <v>4815</v>
      </c>
      <c r="B5652" s="1" t="s">
        <v>20</v>
      </c>
      <c r="C5652" s="2" t="s">
        <v>588</v>
      </c>
      <c r="D5652" s="2">
        <v>7.3</v>
      </c>
      <c r="E5652" s="2">
        <v>2001.0</v>
      </c>
      <c r="F5652" s="2" t="s">
        <v>10</v>
      </c>
      <c r="G5652" s="2" t="s">
        <v>10</v>
      </c>
    </row>
    <row r="5653" ht="14.25" customHeight="1">
      <c r="A5653" s="1" t="s">
        <v>4816</v>
      </c>
      <c r="B5653" s="1" t="s">
        <v>20</v>
      </c>
      <c r="C5653" s="2" t="s">
        <v>187</v>
      </c>
      <c r="D5653" s="2">
        <v>7.3</v>
      </c>
      <c r="E5653" s="2">
        <v>2016.0</v>
      </c>
      <c r="F5653" s="2" t="s">
        <v>10</v>
      </c>
      <c r="G5653" s="2" t="s">
        <v>10</v>
      </c>
    </row>
    <row r="5654" ht="14.25" customHeight="1">
      <c r="A5654" s="1" t="s">
        <v>4817</v>
      </c>
      <c r="B5654" s="1" t="s">
        <v>20</v>
      </c>
      <c r="C5654" s="2" t="s">
        <v>262</v>
      </c>
      <c r="D5654" s="2">
        <v>7.3</v>
      </c>
      <c r="E5654" s="2">
        <v>2000.0</v>
      </c>
      <c r="F5654" s="2" t="s">
        <v>10</v>
      </c>
      <c r="G5654" s="2" t="s">
        <v>10</v>
      </c>
    </row>
    <row r="5655" ht="14.25" customHeight="1">
      <c r="A5655" s="1" t="s">
        <v>4818</v>
      </c>
      <c r="B5655" s="1" t="s">
        <v>8</v>
      </c>
      <c r="C5655" s="2" t="s">
        <v>92</v>
      </c>
      <c r="D5655" s="2">
        <v>7.3</v>
      </c>
      <c r="E5655" s="2">
        <v>2014.0</v>
      </c>
      <c r="F5655" s="2" t="s">
        <v>10</v>
      </c>
      <c r="G5655" s="2" t="s">
        <v>10</v>
      </c>
    </row>
    <row r="5656" ht="14.25" customHeight="1">
      <c r="A5656" s="1" t="s">
        <v>4819</v>
      </c>
      <c r="B5656" s="1" t="s">
        <v>20</v>
      </c>
      <c r="C5656" s="2" t="s">
        <v>63</v>
      </c>
      <c r="D5656" s="2">
        <v>7.3</v>
      </c>
      <c r="E5656" s="2">
        <v>2014.0</v>
      </c>
      <c r="F5656" s="2">
        <v>2014.0</v>
      </c>
      <c r="G5656" s="2" t="s">
        <v>10</v>
      </c>
    </row>
    <row r="5657" ht="14.25" customHeight="1">
      <c r="A5657" s="1" t="s">
        <v>4820</v>
      </c>
      <c r="B5657" s="1" t="s">
        <v>20</v>
      </c>
      <c r="C5657" s="2" t="s">
        <v>530</v>
      </c>
      <c r="D5657" s="2">
        <v>7.3</v>
      </c>
      <c r="E5657" s="2">
        <v>2010.0</v>
      </c>
      <c r="F5657" s="2" t="s">
        <v>10</v>
      </c>
      <c r="G5657" s="2" t="s">
        <v>10</v>
      </c>
    </row>
    <row r="5658" ht="14.25" customHeight="1">
      <c r="A5658" s="1" t="s">
        <v>4821</v>
      </c>
      <c r="B5658" s="1" t="s">
        <v>20</v>
      </c>
      <c r="C5658" s="2" t="s">
        <v>468</v>
      </c>
      <c r="D5658" s="2">
        <v>7.3</v>
      </c>
      <c r="E5658" s="2">
        <v>2005.0</v>
      </c>
      <c r="F5658" s="2" t="s">
        <v>10</v>
      </c>
      <c r="G5658" s="2" t="s">
        <v>10</v>
      </c>
    </row>
    <row r="5659" ht="14.25" customHeight="1">
      <c r="A5659" s="1" t="s">
        <v>4822</v>
      </c>
      <c r="B5659" s="1" t="s">
        <v>20</v>
      </c>
      <c r="C5659" s="2" t="s">
        <v>361</v>
      </c>
      <c r="D5659" s="2">
        <v>7.3</v>
      </c>
      <c r="E5659" s="2">
        <v>2015.0</v>
      </c>
      <c r="F5659" s="2" t="s">
        <v>10</v>
      </c>
      <c r="G5659" s="2" t="s">
        <v>10</v>
      </c>
    </row>
    <row r="5660" ht="14.25" customHeight="1">
      <c r="A5660" s="1" t="s">
        <v>4823</v>
      </c>
      <c r="B5660" s="1" t="s">
        <v>20</v>
      </c>
      <c r="C5660" s="2" t="s">
        <v>80</v>
      </c>
      <c r="D5660" s="2">
        <v>7.3</v>
      </c>
      <c r="E5660" s="2">
        <v>1997.0</v>
      </c>
      <c r="F5660" s="2" t="s">
        <v>10</v>
      </c>
      <c r="G5660" s="2" t="s">
        <v>10</v>
      </c>
    </row>
    <row r="5661" ht="14.25" customHeight="1">
      <c r="A5661" s="1" t="s">
        <v>4824</v>
      </c>
      <c r="B5661" s="1" t="s">
        <v>20</v>
      </c>
      <c r="C5661" s="2" t="s">
        <v>63</v>
      </c>
      <c r="D5661" s="2">
        <v>7.3</v>
      </c>
      <c r="E5661" s="2">
        <v>2016.0</v>
      </c>
      <c r="F5661" s="2">
        <v>2016.0</v>
      </c>
      <c r="G5661" s="2" t="s">
        <v>10</v>
      </c>
    </row>
    <row r="5662" ht="14.25" customHeight="1">
      <c r="A5662" s="1" t="s">
        <v>4825</v>
      </c>
      <c r="B5662" s="1" t="s">
        <v>8</v>
      </c>
      <c r="C5662" s="2" t="s">
        <v>69</v>
      </c>
      <c r="D5662" s="2">
        <v>7.3</v>
      </c>
      <c r="E5662" s="2">
        <v>2015.0</v>
      </c>
      <c r="F5662" s="2" t="s">
        <v>10</v>
      </c>
      <c r="G5662" s="2" t="s">
        <v>10</v>
      </c>
    </row>
    <row r="5663" ht="14.25" customHeight="1">
      <c r="A5663" s="1" t="s">
        <v>515</v>
      </c>
      <c r="B5663" s="1" t="s">
        <v>20</v>
      </c>
      <c r="C5663" s="2" t="s">
        <v>516</v>
      </c>
      <c r="D5663" s="2">
        <v>7.3</v>
      </c>
      <c r="E5663" s="2">
        <v>1970.0</v>
      </c>
      <c r="F5663" s="2" t="s">
        <v>10</v>
      </c>
      <c r="G5663" s="2" t="s">
        <v>10</v>
      </c>
    </row>
    <row r="5664" ht="14.25" customHeight="1">
      <c r="A5664" s="1" t="s">
        <v>4826</v>
      </c>
      <c r="B5664" s="1" t="s">
        <v>8</v>
      </c>
      <c r="C5664" s="2" t="s">
        <v>32</v>
      </c>
      <c r="D5664" s="2">
        <v>7.3</v>
      </c>
      <c r="E5664" s="2">
        <v>1996.0</v>
      </c>
      <c r="F5664" s="2" t="s">
        <v>10</v>
      </c>
      <c r="G5664" s="2" t="s">
        <v>10</v>
      </c>
    </row>
    <row r="5665" ht="14.25" customHeight="1">
      <c r="A5665" s="1" t="s">
        <v>4101</v>
      </c>
      <c r="B5665" s="1" t="s">
        <v>20</v>
      </c>
      <c r="C5665" s="2" t="s">
        <v>69</v>
      </c>
      <c r="D5665" s="2">
        <v>7.3</v>
      </c>
      <c r="E5665" s="2">
        <v>1990.0</v>
      </c>
      <c r="F5665" s="2" t="s">
        <v>10</v>
      </c>
      <c r="G5665" s="2" t="s">
        <v>10</v>
      </c>
    </row>
    <row r="5666" ht="14.25" customHeight="1">
      <c r="A5666" s="1" t="s">
        <v>4827</v>
      </c>
      <c r="B5666" s="1" t="s">
        <v>20</v>
      </c>
      <c r="C5666" s="2" t="s">
        <v>3466</v>
      </c>
      <c r="D5666" s="2">
        <v>7.3</v>
      </c>
      <c r="E5666" s="2">
        <v>2003.0</v>
      </c>
      <c r="F5666" s="2">
        <v>2003.0</v>
      </c>
      <c r="G5666" s="2" t="s">
        <v>10</v>
      </c>
    </row>
    <row r="5667" ht="14.25" customHeight="1">
      <c r="A5667" s="1" t="s">
        <v>4828</v>
      </c>
      <c r="B5667" s="1" t="s">
        <v>20</v>
      </c>
      <c r="C5667" s="2" t="s">
        <v>53</v>
      </c>
      <c r="D5667" s="2">
        <v>7.3</v>
      </c>
      <c r="E5667" s="2">
        <v>2009.0</v>
      </c>
      <c r="F5667" s="2" t="s">
        <v>10</v>
      </c>
      <c r="G5667" s="2" t="s">
        <v>10</v>
      </c>
    </row>
    <row r="5668" ht="14.25" customHeight="1">
      <c r="A5668" s="1" t="s">
        <v>4829</v>
      </c>
      <c r="B5668" s="1" t="s">
        <v>8</v>
      </c>
      <c r="C5668" s="2" t="s">
        <v>356</v>
      </c>
      <c r="D5668" s="2">
        <v>7.3</v>
      </c>
      <c r="E5668" s="2">
        <v>2020.0</v>
      </c>
      <c r="F5668" s="2">
        <v>2020.0</v>
      </c>
      <c r="G5668" s="2" t="s">
        <v>10</v>
      </c>
    </row>
    <row r="5669" ht="14.25" customHeight="1">
      <c r="A5669" s="1" t="s">
        <v>4830</v>
      </c>
      <c r="B5669" s="1" t="s">
        <v>20</v>
      </c>
      <c r="C5669" s="2" t="s">
        <v>4831</v>
      </c>
      <c r="D5669" s="2">
        <v>7.3</v>
      </c>
      <c r="E5669" s="2">
        <v>1985.0</v>
      </c>
      <c r="F5669" s="2" t="s">
        <v>10</v>
      </c>
      <c r="G5669" s="2" t="s">
        <v>10</v>
      </c>
    </row>
    <row r="5670" ht="14.25" customHeight="1">
      <c r="A5670" s="1" t="s">
        <v>4832</v>
      </c>
      <c r="B5670" s="1" t="s">
        <v>20</v>
      </c>
      <c r="C5670" s="2" t="s">
        <v>9</v>
      </c>
      <c r="D5670" s="2">
        <v>7.3</v>
      </c>
      <c r="E5670" s="2">
        <v>2000.0</v>
      </c>
      <c r="F5670" s="2" t="s">
        <v>10</v>
      </c>
      <c r="G5670" s="2" t="s">
        <v>10</v>
      </c>
    </row>
    <row r="5671" ht="14.25" customHeight="1">
      <c r="A5671" s="1" t="s">
        <v>4833</v>
      </c>
      <c r="B5671" s="1" t="s">
        <v>20</v>
      </c>
      <c r="C5671" s="2" t="s">
        <v>105</v>
      </c>
      <c r="D5671" s="2">
        <v>7.3</v>
      </c>
      <c r="E5671" s="2">
        <v>2006.0</v>
      </c>
      <c r="F5671" s="2" t="s">
        <v>10</v>
      </c>
      <c r="G5671" s="2" t="s">
        <v>10</v>
      </c>
    </row>
    <row r="5672" ht="14.25" customHeight="1">
      <c r="A5672" s="1" t="s">
        <v>4834</v>
      </c>
      <c r="B5672" s="1" t="s">
        <v>20</v>
      </c>
      <c r="C5672" s="2" t="s">
        <v>78</v>
      </c>
      <c r="D5672" s="2">
        <v>7.3</v>
      </c>
      <c r="E5672" s="2">
        <v>1981.0</v>
      </c>
      <c r="F5672" s="2" t="s">
        <v>10</v>
      </c>
      <c r="G5672" s="2" t="s">
        <v>10</v>
      </c>
    </row>
    <row r="5673" ht="14.25" customHeight="1">
      <c r="A5673" s="1" t="s">
        <v>4835</v>
      </c>
      <c r="B5673" s="1" t="s">
        <v>20</v>
      </c>
      <c r="C5673" s="2" t="s">
        <v>40</v>
      </c>
      <c r="D5673" s="2">
        <v>7.3</v>
      </c>
      <c r="E5673" s="2">
        <v>1994.0</v>
      </c>
      <c r="F5673" s="2" t="s">
        <v>10</v>
      </c>
      <c r="G5673" s="2" t="s">
        <v>10</v>
      </c>
    </row>
    <row r="5674" ht="14.25" customHeight="1">
      <c r="A5674" s="1" t="s">
        <v>3483</v>
      </c>
      <c r="B5674" s="1" t="s">
        <v>20</v>
      </c>
      <c r="C5674" s="2" t="s">
        <v>4836</v>
      </c>
      <c r="D5674" s="2">
        <v>7.3</v>
      </c>
      <c r="E5674" s="2">
        <v>2008.0</v>
      </c>
      <c r="F5674" s="2" t="s">
        <v>10</v>
      </c>
      <c r="G5674" s="2" t="s">
        <v>10</v>
      </c>
    </row>
    <row r="5675" ht="14.25" customHeight="1">
      <c r="A5675" s="1" t="s">
        <v>4837</v>
      </c>
      <c r="B5675" s="1" t="s">
        <v>20</v>
      </c>
      <c r="C5675" s="2" t="s">
        <v>249</v>
      </c>
      <c r="D5675" s="2">
        <v>7.3</v>
      </c>
      <c r="E5675" s="2">
        <v>1985.0</v>
      </c>
      <c r="F5675" s="2" t="s">
        <v>10</v>
      </c>
      <c r="G5675" s="2" t="s">
        <v>10</v>
      </c>
    </row>
    <row r="5676" ht="14.25" customHeight="1">
      <c r="A5676" s="1" t="s">
        <v>4838</v>
      </c>
      <c r="B5676" s="1" t="s">
        <v>20</v>
      </c>
      <c r="C5676" s="2" t="s">
        <v>18</v>
      </c>
      <c r="D5676" s="2">
        <v>7.3</v>
      </c>
      <c r="E5676" s="2">
        <v>2009.0</v>
      </c>
      <c r="F5676" s="2" t="s">
        <v>10</v>
      </c>
      <c r="G5676" s="2" t="s">
        <v>10</v>
      </c>
    </row>
    <row r="5677" ht="14.25" customHeight="1">
      <c r="A5677" s="1" t="s">
        <v>2326</v>
      </c>
      <c r="B5677" s="1" t="s">
        <v>20</v>
      </c>
      <c r="C5677" s="2" t="s">
        <v>785</v>
      </c>
      <c r="D5677" s="2">
        <v>7.3</v>
      </c>
      <c r="E5677" s="2">
        <v>1994.0</v>
      </c>
      <c r="F5677" s="2" t="s">
        <v>10</v>
      </c>
      <c r="G5677" s="2">
        <v>8590000.0</v>
      </c>
    </row>
    <row r="5678" ht="14.25" customHeight="1">
      <c r="A5678" s="1" t="s">
        <v>2326</v>
      </c>
      <c r="B5678" s="1" t="s">
        <v>20</v>
      </c>
      <c r="C5678" s="2" t="s">
        <v>785</v>
      </c>
      <c r="D5678" s="2">
        <v>7.3</v>
      </c>
      <c r="E5678" s="2">
        <v>1994.0</v>
      </c>
      <c r="F5678" s="2" t="s">
        <v>10</v>
      </c>
      <c r="G5678" s="2">
        <v>1.033E7</v>
      </c>
    </row>
    <row r="5679" ht="14.25" customHeight="1">
      <c r="A5679" s="1" t="s">
        <v>2326</v>
      </c>
      <c r="B5679" s="1" t="s">
        <v>20</v>
      </c>
      <c r="C5679" s="2" t="s">
        <v>785</v>
      </c>
      <c r="D5679" s="2">
        <v>7.3</v>
      </c>
      <c r="E5679" s="2">
        <v>1994.0</v>
      </c>
      <c r="F5679" s="2" t="s">
        <v>10</v>
      </c>
      <c r="G5679" s="2">
        <v>1.13E7</v>
      </c>
    </row>
    <row r="5680" ht="14.25" customHeight="1">
      <c r="A5680" s="1" t="s">
        <v>2326</v>
      </c>
      <c r="B5680" s="1" t="s">
        <v>20</v>
      </c>
      <c r="C5680" s="2" t="s">
        <v>785</v>
      </c>
      <c r="D5680" s="2">
        <v>7.3</v>
      </c>
      <c r="E5680" s="2">
        <v>1994.0</v>
      </c>
      <c r="F5680" s="2" t="s">
        <v>10</v>
      </c>
      <c r="G5680" s="2">
        <v>1.229E7</v>
      </c>
    </row>
    <row r="5681" ht="14.25" customHeight="1">
      <c r="A5681" s="1" t="s">
        <v>2326</v>
      </c>
      <c r="B5681" s="1" t="s">
        <v>20</v>
      </c>
      <c r="C5681" s="2" t="s">
        <v>785</v>
      </c>
      <c r="D5681" s="2">
        <v>7.3</v>
      </c>
      <c r="E5681" s="2">
        <v>1994.0</v>
      </c>
      <c r="F5681" s="2" t="s">
        <v>10</v>
      </c>
      <c r="G5681" s="2">
        <v>1.555E7</v>
      </c>
    </row>
    <row r="5682" ht="14.25" customHeight="1">
      <c r="A5682" s="1" t="s">
        <v>2326</v>
      </c>
      <c r="B5682" s="1" t="s">
        <v>20</v>
      </c>
      <c r="C5682" s="2" t="s">
        <v>785</v>
      </c>
      <c r="D5682" s="2">
        <v>7.3</v>
      </c>
      <c r="E5682" s="2">
        <v>1994.0</v>
      </c>
      <c r="F5682" s="2" t="s">
        <v>10</v>
      </c>
      <c r="G5682" s="2">
        <v>2.499E7</v>
      </c>
    </row>
    <row r="5683" ht="14.25" customHeight="1">
      <c r="A5683" s="1" t="s">
        <v>2326</v>
      </c>
      <c r="B5683" s="1" t="s">
        <v>20</v>
      </c>
      <c r="C5683" s="2" t="s">
        <v>785</v>
      </c>
      <c r="D5683" s="2">
        <v>7.3</v>
      </c>
      <c r="E5683" s="2">
        <v>1994.0</v>
      </c>
      <c r="F5683" s="2" t="s">
        <v>10</v>
      </c>
      <c r="G5683" s="2">
        <v>2.358E7</v>
      </c>
    </row>
    <row r="5684" ht="14.25" customHeight="1">
      <c r="A5684" s="1" t="s">
        <v>2326</v>
      </c>
      <c r="B5684" s="1" t="s">
        <v>20</v>
      </c>
      <c r="C5684" s="2" t="s">
        <v>785</v>
      </c>
      <c r="D5684" s="2">
        <v>7.3</v>
      </c>
      <c r="E5684" s="2">
        <v>1994.0</v>
      </c>
      <c r="F5684" s="2" t="s">
        <v>10</v>
      </c>
      <c r="G5684" s="2">
        <v>1.894E7</v>
      </c>
    </row>
    <row r="5685" ht="14.25" customHeight="1">
      <c r="A5685" s="1" t="s">
        <v>2326</v>
      </c>
      <c r="B5685" s="1" t="s">
        <v>20</v>
      </c>
      <c r="C5685" s="2" t="s">
        <v>785</v>
      </c>
      <c r="D5685" s="2">
        <v>7.3</v>
      </c>
      <c r="E5685" s="2">
        <v>1994.0</v>
      </c>
      <c r="F5685" s="2" t="s">
        <v>10</v>
      </c>
      <c r="G5685" s="2">
        <v>1.502E7</v>
      </c>
    </row>
    <row r="5686" ht="14.25" customHeight="1">
      <c r="A5686" s="1" t="s">
        <v>2326</v>
      </c>
      <c r="B5686" s="1" t="s">
        <v>20</v>
      </c>
      <c r="C5686" s="2" t="s">
        <v>785</v>
      </c>
      <c r="D5686" s="2">
        <v>7.3</v>
      </c>
      <c r="E5686" s="2">
        <v>1994.0</v>
      </c>
      <c r="F5686" s="2" t="s">
        <v>10</v>
      </c>
      <c r="G5686" s="2">
        <v>1.296E7</v>
      </c>
    </row>
    <row r="5687" ht="14.25" customHeight="1">
      <c r="A5687" s="1" t="s">
        <v>2326</v>
      </c>
      <c r="B5687" s="1" t="s">
        <v>20</v>
      </c>
      <c r="C5687" s="2" t="s">
        <v>785</v>
      </c>
      <c r="D5687" s="2">
        <v>7.3</v>
      </c>
      <c r="E5687" s="2">
        <v>1994.0</v>
      </c>
      <c r="F5687" s="2" t="s">
        <v>10</v>
      </c>
      <c r="G5687" s="2">
        <v>9970000.0</v>
      </c>
    </row>
    <row r="5688" ht="14.25" customHeight="1">
      <c r="A5688" s="1" t="s">
        <v>4682</v>
      </c>
      <c r="B5688" s="1" t="s">
        <v>8</v>
      </c>
      <c r="C5688" s="2" t="s">
        <v>2237</v>
      </c>
      <c r="D5688" s="2">
        <v>7.3</v>
      </c>
      <c r="E5688" s="2">
        <v>2013.0</v>
      </c>
      <c r="F5688" s="2" t="s">
        <v>10</v>
      </c>
      <c r="G5688" s="2" t="s">
        <v>10</v>
      </c>
    </row>
    <row r="5689" ht="14.25" customHeight="1">
      <c r="A5689" s="1" t="s">
        <v>4839</v>
      </c>
      <c r="B5689" s="1" t="s">
        <v>20</v>
      </c>
      <c r="C5689" s="2" t="s">
        <v>187</v>
      </c>
      <c r="D5689" s="2">
        <v>7.3</v>
      </c>
      <c r="E5689" s="2">
        <v>1989.0</v>
      </c>
      <c r="F5689" s="2" t="s">
        <v>10</v>
      </c>
      <c r="G5689" s="2" t="s">
        <v>10</v>
      </c>
    </row>
    <row r="5690" ht="14.25" customHeight="1">
      <c r="A5690" s="1" t="s">
        <v>4840</v>
      </c>
      <c r="B5690" s="1" t="s">
        <v>20</v>
      </c>
      <c r="C5690" s="2" t="s">
        <v>80</v>
      </c>
      <c r="D5690" s="2">
        <v>7.3</v>
      </c>
      <c r="E5690" s="2">
        <v>2015.0</v>
      </c>
      <c r="F5690" s="2" t="s">
        <v>10</v>
      </c>
      <c r="G5690" s="2" t="s">
        <v>10</v>
      </c>
    </row>
    <row r="5691" ht="14.25" customHeight="1">
      <c r="A5691" s="1" t="s">
        <v>4841</v>
      </c>
      <c r="B5691" s="1" t="s">
        <v>20</v>
      </c>
      <c r="C5691" s="2" t="s">
        <v>22</v>
      </c>
      <c r="D5691" s="2">
        <v>7.3</v>
      </c>
      <c r="E5691" s="2">
        <v>2000.0</v>
      </c>
      <c r="F5691" s="2" t="s">
        <v>10</v>
      </c>
      <c r="G5691" s="2" t="s">
        <v>10</v>
      </c>
    </row>
    <row r="5692" ht="14.25" customHeight="1">
      <c r="A5692" s="1" t="s">
        <v>4842</v>
      </c>
      <c r="B5692" s="1" t="s">
        <v>20</v>
      </c>
      <c r="C5692" s="2" t="s">
        <v>792</v>
      </c>
      <c r="D5692" s="2">
        <v>7.3</v>
      </c>
      <c r="E5692" s="2">
        <v>1996.0</v>
      </c>
      <c r="F5692" s="2" t="s">
        <v>10</v>
      </c>
      <c r="G5692" s="2" t="s">
        <v>10</v>
      </c>
    </row>
    <row r="5693" ht="14.25" customHeight="1">
      <c r="A5693" s="1" t="s">
        <v>4843</v>
      </c>
      <c r="B5693" s="1" t="s">
        <v>8</v>
      </c>
      <c r="C5693" s="2" t="s">
        <v>476</v>
      </c>
      <c r="D5693" s="2">
        <v>7.3</v>
      </c>
      <c r="E5693" s="2">
        <v>2022.0</v>
      </c>
      <c r="F5693" s="2" t="s">
        <v>10</v>
      </c>
      <c r="G5693" s="2">
        <v>3.627E7</v>
      </c>
    </row>
    <row r="5694" ht="14.25" customHeight="1">
      <c r="A5694" s="1" t="s">
        <v>4843</v>
      </c>
      <c r="B5694" s="1" t="s">
        <v>8</v>
      </c>
      <c r="C5694" s="2" t="s">
        <v>476</v>
      </c>
      <c r="D5694" s="2">
        <v>7.3</v>
      </c>
      <c r="E5694" s="2">
        <v>2022.0</v>
      </c>
      <c r="F5694" s="2" t="s">
        <v>10</v>
      </c>
      <c r="G5694" s="2">
        <v>7.098E7</v>
      </c>
    </row>
    <row r="5695" ht="14.25" customHeight="1">
      <c r="A5695" s="1" t="s">
        <v>4843</v>
      </c>
      <c r="B5695" s="1" t="s">
        <v>8</v>
      </c>
      <c r="C5695" s="2" t="s">
        <v>476</v>
      </c>
      <c r="D5695" s="2">
        <v>7.3</v>
      </c>
      <c r="E5695" s="2">
        <v>2022.0</v>
      </c>
      <c r="F5695" s="2" t="s">
        <v>10</v>
      </c>
      <c r="G5695" s="2">
        <v>2.222E7</v>
      </c>
    </row>
    <row r="5696" ht="14.25" customHeight="1">
      <c r="A5696" s="1" t="s">
        <v>4844</v>
      </c>
      <c r="B5696" s="1" t="s">
        <v>8</v>
      </c>
      <c r="C5696" s="2" t="s">
        <v>476</v>
      </c>
      <c r="D5696" s="2">
        <v>7.3</v>
      </c>
      <c r="E5696" s="2">
        <v>2015.0</v>
      </c>
      <c r="F5696" s="2" t="s">
        <v>10</v>
      </c>
      <c r="G5696" s="2" t="s">
        <v>10</v>
      </c>
    </row>
    <row r="5697" ht="14.25" customHeight="1">
      <c r="A5697" s="1" t="s">
        <v>4845</v>
      </c>
      <c r="B5697" s="1" t="s">
        <v>20</v>
      </c>
      <c r="C5697" s="2" t="s">
        <v>18</v>
      </c>
      <c r="D5697" s="2">
        <v>7.3</v>
      </c>
      <c r="E5697" s="2">
        <v>1997.0</v>
      </c>
      <c r="F5697" s="2" t="s">
        <v>10</v>
      </c>
      <c r="G5697" s="2" t="s">
        <v>10</v>
      </c>
    </row>
    <row r="5698" ht="14.25" customHeight="1">
      <c r="A5698" s="1" t="s">
        <v>4846</v>
      </c>
      <c r="B5698" s="1" t="s">
        <v>20</v>
      </c>
      <c r="C5698" s="2" t="s">
        <v>4525</v>
      </c>
      <c r="D5698" s="2">
        <v>7.3</v>
      </c>
      <c r="E5698" s="2">
        <v>1980.0</v>
      </c>
      <c r="F5698" s="2" t="s">
        <v>10</v>
      </c>
      <c r="G5698" s="2" t="s">
        <v>10</v>
      </c>
    </row>
    <row r="5699" ht="14.25" customHeight="1">
      <c r="A5699" s="1" t="s">
        <v>4847</v>
      </c>
      <c r="B5699" s="1" t="s">
        <v>8</v>
      </c>
      <c r="C5699" s="2" t="s">
        <v>3051</v>
      </c>
      <c r="D5699" s="2">
        <v>7.3</v>
      </c>
      <c r="E5699" s="2">
        <v>2023.0</v>
      </c>
      <c r="F5699" s="2" t="s">
        <v>10</v>
      </c>
      <c r="G5699" s="2">
        <v>1.96E7</v>
      </c>
    </row>
    <row r="5700" ht="14.25" customHeight="1">
      <c r="A5700" s="1" t="s">
        <v>4847</v>
      </c>
      <c r="B5700" s="1" t="s">
        <v>8</v>
      </c>
      <c r="C5700" s="2" t="s">
        <v>3051</v>
      </c>
      <c r="D5700" s="2">
        <v>7.3</v>
      </c>
      <c r="E5700" s="2">
        <v>2023.0</v>
      </c>
      <c r="F5700" s="2" t="s">
        <v>10</v>
      </c>
      <c r="G5700" s="2">
        <v>3.32E7</v>
      </c>
    </row>
    <row r="5701" ht="14.25" customHeight="1">
      <c r="A5701" s="1" t="s">
        <v>4847</v>
      </c>
      <c r="B5701" s="1" t="s">
        <v>8</v>
      </c>
      <c r="C5701" s="2" t="s">
        <v>3051</v>
      </c>
      <c r="D5701" s="2">
        <v>7.3</v>
      </c>
      <c r="E5701" s="2">
        <v>2023.0</v>
      </c>
      <c r="F5701" s="2" t="s">
        <v>10</v>
      </c>
      <c r="G5701" s="2">
        <v>5.86E7</v>
      </c>
    </row>
    <row r="5702" ht="14.25" customHeight="1">
      <c r="A5702" s="1" t="s">
        <v>4847</v>
      </c>
      <c r="B5702" s="1" t="s">
        <v>8</v>
      </c>
      <c r="C5702" s="2" t="s">
        <v>3051</v>
      </c>
      <c r="D5702" s="2">
        <v>7.3</v>
      </c>
      <c r="E5702" s="2">
        <v>2023.0</v>
      </c>
      <c r="F5702" s="2" t="s">
        <v>10</v>
      </c>
      <c r="G5702" s="3">
        <v>4.2E7</v>
      </c>
    </row>
    <row r="5703" ht="14.25" customHeight="1">
      <c r="A5703" s="1" t="s">
        <v>4848</v>
      </c>
      <c r="B5703" s="1" t="s">
        <v>20</v>
      </c>
      <c r="C5703" s="2" t="s">
        <v>169</v>
      </c>
      <c r="D5703" s="2">
        <v>7.3</v>
      </c>
      <c r="E5703" s="2">
        <v>1993.0</v>
      </c>
      <c r="F5703" s="2" t="s">
        <v>10</v>
      </c>
      <c r="G5703" s="2" t="s">
        <v>10</v>
      </c>
    </row>
    <row r="5704" ht="14.25" customHeight="1">
      <c r="A5704" s="1" t="s">
        <v>4849</v>
      </c>
      <c r="B5704" s="1" t="s">
        <v>20</v>
      </c>
      <c r="C5704" s="2" t="s">
        <v>53</v>
      </c>
      <c r="D5704" s="2">
        <v>7.3</v>
      </c>
      <c r="E5704" s="2">
        <v>2022.0</v>
      </c>
      <c r="F5704" s="2" t="s">
        <v>10</v>
      </c>
      <c r="G5704" s="2" t="s">
        <v>10</v>
      </c>
    </row>
    <row r="5705" ht="14.25" customHeight="1">
      <c r="A5705" s="1" t="s">
        <v>4850</v>
      </c>
      <c r="B5705" s="1" t="s">
        <v>20</v>
      </c>
      <c r="C5705" s="2" t="s">
        <v>291</v>
      </c>
      <c r="D5705" s="2">
        <v>7.3</v>
      </c>
      <c r="E5705" s="2">
        <v>1976.0</v>
      </c>
      <c r="F5705" s="2" t="s">
        <v>10</v>
      </c>
      <c r="G5705" s="2" t="s">
        <v>10</v>
      </c>
    </row>
    <row r="5706" ht="14.25" customHeight="1">
      <c r="A5706" s="1" t="s">
        <v>4851</v>
      </c>
      <c r="B5706" s="1" t="s">
        <v>20</v>
      </c>
      <c r="C5706" s="2" t="s">
        <v>356</v>
      </c>
      <c r="D5706" s="2">
        <v>7.3</v>
      </c>
      <c r="E5706" s="2">
        <v>2017.0</v>
      </c>
      <c r="F5706" s="2" t="s">
        <v>10</v>
      </c>
      <c r="G5706" s="2" t="s">
        <v>10</v>
      </c>
    </row>
    <row r="5707" ht="14.25" customHeight="1">
      <c r="A5707" s="1" t="s">
        <v>4852</v>
      </c>
      <c r="B5707" s="1" t="s">
        <v>20</v>
      </c>
      <c r="C5707" s="2" t="s">
        <v>40</v>
      </c>
      <c r="D5707" s="2">
        <v>7.3</v>
      </c>
      <c r="E5707" s="2">
        <v>2019.0</v>
      </c>
      <c r="F5707" s="2" t="s">
        <v>10</v>
      </c>
      <c r="G5707" s="2" t="s">
        <v>10</v>
      </c>
    </row>
    <row r="5708" ht="14.25" customHeight="1">
      <c r="A5708" s="1" t="s">
        <v>4853</v>
      </c>
      <c r="B5708" s="1" t="s">
        <v>20</v>
      </c>
      <c r="C5708" s="2" t="s">
        <v>4854</v>
      </c>
      <c r="D5708" s="2">
        <v>7.3</v>
      </c>
      <c r="E5708" s="2">
        <v>2005.0</v>
      </c>
      <c r="F5708" s="2" t="s">
        <v>10</v>
      </c>
      <c r="G5708" s="2" t="s">
        <v>10</v>
      </c>
    </row>
    <row r="5709" ht="14.25" customHeight="1">
      <c r="A5709" s="1" t="s">
        <v>4855</v>
      </c>
      <c r="B5709" s="1" t="s">
        <v>20</v>
      </c>
      <c r="C5709" s="2" t="s">
        <v>461</v>
      </c>
      <c r="D5709" s="2">
        <v>7.3</v>
      </c>
      <c r="E5709" s="2">
        <v>2018.0</v>
      </c>
      <c r="F5709" s="2">
        <v>2018.0</v>
      </c>
      <c r="G5709" s="2" t="s">
        <v>10</v>
      </c>
    </row>
    <row r="5710" ht="14.25" customHeight="1">
      <c r="A5710" s="1" t="s">
        <v>4856</v>
      </c>
      <c r="B5710" s="1" t="s">
        <v>20</v>
      </c>
      <c r="C5710" s="2" t="s">
        <v>1100</v>
      </c>
      <c r="D5710" s="2">
        <v>7.3</v>
      </c>
      <c r="E5710" s="2">
        <v>2013.0</v>
      </c>
      <c r="F5710" s="2" t="s">
        <v>10</v>
      </c>
      <c r="G5710" s="2" t="s">
        <v>10</v>
      </c>
    </row>
    <row r="5711" ht="14.25" customHeight="1">
      <c r="A5711" s="1" t="s">
        <v>4857</v>
      </c>
      <c r="B5711" s="1" t="s">
        <v>20</v>
      </c>
      <c r="C5711" s="2" t="s">
        <v>207</v>
      </c>
      <c r="D5711" s="2">
        <v>7.3</v>
      </c>
      <c r="E5711" s="2">
        <v>2021.0</v>
      </c>
      <c r="F5711" s="2" t="s">
        <v>10</v>
      </c>
      <c r="G5711" s="2" t="s">
        <v>10</v>
      </c>
    </row>
    <row r="5712" ht="14.25" customHeight="1">
      <c r="A5712" s="1" t="s">
        <v>4858</v>
      </c>
      <c r="B5712" s="1" t="s">
        <v>20</v>
      </c>
      <c r="C5712" s="2" t="s">
        <v>187</v>
      </c>
      <c r="D5712" s="2">
        <v>7.3</v>
      </c>
      <c r="E5712" s="2">
        <v>1993.0</v>
      </c>
      <c r="F5712" s="2">
        <v>2016.0</v>
      </c>
      <c r="G5712" s="2" t="s">
        <v>10</v>
      </c>
    </row>
    <row r="5713" ht="14.25" customHeight="1">
      <c r="A5713" s="1" t="s">
        <v>4859</v>
      </c>
      <c r="B5713" s="1" t="s">
        <v>20</v>
      </c>
      <c r="C5713" s="2" t="s">
        <v>63</v>
      </c>
      <c r="D5713" s="2">
        <v>7.3</v>
      </c>
      <c r="E5713" s="2">
        <v>2016.0</v>
      </c>
      <c r="F5713" s="2" t="s">
        <v>10</v>
      </c>
      <c r="G5713" s="2" t="s">
        <v>10</v>
      </c>
    </row>
    <row r="5714" ht="14.25" customHeight="1">
      <c r="A5714" s="1" t="s">
        <v>4860</v>
      </c>
      <c r="B5714" s="1" t="s">
        <v>20</v>
      </c>
      <c r="C5714" s="2" t="s">
        <v>742</v>
      </c>
      <c r="D5714" s="2">
        <v>7.3</v>
      </c>
      <c r="E5714" s="2">
        <v>2023.0</v>
      </c>
      <c r="F5714" s="2" t="s">
        <v>10</v>
      </c>
      <c r="G5714" s="2" t="s">
        <v>10</v>
      </c>
    </row>
    <row r="5715" ht="14.25" customHeight="1">
      <c r="A5715" s="1" t="s">
        <v>4861</v>
      </c>
      <c r="B5715" s="1" t="s">
        <v>8</v>
      </c>
      <c r="C5715" s="2" t="s">
        <v>287</v>
      </c>
      <c r="D5715" s="2">
        <v>7.3</v>
      </c>
      <c r="E5715" s="2">
        <v>2020.0</v>
      </c>
      <c r="F5715" s="2">
        <v>2021.0</v>
      </c>
      <c r="G5715" s="2">
        <v>5100000.0</v>
      </c>
    </row>
    <row r="5716" ht="14.25" customHeight="1">
      <c r="A5716" s="1" t="s">
        <v>4861</v>
      </c>
      <c r="B5716" s="1" t="s">
        <v>8</v>
      </c>
      <c r="C5716" s="2" t="s">
        <v>287</v>
      </c>
      <c r="D5716" s="2">
        <v>7.3</v>
      </c>
      <c r="E5716" s="2">
        <v>2020.0</v>
      </c>
      <c r="F5716" s="2">
        <v>2021.0</v>
      </c>
      <c r="G5716" s="2">
        <v>8100000.0</v>
      </c>
    </row>
    <row r="5717" ht="14.25" customHeight="1">
      <c r="A5717" s="1" t="s">
        <v>4861</v>
      </c>
      <c r="B5717" s="1" t="s">
        <v>8</v>
      </c>
      <c r="C5717" s="2" t="s">
        <v>287</v>
      </c>
      <c r="D5717" s="2">
        <v>7.3</v>
      </c>
      <c r="E5717" s="2">
        <v>2020.0</v>
      </c>
      <c r="F5717" s="2">
        <v>2021.0</v>
      </c>
      <c r="G5717" s="2">
        <v>1.35E7</v>
      </c>
    </row>
    <row r="5718" ht="14.25" customHeight="1">
      <c r="A5718" s="1" t="s">
        <v>4861</v>
      </c>
      <c r="B5718" s="1" t="s">
        <v>8</v>
      </c>
      <c r="C5718" s="2" t="s">
        <v>287</v>
      </c>
      <c r="D5718" s="2">
        <v>7.3</v>
      </c>
      <c r="E5718" s="2">
        <v>2020.0</v>
      </c>
      <c r="F5718" s="2">
        <v>2021.0</v>
      </c>
      <c r="G5718" s="2">
        <v>7400000.0</v>
      </c>
    </row>
    <row r="5719" ht="14.25" customHeight="1">
      <c r="A5719" s="1" t="s">
        <v>4861</v>
      </c>
      <c r="B5719" s="1" t="s">
        <v>8</v>
      </c>
      <c r="C5719" s="2" t="s">
        <v>287</v>
      </c>
      <c r="D5719" s="2">
        <v>7.3</v>
      </c>
      <c r="E5719" s="2">
        <v>2020.0</v>
      </c>
      <c r="F5719" s="2">
        <v>2021.0</v>
      </c>
      <c r="G5719" s="2">
        <v>6100000.0</v>
      </c>
    </row>
    <row r="5720" ht="14.25" customHeight="1">
      <c r="A5720" s="1" t="s">
        <v>4861</v>
      </c>
      <c r="B5720" s="1" t="s">
        <v>8</v>
      </c>
      <c r="C5720" s="2" t="s">
        <v>287</v>
      </c>
      <c r="D5720" s="2">
        <v>7.3</v>
      </c>
      <c r="E5720" s="2">
        <v>2020.0</v>
      </c>
      <c r="F5720" s="2">
        <v>2021.0</v>
      </c>
      <c r="G5720" s="2">
        <v>2.79E7</v>
      </c>
    </row>
    <row r="5721" ht="14.25" customHeight="1">
      <c r="A5721" s="1" t="s">
        <v>4861</v>
      </c>
      <c r="B5721" s="1" t="s">
        <v>8</v>
      </c>
      <c r="C5721" s="2" t="s">
        <v>287</v>
      </c>
      <c r="D5721" s="2">
        <v>7.3</v>
      </c>
      <c r="E5721" s="2">
        <v>2020.0</v>
      </c>
      <c r="F5721" s="2">
        <v>2021.0</v>
      </c>
      <c r="G5721" s="2">
        <v>1.32E7</v>
      </c>
    </row>
    <row r="5722" ht="14.25" customHeight="1">
      <c r="A5722" s="1" t="s">
        <v>4861</v>
      </c>
      <c r="B5722" s="1" t="s">
        <v>8</v>
      </c>
      <c r="C5722" s="2" t="s">
        <v>287</v>
      </c>
      <c r="D5722" s="2">
        <v>7.3</v>
      </c>
      <c r="E5722" s="2">
        <v>2020.0</v>
      </c>
      <c r="F5722" s="2">
        <v>2021.0</v>
      </c>
      <c r="G5722" s="2">
        <v>1.16E7</v>
      </c>
    </row>
    <row r="5723" ht="14.25" customHeight="1">
      <c r="A5723" s="1" t="s">
        <v>4861</v>
      </c>
      <c r="B5723" s="1" t="s">
        <v>8</v>
      </c>
      <c r="C5723" s="2" t="s">
        <v>287</v>
      </c>
      <c r="D5723" s="2">
        <v>7.3</v>
      </c>
      <c r="E5723" s="2">
        <v>2020.0</v>
      </c>
      <c r="F5723" s="2">
        <v>2021.0</v>
      </c>
      <c r="G5723" s="2">
        <v>2.88E7</v>
      </c>
    </row>
    <row r="5724" ht="14.25" customHeight="1">
      <c r="A5724" s="1" t="s">
        <v>4861</v>
      </c>
      <c r="B5724" s="1" t="s">
        <v>8</v>
      </c>
      <c r="C5724" s="2" t="s">
        <v>287</v>
      </c>
      <c r="D5724" s="2">
        <v>7.3</v>
      </c>
      <c r="E5724" s="2">
        <v>2020.0</v>
      </c>
      <c r="F5724" s="2">
        <v>2021.0</v>
      </c>
      <c r="G5724" s="3">
        <v>1.0E7</v>
      </c>
    </row>
    <row r="5725" ht="14.25" customHeight="1">
      <c r="A5725" s="1" t="s">
        <v>4861</v>
      </c>
      <c r="B5725" s="1" t="s">
        <v>8</v>
      </c>
      <c r="C5725" s="2" t="s">
        <v>287</v>
      </c>
      <c r="D5725" s="2">
        <v>7.3</v>
      </c>
      <c r="E5725" s="2">
        <v>2020.0</v>
      </c>
      <c r="F5725" s="2">
        <v>2021.0</v>
      </c>
      <c r="G5725" s="2">
        <v>8800000.0</v>
      </c>
    </row>
    <row r="5726" ht="14.25" customHeight="1">
      <c r="A5726" s="1" t="s">
        <v>4862</v>
      </c>
      <c r="B5726" s="1" t="s">
        <v>20</v>
      </c>
      <c r="C5726" s="2" t="s">
        <v>18</v>
      </c>
      <c r="D5726" s="2">
        <v>7.3</v>
      </c>
      <c r="E5726" s="2">
        <v>2014.0</v>
      </c>
      <c r="F5726" s="2" t="s">
        <v>10</v>
      </c>
      <c r="G5726" s="2" t="s">
        <v>10</v>
      </c>
    </row>
    <row r="5727" ht="14.25" customHeight="1">
      <c r="A5727" s="1" t="s">
        <v>4863</v>
      </c>
      <c r="B5727" s="1" t="s">
        <v>20</v>
      </c>
      <c r="C5727" s="2" t="s">
        <v>18</v>
      </c>
      <c r="D5727" s="2">
        <v>7.3</v>
      </c>
      <c r="E5727" s="2">
        <v>2021.0</v>
      </c>
      <c r="F5727" s="2" t="s">
        <v>10</v>
      </c>
      <c r="G5727" s="3">
        <v>2000000.0</v>
      </c>
    </row>
    <row r="5728" ht="14.25" customHeight="1">
      <c r="A5728" s="1" t="s">
        <v>4863</v>
      </c>
      <c r="B5728" s="1" t="s">
        <v>20</v>
      </c>
      <c r="C5728" s="2" t="s">
        <v>18</v>
      </c>
      <c r="D5728" s="2">
        <v>7.3</v>
      </c>
      <c r="E5728" s="2">
        <v>2021.0</v>
      </c>
      <c r="F5728" s="2" t="s">
        <v>10</v>
      </c>
      <c r="G5728" s="2">
        <v>2940000.0</v>
      </c>
    </row>
    <row r="5729" ht="14.25" customHeight="1">
      <c r="A5729" s="1" t="s">
        <v>4863</v>
      </c>
      <c r="B5729" s="1" t="s">
        <v>20</v>
      </c>
      <c r="C5729" s="2" t="s">
        <v>18</v>
      </c>
      <c r="D5729" s="2">
        <v>7.3</v>
      </c>
      <c r="E5729" s="2">
        <v>2021.0</v>
      </c>
      <c r="F5729" s="2" t="s">
        <v>10</v>
      </c>
      <c r="G5729" s="2">
        <v>7710000.0</v>
      </c>
    </row>
    <row r="5730" ht="14.25" customHeight="1">
      <c r="A5730" s="1" t="s">
        <v>4864</v>
      </c>
      <c r="B5730" s="1" t="s">
        <v>20</v>
      </c>
      <c r="C5730" s="2" t="s">
        <v>63</v>
      </c>
      <c r="D5730" s="2">
        <v>7.3</v>
      </c>
      <c r="E5730" s="2">
        <v>2016.0</v>
      </c>
      <c r="F5730" s="2">
        <v>2016.0</v>
      </c>
      <c r="G5730" s="2" t="s">
        <v>10</v>
      </c>
    </row>
    <row r="5731" ht="14.25" customHeight="1">
      <c r="A5731" s="1" t="s">
        <v>4865</v>
      </c>
      <c r="B5731" s="1" t="s">
        <v>20</v>
      </c>
      <c r="C5731" s="2" t="s">
        <v>154</v>
      </c>
      <c r="D5731" s="2">
        <v>7.3</v>
      </c>
      <c r="E5731" s="2">
        <v>2002.0</v>
      </c>
      <c r="F5731" s="2" t="s">
        <v>10</v>
      </c>
      <c r="G5731" s="2" t="s">
        <v>10</v>
      </c>
    </row>
    <row r="5732" ht="14.25" customHeight="1">
      <c r="A5732" s="1" t="s">
        <v>4866</v>
      </c>
      <c r="B5732" s="1" t="s">
        <v>20</v>
      </c>
      <c r="C5732" s="2" t="s">
        <v>9</v>
      </c>
      <c r="D5732" s="2">
        <v>7.3</v>
      </c>
      <c r="E5732" s="2">
        <v>2013.0</v>
      </c>
      <c r="F5732" s="2">
        <v>2013.0</v>
      </c>
      <c r="G5732" s="2" t="s">
        <v>10</v>
      </c>
    </row>
    <row r="5733" ht="14.25" customHeight="1">
      <c r="A5733" s="1" t="s">
        <v>4867</v>
      </c>
      <c r="B5733" s="1" t="s">
        <v>8</v>
      </c>
      <c r="C5733" s="2" t="s">
        <v>25</v>
      </c>
      <c r="D5733" s="2">
        <v>7.3</v>
      </c>
      <c r="E5733" s="2">
        <v>1998.0</v>
      </c>
      <c r="F5733" s="2" t="s">
        <v>10</v>
      </c>
      <c r="G5733" s="2" t="s">
        <v>10</v>
      </c>
    </row>
    <row r="5734" ht="14.25" customHeight="1">
      <c r="A5734" s="1" t="s">
        <v>4868</v>
      </c>
      <c r="B5734" s="1" t="s">
        <v>8</v>
      </c>
      <c r="C5734" s="2" t="s">
        <v>92</v>
      </c>
      <c r="D5734" s="2">
        <v>7.3</v>
      </c>
      <c r="E5734" s="2">
        <v>2011.0</v>
      </c>
      <c r="F5734" s="2" t="s">
        <v>10</v>
      </c>
      <c r="G5734" s="2" t="s">
        <v>10</v>
      </c>
    </row>
    <row r="5735" ht="14.25" customHeight="1">
      <c r="A5735" s="1" t="s">
        <v>4869</v>
      </c>
      <c r="B5735" s="1" t="s">
        <v>20</v>
      </c>
      <c r="C5735" s="2" t="s">
        <v>34</v>
      </c>
      <c r="D5735" s="2">
        <v>7.3</v>
      </c>
      <c r="E5735" s="2">
        <v>2008.0</v>
      </c>
      <c r="F5735" s="2" t="s">
        <v>10</v>
      </c>
      <c r="G5735" s="2" t="s">
        <v>10</v>
      </c>
    </row>
    <row r="5736" ht="14.25" customHeight="1">
      <c r="A5736" s="1" t="s">
        <v>4870</v>
      </c>
      <c r="B5736" s="1" t="s">
        <v>20</v>
      </c>
      <c r="C5736" s="2" t="s">
        <v>32</v>
      </c>
      <c r="D5736" s="2">
        <v>7.3</v>
      </c>
      <c r="E5736" s="2">
        <v>1997.0</v>
      </c>
      <c r="F5736" s="2" t="s">
        <v>10</v>
      </c>
      <c r="G5736" s="2" t="s">
        <v>10</v>
      </c>
    </row>
    <row r="5737" ht="14.25" customHeight="1">
      <c r="A5737" s="1" t="s">
        <v>4871</v>
      </c>
      <c r="B5737" s="1" t="s">
        <v>20</v>
      </c>
      <c r="C5737" s="2" t="s">
        <v>4872</v>
      </c>
      <c r="D5737" s="2">
        <v>7.3</v>
      </c>
      <c r="E5737" s="2">
        <v>1993.0</v>
      </c>
      <c r="F5737" s="2" t="s">
        <v>10</v>
      </c>
      <c r="G5737" s="2" t="s">
        <v>10</v>
      </c>
    </row>
    <row r="5738" ht="14.25" customHeight="1">
      <c r="A5738" s="1" t="s">
        <v>4873</v>
      </c>
      <c r="B5738" s="1" t="s">
        <v>20</v>
      </c>
      <c r="C5738" s="2" t="s">
        <v>621</v>
      </c>
      <c r="D5738" s="2">
        <v>7.3</v>
      </c>
      <c r="E5738" s="2">
        <v>1981.0</v>
      </c>
      <c r="F5738" s="2" t="s">
        <v>10</v>
      </c>
      <c r="G5738" s="2" t="s">
        <v>10</v>
      </c>
    </row>
    <row r="5739" ht="14.25" customHeight="1">
      <c r="A5739" s="1" t="s">
        <v>4874</v>
      </c>
      <c r="B5739" s="1" t="s">
        <v>20</v>
      </c>
      <c r="C5739" s="2" t="s">
        <v>468</v>
      </c>
      <c r="D5739" s="2">
        <v>7.3</v>
      </c>
      <c r="E5739" s="2">
        <v>2011.0</v>
      </c>
      <c r="F5739" s="2" t="s">
        <v>10</v>
      </c>
      <c r="G5739" s="2" t="s">
        <v>10</v>
      </c>
    </row>
    <row r="5740" ht="14.25" customHeight="1">
      <c r="A5740" s="1" t="s">
        <v>4875</v>
      </c>
      <c r="B5740" s="1" t="s">
        <v>8</v>
      </c>
      <c r="C5740" s="2" t="s">
        <v>231</v>
      </c>
      <c r="D5740" s="2">
        <v>7.3</v>
      </c>
      <c r="E5740" s="2">
        <v>2004.0</v>
      </c>
      <c r="F5740" s="2">
        <v>2007.0</v>
      </c>
      <c r="G5740" s="2" t="s">
        <v>10</v>
      </c>
    </row>
    <row r="5741" ht="14.25" customHeight="1">
      <c r="A5741" s="1" t="s">
        <v>4876</v>
      </c>
      <c r="B5741" s="1" t="s">
        <v>20</v>
      </c>
      <c r="C5741" s="2" t="s">
        <v>18</v>
      </c>
      <c r="D5741" s="2">
        <v>7.3</v>
      </c>
      <c r="E5741" s="2">
        <v>2021.0</v>
      </c>
      <c r="F5741" s="2" t="s">
        <v>10</v>
      </c>
      <c r="G5741" s="2" t="s">
        <v>10</v>
      </c>
    </row>
    <row r="5742" ht="14.25" customHeight="1">
      <c r="A5742" s="1" t="s">
        <v>4877</v>
      </c>
      <c r="B5742" s="1" t="s">
        <v>8</v>
      </c>
      <c r="C5742" s="2" t="s">
        <v>154</v>
      </c>
      <c r="D5742" s="2">
        <v>7.3</v>
      </c>
      <c r="E5742" s="2">
        <v>2022.0</v>
      </c>
      <c r="F5742" s="2" t="s">
        <v>10</v>
      </c>
      <c r="G5742" s="2" t="s">
        <v>10</v>
      </c>
    </row>
    <row r="5743" ht="14.25" customHeight="1">
      <c r="A5743" s="1" t="s">
        <v>4878</v>
      </c>
      <c r="B5743" s="1" t="s">
        <v>20</v>
      </c>
      <c r="C5743" s="2" t="s">
        <v>792</v>
      </c>
      <c r="D5743" s="2">
        <v>7.3</v>
      </c>
      <c r="E5743" s="2">
        <v>1996.0</v>
      </c>
      <c r="F5743" s="2">
        <v>2012.0</v>
      </c>
      <c r="G5743" s="2" t="s">
        <v>10</v>
      </c>
    </row>
    <row r="5744" ht="14.25" customHeight="1">
      <c r="A5744" s="1" t="s">
        <v>4879</v>
      </c>
      <c r="B5744" s="1" t="s">
        <v>20</v>
      </c>
      <c r="C5744" s="2" t="s">
        <v>335</v>
      </c>
      <c r="D5744" s="2">
        <v>7.3</v>
      </c>
      <c r="E5744" s="2">
        <v>1993.0</v>
      </c>
      <c r="F5744" s="2" t="s">
        <v>10</v>
      </c>
      <c r="G5744" s="2" t="s">
        <v>10</v>
      </c>
    </row>
    <row r="5745" ht="14.25" customHeight="1">
      <c r="A5745" s="1" t="s">
        <v>4880</v>
      </c>
      <c r="B5745" s="1" t="s">
        <v>20</v>
      </c>
      <c r="C5745" s="2" t="s">
        <v>18</v>
      </c>
      <c r="D5745" s="2">
        <v>7.3</v>
      </c>
      <c r="E5745" s="2">
        <v>2005.0</v>
      </c>
      <c r="F5745" s="2" t="s">
        <v>10</v>
      </c>
      <c r="G5745" s="2" t="s">
        <v>10</v>
      </c>
    </row>
    <row r="5746" ht="14.25" customHeight="1">
      <c r="A5746" s="1" t="s">
        <v>4881</v>
      </c>
      <c r="B5746" s="1" t="s">
        <v>20</v>
      </c>
      <c r="C5746" s="2" t="s">
        <v>55</v>
      </c>
      <c r="D5746" s="2">
        <v>7.3</v>
      </c>
      <c r="E5746" s="2">
        <v>2015.0</v>
      </c>
      <c r="F5746" s="2" t="s">
        <v>10</v>
      </c>
      <c r="G5746" s="2" t="s">
        <v>10</v>
      </c>
    </row>
    <row r="5747" ht="14.25" customHeight="1">
      <c r="A5747" s="1" t="s">
        <v>4882</v>
      </c>
      <c r="B5747" s="1" t="s">
        <v>20</v>
      </c>
      <c r="C5747" s="2" t="s">
        <v>3448</v>
      </c>
      <c r="D5747" s="2">
        <v>7.3</v>
      </c>
      <c r="E5747" s="2">
        <v>2005.0</v>
      </c>
      <c r="F5747" s="2">
        <v>2005.0</v>
      </c>
      <c r="G5747" s="2" t="s">
        <v>10</v>
      </c>
    </row>
    <row r="5748" ht="14.25" customHeight="1">
      <c r="A5748" s="1" t="s">
        <v>4883</v>
      </c>
      <c r="B5748" s="1" t="s">
        <v>20</v>
      </c>
      <c r="C5748" s="2" t="s">
        <v>44</v>
      </c>
      <c r="D5748" s="2">
        <v>7.3</v>
      </c>
      <c r="E5748" s="2">
        <v>2022.0</v>
      </c>
      <c r="F5748" s="2" t="s">
        <v>10</v>
      </c>
      <c r="G5748" s="2" t="s">
        <v>10</v>
      </c>
    </row>
    <row r="5749" ht="14.25" customHeight="1">
      <c r="A5749" s="1" t="s">
        <v>4884</v>
      </c>
      <c r="B5749" s="1" t="s">
        <v>20</v>
      </c>
      <c r="C5749" s="2" t="s">
        <v>1334</v>
      </c>
      <c r="D5749" s="2">
        <v>7.3</v>
      </c>
      <c r="E5749" s="2">
        <v>1941.0</v>
      </c>
      <c r="F5749" s="2" t="s">
        <v>10</v>
      </c>
      <c r="G5749" s="2" t="s">
        <v>10</v>
      </c>
    </row>
    <row r="5750" ht="14.25" customHeight="1">
      <c r="A5750" s="1" t="s">
        <v>4885</v>
      </c>
      <c r="B5750" s="1" t="s">
        <v>8</v>
      </c>
      <c r="C5750" s="2" t="s">
        <v>231</v>
      </c>
      <c r="D5750" s="2">
        <v>7.3</v>
      </c>
      <c r="E5750" s="2">
        <v>2012.0</v>
      </c>
      <c r="F5750" s="2" t="s">
        <v>10</v>
      </c>
      <c r="G5750" s="2" t="s">
        <v>10</v>
      </c>
    </row>
    <row r="5751" ht="14.25" customHeight="1">
      <c r="A5751" s="1" t="s">
        <v>4886</v>
      </c>
      <c r="B5751" s="1" t="s">
        <v>20</v>
      </c>
      <c r="C5751" s="2" t="s">
        <v>187</v>
      </c>
      <c r="D5751" s="2">
        <v>7.3</v>
      </c>
      <c r="E5751" s="2">
        <v>2002.0</v>
      </c>
      <c r="F5751" s="2" t="s">
        <v>10</v>
      </c>
      <c r="G5751" s="2" t="s">
        <v>10</v>
      </c>
    </row>
    <row r="5752" ht="14.25" customHeight="1">
      <c r="A5752" s="1" t="s">
        <v>4887</v>
      </c>
      <c r="B5752" s="1" t="s">
        <v>20</v>
      </c>
      <c r="C5752" s="2" t="s">
        <v>663</v>
      </c>
      <c r="D5752" s="2">
        <v>7.3</v>
      </c>
      <c r="E5752" s="2">
        <v>1976.0</v>
      </c>
      <c r="F5752" s="2" t="s">
        <v>10</v>
      </c>
      <c r="G5752" s="2" t="s">
        <v>10</v>
      </c>
    </row>
    <row r="5753" ht="14.25" customHeight="1">
      <c r="A5753" s="1" t="s">
        <v>4888</v>
      </c>
      <c r="B5753" s="1" t="s">
        <v>20</v>
      </c>
      <c r="C5753" s="2" t="s">
        <v>60</v>
      </c>
      <c r="D5753" s="2">
        <v>7.3</v>
      </c>
      <c r="E5753" s="2">
        <v>2005.0</v>
      </c>
      <c r="F5753" s="2" t="s">
        <v>10</v>
      </c>
      <c r="G5753" s="2" t="s">
        <v>10</v>
      </c>
    </row>
    <row r="5754" ht="14.25" customHeight="1">
      <c r="A5754" s="1" t="s">
        <v>4889</v>
      </c>
      <c r="B5754" s="1" t="s">
        <v>20</v>
      </c>
      <c r="C5754" s="2" t="s">
        <v>452</v>
      </c>
      <c r="D5754" s="2">
        <v>7.3</v>
      </c>
      <c r="E5754" s="2">
        <v>1995.0</v>
      </c>
      <c r="F5754" s="2" t="s">
        <v>10</v>
      </c>
      <c r="G5754" s="2" t="s">
        <v>10</v>
      </c>
    </row>
    <row r="5755" ht="14.25" customHeight="1">
      <c r="A5755" s="1" t="s">
        <v>4890</v>
      </c>
      <c r="B5755" s="1" t="s">
        <v>20</v>
      </c>
      <c r="C5755" s="2" t="s">
        <v>345</v>
      </c>
      <c r="D5755" s="2">
        <v>7.3</v>
      </c>
      <c r="E5755" s="2">
        <v>2005.0</v>
      </c>
      <c r="F5755" s="2" t="s">
        <v>10</v>
      </c>
      <c r="G5755" s="2" t="s">
        <v>10</v>
      </c>
    </row>
    <row r="5756" ht="14.25" customHeight="1">
      <c r="A5756" s="1" t="s">
        <v>4891</v>
      </c>
      <c r="B5756" s="1" t="s">
        <v>8</v>
      </c>
      <c r="C5756" s="2" t="s">
        <v>742</v>
      </c>
      <c r="D5756" s="2">
        <v>7.3</v>
      </c>
      <c r="E5756" s="2">
        <v>2022.0</v>
      </c>
      <c r="F5756" s="2" t="s">
        <v>10</v>
      </c>
      <c r="G5756" s="2" t="s">
        <v>10</v>
      </c>
    </row>
    <row r="5757" ht="14.25" customHeight="1">
      <c r="A5757" s="1" t="s">
        <v>4892</v>
      </c>
      <c r="B5757" s="1" t="s">
        <v>20</v>
      </c>
      <c r="C5757" s="2" t="s">
        <v>53</v>
      </c>
      <c r="D5757" s="2">
        <v>7.3</v>
      </c>
      <c r="E5757" s="2">
        <v>1978.0</v>
      </c>
      <c r="F5757" s="2" t="s">
        <v>10</v>
      </c>
      <c r="G5757" s="2" t="s">
        <v>10</v>
      </c>
    </row>
    <row r="5758" ht="14.25" customHeight="1">
      <c r="A5758" s="1" t="s">
        <v>4893</v>
      </c>
      <c r="B5758" s="1" t="s">
        <v>8</v>
      </c>
      <c r="C5758" s="2" t="s">
        <v>32</v>
      </c>
      <c r="D5758" s="2">
        <v>7.3</v>
      </c>
      <c r="E5758" s="2">
        <v>2012.0</v>
      </c>
      <c r="F5758" s="2" t="s">
        <v>10</v>
      </c>
      <c r="G5758" s="2" t="s">
        <v>10</v>
      </c>
    </row>
    <row r="5759" ht="14.25" customHeight="1">
      <c r="A5759" s="1" t="s">
        <v>4894</v>
      </c>
      <c r="B5759" s="1" t="s">
        <v>20</v>
      </c>
      <c r="C5759" s="2" t="s">
        <v>69</v>
      </c>
      <c r="D5759" s="2">
        <v>7.3</v>
      </c>
      <c r="E5759" s="2">
        <v>1985.0</v>
      </c>
      <c r="F5759" s="2" t="s">
        <v>10</v>
      </c>
      <c r="G5759" s="2" t="s">
        <v>10</v>
      </c>
    </row>
    <row r="5760" ht="14.25" customHeight="1">
      <c r="A5760" s="1" t="s">
        <v>4895</v>
      </c>
      <c r="B5760" s="1" t="s">
        <v>20</v>
      </c>
      <c r="C5760" s="2" t="s">
        <v>1142</v>
      </c>
      <c r="D5760" s="2">
        <v>7.3</v>
      </c>
      <c r="E5760" s="2">
        <v>2008.0</v>
      </c>
      <c r="F5760" s="2" t="s">
        <v>10</v>
      </c>
      <c r="G5760" s="2" t="s">
        <v>10</v>
      </c>
    </row>
    <row r="5761" ht="14.25" customHeight="1">
      <c r="A5761" s="1" t="s">
        <v>4896</v>
      </c>
      <c r="B5761" s="1" t="s">
        <v>20</v>
      </c>
      <c r="C5761" s="2" t="s">
        <v>742</v>
      </c>
      <c r="D5761" s="2">
        <v>7.3</v>
      </c>
      <c r="E5761" s="2">
        <v>2002.0</v>
      </c>
      <c r="F5761" s="2" t="s">
        <v>10</v>
      </c>
      <c r="G5761" s="2" t="s">
        <v>10</v>
      </c>
    </row>
    <row r="5762" ht="14.25" customHeight="1">
      <c r="A5762" s="1" t="s">
        <v>4897</v>
      </c>
      <c r="B5762" s="1" t="s">
        <v>8</v>
      </c>
      <c r="C5762" s="2" t="s">
        <v>34</v>
      </c>
      <c r="D5762" s="2">
        <v>7.3</v>
      </c>
      <c r="E5762" s="2">
        <v>2016.0</v>
      </c>
      <c r="F5762" s="2">
        <v>2018.0</v>
      </c>
      <c r="G5762" s="2" t="s">
        <v>10</v>
      </c>
    </row>
    <row r="5763" ht="14.25" customHeight="1">
      <c r="A5763" s="1" t="s">
        <v>4898</v>
      </c>
      <c r="B5763" s="1" t="s">
        <v>20</v>
      </c>
      <c r="C5763" s="2" t="s">
        <v>14</v>
      </c>
      <c r="D5763" s="2">
        <v>7.3</v>
      </c>
      <c r="E5763" s="2">
        <v>2015.0</v>
      </c>
      <c r="F5763" s="2" t="s">
        <v>10</v>
      </c>
      <c r="G5763" s="2" t="s">
        <v>10</v>
      </c>
    </row>
    <row r="5764" ht="14.25" customHeight="1">
      <c r="A5764" s="1" t="s">
        <v>4899</v>
      </c>
      <c r="B5764" s="1" t="s">
        <v>20</v>
      </c>
      <c r="C5764" s="2" t="s">
        <v>1105</v>
      </c>
      <c r="D5764" s="2">
        <v>7.3</v>
      </c>
      <c r="E5764" s="2">
        <v>2021.0</v>
      </c>
      <c r="F5764" s="2" t="s">
        <v>10</v>
      </c>
      <c r="G5764" s="2">
        <v>8100000.0</v>
      </c>
    </row>
    <row r="5765" ht="14.25" customHeight="1">
      <c r="A5765" s="1" t="s">
        <v>4900</v>
      </c>
      <c r="B5765" s="1" t="s">
        <v>20</v>
      </c>
      <c r="C5765" s="2" t="s">
        <v>154</v>
      </c>
      <c r="D5765" s="2">
        <v>7.3</v>
      </c>
      <c r="E5765" s="2">
        <v>1988.0</v>
      </c>
      <c r="F5765" s="2" t="s">
        <v>10</v>
      </c>
      <c r="G5765" s="2" t="s">
        <v>10</v>
      </c>
    </row>
    <row r="5766" ht="14.25" customHeight="1">
      <c r="A5766" s="1" t="s">
        <v>4901</v>
      </c>
      <c r="B5766" s="1" t="s">
        <v>20</v>
      </c>
      <c r="C5766" s="2" t="s">
        <v>169</v>
      </c>
      <c r="D5766" s="2">
        <v>7.3</v>
      </c>
      <c r="E5766" s="2">
        <v>2002.0</v>
      </c>
      <c r="F5766" s="2" t="s">
        <v>10</v>
      </c>
      <c r="G5766" s="2" t="s">
        <v>10</v>
      </c>
    </row>
    <row r="5767" ht="14.25" customHeight="1">
      <c r="A5767" s="1" t="s">
        <v>4902</v>
      </c>
      <c r="B5767" s="1" t="s">
        <v>8</v>
      </c>
      <c r="C5767" s="2" t="s">
        <v>53</v>
      </c>
      <c r="D5767" s="2">
        <v>7.3</v>
      </c>
      <c r="E5767" s="2">
        <v>2016.0</v>
      </c>
      <c r="F5767" s="2">
        <v>2019.0</v>
      </c>
      <c r="G5767" s="2" t="s">
        <v>10</v>
      </c>
    </row>
    <row r="5768" ht="14.25" customHeight="1">
      <c r="A5768" s="1" t="s">
        <v>4903</v>
      </c>
      <c r="B5768" s="1" t="s">
        <v>20</v>
      </c>
      <c r="C5768" s="2" t="s">
        <v>169</v>
      </c>
      <c r="D5768" s="2">
        <v>7.3</v>
      </c>
      <c r="E5768" s="2">
        <v>2020.0</v>
      </c>
      <c r="F5768" s="2" t="s">
        <v>10</v>
      </c>
      <c r="G5768" s="2" t="s">
        <v>10</v>
      </c>
    </row>
    <row r="5769" ht="14.25" customHeight="1">
      <c r="A5769" s="1" t="s">
        <v>4904</v>
      </c>
      <c r="B5769" s="1" t="s">
        <v>20</v>
      </c>
      <c r="C5769" s="2" t="s">
        <v>792</v>
      </c>
      <c r="D5769" s="2">
        <v>7.3</v>
      </c>
      <c r="E5769" s="2">
        <v>1971.0</v>
      </c>
      <c r="F5769" s="2" t="s">
        <v>10</v>
      </c>
      <c r="G5769" s="2" t="s">
        <v>10</v>
      </c>
    </row>
    <row r="5770" ht="14.25" customHeight="1">
      <c r="A5770" s="1" t="s">
        <v>4905</v>
      </c>
      <c r="B5770" s="1" t="s">
        <v>20</v>
      </c>
      <c r="C5770" s="2" t="s">
        <v>154</v>
      </c>
      <c r="D5770" s="2">
        <v>7.3</v>
      </c>
      <c r="E5770" s="2">
        <v>2008.0</v>
      </c>
      <c r="F5770" s="2" t="s">
        <v>10</v>
      </c>
      <c r="G5770" s="2" t="s">
        <v>10</v>
      </c>
    </row>
    <row r="5771" ht="14.25" customHeight="1">
      <c r="A5771" s="1" t="s">
        <v>4906</v>
      </c>
      <c r="B5771" s="1" t="s">
        <v>20</v>
      </c>
      <c r="C5771" s="2" t="s">
        <v>1058</v>
      </c>
      <c r="D5771" s="2">
        <v>7.3</v>
      </c>
      <c r="E5771" s="2">
        <v>2018.0</v>
      </c>
      <c r="F5771" s="2" t="s">
        <v>10</v>
      </c>
      <c r="G5771" s="2" t="s">
        <v>10</v>
      </c>
    </row>
    <row r="5772" ht="14.25" customHeight="1">
      <c r="A5772" s="1" t="s">
        <v>4907</v>
      </c>
      <c r="B5772" s="1" t="s">
        <v>20</v>
      </c>
      <c r="C5772" s="2" t="s">
        <v>291</v>
      </c>
      <c r="D5772" s="2">
        <v>7.3</v>
      </c>
      <c r="E5772" s="2">
        <v>1972.0</v>
      </c>
      <c r="F5772" s="2" t="s">
        <v>10</v>
      </c>
      <c r="G5772" s="2" t="s">
        <v>10</v>
      </c>
    </row>
    <row r="5773" ht="14.25" customHeight="1">
      <c r="A5773" s="1" t="s">
        <v>4908</v>
      </c>
      <c r="B5773" s="1" t="s">
        <v>20</v>
      </c>
      <c r="C5773" s="2" t="s">
        <v>187</v>
      </c>
      <c r="D5773" s="2">
        <v>7.3</v>
      </c>
      <c r="E5773" s="2">
        <v>2014.0</v>
      </c>
      <c r="F5773" s="2" t="s">
        <v>10</v>
      </c>
      <c r="G5773" s="2" t="s">
        <v>10</v>
      </c>
    </row>
    <row r="5774" ht="14.25" customHeight="1">
      <c r="A5774" s="1" t="s">
        <v>4909</v>
      </c>
      <c r="B5774" s="1" t="s">
        <v>20</v>
      </c>
      <c r="C5774" s="2" t="s">
        <v>63</v>
      </c>
      <c r="D5774" s="2">
        <v>7.3</v>
      </c>
      <c r="E5774" s="2">
        <v>2010.0</v>
      </c>
      <c r="F5774" s="2" t="s">
        <v>10</v>
      </c>
      <c r="G5774" s="2" t="s">
        <v>10</v>
      </c>
    </row>
    <row r="5775" ht="14.25" customHeight="1">
      <c r="A5775" s="1" t="s">
        <v>4910</v>
      </c>
      <c r="B5775" s="1" t="s">
        <v>20</v>
      </c>
      <c r="C5775" s="2" t="s">
        <v>163</v>
      </c>
      <c r="D5775" s="2">
        <v>7.3</v>
      </c>
      <c r="E5775" s="2">
        <v>1994.0</v>
      </c>
      <c r="F5775" s="2" t="s">
        <v>10</v>
      </c>
      <c r="G5775" s="2" t="s">
        <v>10</v>
      </c>
    </row>
    <row r="5776" ht="14.25" customHeight="1">
      <c r="A5776" s="1" t="s">
        <v>221</v>
      </c>
      <c r="B5776" s="1" t="s">
        <v>20</v>
      </c>
      <c r="C5776" s="2" t="s">
        <v>766</v>
      </c>
      <c r="D5776" s="2">
        <v>7.3</v>
      </c>
      <c r="E5776" s="2">
        <v>1977.0</v>
      </c>
      <c r="F5776" s="2" t="s">
        <v>10</v>
      </c>
      <c r="G5776" s="2" t="s">
        <v>10</v>
      </c>
    </row>
    <row r="5777" ht="14.25" customHeight="1">
      <c r="A5777" s="1" t="s">
        <v>4911</v>
      </c>
      <c r="B5777" s="1" t="s">
        <v>20</v>
      </c>
      <c r="C5777" s="2" t="s">
        <v>1060</v>
      </c>
      <c r="D5777" s="2">
        <v>7.3</v>
      </c>
      <c r="E5777" s="2">
        <v>2022.0</v>
      </c>
      <c r="F5777" s="2" t="s">
        <v>10</v>
      </c>
      <c r="G5777" s="2" t="s">
        <v>10</v>
      </c>
    </row>
    <row r="5778" ht="14.25" customHeight="1">
      <c r="A5778" s="1" t="s">
        <v>4912</v>
      </c>
      <c r="B5778" s="1" t="s">
        <v>20</v>
      </c>
      <c r="C5778" s="2" t="s">
        <v>187</v>
      </c>
      <c r="D5778" s="2">
        <v>7.3</v>
      </c>
      <c r="E5778" s="2">
        <v>1987.0</v>
      </c>
      <c r="F5778" s="2" t="s">
        <v>10</v>
      </c>
      <c r="G5778" s="2" t="s">
        <v>10</v>
      </c>
    </row>
    <row r="5779" ht="14.25" customHeight="1">
      <c r="A5779" s="1" t="s">
        <v>4913</v>
      </c>
      <c r="B5779" s="1" t="s">
        <v>20</v>
      </c>
      <c r="C5779" s="2" t="s">
        <v>468</v>
      </c>
      <c r="D5779" s="2">
        <v>7.3</v>
      </c>
      <c r="E5779" s="2">
        <v>2012.0</v>
      </c>
      <c r="F5779" s="2" t="s">
        <v>10</v>
      </c>
      <c r="G5779" s="2" t="s">
        <v>10</v>
      </c>
    </row>
    <row r="5780" ht="14.25" customHeight="1">
      <c r="A5780" s="1" t="s">
        <v>4914</v>
      </c>
      <c r="B5780" s="1" t="s">
        <v>20</v>
      </c>
      <c r="C5780" s="2" t="s">
        <v>1316</v>
      </c>
      <c r="D5780" s="2">
        <v>7.3</v>
      </c>
      <c r="E5780" s="2">
        <v>2016.0</v>
      </c>
      <c r="F5780" s="2" t="s">
        <v>10</v>
      </c>
      <c r="G5780" s="2" t="s">
        <v>10</v>
      </c>
    </row>
    <row r="5781" ht="14.25" customHeight="1">
      <c r="A5781" s="1" t="s">
        <v>4915</v>
      </c>
      <c r="B5781" s="1" t="s">
        <v>20</v>
      </c>
      <c r="C5781" s="2" t="s">
        <v>18</v>
      </c>
      <c r="D5781" s="2">
        <v>7.3</v>
      </c>
      <c r="E5781" s="2">
        <v>1997.0</v>
      </c>
      <c r="F5781" s="2" t="s">
        <v>10</v>
      </c>
      <c r="G5781" s="2" t="s">
        <v>10</v>
      </c>
    </row>
    <row r="5782" ht="14.25" customHeight="1">
      <c r="A5782" s="1" t="s">
        <v>4916</v>
      </c>
      <c r="B5782" s="1" t="s">
        <v>20</v>
      </c>
      <c r="C5782" s="2" t="s">
        <v>1240</v>
      </c>
      <c r="D5782" s="2">
        <v>7.3</v>
      </c>
      <c r="E5782" s="2">
        <v>2013.0</v>
      </c>
      <c r="F5782" s="2" t="s">
        <v>10</v>
      </c>
      <c r="G5782" s="2" t="s">
        <v>10</v>
      </c>
    </row>
    <row r="5783" ht="14.25" customHeight="1">
      <c r="A5783" s="1" t="s">
        <v>4917</v>
      </c>
      <c r="B5783" s="1" t="s">
        <v>20</v>
      </c>
      <c r="C5783" s="2" t="s">
        <v>169</v>
      </c>
      <c r="D5783" s="2">
        <v>7.3</v>
      </c>
      <c r="E5783" s="2">
        <v>1998.0</v>
      </c>
      <c r="F5783" s="2" t="s">
        <v>10</v>
      </c>
      <c r="G5783" s="2" t="s">
        <v>10</v>
      </c>
    </row>
    <row r="5784" ht="14.25" customHeight="1">
      <c r="A5784" s="1" t="s">
        <v>4918</v>
      </c>
      <c r="B5784" s="1" t="s">
        <v>20</v>
      </c>
      <c r="C5784" s="2" t="s">
        <v>63</v>
      </c>
      <c r="D5784" s="2">
        <v>7.3</v>
      </c>
      <c r="E5784" s="2">
        <v>2009.0</v>
      </c>
      <c r="F5784" s="2" t="s">
        <v>10</v>
      </c>
      <c r="G5784" s="2" t="s">
        <v>10</v>
      </c>
    </row>
    <row r="5785" ht="14.25" customHeight="1">
      <c r="A5785" s="1" t="s">
        <v>4919</v>
      </c>
      <c r="B5785" s="1" t="s">
        <v>8</v>
      </c>
      <c r="C5785" s="2" t="s">
        <v>217</v>
      </c>
      <c r="D5785" s="2">
        <v>7.3</v>
      </c>
      <c r="E5785" s="2">
        <v>2010.0</v>
      </c>
      <c r="F5785" s="2" t="s">
        <v>10</v>
      </c>
      <c r="G5785" s="2" t="s">
        <v>10</v>
      </c>
    </row>
    <row r="5786" ht="14.25" customHeight="1">
      <c r="A5786" s="1" t="s">
        <v>4920</v>
      </c>
      <c r="B5786" s="1" t="s">
        <v>20</v>
      </c>
      <c r="C5786" s="2" t="s">
        <v>3117</v>
      </c>
      <c r="D5786" s="2">
        <v>7.3</v>
      </c>
      <c r="E5786" s="2">
        <v>1963.0</v>
      </c>
      <c r="F5786" s="2" t="s">
        <v>10</v>
      </c>
      <c r="G5786" s="2" t="s">
        <v>10</v>
      </c>
    </row>
    <row r="5787" ht="14.25" customHeight="1">
      <c r="A5787" s="1" t="s">
        <v>4921</v>
      </c>
      <c r="B5787" s="1" t="s">
        <v>20</v>
      </c>
      <c r="C5787" s="2" t="s">
        <v>663</v>
      </c>
      <c r="D5787" s="2">
        <v>7.3</v>
      </c>
      <c r="E5787" s="2">
        <v>1964.0</v>
      </c>
      <c r="F5787" s="2" t="s">
        <v>10</v>
      </c>
      <c r="G5787" s="2" t="s">
        <v>10</v>
      </c>
    </row>
    <row r="5788" ht="14.25" customHeight="1">
      <c r="A5788" s="1" t="s">
        <v>4922</v>
      </c>
      <c r="B5788" s="1" t="s">
        <v>20</v>
      </c>
      <c r="C5788" s="2" t="s">
        <v>34</v>
      </c>
      <c r="D5788" s="2">
        <v>7.3</v>
      </c>
      <c r="E5788" s="2">
        <v>2019.0</v>
      </c>
      <c r="F5788" s="2" t="s">
        <v>10</v>
      </c>
      <c r="G5788" s="2" t="s">
        <v>10</v>
      </c>
    </row>
    <row r="5789" ht="14.25" customHeight="1">
      <c r="A5789" s="1" t="s">
        <v>4923</v>
      </c>
      <c r="B5789" s="1" t="s">
        <v>20</v>
      </c>
      <c r="C5789" s="2" t="s">
        <v>67</v>
      </c>
      <c r="D5789" s="2">
        <v>7.3</v>
      </c>
      <c r="E5789" s="2">
        <v>2023.0</v>
      </c>
      <c r="F5789" s="2" t="s">
        <v>10</v>
      </c>
      <c r="G5789" s="2" t="s">
        <v>10</v>
      </c>
    </row>
    <row r="5790" ht="14.25" customHeight="1">
      <c r="A5790" s="1" t="s">
        <v>4924</v>
      </c>
      <c r="B5790" s="1" t="s">
        <v>8</v>
      </c>
      <c r="C5790" s="2" t="s">
        <v>32</v>
      </c>
      <c r="D5790" s="2">
        <v>7.3</v>
      </c>
      <c r="E5790" s="2">
        <v>1996.0</v>
      </c>
      <c r="F5790" s="2" t="s">
        <v>10</v>
      </c>
      <c r="G5790" s="2" t="s">
        <v>10</v>
      </c>
    </row>
    <row r="5791" ht="14.25" customHeight="1">
      <c r="A5791" s="1" t="s">
        <v>4925</v>
      </c>
      <c r="B5791" s="1" t="s">
        <v>20</v>
      </c>
      <c r="C5791" s="2" t="s">
        <v>299</v>
      </c>
      <c r="D5791" s="2">
        <v>7.3</v>
      </c>
      <c r="E5791" s="2">
        <v>1995.0</v>
      </c>
      <c r="F5791" s="2" t="s">
        <v>10</v>
      </c>
      <c r="G5791" s="2" t="s">
        <v>10</v>
      </c>
    </row>
    <row r="5792" ht="14.25" customHeight="1">
      <c r="A5792" s="1" t="s">
        <v>4926</v>
      </c>
      <c r="B5792" s="1" t="s">
        <v>20</v>
      </c>
      <c r="C5792" s="2" t="s">
        <v>395</v>
      </c>
      <c r="D5792" s="2">
        <v>7.3</v>
      </c>
      <c r="E5792" s="2">
        <v>1982.0</v>
      </c>
      <c r="F5792" s="2" t="s">
        <v>10</v>
      </c>
      <c r="G5792" s="2" t="s">
        <v>10</v>
      </c>
    </row>
    <row r="5793" ht="14.25" customHeight="1">
      <c r="A5793" s="1" t="s">
        <v>4285</v>
      </c>
      <c r="B5793" s="1" t="s">
        <v>8</v>
      </c>
      <c r="C5793" s="2" t="s">
        <v>4927</v>
      </c>
      <c r="D5793" s="2">
        <v>7.3</v>
      </c>
      <c r="E5793" s="2">
        <v>2013.0</v>
      </c>
      <c r="F5793" s="2">
        <v>2020.0</v>
      </c>
      <c r="G5793" s="2" t="s">
        <v>10</v>
      </c>
    </row>
    <row r="5794" ht="14.25" customHeight="1">
      <c r="A5794" s="1" t="s">
        <v>4928</v>
      </c>
      <c r="B5794" s="1" t="s">
        <v>20</v>
      </c>
      <c r="C5794" s="2" t="s">
        <v>1142</v>
      </c>
      <c r="D5794" s="2">
        <v>7.3</v>
      </c>
      <c r="E5794" s="2">
        <v>2008.0</v>
      </c>
      <c r="F5794" s="2" t="s">
        <v>10</v>
      </c>
      <c r="G5794" s="2" t="s">
        <v>10</v>
      </c>
    </row>
    <row r="5795" ht="14.25" customHeight="1">
      <c r="A5795" s="1" t="s">
        <v>4929</v>
      </c>
      <c r="B5795" s="1" t="s">
        <v>20</v>
      </c>
      <c r="C5795" s="2" t="s">
        <v>441</v>
      </c>
      <c r="D5795" s="2">
        <v>7.3</v>
      </c>
      <c r="E5795" s="2">
        <v>1973.0</v>
      </c>
      <c r="F5795" s="2" t="s">
        <v>10</v>
      </c>
      <c r="G5795" s="2" t="s">
        <v>10</v>
      </c>
    </row>
    <row r="5796" ht="14.25" customHeight="1">
      <c r="A5796" s="1" t="s">
        <v>4930</v>
      </c>
      <c r="B5796" s="1" t="s">
        <v>20</v>
      </c>
      <c r="C5796" s="2" t="s">
        <v>361</v>
      </c>
      <c r="D5796" s="2">
        <v>7.3</v>
      </c>
      <c r="E5796" s="2">
        <v>2014.0</v>
      </c>
      <c r="F5796" s="2" t="s">
        <v>10</v>
      </c>
      <c r="G5796" s="2" t="s">
        <v>10</v>
      </c>
    </row>
    <row r="5797" ht="14.25" customHeight="1">
      <c r="A5797" s="1" t="s">
        <v>4931</v>
      </c>
      <c r="B5797" s="1" t="s">
        <v>20</v>
      </c>
      <c r="C5797" s="2" t="s">
        <v>187</v>
      </c>
      <c r="D5797" s="2">
        <v>7.3</v>
      </c>
      <c r="E5797" s="2">
        <v>2023.0</v>
      </c>
      <c r="F5797" s="2" t="s">
        <v>10</v>
      </c>
      <c r="G5797" s="2" t="s">
        <v>10</v>
      </c>
    </row>
    <row r="5798" ht="14.25" customHeight="1">
      <c r="A5798" s="1" t="s">
        <v>4932</v>
      </c>
      <c r="B5798" s="1" t="s">
        <v>20</v>
      </c>
      <c r="C5798" s="2" t="s">
        <v>22</v>
      </c>
      <c r="D5798" s="2">
        <v>7.3</v>
      </c>
      <c r="E5798" s="2">
        <v>2017.0</v>
      </c>
      <c r="F5798" s="2">
        <v>2018.0</v>
      </c>
      <c r="G5798" s="2" t="s">
        <v>10</v>
      </c>
    </row>
    <row r="5799" ht="14.25" customHeight="1">
      <c r="A5799" s="1" t="s">
        <v>4933</v>
      </c>
      <c r="B5799" s="1" t="s">
        <v>8</v>
      </c>
      <c r="C5799" s="2" t="s">
        <v>53</v>
      </c>
      <c r="D5799" s="2">
        <v>7.3</v>
      </c>
      <c r="E5799" s="2">
        <v>2023.0</v>
      </c>
      <c r="F5799" s="2" t="s">
        <v>10</v>
      </c>
      <c r="G5799" s="2">
        <v>8400000.0</v>
      </c>
    </row>
    <row r="5800" ht="14.25" customHeight="1">
      <c r="A5800" s="1" t="s">
        <v>4933</v>
      </c>
      <c r="B5800" s="1" t="s">
        <v>8</v>
      </c>
      <c r="C5800" s="2" t="s">
        <v>53</v>
      </c>
      <c r="D5800" s="2">
        <v>7.3</v>
      </c>
      <c r="E5800" s="2">
        <v>2023.0</v>
      </c>
      <c r="F5800" s="2" t="s">
        <v>10</v>
      </c>
      <c r="G5800" s="2">
        <v>1.45E7</v>
      </c>
    </row>
    <row r="5801" ht="14.25" customHeight="1">
      <c r="A5801" s="1" t="s">
        <v>4933</v>
      </c>
      <c r="B5801" s="1" t="s">
        <v>8</v>
      </c>
      <c r="C5801" s="2" t="s">
        <v>53</v>
      </c>
      <c r="D5801" s="2">
        <v>7.3</v>
      </c>
      <c r="E5801" s="2">
        <v>2023.0</v>
      </c>
      <c r="F5801" s="2" t="s">
        <v>10</v>
      </c>
      <c r="G5801" s="2">
        <v>2.56E7</v>
      </c>
    </row>
    <row r="5802" ht="14.25" customHeight="1">
      <c r="A5802" s="1" t="s">
        <v>4933</v>
      </c>
      <c r="B5802" s="1" t="s">
        <v>8</v>
      </c>
      <c r="C5802" s="2" t="s">
        <v>53</v>
      </c>
      <c r="D5802" s="2">
        <v>7.3</v>
      </c>
      <c r="E5802" s="2">
        <v>2023.0</v>
      </c>
      <c r="F5802" s="2" t="s">
        <v>10</v>
      </c>
      <c r="G5802" s="2">
        <v>5.02E7</v>
      </c>
    </row>
    <row r="5803" ht="14.25" customHeight="1">
      <c r="A5803" s="1" t="s">
        <v>4933</v>
      </c>
      <c r="B5803" s="1" t="s">
        <v>8</v>
      </c>
      <c r="C5803" s="2" t="s">
        <v>53</v>
      </c>
      <c r="D5803" s="2">
        <v>7.3</v>
      </c>
      <c r="E5803" s="2">
        <v>2023.0</v>
      </c>
      <c r="F5803" s="2" t="s">
        <v>10</v>
      </c>
      <c r="G5803" s="3">
        <v>7.4E7</v>
      </c>
    </row>
    <row r="5804" ht="14.25" customHeight="1">
      <c r="A5804" s="1" t="s">
        <v>4933</v>
      </c>
      <c r="B5804" s="1" t="s">
        <v>8</v>
      </c>
      <c r="C5804" s="2" t="s">
        <v>53</v>
      </c>
      <c r="D5804" s="2">
        <v>7.3</v>
      </c>
      <c r="E5804" s="2">
        <v>2023.0</v>
      </c>
      <c r="F5804" s="2" t="s">
        <v>10</v>
      </c>
      <c r="G5804" s="2">
        <v>4.91E7</v>
      </c>
    </row>
    <row r="5805" ht="14.25" customHeight="1">
      <c r="A5805" s="1" t="s">
        <v>4934</v>
      </c>
      <c r="B5805" s="1" t="s">
        <v>8</v>
      </c>
      <c r="C5805" s="2" t="s">
        <v>845</v>
      </c>
      <c r="D5805" s="2">
        <v>7.3</v>
      </c>
      <c r="E5805" s="2">
        <v>2023.0</v>
      </c>
      <c r="F5805" s="2" t="s">
        <v>10</v>
      </c>
      <c r="G5805" s="2" t="s">
        <v>10</v>
      </c>
    </row>
    <row r="5806" ht="14.25" customHeight="1">
      <c r="A5806" s="1" t="s">
        <v>4935</v>
      </c>
      <c r="B5806" s="1" t="s">
        <v>20</v>
      </c>
      <c r="C5806" s="2" t="s">
        <v>844</v>
      </c>
      <c r="D5806" s="2">
        <v>7.3</v>
      </c>
      <c r="E5806" s="2">
        <v>1946.0</v>
      </c>
      <c r="F5806" s="2">
        <v>2020.0</v>
      </c>
      <c r="G5806" s="2">
        <v>9170000.0</v>
      </c>
    </row>
    <row r="5807" ht="14.25" customHeight="1">
      <c r="A5807" s="1" t="s">
        <v>4935</v>
      </c>
      <c r="B5807" s="1" t="s">
        <v>20</v>
      </c>
      <c r="C5807" s="2" t="s">
        <v>844</v>
      </c>
      <c r="D5807" s="2">
        <v>7.3</v>
      </c>
      <c r="E5807" s="2">
        <v>1946.0</v>
      </c>
      <c r="F5807" s="2">
        <v>2020.0</v>
      </c>
      <c r="G5807" s="2">
        <v>1.704E7</v>
      </c>
    </row>
    <row r="5808" ht="14.25" customHeight="1">
      <c r="A5808" s="1" t="s">
        <v>4936</v>
      </c>
      <c r="B5808" s="1" t="s">
        <v>20</v>
      </c>
      <c r="C5808" s="2" t="s">
        <v>527</v>
      </c>
      <c r="D5808" s="2">
        <v>7.3</v>
      </c>
      <c r="E5808" s="2">
        <v>2006.0</v>
      </c>
      <c r="F5808" s="2">
        <v>2006.0</v>
      </c>
      <c r="G5808" s="2" t="s">
        <v>10</v>
      </c>
    </row>
    <row r="5809" ht="14.25" customHeight="1">
      <c r="A5809" s="1" t="s">
        <v>4937</v>
      </c>
      <c r="B5809" s="1" t="s">
        <v>20</v>
      </c>
      <c r="C5809" s="2" t="s">
        <v>63</v>
      </c>
      <c r="D5809" s="2">
        <v>7.3</v>
      </c>
      <c r="E5809" s="2">
        <v>2016.0</v>
      </c>
      <c r="F5809" s="2" t="s">
        <v>10</v>
      </c>
      <c r="G5809" s="2" t="s">
        <v>10</v>
      </c>
    </row>
    <row r="5810" ht="14.25" customHeight="1">
      <c r="A5810" s="1">
        <v>0.03</v>
      </c>
      <c r="B5810" s="1" t="s">
        <v>8</v>
      </c>
      <c r="C5810" s="2" t="s">
        <v>1267</v>
      </c>
      <c r="D5810" s="2">
        <v>7.3</v>
      </c>
      <c r="E5810" s="2">
        <v>2016.0</v>
      </c>
      <c r="F5810" s="2">
        <v>2020.0</v>
      </c>
      <c r="G5810" s="2" t="s">
        <v>10</v>
      </c>
    </row>
    <row r="5811" ht="14.25" customHeight="1">
      <c r="A5811" s="1" t="s">
        <v>4938</v>
      </c>
      <c r="B5811" s="1" t="s">
        <v>20</v>
      </c>
      <c r="C5811" s="2" t="s">
        <v>32</v>
      </c>
      <c r="D5811" s="2">
        <v>7.3</v>
      </c>
      <c r="E5811" s="2">
        <v>1998.0</v>
      </c>
      <c r="F5811" s="2" t="s">
        <v>10</v>
      </c>
      <c r="G5811" s="2" t="s">
        <v>10</v>
      </c>
    </row>
    <row r="5812" ht="14.25" customHeight="1">
      <c r="A5812" s="1" t="s">
        <v>4939</v>
      </c>
      <c r="B5812" s="1" t="s">
        <v>20</v>
      </c>
      <c r="C5812" s="2" t="s">
        <v>154</v>
      </c>
      <c r="D5812" s="2">
        <v>7.3</v>
      </c>
      <c r="E5812" s="2">
        <v>1974.0</v>
      </c>
      <c r="F5812" s="2">
        <v>1974.0</v>
      </c>
      <c r="G5812" s="2" t="s">
        <v>10</v>
      </c>
    </row>
    <row r="5813" ht="14.25" customHeight="1">
      <c r="A5813" s="1" t="s">
        <v>4940</v>
      </c>
      <c r="B5813" s="1" t="s">
        <v>20</v>
      </c>
      <c r="C5813" s="2" t="s">
        <v>63</v>
      </c>
      <c r="D5813" s="2">
        <v>7.3</v>
      </c>
      <c r="E5813" s="2">
        <v>2022.0</v>
      </c>
      <c r="F5813" s="2" t="s">
        <v>10</v>
      </c>
      <c r="G5813" s="2" t="s">
        <v>10</v>
      </c>
    </row>
    <row r="5814" ht="14.25" customHeight="1">
      <c r="A5814" s="1" t="s">
        <v>4941</v>
      </c>
      <c r="B5814" s="1" t="s">
        <v>8</v>
      </c>
      <c r="C5814" s="2" t="s">
        <v>4942</v>
      </c>
      <c r="D5814" s="2">
        <v>7.3</v>
      </c>
      <c r="E5814" s="2">
        <v>2000.0</v>
      </c>
      <c r="F5814" s="2" t="s">
        <v>10</v>
      </c>
      <c r="G5814" s="2" t="s">
        <v>10</v>
      </c>
    </row>
    <row r="5815" ht="14.25" customHeight="1">
      <c r="A5815" s="1" t="s">
        <v>4943</v>
      </c>
      <c r="B5815" s="1" t="s">
        <v>20</v>
      </c>
      <c r="C5815" s="2" t="s">
        <v>9</v>
      </c>
      <c r="D5815" s="2">
        <v>7.3</v>
      </c>
      <c r="E5815" s="2">
        <v>2022.0</v>
      </c>
      <c r="F5815" s="2" t="s">
        <v>10</v>
      </c>
      <c r="G5815" s="2" t="s">
        <v>10</v>
      </c>
    </row>
    <row r="5816" ht="14.25" customHeight="1">
      <c r="A5816" s="1" t="s">
        <v>4944</v>
      </c>
      <c r="B5816" s="1" t="s">
        <v>20</v>
      </c>
      <c r="C5816" s="2" t="s">
        <v>4945</v>
      </c>
      <c r="D5816" s="2">
        <v>7.3</v>
      </c>
      <c r="E5816" s="2">
        <v>1954.0</v>
      </c>
      <c r="F5816" s="2" t="s">
        <v>10</v>
      </c>
      <c r="G5816" s="2" t="s">
        <v>10</v>
      </c>
    </row>
    <row r="5817" ht="14.25" customHeight="1">
      <c r="A5817" s="1" t="s">
        <v>4946</v>
      </c>
      <c r="B5817" s="1" t="s">
        <v>20</v>
      </c>
      <c r="C5817" s="2" t="s">
        <v>63</v>
      </c>
      <c r="D5817" s="2">
        <v>7.3</v>
      </c>
      <c r="E5817" s="2">
        <v>1983.0</v>
      </c>
      <c r="F5817" s="2" t="s">
        <v>10</v>
      </c>
      <c r="G5817" s="2" t="s">
        <v>10</v>
      </c>
    </row>
    <row r="5818" ht="14.25" customHeight="1">
      <c r="A5818" s="1" t="s">
        <v>4947</v>
      </c>
      <c r="B5818" s="1" t="s">
        <v>20</v>
      </c>
      <c r="C5818" s="2" t="s">
        <v>40</v>
      </c>
      <c r="D5818" s="2">
        <v>7.3</v>
      </c>
      <c r="E5818" s="2">
        <v>2017.0</v>
      </c>
      <c r="F5818" s="2">
        <v>2017.0</v>
      </c>
      <c r="G5818" s="2" t="s">
        <v>10</v>
      </c>
    </row>
    <row r="5819" ht="14.25" customHeight="1">
      <c r="A5819" s="1" t="s">
        <v>4948</v>
      </c>
      <c r="B5819" s="1" t="s">
        <v>20</v>
      </c>
      <c r="C5819" s="2" t="s">
        <v>18</v>
      </c>
      <c r="D5819" s="2">
        <v>7.3</v>
      </c>
      <c r="E5819" s="2">
        <v>2014.0</v>
      </c>
      <c r="F5819" s="2" t="s">
        <v>10</v>
      </c>
      <c r="G5819" s="2" t="s">
        <v>10</v>
      </c>
    </row>
    <row r="5820" ht="14.25" customHeight="1">
      <c r="A5820" s="1" t="s">
        <v>4949</v>
      </c>
      <c r="B5820" s="1" t="s">
        <v>20</v>
      </c>
      <c r="C5820" s="2" t="s">
        <v>187</v>
      </c>
      <c r="D5820" s="2">
        <v>7.3</v>
      </c>
      <c r="E5820" s="2">
        <v>2001.0</v>
      </c>
      <c r="F5820" s="2" t="s">
        <v>10</v>
      </c>
      <c r="G5820" s="2" t="s">
        <v>10</v>
      </c>
    </row>
    <row r="5821" ht="14.25" customHeight="1">
      <c r="A5821" s="1" t="s">
        <v>4950</v>
      </c>
      <c r="B5821" s="1" t="s">
        <v>20</v>
      </c>
      <c r="C5821" s="2" t="s">
        <v>441</v>
      </c>
      <c r="D5821" s="2">
        <v>7.3</v>
      </c>
      <c r="E5821" s="2">
        <v>2017.0</v>
      </c>
      <c r="F5821" s="2" t="s">
        <v>10</v>
      </c>
      <c r="G5821" s="2" t="s">
        <v>10</v>
      </c>
    </row>
    <row r="5822" ht="14.25" customHeight="1">
      <c r="A5822" s="1" t="s">
        <v>4951</v>
      </c>
      <c r="B5822" s="1" t="s">
        <v>20</v>
      </c>
      <c r="C5822" s="2" t="s">
        <v>63</v>
      </c>
      <c r="D5822" s="2">
        <v>7.3</v>
      </c>
      <c r="E5822" s="2">
        <v>2010.0</v>
      </c>
      <c r="F5822" s="2" t="s">
        <v>10</v>
      </c>
      <c r="G5822" s="2" t="s">
        <v>10</v>
      </c>
    </row>
    <row r="5823" ht="14.25" customHeight="1">
      <c r="A5823" s="1" t="s">
        <v>4952</v>
      </c>
      <c r="B5823" s="1" t="s">
        <v>20</v>
      </c>
      <c r="C5823" s="2" t="s">
        <v>9</v>
      </c>
      <c r="D5823" s="2">
        <v>7.3</v>
      </c>
      <c r="E5823" s="2">
        <v>1998.0</v>
      </c>
      <c r="F5823" s="2" t="s">
        <v>10</v>
      </c>
      <c r="G5823" s="2" t="s">
        <v>10</v>
      </c>
    </row>
    <row r="5824" ht="14.25" customHeight="1">
      <c r="A5824" s="1" t="s">
        <v>4953</v>
      </c>
      <c r="B5824" s="1" t="s">
        <v>8</v>
      </c>
      <c r="C5824" s="2" t="s">
        <v>32</v>
      </c>
      <c r="D5824" s="2">
        <v>7.3</v>
      </c>
      <c r="E5824" s="2">
        <v>2014.0</v>
      </c>
      <c r="F5824" s="2" t="s">
        <v>10</v>
      </c>
      <c r="G5824" s="2" t="s">
        <v>10</v>
      </c>
    </row>
    <row r="5825" ht="14.25" customHeight="1">
      <c r="A5825" s="1" t="s">
        <v>4954</v>
      </c>
      <c r="B5825" s="1" t="s">
        <v>8</v>
      </c>
      <c r="C5825" s="2" t="s">
        <v>822</v>
      </c>
      <c r="D5825" s="2">
        <v>7.3</v>
      </c>
      <c r="E5825" s="2">
        <v>2020.0</v>
      </c>
      <c r="F5825" s="2" t="s">
        <v>10</v>
      </c>
      <c r="G5825" s="2" t="s">
        <v>10</v>
      </c>
    </row>
    <row r="5826" ht="14.25" customHeight="1">
      <c r="A5826" s="1" t="s">
        <v>4955</v>
      </c>
      <c r="B5826" s="1" t="s">
        <v>20</v>
      </c>
      <c r="C5826" s="2" t="s">
        <v>69</v>
      </c>
      <c r="D5826" s="2">
        <v>7.3</v>
      </c>
      <c r="E5826" s="2">
        <v>2004.0</v>
      </c>
      <c r="F5826" s="2" t="s">
        <v>10</v>
      </c>
      <c r="G5826" s="2" t="s">
        <v>10</v>
      </c>
    </row>
    <row r="5827" ht="14.25" customHeight="1">
      <c r="A5827" s="1" t="s">
        <v>4956</v>
      </c>
      <c r="B5827" s="1" t="s">
        <v>20</v>
      </c>
      <c r="C5827" s="2" t="s">
        <v>67</v>
      </c>
      <c r="D5827" s="2">
        <v>7.3</v>
      </c>
      <c r="E5827" s="2">
        <v>1976.0</v>
      </c>
      <c r="F5827" s="2" t="s">
        <v>10</v>
      </c>
      <c r="G5827" s="2" t="s">
        <v>10</v>
      </c>
    </row>
    <row r="5828" ht="14.25" customHeight="1">
      <c r="A5828" s="1" t="s">
        <v>4957</v>
      </c>
      <c r="B5828" s="1" t="s">
        <v>8</v>
      </c>
      <c r="C5828" s="2" t="s">
        <v>845</v>
      </c>
      <c r="D5828" s="2">
        <v>7.3</v>
      </c>
      <c r="E5828" s="2">
        <v>2014.0</v>
      </c>
      <c r="F5828" s="2" t="s">
        <v>10</v>
      </c>
      <c r="G5828" s="2" t="s">
        <v>10</v>
      </c>
    </row>
    <row r="5829" ht="14.25" customHeight="1">
      <c r="A5829" s="1" t="s">
        <v>4958</v>
      </c>
      <c r="B5829" s="1" t="s">
        <v>20</v>
      </c>
      <c r="C5829" s="2" t="s">
        <v>524</v>
      </c>
      <c r="D5829" s="2">
        <v>7.3</v>
      </c>
      <c r="E5829" s="2">
        <v>1977.0</v>
      </c>
      <c r="F5829" s="2" t="s">
        <v>10</v>
      </c>
      <c r="G5829" s="2" t="s">
        <v>10</v>
      </c>
    </row>
    <row r="5830" ht="14.25" customHeight="1">
      <c r="A5830" s="1" t="s">
        <v>4959</v>
      </c>
      <c r="B5830" s="1" t="s">
        <v>8</v>
      </c>
      <c r="C5830" s="2" t="s">
        <v>32</v>
      </c>
      <c r="D5830" s="2">
        <v>7.3</v>
      </c>
      <c r="E5830" s="2">
        <v>2015.0</v>
      </c>
      <c r="F5830" s="2" t="s">
        <v>10</v>
      </c>
      <c r="G5830" s="2" t="s">
        <v>10</v>
      </c>
    </row>
    <row r="5831" ht="14.25" customHeight="1">
      <c r="A5831" s="1" t="s">
        <v>4960</v>
      </c>
      <c r="B5831" s="1" t="s">
        <v>20</v>
      </c>
      <c r="C5831" s="2" t="s">
        <v>311</v>
      </c>
      <c r="D5831" s="2">
        <v>7.3</v>
      </c>
      <c r="E5831" s="2">
        <v>1993.0</v>
      </c>
      <c r="F5831" s="2" t="s">
        <v>10</v>
      </c>
      <c r="G5831" s="2" t="s">
        <v>10</v>
      </c>
    </row>
    <row r="5832" ht="14.25" customHeight="1">
      <c r="A5832" s="1" t="s">
        <v>4961</v>
      </c>
      <c r="B5832" s="1" t="s">
        <v>20</v>
      </c>
      <c r="C5832" s="2" t="s">
        <v>53</v>
      </c>
      <c r="D5832" s="2">
        <v>7.3</v>
      </c>
      <c r="E5832" s="2">
        <v>2008.0</v>
      </c>
      <c r="F5832" s="2" t="s">
        <v>10</v>
      </c>
      <c r="G5832" s="2" t="s">
        <v>10</v>
      </c>
    </row>
    <row r="5833" ht="14.25" customHeight="1">
      <c r="A5833" s="1" t="s">
        <v>4962</v>
      </c>
      <c r="B5833" s="1" t="s">
        <v>20</v>
      </c>
      <c r="C5833" s="2" t="s">
        <v>80</v>
      </c>
      <c r="D5833" s="2">
        <v>7.3</v>
      </c>
      <c r="E5833" s="2">
        <v>1981.0</v>
      </c>
      <c r="F5833" s="2" t="s">
        <v>10</v>
      </c>
      <c r="G5833" s="2" t="s">
        <v>10</v>
      </c>
    </row>
    <row r="5834" ht="14.25" customHeight="1">
      <c r="A5834" s="1" t="s">
        <v>4963</v>
      </c>
      <c r="B5834" s="1" t="s">
        <v>8</v>
      </c>
      <c r="C5834" s="2" t="s">
        <v>154</v>
      </c>
      <c r="D5834" s="2">
        <v>7.3</v>
      </c>
      <c r="E5834" s="2">
        <v>2020.0</v>
      </c>
      <c r="F5834" s="2">
        <v>2020.0</v>
      </c>
      <c r="G5834" s="2">
        <v>1.62E7</v>
      </c>
    </row>
    <row r="5835" ht="14.25" customHeight="1">
      <c r="A5835" s="1" t="s">
        <v>4963</v>
      </c>
      <c r="B5835" s="1" t="s">
        <v>8</v>
      </c>
      <c r="C5835" s="2" t="s">
        <v>154</v>
      </c>
      <c r="D5835" s="2">
        <v>7.3</v>
      </c>
      <c r="E5835" s="2">
        <v>2020.0</v>
      </c>
      <c r="F5835" s="2">
        <v>2020.0</v>
      </c>
      <c r="G5835" s="2">
        <v>2.48E7</v>
      </c>
    </row>
    <row r="5836" ht="14.25" customHeight="1">
      <c r="A5836" s="1" t="s">
        <v>4963</v>
      </c>
      <c r="B5836" s="1" t="s">
        <v>8</v>
      </c>
      <c r="C5836" s="2" t="s">
        <v>154</v>
      </c>
      <c r="D5836" s="2">
        <v>7.3</v>
      </c>
      <c r="E5836" s="2">
        <v>2020.0</v>
      </c>
      <c r="F5836" s="2">
        <v>2020.0</v>
      </c>
      <c r="G5836" s="2">
        <v>4.59E7</v>
      </c>
    </row>
    <row r="5837" ht="14.25" customHeight="1">
      <c r="A5837" s="1" t="s">
        <v>4963</v>
      </c>
      <c r="B5837" s="1" t="s">
        <v>8</v>
      </c>
      <c r="C5837" s="2" t="s">
        <v>154</v>
      </c>
      <c r="D5837" s="2">
        <v>7.3</v>
      </c>
      <c r="E5837" s="2">
        <v>2020.0</v>
      </c>
      <c r="F5837" s="2">
        <v>2020.0</v>
      </c>
      <c r="G5837" s="2">
        <v>3.95E7</v>
      </c>
    </row>
    <row r="5838" ht="14.25" customHeight="1">
      <c r="A5838" s="1" t="s">
        <v>4963</v>
      </c>
      <c r="B5838" s="1" t="s">
        <v>8</v>
      </c>
      <c r="C5838" s="2" t="s">
        <v>154</v>
      </c>
      <c r="D5838" s="2">
        <v>7.3</v>
      </c>
      <c r="E5838" s="2">
        <v>2020.0</v>
      </c>
      <c r="F5838" s="2">
        <v>2020.0</v>
      </c>
      <c r="G5838" s="2">
        <v>1.178E7</v>
      </c>
    </row>
    <row r="5839" ht="14.25" customHeight="1">
      <c r="A5839" s="1" t="s">
        <v>4963</v>
      </c>
      <c r="B5839" s="1" t="s">
        <v>8</v>
      </c>
      <c r="C5839" s="2" t="s">
        <v>154</v>
      </c>
      <c r="D5839" s="2">
        <v>7.3</v>
      </c>
      <c r="E5839" s="2">
        <v>2020.0</v>
      </c>
      <c r="F5839" s="2">
        <v>2020.0</v>
      </c>
      <c r="G5839" s="2">
        <v>1.861E7</v>
      </c>
    </row>
    <row r="5840" ht="14.25" customHeight="1">
      <c r="A5840" s="1" t="s">
        <v>4963</v>
      </c>
      <c r="B5840" s="1" t="s">
        <v>8</v>
      </c>
      <c r="C5840" s="2" t="s">
        <v>154</v>
      </c>
      <c r="D5840" s="2">
        <v>7.3</v>
      </c>
      <c r="E5840" s="2">
        <v>2020.0</v>
      </c>
      <c r="F5840" s="2">
        <v>2020.0</v>
      </c>
      <c r="G5840" s="2">
        <v>2.976E7</v>
      </c>
    </row>
    <row r="5841" ht="14.25" customHeight="1">
      <c r="A5841" s="1" t="s">
        <v>4963</v>
      </c>
      <c r="B5841" s="1" t="s">
        <v>8</v>
      </c>
      <c r="C5841" s="2" t="s">
        <v>154</v>
      </c>
      <c r="D5841" s="2">
        <v>7.3</v>
      </c>
      <c r="E5841" s="2">
        <v>2020.0</v>
      </c>
      <c r="F5841" s="2">
        <v>2020.0</v>
      </c>
      <c r="G5841" s="2">
        <v>5.815E7</v>
      </c>
    </row>
    <row r="5842" ht="14.25" customHeight="1">
      <c r="A5842" s="1" t="s">
        <v>4963</v>
      </c>
      <c r="B5842" s="1" t="s">
        <v>8</v>
      </c>
      <c r="C5842" s="2" t="s">
        <v>154</v>
      </c>
      <c r="D5842" s="2">
        <v>7.3</v>
      </c>
      <c r="E5842" s="2">
        <v>2020.0</v>
      </c>
      <c r="F5842" s="2">
        <v>2020.0</v>
      </c>
      <c r="G5842" s="2">
        <v>2.164E7</v>
      </c>
    </row>
    <row r="5843" ht="14.25" customHeight="1">
      <c r="A5843" s="1" t="s">
        <v>4963</v>
      </c>
      <c r="B5843" s="1" t="s">
        <v>8</v>
      </c>
      <c r="C5843" s="2" t="s">
        <v>154</v>
      </c>
      <c r="D5843" s="2">
        <v>7.3</v>
      </c>
      <c r="E5843" s="2">
        <v>2020.0</v>
      </c>
      <c r="F5843" s="2">
        <v>2020.0</v>
      </c>
      <c r="G5843" s="3">
        <v>4.3E7</v>
      </c>
    </row>
    <row r="5844" ht="14.25" customHeight="1">
      <c r="A5844" s="1" t="s">
        <v>4964</v>
      </c>
      <c r="B5844" s="1" t="s">
        <v>8</v>
      </c>
      <c r="C5844" s="2" t="s">
        <v>92</v>
      </c>
      <c r="D5844" s="2">
        <v>7.3</v>
      </c>
      <c r="E5844" s="2">
        <v>1999.0</v>
      </c>
      <c r="F5844" s="2" t="s">
        <v>10</v>
      </c>
      <c r="G5844" s="2" t="s">
        <v>10</v>
      </c>
    </row>
    <row r="5845" ht="14.25" customHeight="1">
      <c r="A5845" s="1" t="s">
        <v>4965</v>
      </c>
      <c r="B5845" s="1" t="s">
        <v>8</v>
      </c>
      <c r="C5845" s="2" t="s">
        <v>36</v>
      </c>
      <c r="D5845" s="2">
        <v>7.3</v>
      </c>
      <c r="E5845" s="2">
        <v>2018.0</v>
      </c>
      <c r="F5845" s="2">
        <v>2020.0</v>
      </c>
      <c r="G5845" s="2" t="s">
        <v>10</v>
      </c>
    </row>
    <row r="5846" ht="14.25" customHeight="1">
      <c r="A5846" s="1" t="s">
        <v>4966</v>
      </c>
      <c r="B5846" s="1" t="s">
        <v>20</v>
      </c>
      <c r="C5846" s="2" t="s">
        <v>307</v>
      </c>
      <c r="D5846" s="2">
        <v>7.3</v>
      </c>
      <c r="E5846" s="2">
        <v>1981.0</v>
      </c>
      <c r="F5846" s="2" t="s">
        <v>10</v>
      </c>
      <c r="G5846" s="2" t="s">
        <v>10</v>
      </c>
    </row>
    <row r="5847" ht="14.25" customHeight="1">
      <c r="A5847" s="1" t="s">
        <v>4967</v>
      </c>
      <c r="B5847" s="1" t="s">
        <v>20</v>
      </c>
      <c r="C5847" s="2" t="s">
        <v>253</v>
      </c>
      <c r="D5847" s="2">
        <v>7.3</v>
      </c>
      <c r="E5847" s="2">
        <v>2020.0</v>
      </c>
      <c r="F5847" s="2">
        <v>2020.0</v>
      </c>
      <c r="G5847" s="2" t="s">
        <v>10</v>
      </c>
    </row>
    <row r="5848" ht="14.25" customHeight="1">
      <c r="A5848" s="1" t="s">
        <v>4968</v>
      </c>
      <c r="B5848" s="1" t="s">
        <v>20</v>
      </c>
      <c r="C5848" s="2" t="s">
        <v>169</v>
      </c>
      <c r="D5848" s="2">
        <v>7.3</v>
      </c>
      <c r="E5848" s="2">
        <v>1992.0</v>
      </c>
      <c r="F5848" s="2" t="s">
        <v>10</v>
      </c>
      <c r="G5848" s="2" t="s">
        <v>10</v>
      </c>
    </row>
    <row r="5849" ht="14.25" customHeight="1">
      <c r="A5849" s="1" t="s">
        <v>4969</v>
      </c>
      <c r="B5849" s="1" t="s">
        <v>8</v>
      </c>
      <c r="C5849" s="2" t="s">
        <v>78</v>
      </c>
      <c r="D5849" s="2">
        <v>7.3</v>
      </c>
      <c r="E5849" s="2">
        <v>2022.0</v>
      </c>
      <c r="F5849" s="2" t="s">
        <v>10</v>
      </c>
      <c r="G5849" s="2" t="s">
        <v>10</v>
      </c>
    </row>
    <row r="5850" ht="14.25" customHeight="1">
      <c r="A5850" s="1" t="s">
        <v>4970</v>
      </c>
      <c r="B5850" s="1" t="s">
        <v>20</v>
      </c>
      <c r="C5850" s="2" t="s">
        <v>36</v>
      </c>
      <c r="D5850" s="2">
        <v>7.3</v>
      </c>
      <c r="E5850" s="2">
        <v>2011.0</v>
      </c>
      <c r="F5850" s="2" t="s">
        <v>10</v>
      </c>
      <c r="G5850" s="2" t="s">
        <v>10</v>
      </c>
    </row>
    <row r="5851" ht="14.25" customHeight="1">
      <c r="A5851" s="1" t="s">
        <v>4971</v>
      </c>
      <c r="B5851" s="1" t="s">
        <v>20</v>
      </c>
      <c r="C5851" s="2" t="s">
        <v>217</v>
      </c>
      <c r="D5851" s="2">
        <v>7.3</v>
      </c>
      <c r="E5851" s="2">
        <v>1995.0</v>
      </c>
      <c r="F5851" s="2" t="s">
        <v>10</v>
      </c>
      <c r="G5851" s="2" t="s">
        <v>10</v>
      </c>
    </row>
    <row r="5852" ht="14.25" customHeight="1">
      <c r="A5852" s="1" t="s">
        <v>4972</v>
      </c>
      <c r="B5852" s="1" t="s">
        <v>20</v>
      </c>
      <c r="C5852" s="2" t="s">
        <v>112</v>
      </c>
      <c r="D5852" s="2">
        <v>7.3</v>
      </c>
      <c r="E5852" s="2">
        <v>2015.0</v>
      </c>
      <c r="F5852" s="2" t="s">
        <v>10</v>
      </c>
      <c r="G5852" s="2" t="s">
        <v>10</v>
      </c>
    </row>
    <row r="5853" ht="14.25" customHeight="1">
      <c r="A5853" s="1" t="s">
        <v>4973</v>
      </c>
      <c r="B5853" s="1" t="s">
        <v>20</v>
      </c>
      <c r="C5853" s="2" t="s">
        <v>9</v>
      </c>
      <c r="D5853" s="2">
        <v>7.3</v>
      </c>
      <c r="E5853" s="2">
        <v>1967.0</v>
      </c>
      <c r="F5853" s="2">
        <v>2019.0</v>
      </c>
      <c r="G5853" s="2" t="s">
        <v>10</v>
      </c>
    </row>
    <row r="5854" ht="14.25" customHeight="1">
      <c r="A5854" s="1" t="s">
        <v>4974</v>
      </c>
      <c r="B5854" s="1" t="s">
        <v>20</v>
      </c>
      <c r="C5854" s="2" t="s">
        <v>69</v>
      </c>
      <c r="D5854" s="2">
        <v>7.3</v>
      </c>
      <c r="E5854" s="2">
        <v>2016.0</v>
      </c>
      <c r="F5854" s="2" t="s">
        <v>10</v>
      </c>
      <c r="G5854" s="2" t="s">
        <v>10</v>
      </c>
    </row>
    <row r="5855" ht="14.25" customHeight="1">
      <c r="A5855" s="1" t="s">
        <v>4975</v>
      </c>
      <c r="B5855" s="1" t="s">
        <v>20</v>
      </c>
      <c r="C5855" s="2" t="s">
        <v>63</v>
      </c>
      <c r="D5855" s="2">
        <v>7.3</v>
      </c>
      <c r="E5855" s="2">
        <v>1990.0</v>
      </c>
      <c r="F5855" s="2" t="s">
        <v>10</v>
      </c>
      <c r="G5855" s="2" t="s">
        <v>10</v>
      </c>
    </row>
    <row r="5856" ht="14.25" customHeight="1">
      <c r="A5856" s="1" t="s">
        <v>4976</v>
      </c>
      <c r="B5856" s="1" t="s">
        <v>8</v>
      </c>
      <c r="C5856" s="2" t="s">
        <v>25</v>
      </c>
      <c r="D5856" s="2">
        <v>7.3</v>
      </c>
      <c r="E5856" s="2">
        <v>2000.0</v>
      </c>
      <c r="F5856" s="2">
        <v>2005.0</v>
      </c>
      <c r="G5856" s="2" t="s">
        <v>10</v>
      </c>
    </row>
    <row r="5857" ht="14.25" customHeight="1">
      <c r="A5857" s="1" t="s">
        <v>4977</v>
      </c>
      <c r="B5857" s="1" t="s">
        <v>8</v>
      </c>
      <c r="C5857" s="2" t="s">
        <v>476</v>
      </c>
      <c r="D5857" s="2">
        <v>7.3</v>
      </c>
      <c r="E5857" s="2">
        <v>2015.0</v>
      </c>
      <c r="F5857" s="2" t="s">
        <v>10</v>
      </c>
      <c r="G5857" s="2" t="s">
        <v>10</v>
      </c>
    </row>
    <row r="5858" ht="14.25" customHeight="1">
      <c r="A5858" s="1" t="s">
        <v>4978</v>
      </c>
      <c r="B5858" s="1" t="s">
        <v>20</v>
      </c>
      <c r="C5858" s="2" t="s">
        <v>154</v>
      </c>
      <c r="D5858" s="2">
        <v>7.3</v>
      </c>
      <c r="E5858" s="2">
        <v>1986.0</v>
      </c>
      <c r="F5858" s="2" t="s">
        <v>10</v>
      </c>
      <c r="G5858" s="2" t="s">
        <v>10</v>
      </c>
    </row>
    <row r="5859" ht="14.25" customHeight="1">
      <c r="A5859" s="1" t="s">
        <v>4979</v>
      </c>
      <c r="B5859" s="1" t="s">
        <v>20</v>
      </c>
      <c r="C5859" s="2" t="s">
        <v>169</v>
      </c>
      <c r="D5859" s="2">
        <v>7.3</v>
      </c>
      <c r="E5859" s="2">
        <v>1999.0</v>
      </c>
      <c r="F5859" s="2" t="s">
        <v>10</v>
      </c>
      <c r="G5859" s="2" t="s">
        <v>10</v>
      </c>
    </row>
    <row r="5860" ht="14.25" customHeight="1">
      <c r="A5860" s="1" t="s">
        <v>4980</v>
      </c>
      <c r="B5860" s="1" t="s">
        <v>20</v>
      </c>
      <c r="C5860" s="2" t="s">
        <v>169</v>
      </c>
      <c r="D5860" s="2">
        <v>7.3</v>
      </c>
      <c r="E5860" s="2">
        <v>2023.0</v>
      </c>
      <c r="F5860" s="2" t="s">
        <v>10</v>
      </c>
      <c r="G5860" s="2" t="s">
        <v>10</v>
      </c>
    </row>
    <row r="5861" ht="14.25" customHeight="1">
      <c r="A5861" s="1" t="s">
        <v>4981</v>
      </c>
      <c r="B5861" s="1" t="s">
        <v>8</v>
      </c>
      <c r="C5861" s="2" t="s">
        <v>611</v>
      </c>
      <c r="D5861" s="2">
        <v>7.3</v>
      </c>
      <c r="E5861" s="2">
        <v>2020.0</v>
      </c>
      <c r="F5861" s="2" t="s">
        <v>10</v>
      </c>
      <c r="G5861" s="2" t="s">
        <v>10</v>
      </c>
    </row>
    <row r="5862" ht="14.25" customHeight="1">
      <c r="A5862" s="1" t="s">
        <v>4982</v>
      </c>
      <c r="B5862" s="1" t="s">
        <v>20</v>
      </c>
      <c r="C5862" s="2" t="s">
        <v>284</v>
      </c>
      <c r="D5862" s="2">
        <v>7.3</v>
      </c>
      <c r="E5862" s="2">
        <v>1974.0</v>
      </c>
      <c r="F5862" s="2" t="s">
        <v>10</v>
      </c>
      <c r="G5862" s="2" t="s">
        <v>10</v>
      </c>
    </row>
    <row r="5863" ht="14.25" customHeight="1">
      <c r="A5863" s="1" t="s">
        <v>4983</v>
      </c>
      <c r="B5863" s="1" t="s">
        <v>20</v>
      </c>
      <c r="C5863" s="2" t="s">
        <v>63</v>
      </c>
      <c r="D5863" s="2">
        <v>7.3</v>
      </c>
      <c r="E5863" s="2">
        <v>2020.0</v>
      </c>
      <c r="F5863" s="2" t="s">
        <v>10</v>
      </c>
      <c r="G5863" s="2" t="s">
        <v>10</v>
      </c>
    </row>
    <row r="5864" ht="14.25" customHeight="1">
      <c r="A5864" s="1" t="s">
        <v>4984</v>
      </c>
      <c r="B5864" s="1" t="s">
        <v>20</v>
      </c>
      <c r="C5864" s="2" t="s">
        <v>154</v>
      </c>
      <c r="D5864" s="2">
        <v>7.3</v>
      </c>
      <c r="E5864" s="2">
        <v>1971.0</v>
      </c>
      <c r="F5864" s="2" t="s">
        <v>10</v>
      </c>
      <c r="G5864" s="2" t="s">
        <v>10</v>
      </c>
    </row>
    <row r="5865" ht="14.25" customHeight="1">
      <c r="A5865" s="1" t="s">
        <v>4985</v>
      </c>
      <c r="B5865" s="1" t="s">
        <v>20</v>
      </c>
      <c r="C5865" s="2" t="s">
        <v>154</v>
      </c>
      <c r="D5865" s="2">
        <v>7.3</v>
      </c>
      <c r="E5865" s="2">
        <v>1996.0</v>
      </c>
      <c r="F5865" s="2" t="s">
        <v>10</v>
      </c>
      <c r="G5865" s="2" t="s">
        <v>10</v>
      </c>
    </row>
    <row r="5866" ht="14.25" customHeight="1">
      <c r="A5866" s="1" t="s">
        <v>4986</v>
      </c>
      <c r="B5866" s="1" t="s">
        <v>20</v>
      </c>
      <c r="C5866" s="2" t="s">
        <v>69</v>
      </c>
      <c r="D5866" s="2">
        <v>7.3</v>
      </c>
      <c r="E5866" s="2">
        <v>2010.0</v>
      </c>
      <c r="F5866" s="2" t="s">
        <v>10</v>
      </c>
      <c r="G5866" s="2" t="s">
        <v>10</v>
      </c>
    </row>
    <row r="5867" ht="14.25" customHeight="1">
      <c r="A5867" s="1" t="s">
        <v>4987</v>
      </c>
      <c r="B5867" s="1" t="s">
        <v>20</v>
      </c>
      <c r="C5867" s="2" t="s">
        <v>217</v>
      </c>
      <c r="D5867" s="2">
        <v>7.3</v>
      </c>
      <c r="E5867" s="2">
        <v>1999.0</v>
      </c>
      <c r="F5867" s="2" t="s">
        <v>10</v>
      </c>
      <c r="G5867" s="2" t="s">
        <v>10</v>
      </c>
    </row>
    <row r="5868" ht="14.25" customHeight="1">
      <c r="A5868" s="1" t="s">
        <v>4988</v>
      </c>
      <c r="B5868" s="1" t="s">
        <v>20</v>
      </c>
      <c r="C5868" s="2" t="s">
        <v>18</v>
      </c>
      <c r="D5868" s="2">
        <v>7.3</v>
      </c>
      <c r="E5868" s="2">
        <v>2008.0</v>
      </c>
      <c r="F5868" s="2" t="s">
        <v>10</v>
      </c>
      <c r="G5868" s="2" t="s">
        <v>10</v>
      </c>
    </row>
    <row r="5869" ht="14.25" customHeight="1">
      <c r="A5869" s="1" t="s">
        <v>4989</v>
      </c>
      <c r="B5869" s="1" t="s">
        <v>8</v>
      </c>
      <c r="C5869" s="2" t="s">
        <v>287</v>
      </c>
      <c r="D5869" s="2">
        <v>7.3</v>
      </c>
      <c r="E5869" s="2">
        <v>2008.0</v>
      </c>
      <c r="F5869" s="2" t="s">
        <v>10</v>
      </c>
      <c r="G5869" s="2">
        <v>1.125E7</v>
      </c>
    </row>
    <row r="5870" ht="14.25" customHeight="1">
      <c r="A5870" s="1" t="s">
        <v>4989</v>
      </c>
      <c r="B5870" s="1" t="s">
        <v>8</v>
      </c>
      <c r="C5870" s="2" t="s">
        <v>287</v>
      </c>
      <c r="D5870" s="2">
        <v>7.3</v>
      </c>
      <c r="E5870" s="2">
        <v>2008.0</v>
      </c>
      <c r="F5870" s="2" t="s">
        <v>10</v>
      </c>
      <c r="G5870" s="3">
        <v>9000000.0</v>
      </c>
    </row>
    <row r="5871" ht="14.25" customHeight="1">
      <c r="A5871" s="1" t="s">
        <v>4990</v>
      </c>
      <c r="B5871" s="1" t="s">
        <v>20</v>
      </c>
      <c r="C5871" s="2" t="s">
        <v>63</v>
      </c>
      <c r="D5871" s="2">
        <v>7.3</v>
      </c>
      <c r="E5871" s="2">
        <v>1994.0</v>
      </c>
      <c r="F5871" s="2" t="s">
        <v>10</v>
      </c>
      <c r="G5871" s="2" t="s">
        <v>10</v>
      </c>
    </row>
    <row r="5872" ht="14.25" customHeight="1">
      <c r="A5872" s="1" t="s">
        <v>4991</v>
      </c>
      <c r="B5872" s="1" t="s">
        <v>20</v>
      </c>
      <c r="C5872" s="2" t="s">
        <v>1734</v>
      </c>
      <c r="D5872" s="2">
        <v>7.3</v>
      </c>
      <c r="E5872" s="2">
        <v>2022.0</v>
      </c>
      <c r="F5872" s="2" t="s">
        <v>10</v>
      </c>
      <c r="G5872" s="2">
        <v>7360000.0</v>
      </c>
    </row>
    <row r="5873" ht="14.25" customHeight="1">
      <c r="A5873" s="1" t="s">
        <v>4991</v>
      </c>
      <c r="B5873" s="1" t="s">
        <v>20</v>
      </c>
      <c r="C5873" s="2" t="s">
        <v>1734</v>
      </c>
      <c r="D5873" s="2">
        <v>7.3</v>
      </c>
      <c r="E5873" s="2">
        <v>2022.0</v>
      </c>
      <c r="F5873" s="2" t="s">
        <v>10</v>
      </c>
      <c r="G5873" s="2">
        <v>2.359E7</v>
      </c>
    </row>
    <row r="5874" ht="14.25" customHeight="1">
      <c r="A5874" s="1" t="s">
        <v>4991</v>
      </c>
      <c r="B5874" s="1" t="s">
        <v>20</v>
      </c>
      <c r="C5874" s="2" t="s">
        <v>1734</v>
      </c>
      <c r="D5874" s="2">
        <v>7.3</v>
      </c>
      <c r="E5874" s="2">
        <v>2022.0</v>
      </c>
      <c r="F5874" s="2" t="s">
        <v>10</v>
      </c>
      <c r="G5874" s="2">
        <v>2.838E7</v>
      </c>
    </row>
    <row r="5875" ht="14.25" customHeight="1">
      <c r="A5875" s="1" t="s">
        <v>4992</v>
      </c>
      <c r="B5875" s="1" t="s">
        <v>20</v>
      </c>
      <c r="C5875" s="2" t="s">
        <v>169</v>
      </c>
      <c r="D5875" s="2">
        <v>7.3</v>
      </c>
      <c r="E5875" s="2">
        <v>1988.0</v>
      </c>
      <c r="F5875" s="2" t="s">
        <v>10</v>
      </c>
      <c r="G5875" s="2" t="s">
        <v>10</v>
      </c>
    </row>
    <row r="5876" ht="14.25" customHeight="1">
      <c r="A5876" s="1" t="s">
        <v>4993</v>
      </c>
      <c r="B5876" s="1" t="s">
        <v>8</v>
      </c>
      <c r="C5876" s="2" t="s">
        <v>169</v>
      </c>
      <c r="D5876" s="2">
        <v>7.3</v>
      </c>
      <c r="E5876" s="2">
        <v>2022.0</v>
      </c>
      <c r="F5876" s="2" t="s">
        <v>10</v>
      </c>
      <c r="G5876" s="2" t="s">
        <v>10</v>
      </c>
    </row>
    <row r="5877" ht="14.25" customHeight="1">
      <c r="A5877" s="1" t="s">
        <v>4994</v>
      </c>
      <c r="B5877" s="1" t="s">
        <v>8</v>
      </c>
      <c r="C5877" s="2" t="s">
        <v>663</v>
      </c>
      <c r="D5877" s="2">
        <v>7.3</v>
      </c>
      <c r="E5877" s="2">
        <v>2022.0</v>
      </c>
      <c r="F5877" s="2" t="s">
        <v>10</v>
      </c>
      <c r="G5877" s="2" t="s">
        <v>10</v>
      </c>
    </row>
    <row r="5878" ht="14.25" customHeight="1">
      <c r="A5878" s="1" t="s">
        <v>4995</v>
      </c>
      <c r="B5878" s="1" t="s">
        <v>20</v>
      </c>
      <c r="C5878" s="2" t="s">
        <v>307</v>
      </c>
      <c r="D5878" s="2">
        <v>7.3</v>
      </c>
      <c r="E5878" s="2">
        <v>1956.0</v>
      </c>
      <c r="F5878" s="2" t="s">
        <v>10</v>
      </c>
      <c r="G5878" s="2" t="s">
        <v>10</v>
      </c>
    </row>
    <row r="5879" ht="14.25" customHeight="1">
      <c r="A5879" s="1" t="s">
        <v>4996</v>
      </c>
      <c r="B5879" s="1" t="s">
        <v>20</v>
      </c>
      <c r="C5879" s="2" t="s">
        <v>22</v>
      </c>
      <c r="D5879" s="2">
        <v>7.3</v>
      </c>
      <c r="E5879" s="2">
        <v>2017.0</v>
      </c>
      <c r="F5879" s="2" t="s">
        <v>10</v>
      </c>
      <c r="G5879" s="2" t="s">
        <v>10</v>
      </c>
    </row>
    <row r="5880" ht="14.25" customHeight="1">
      <c r="A5880" s="1" t="s">
        <v>4997</v>
      </c>
      <c r="B5880" s="1" t="s">
        <v>20</v>
      </c>
      <c r="C5880" s="2" t="s">
        <v>18</v>
      </c>
      <c r="D5880" s="2">
        <v>7.3</v>
      </c>
      <c r="E5880" s="2">
        <v>2019.0</v>
      </c>
      <c r="F5880" s="2" t="s">
        <v>10</v>
      </c>
      <c r="G5880" s="2" t="s">
        <v>10</v>
      </c>
    </row>
    <row r="5881" ht="14.25" customHeight="1">
      <c r="A5881" s="1" t="s">
        <v>4998</v>
      </c>
      <c r="B5881" s="1" t="s">
        <v>8</v>
      </c>
      <c r="C5881" s="2" t="s">
        <v>507</v>
      </c>
      <c r="D5881" s="2">
        <v>7.3</v>
      </c>
      <c r="E5881" s="2">
        <v>2012.0</v>
      </c>
      <c r="F5881" s="2" t="s">
        <v>10</v>
      </c>
      <c r="G5881" s="2" t="s">
        <v>10</v>
      </c>
    </row>
    <row r="5882" ht="14.25" customHeight="1">
      <c r="A5882" s="1" t="s">
        <v>4999</v>
      </c>
      <c r="B5882" s="1" t="s">
        <v>20</v>
      </c>
      <c r="C5882" s="2" t="s">
        <v>118</v>
      </c>
      <c r="D5882" s="2">
        <v>7.3</v>
      </c>
      <c r="E5882" s="2">
        <v>1963.0</v>
      </c>
      <c r="F5882" s="2" t="s">
        <v>10</v>
      </c>
      <c r="G5882" s="2" t="s">
        <v>10</v>
      </c>
    </row>
    <row r="5883" ht="14.25" customHeight="1">
      <c r="A5883" s="1" t="s">
        <v>5000</v>
      </c>
      <c r="B5883" s="1" t="s">
        <v>8</v>
      </c>
      <c r="C5883" s="2" t="s">
        <v>67</v>
      </c>
      <c r="D5883" s="2">
        <v>7.3</v>
      </c>
      <c r="E5883" s="2">
        <v>2012.0</v>
      </c>
      <c r="F5883" s="2" t="s">
        <v>10</v>
      </c>
      <c r="G5883" s="2" t="s">
        <v>10</v>
      </c>
    </row>
    <row r="5884" ht="14.25" customHeight="1">
      <c r="A5884" s="1" t="s">
        <v>5001</v>
      </c>
      <c r="B5884" s="1" t="s">
        <v>8</v>
      </c>
      <c r="C5884" s="2" t="s">
        <v>118</v>
      </c>
      <c r="D5884" s="2">
        <v>7.3</v>
      </c>
      <c r="E5884" s="2">
        <v>2020.0</v>
      </c>
      <c r="F5884" s="2">
        <v>2010.0</v>
      </c>
      <c r="G5884" s="2">
        <v>1.07E7</v>
      </c>
    </row>
    <row r="5885" ht="14.25" customHeight="1">
      <c r="A5885" s="1" t="s">
        <v>5001</v>
      </c>
      <c r="B5885" s="1" t="s">
        <v>8</v>
      </c>
      <c r="C5885" s="2" t="s">
        <v>118</v>
      </c>
      <c r="D5885" s="2">
        <v>7.3</v>
      </c>
      <c r="E5885" s="2">
        <v>2020.0</v>
      </c>
      <c r="F5885" s="2">
        <v>2010.0</v>
      </c>
      <c r="G5885" s="2">
        <v>1.73E7</v>
      </c>
    </row>
    <row r="5886" ht="14.25" customHeight="1">
      <c r="A5886" s="1" t="s">
        <v>5002</v>
      </c>
      <c r="B5886" s="1" t="s">
        <v>20</v>
      </c>
      <c r="C5886" s="2" t="s">
        <v>18</v>
      </c>
      <c r="D5886" s="2">
        <v>7.3</v>
      </c>
      <c r="E5886" s="2">
        <v>2001.0</v>
      </c>
      <c r="F5886" s="2" t="s">
        <v>10</v>
      </c>
      <c r="G5886" s="2" t="s">
        <v>10</v>
      </c>
    </row>
    <row r="5887" ht="14.25" customHeight="1">
      <c r="A5887" s="1" t="s">
        <v>5003</v>
      </c>
      <c r="B5887" s="1" t="s">
        <v>20</v>
      </c>
      <c r="C5887" s="2" t="s">
        <v>349</v>
      </c>
      <c r="D5887" s="2">
        <v>7.3</v>
      </c>
      <c r="E5887" s="2">
        <v>1984.0</v>
      </c>
      <c r="F5887" s="2" t="s">
        <v>10</v>
      </c>
      <c r="G5887" s="2" t="s">
        <v>10</v>
      </c>
    </row>
    <row r="5888" ht="14.25" customHeight="1">
      <c r="A5888" s="1" t="s">
        <v>5004</v>
      </c>
      <c r="B5888" s="1" t="s">
        <v>20</v>
      </c>
      <c r="C5888" s="2" t="s">
        <v>154</v>
      </c>
      <c r="D5888" s="2">
        <v>7.3</v>
      </c>
      <c r="E5888" s="2">
        <v>1932.0</v>
      </c>
      <c r="F5888" s="2">
        <v>2013.0</v>
      </c>
      <c r="G5888" s="2" t="s">
        <v>10</v>
      </c>
    </row>
    <row r="5889" ht="14.25" customHeight="1">
      <c r="A5889" s="1" t="s">
        <v>5005</v>
      </c>
      <c r="B5889" s="1" t="s">
        <v>20</v>
      </c>
      <c r="C5889" s="2" t="s">
        <v>18</v>
      </c>
      <c r="D5889" s="2">
        <v>7.3</v>
      </c>
      <c r="E5889" s="2">
        <v>1978.0</v>
      </c>
      <c r="F5889" s="2" t="s">
        <v>10</v>
      </c>
      <c r="G5889" s="2" t="s">
        <v>10</v>
      </c>
    </row>
    <row r="5890" ht="14.25" customHeight="1">
      <c r="A5890" s="1" t="s">
        <v>5006</v>
      </c>
      <c r="B5890" s="1" t="s">
        <v>20</v>
      </c>
      <c r="C5890" s="2" t="s">
        <v>154</v>
      </c>
      <c r="D5890" s="2">
        <v>7.3</v>
      </c>
      <c r="E5890" s="2">
        <v>2016.0</v>
      </c>
      <c r="F5890" s="2">
        <v>2016.0</v>
      </c>
      <c r="G5890" s="2" t="s">
        <v>10</v>
      </c>
    </row>
    <row r="5891" ht="14.25" customHeight="1">
      <c r="A5891" s="1" t="s">
        <v>5007</v>
      </c>
      <c r="B5891" s="1" t="s">
        <v>20</v>
      </c>
      <c r="C5891" s="2" t="s">
        <v>3340</v>
      </c>
      <c r="D5891" s="2">
        <v>7.3</v>
      </c>
      <c r="E5891" s="2">
        <v>2014.0</v>
      </c>
      <c r="F5891" s="2" t="s">
        <v>10</v>
      </c>
      <c r="G5891" s="2" t="s">
        <v>10</v>
      </c>
    </row>
    <row r="5892" ht="14.25" customHeight="1">
      <c r="A5892" s="1" t="s">
        <v>5008</v>
      </c>
      <c r="B5892" s="1" t="s">
        <v>20</v>
      </c>
      <c r="C5892" s="2" t="s">
        <v>785</v>
      </c>
      <c r="D5892" s="2">
        <v>7.3</v>
      </c>
      <c r="E5892" s="2">
        <v>2006.0</v>
      </c>
      <c r="F5892" s="2" t="s">
        <v>10</v>
      </c>
      <c r="G5892" s="2" t="s">
        <v>10</v>
      </c>
    </row>
    <row r="5893" ht="14.25" customHeight="1">
      <c r="A5893" s="1" t="s">
        <v>5009</v>
      </c>
      <c r="B5893" s="1" t="s">
        <v>8</v>
      </c>
      <c r="C5893" s="2" t="s">
        <v>67</v>
      </c>
      <c r="D5893" s="2">
        <v>7.3</v>
      </c>
      <c r="E5893" s="2">
        <v>1982.0</v>
      </c>
      <c r="F5893" s="2" t="s">
        <v>10</v>
      </c>
      <c r="G5893" s="2" t="s">
        <v>10</v>
      </c>
    </row>
    <row r="5894" ht="14.25" customHeight="1">
      <c r="A5894" s="1" t="s">
        <v>5010</v>
      </c>
      <c r="B5894" s="1" t="s">
        <v>20</v>
      </c>
      <c r="C5894" s="2" t="s">
        <v>1240</v>
      </c>
      <c r="D5894" s="2">
        <v>7.3</v>
      </c>
      <c r="E5894" s="2">
        <v>1993.0</v>
      </c>
      <c r="F5894" s="2" t="s">
        <v>10</v>
      </c>
      <c r="G5894" s="2" t="s">
        <v>10</v>
      </c>
    </row>
    <row r="5895" ht="14.25" customHeight="1">
      <c r="A5895" s="1" t="s">
        <v>5011</v>
      </c>
      <c r="B5895" s="1" t="s">
        <v>20</v>
      </c>
      <c r="C5895" s="2" t="s">
        <v>32</v>
      </c>
      <c r="D5895" s="2">
        <v>7.3</v>
      </c>
      <c r="E5895" s="2">
        <v>1953.0</v>
      </c>
      <c r="F5895" s="2" t="s">
        <v>10</v>
      </c>
      <c r="G5895" s="2" t="s">
        <v>10</v>
      </c>
    </row>
    <row r="5896" ht="14.25" customHeight="1">
      <c r="A5896" s="1" t="s">
        <v>5012</v>
      </c>
      <c r="B5896" s="1" t="s">
        <v>20</v>
      </c>
      <c r="C5896" s="2" t="s">
        <v>844</v>
      </c>
      <c r="D5896" s="2">
        <v>7.3</v>
      </c>
      <c r="E5896" s="2">
        <v>1945.0</v>
      </c>
      <c r="F5896" s="2">
        <v>2016.0</v>
      </c>
      <c r="G5896" s="2" t="s">
        <v>10</v>
      </c>
    </row>
    <row r="5897" ht="14.25" customHeight="1">
      <c r="A5897" s="1" t="s">
        <v>5013</v>
      </c>
      <c r="B5897" s="1" t="s">
        <v>20</v>
      </c>
      <c r="C5897" s="2" t="s">
        <v>2342</v>
      </c>
      <c r="D5897" s="2">
        <v>7.3</v>
      </c>
      <c r="E5897" s="2">
        <v>1948.0</v>
      </c>
      <c r="F5897" s="2" t="s">
        <v>10</v>
      </c>
      <c r="G5897" s="2" t="s">
        <v>10</v>
      </c>
    </row>
    <row r="5898" ht="14.25" customHeight="1">
      <c r="A5898" s="1" t="s">
        <v>5014</v>
      </c>
      <c r="B5898" s="1" t="s">
        <v>20</v>
      </c>
      <c r="C5898" s="2" t="s">
        <v>80</v>
      </c>
      <c r="D5898" s="2">
        <v>7.3</v>
      </c>
      <c r="E5898" s="2">
        <v>2019.0</v>
      </c>
      <c r="F5898" s="2">
        <v>2019.0</v>
      </c>
      <c r="G5898" s="2" t="s">
        <v>10</v>
      </c>
    </row>
    <row r="5899" ht="14.25" customHeight="1">
      <c r="A5899" s="1" t="s">
        <v>5015</v>
      </c>
      <c r="B5899" s="1" t="s">
        <v>20</v>
      </c>
      <c r="C5899" s="2" t="s">
        <v>742</v>
      </c>
      <c r="D5899" s="2">
        <v>7.3</v>
      </c>
      <c r="E5899" s="2">
        <v>2011.0</v>
      </c>
      <c r="F5899" s="2" t="s">
        <v>10</v>
      </c>
      <c r="G5899" s="2" t="s">
        <v>10</v>
      </c>
    </row>
    <row r="5900" ht="14.25" customHeight="1">
      <c r="A5900" s="1" t="s">
        <v>5016</v>
      </c>
      <c r="B5900" s="1" t="s">
        <v>20</v>
      </c>
      <c r="C5900" s="2" t="s">
        <v>63</v>
      </c>
      <c r="D5900" s="2">
        <v>7.3</v>
      </c>
      <c r="E5900" s="2">
        <v>2011.0</v>
      </c>
      <c r="F5900" s="2" t="s">
        <v>10</v>
      </c>
      <c r="G5900" s="2" t="s">
        <v>10</v>
      </c>
    </row>
    <row r="5901" ht="14.25" customHeight="1">
      <c r="A5901" s="1" t="s">
        <v>5017</v>
      </c>
      <c r="B5901" s="1" t="s">
        <v>20</v>
      </c>
      <c r="C5901" s="2" t="s">
        <v>455</v>
      </c>
      <c r="D5901" s="2">
        <v>7.3</v>
      </c>
      <c r="E5901" s="2">
        <v>1960.0</v>
      </c>
      <c r="F5901" s="2" t="s">
        <v>10</v>
      </c>
      <c r="G5901" s="2" t="s">
        <v>10</v>
      </c>
    </row>
    <row r="5902" ht="14.25" customHeight="1">
      <c r="A5902" s="1" t="s">
        <v>5018</v>
      </c>
      <c r="B5902" s="1" t="s">
        <v>8</v>
      </c>
      <c r="C5902" s="2" t="s">
        <v>154</v>
      </c>
      <c r="D5902" s="2">
        <v>7.3</v>
      </c>
      <c r="E5902" s="2">
        <v>2013.0</v>
      </c>
      <c r="F5902" s="2" t="s">
        <v>10</v>
      </c>
      <c r="G5902" s="2" t="s">
        <v>10</v>
      </c>
    </row>
    <row r="5903" ht="14.25" customHeight="1">
      <c r="A5903" s="1" t="s">
        <v>5019</v>
      </c>
      <c r="B5903" s="1" t="s">
        <v>8</v>
      </c>
      <c r="C5903" s="2" t="s">
        <v>3543</v>
      </c>
      <c r="D5903" s="2">
        <v>7.3</v>
      </c>
      <c r="E5903" s="2">
        <v>2020.0</v>
      </c>
      <c r="F5903" s="2">
        <v>2020.0</v>
      </c>
      <c r="G5903" s="2" t="s">
        <v>10</v>
      </c>
    </row>
    <row r="5904" ht="14.25" customHeight="1">
      <c r="A5904" s="1" t="s">
        <v>5020</v>
      </c>
      <c r="B5904" s="1" t="s">
        <v>20</v>
      </c>
      <c r="C5904" s="2" t="s">
        <v>154</v>
      </c>
      <c r="D5904" s="2">
        <v>7.3</v>
      </c>
      <c r="E5904" s="2">
        <v>1991.0</v>
      </c>
      <c r="F5904" s="2" t="s">
        <v>10</v>
      </c>
      <c r="G5904" s="2" t="s">
        <v>10</v>
      </c>
    </row>
    <row r="5905" ht="14.25" customHeight="1">
      <c r="A5905" s="1" t="s">
        <v>5021</v>
      </c>
      <c r="B5905" s="1" t="s">
        <v>20</v>
      </c>
      <c r="C5905" s="2" t="s">
        <v>5022</v>
      </c>
      <c r="D5905" s="2">
        <v>7.3</v>
      </c>
      <c r="E5905" s="2">
        <v>1999.0</v>
      </c>
      <c r="F5905" s="2" t="s">
        <v>10</v>
      </c>
      <c r="G5905" s="2" t="s">
        <v>10</v>
      </c>
    </row>
    <row r="5906" ht="14.25" customHeight="1">
      <c r="A5906" s="1" t="s">
        <v>5023</v>
      </c>
      <c r="B5906" s="1" t="s">
        <v>20</v>
      </c>
      <c r="C5906" s="2" t="s">
        <v>187</v>
      </c>
      <c r="D5906" s="2">
        <v>7.3</v>
      </c>
      <c r="E5906" s="2">
        <v>1961.0</v>
      </c>
      <c r="F5906" s="2" t="s">
        <v>10</v>
      </c>
      <c r="G5906" s="2" t="s">
        <v>10</v>
      </c>
    </row>
    <row r="5907" ht="14.25" customHeight="1">
      <c r="A5907" s="1" t="s">
        <v>5024</v>
      </c>
      <c r="B5907" s="1" t="s">
        <v>20</v>
      </c>
      <c r="C5907" s="2" t="s">
        <v>299</v>
      </c>
      <c r="D5907" s="2">
        <v>7.3</v>
      </c>
      <c r="E5907" s="2">
        <v>2007.0</v>
      </c>
      <c r="F5907" s="2" t="s">
        <v>10</v>
      </c>
      <c r="G5907" s="2" t="s">
        <v>10</v>
      </c>
    </row>
    <row r="5908" ht="14.25" customHeight="1">
      <c r="A5908" s="1" t="s">
        <v>5025</v>
      </c>
      <c r="B5908" s="1" t="s">
        <v>20</v>
      </c>
      <c r="C5908" s="2" t="s">
        <v>34</v>
      </c>
      <c r="D5908" s="2">
        <v>7.3</v>
      </c>
      <c r="E5908" s="2">
        <v>1966.0</v>
      </c>
      <c r="F5908" s="2" t="s">
        <v>10</v>
      </c>
      <c r="G5908" s="2" t="s">
        <v>10</v>
      </c>
    </row>
    <row r="5909" ht="14.25" customHeight="1">
      <c r="A5909" s="1" t="s">
        <v>5026</v>
      </c>
      <c r="B5909" s="1" t="s">
        <v>8</v>
      </c>
      <c r="C5909" s="2" t="s">
        <v>36</v>
      </c>
      <c r="D5909" s="2">
        <v>7.3</v>
      </c>
      <c r="E5909" s="2">
        <v>2023.0</v>
      </c>
      <c r="F5909" s="2" t="s">
        <v>10</v>
      </c>
      <c r="G5909" s="2" t="s">
        <v>10</v>
      </c>
    </row>
    <row r="5910" ht="14.25" customHeight="1">
      <c r="A5910" s="1" t="s">
        <v>5027</v>
      </c>
      <c r="B5910" s="1" t="s">
        <v>8</v>
      </c>
      <c r="C5910" s="2" t="s">
        <v>4242</v>
      </c>
      <c r="D5910" s="2">
        <v>7.3</v>
      </c>
      <c r="E5910" s="2">
        <v>2020.0</v>
      </c>
      <c r="F5910" s="2" t="s">
        <v>10</v>
      </c>
      <c r="G5910" s="2" t="s">
        <v>10</v>
      </c>
    </row>
    <row r="5911" ht="14.25" customHeight="1">
      <c r="A5911" s="1" t="s">
        <v>5028</v>
      </c>
      <c r="B5911" s="1" t="s">
        <v>8</v>
      </c>
      <c r="C5911" s="2" t="s">
        <v>222</v>
      </c>
      <c r="D5911" s="2">
        <v>7.3</v>
      </c>
      <c r="E5911" s="2">
        <v>2011.0</v>
      </c>
      <c r="F5911" s="2" t="s">
        <v>10</v>
      </c>
      <c r="G5911" s="2" t="s">
        <v>10</v>
      </c>
    </row>
    <row r="5912" ht="14.25" customHeight="1">
      <c r="A5912" s="1" t="s">
        <v>5029</v>
      </c>
      <c r="B5912" s="1" t="s">
        <v>20</v>
      </c>
      <c r="C5912" s="2" t="s">
        <v>192</v>
      </c>
      <c r="D5912" s="2">
        <v>7.3</v>
      </c>
      <c r="E5912" s="2">
        <v>1986.0</v>
      </c>
      <c r="F5912" s="2" t="s">
        <v>10</v>
      </c>
      <c r="G5912" s="2" t="s">
        <v>10</v>
      </c>
    </row>
    <row r="5913" ht="14.25" customHeight="1">
      <c r="A5913" s="1" t="s">
        <v>5030</v>
      </c>
      <c r="B5913" s="1" t="s">
        <v>8</v>
      </c>
      <c r="C5913" s="2" t="s">
        <v>60</v>
      </c>
      <c r="D5913" s="2">
        <v>7.3</v>
      </c>
      <c r="E5913" s="2">
        <v>2006.0</v>
      </c>
      <c r="F5913" s="2">
        <v>2009.0</v>
      </c>
      <c r="G5913" s="2" t="s">
        <v>10</v>
      </c>
    </row>
    <row r="5914" ht="14.25" customHeight="1">
      <c r="A5914" s="1" t="s">
        <v>5031</v>
      </c>
      <c r="B5914" s="1" t="s">
        <v>8</v>
      </c>
      <c r="C5914" s="2" t="s">
        <v>621</v>
      </c>
      <c r="D5914" s="2">
        <v>7.3</v>
      </c>
      <c r="E5914" s="2">
        <v>2016.0</v>
      </c>
      <c r="F5914" s="2" t="s">
        <v>10</v>
      </c>
      <c r="G5914" s="2" t="s">
        <v>10</v>
      </c>
    </row>
    <row r="5915" ht="14.25" customHeight="1">
      <c r="A5915" s="1" t="s">
        <v>5032</v>
      </c>
      <c r="B5915" s="1" t="s">
        <v>20</v>
      </c>
      <c r="C5915" s="2" t="s">
        <v>829</v>
      </c>
      <c r="D5915" s="2">
        <v>7.3</v>
      </c>
      <c r="E5915" s="2">
        <v>1949.0</v>
      </c>
      <c r="F5915" s="2" t="s">
        <v>10</v>
      </c>
      <c r="G5915" s="2" t="s">
        <v>10</v>
      </c>
    </row>
    <row r="5916" ht="14.25" customHeight="1">
      <c r="A5916" s="1" t="s">
        <v>5033</v>
      </c>
      <c r="B5916" s="1" t="s">
        <v>20</v>
      </c>
      <c r="C5916" s="2" t="s">
        <v>1316</v>
      </c>
      <c r="D5916" s="2">
        <v>7.3</v>
      </c>
      <c r="E5916" s="2">
        <v>2018.0</v>
      </c>
      <c r="F5916" s="2" t="s">
        <v>10</v>
      </c>
      <c r="G5916" s="2" t="s">
        <v>10</v>
      </c>
    </row>
    <row r="5917" ht="14.25" customHeight="1">
      <c r="A5917" s="1" t="s">
        <v>5034</v>
      </c>
      <c r="B5917" s="1" t="s">
        <v>8</v>
      </c>
      <c r="C5917" s="2" t="s">
        <v>507</v>
      </c>
      <c r="D5917" s="2">
        <v>7.3</v>
      </c>
      <c r="E5917" s="2">
        <v>2024.0</v>
      </c>
      <c r="F5917" s="2" t="s">
        <v>10</v>
      </c>
      <c r="G5917" s="2" t="s">
        <v>10</v>
      </c>
    </row>
    <row r="5918" ht="14.25" customHeight="1">
      <c r="A5918" s="1" t="s">
        <v>5035</v>
      </c>
      <c r="B5918" s="1" t="s">
        <v>20</v>
      </c>
      <c r="C5918" s="2" t="s">
        <v>63</v>
      </c>
      <c r="D5918" s="2">
        <v>7.3</v>
      </c>
      <c r="E5918" s="2">
        <v>2012.0</v>
      </c>
      <c r="F5918" s="2" t="s">
        <v>10</v>
      </c>
      <c r="G5918" s="2" t="s">
        <v>10</v>
      </c>
    </row>
    <row r="5919" ht="14.25" customHeight="1">
      <c r="A5919" s="1" t="s">
        <v>5036</v>
      </c>
      <c r="B5919" s="1" t="s">
        <v>20</v>
      </c>
      <c r="C5919" s="2" t="s">
        <v>12</v>
      </c>
      <c r="D5919" s="2">
        <v>7.3</v>
      </c>
      <c r="E5919" s="2">
        <v>2015.0</v>
      </c>
      <c r="F5919" s="2" t="s">
        <v>10</v>
      </c>
      <c r="G5919" s="2" t="s">
        <v>10</v>
      </c>
    </row>
    <row r="5920" ht="14.25" customHeight="1">
      <c r="A5920" s="1" t="s">
        <v>5037</v>
      </c>
      <c r="B5920" s="1" t="s">
        <v>20</v>
      </c>
      <c r="C5920" s="2" t="s">
        <v>63</v>
      </c>
      <c r="D5920" s="2">
        <v>7.3</v>
      </c>
      <c r="E5920" s="2">
        <v>2018.0</v>
      </c>
      <c r="F5920" s="2" t="s">
        <v>10</v>
      </c>
      <c r="G5920" s="2" t="s">
        <v>10</v>
      </c>
    </row>
    <row r="5921" ht="14.25" customHeight="1">
      <c r="A5921" s="1" t="s">
        <v>5038</v>
      </c>
      <c r="B5921" s="1" t="s">
        <v>20</v>
      </c>
      <c r="C5921" s="2" t="s">
        <v>154</v>
      </c>
      <c r="D5921" s="2">
        <v>7.3</v>
      </c>
      <c r="E5921" s="2">
        <v>1979.0</v>
      </c>
      <c r="F5921" s="2" t="s">
        <v>10</v>
      </c>
      <c r="G5921" s="2" t="s">
        <v>10</v>
      </c>
    </row>
    <row r="5922" ht="14.25" customHeight="1">
      <c r="A5922" s="1" t="s">
        <v>5039</v>
      </c>
      <c r="B5922" s="1" t="s">
        <v>20</v>
      </c>
      <c r="C5922" s="2" t="s">
        <v>192</v>
      </c>
      <c r="D5922" s="2">
        <v>7.3</v>
      </c>
      <c r="E5922" s="2">
        <v>1980.0</v>
      </c>
      <c r="F5922" s="2" t="s">
        <v>10</v>
      </c>
      <c r="G5922" s="2" t="s">
        <v>10</v>
      </c>
    </row>
    <row r="5923" ht="14.25" customHeight="1">
      <c r="A5923" s="1" t="s">
        <v>5040</v>
      </c>
      <c r="B5923" s="1" t="s">
        <v>20</v>
      </c>
      <c r="C5923" s="2" t="s">
        <v>9</v>
      </c>
      <c r="D5923" s="2">
        <v>7.3</v>
      </c>
      <c r="E5923" s="2">
        <v>2005.0</v>
      </c>
      <c r="F5923" s="2" t="s">
        <v>10</v>
      </c>
      <c r="G5923" s="2" t="s">
        <v>10</v>
      </c>
    </row>
    <row r="5924" ht="14.25" customHeight="1">
      <c r="A5924" s="1" t="s">
        <v>5041</v>
      </c>
      <c r="B5924" s="1" t="s">
        <v>20</v>
      </c>
      <c r="C5924" s="2" t="s">
        <v>9</v>
      </c>
      <c r="D5924" s="2">
        <v>7.3</v>
      </c>
      <c r="E5924" s="2">
        <v>2007.0</v>
      </c>
      <c r="F5924" s="2" t="s">
        <v>10</v>
      </c>
      <c r="G5924" s="2" t="s">
        <v>10</v>
      </c>
    </row>
    <row r="5925" ht="14.25" customHeight="1">
      <c r="A5925" s="1" t="s">
        <v>5042</v>
      </c>
      <c r="B5925" s="1" t="s">
        <v>8</v>
      </c>
      <c r="C5925" s="2" t="s">
        <v>226</v>
      </c>
      <c r="D5925" s="2">
        <v>7.3</v>
      </c>
      <c r="E5925" s="2">
        <v>2012.0</v>
      </c>
      <c r="F5925" s="2" t="s">
        <v>10</v>
      </c>
      <c r="G5925" s="2" t="s">
        <v>10</v>
      </c>
    </row>
    <row r="5926" ht="14.25" customHeight="1">
      <c r="A5926" s="1" t="s">
        <v>5043</v>
      </c>
      <c r="B5926" s="1" t="s">
        <v>20</v>
      </c>
      <c r="C5926" s="2" t="s">
        <v>9</v>
      </c>
      <c r="D5926" s="2">
        <v>7.3</v>
      </c>
      <c r="E5926" s="2">
        <v>2005.0</v>
      </c>
      <c r="F5926" s="2" t="s">
        <v>10</v>
      </c>
      <c r="G5926" s="2" t="s">
        <v>10</v>
      </c>
    </row>
    <row r="5927" ht="14.25" customHeight="1">
      <c r="A5927" s="1" t="s">
        <v>5044</v>
      </c>
      <c r="B5927" s="1" t="s">
        <v>20</v>
      </c>
      <c r="C5927" s="2" t="s">
        <v>361</v>
      </c>
      <c r="D5927" s="2">
        <v>7.3</v>
      </c>
      <c r="E5927" s="2">
        <v>1942.0</v>
      </c>
      <c r="F5927" s="2" t="s">
        <v>10</v>
      </c>
      <c r="G5927" s="2" t="s">
        <v>10</v>
      </c>
    </row>
    <row r="5928" ht="14.25" customHeight="1">
      <c r="A5928" s="1" t="s">
        <v>5045</v>
      </c>
      <c r="B5928" s="1" t="s">
        <v>20</v>
      </c>
      <c r="C5928" s="2" t="s">
        <v>63</v>
      </c>
      <c r="D5928" s="2">
        <v>7.3</v>
      </c>
      <c r="E5928" s="2">
        <v>2017.0</v>
      </c>
      <c r="F5928" s="2" t="s">
        <v>10</v>
      </c>
      <c r="G5928" s="2" t="s">
        <v>10</v>
      </c>
    </row>
    <row r="5929" ht="14.25" customHeight="1">
      <c r="A5929" s="1" t="s">
        <v>5046</v>
      </c>
      <c r="B5929" s="1" t="s">
        <v>20</v>
      </c>
      <c r="C5929" s="2" t="s">
        <v>18</v>
      </c>
      <c r="D5929" s="2">
        <v>7.3</v>
      </c>
      <c r="E5929" s="2">
        <v>1985.0</v>
      </c>
      <c r="F5929" s="2" t="s">
        <v>10</v>
      </c>
      <c r="G5929" s="2" t="s">
        <v>10</v>
      </c>
    </row>
    <row r="5930" ht="14.25" customHeight="1">
      <c r="A5930" s="1" t="s">
        <v>5047</v>
      </c>
      <c r="B5930" s="1" t="s">
        <v>20</v>
      </c>
      <c r="C5930" s="2" t="s">
        <v>63</v>
      </c>
      <c r="D5930" s="2">
        <v>7.3</v>
      </c>
      <c r="E5930" s="2">
        <v>2012.0</v>
      </c>
      <c r="F5930" s="2" t="s">
        <v>10</v>
      </c>
      <c r="G5930" s="2" t="s">
        <v>10</v>
      </c>
    </row>
    <row r="5931" ht="14.25" customHeight="1">
      <c r="A5931" s="1" t="s">
        <v>5048</v>
      </c>
      <c r="B5931" s="1" t="s">
        <v>20</v>
      </c>
      <c r="C5931" s="2" t="s">
        <v>461</v>
      </c>
      <c r="D5931" s="2">
        <v>7.3</v>
      </c>
      <c r="E5931" s="2">
        <v>2012.0</v>
      </c>
      <c r="F5931" s="2" t="s">
        <v>10</v>
      </c>
      <c r="G5931" s="2" t="s">
        <v>10</v>
      </c>
    </row>
    <row r="5932" ht="14.25" customHeight="1">
      <c r="A5932" s="1" t="s">
        <v>5049</v>
      </c>
      <c r="B5932" s="1" t="s">
        <v>20</v>
      </c>
      <c r="C5932" s="2" t="s">
        <v>1676</v>
      </c>
      <c r="D5932" s="2">
        <v>7.3</v>
      </c>
      <c r="E5932" s="2">
        <v>2011.0</v>
      </c>
      <c r="F5932" s="2" t="s">
        <v>10</v>
      </c>
      <c r="G5932" s="2" t="s">
        <v>10</v>
      </c>
    </row>
    <row r="5933" ht="14.25" customHeight="1">
      <c r="A5933" s="1" t="s">
        <v>5050</v>
      </c>
      <c r="B5933" s="1" t="s">
        <v>20</v>
      </c>
      <c r="C5933" s="2" t="s">
        <v>112</v>
      </c>
      <c r="D5933" s="2">
        <v>7.3</v>
      </c>
      <c r="E5933" s="2">
        <v>2021.0</v>
      </c>
      <c r="F5933" s="2" t="s">
        <v>10</v>
      </c>
      <c r="G5933" s="2" t="s">
        <v>10</v>
      </c>
    </row>
    <row r="5934" ht="14.25" customHeight="1">
      <c r="A5934" s="1" t="s">
        <v>5051</v>
      </c>
      <c r="B5934" s="1" t="s">
        <v>8</v>
      </c>
      <c r="C5934" s="2" t="s">
        <v>34</v>
      </c>
      <c r="D5934" s="2">
        <v>7.3</v>
      </c>
      <c r="E5934" s="2">
        <v>2024.0</v>
      </c>
      <c r="F5934" s="2" t="s">
        <v>10</v>
      </c>
      <c r="G5934" s="2" t="s">
        <v>10</v>
      </c>
    </row>
    <row r="5935" ht="14.25" customHeight="1">
      <c r="A5935" s="1" t="s">
        <v>5052</v>
      </c>
      <c r="B5935" s="1" t="s">
        <v>8</v>
      </c>
      <c r="C5935" s="2" t="s">
        <v>187</v>
      </c>
      <c r="D5935" s="2">
        <v>7.3</v>
      </c>
      <c r="E5935" s="2">
        <v>2014.0</v>
      </c>
      <c r="F5935" s="2">
        <v>2017.0</v>
      </c>
      <c r="G5935" s="2" t="s">
        <v>10</v>
      </c>
    </row>
    <row r="5936" ht="14.25" customHeight="1">
      <c r="A5936" s="1" t="s">
        <v>5053</v>
      </c>
      <c r="B5936" s="1" t="s">
        <v>20</v>
      </c>
      <c r="C5936" s="2" t="s">
        <v>952</v>
      </c>
      <c r="D5936" s="2">
        <v>7.3</v>
      </c>
      <c r="E5936" s="2">
        <v>2022.0</v>
      </c>
      <c r="F5936" s="2" t="s">
        <v>10</v>
      </c>
      <c r="G5936" s="2" t="s">
        <v>10</v>
      </c>
    </row>
    <row r="5937" ht="14.25" customHeight="1">
      <c r="A5937" s="1" t="s">
        <v>5054</v>
      </c>
      <c r="B5937" s="1" t="s">
        <v>8</v>
      </c>
      <c r="C5937" s="2" t="s">
        <v>497</v>
      </c>
      <c r="D5937" s="2">
        <v>7.3</v>
      </c>
      <c r="E5937" s="2">
        <v>2022.0</v>
      </c>
      <c r="F5937" s="2" t="s">
        <v>10</v>
      </c>
      <c r="G5937" s="2">
        <v>2.764E7</v>
      </c>
    </row>
    <row r="5938" ht="14.25" customHeight="1">
      <c r="A5938" s="1" t="s">
        <v>5054</v>
      </c>
      <c r="B5938" s="1" t="s">
        <v>8</v>
      </c>
      <c r="C5938" s="2" t="s">
        <v>497</v>
      </c>
      <c r="D5938" s="2">
        <v>7.3</v>
      </c>
      <c r="E5938" s="2">
        <v>2022.0</v>
      </c>
      <c r="F5938" s="2" t="s">
        <v>10</v>
      </c>
      <c r="G5938" s="2">
        <v>3.114E7</v>
      </c>
    </row>
    <row r="5939" ht="14.25" customHeight="1">
      <c r="A5939" s="1" t="s">
        <v>5055</v>
      </c>
      <c r="B5939" s="1" t="s">
        <v>20</v>
      </c>
      <c r="C5939" s="2" t="s">
        <v>154</v>
      </c>
      <c r="D5939" s="2">
        <v>7.3</v>
      </c>
      <c r="E5939" s="2">
        <v>2011.0</v>
      </c>
      <c r="F5939" s="2" t="s">
        <v>10</v>
      </c>
      <c r="G5939" s="2" t="s">
        <v>10</v>
      </c>
    </row>
    <row r="5940" ht="14.25" customHeight="1">
      <c r="A5940" s="1" t="s">
        <v>5056</v>
      </c>
      <c r="B5940" s="1" t="s">
        <v>20</v>
      </c>
      <c r="C5940" s="2" t="s">
        <v>433</v>
      </c>
      <c r="D5940" s="2">
        <v>7.3</v>
      </c>
      <c r="E5940" s="2">
        <v>2015.0</v>
      </c>
      <c r="F5940" s="2" t="s">
        <v>10</v>
      </c>
      <c r="G5940" s="2" t="s">
        <v>10</v>
      </c>
    </row>
    <row r="5941" ht="14.25" customHeight="1">
      <c r="A5941" s="1" t="s">
        <v>3002</v>
      </c>
      <c r="B5941" s="1" t="s">
        <v>20</v>
      </c>
      <c r="C5941" s="2" t="s">
        <v>63</v>
      </c>
      <c r="D5941" s="2">
        <v>7.3</v>
      </c>
      <c r="E5941" s="2">
        <v>2015.0</v>
      </c>
      <c r="F5941" s="2" t="s">
        <v>10</v>
      </c>
      <c r="G5941" s="2" t="s">
        <v>10</v>
      </c>
    </row>
    <row r="5942" ht="14.25" customHeight="1">
      <c r="A5942" s="1" t="s">
        <v>5057</v>
      </c>
      <c r="B5942" s="1" t="s">
        <v>8</v>
      </c>
      <c r="C5942" s="2" t="s">
        <v>32</v>
      </c>
      <c r="D5942" s="2">
        <v>7.3</v>
      </c>
      <c r="E5942" s="2">
        <v>2009.0</v>
      </c>
      <c r="F5942" s="2" t="s">
        <v>10</v>
      </c>
      <c r="G5942" s="2" t="s">
        <v>10</v>
      </c>
    </row>
    <row r="5943" ht="14.25" customHeight="1">
      <c r="A5943" s="1" t="s">
        <v>5058</v>
      </c>
      <c r="B5943" s="1" t="s">
        <v>20</v>
      </c>
      <c r="C5943" s="2" t="s">
        <v>192</v>
      </c>
      <c r="D5943" s="2">
        <v>7.3</v>
      </c>
      <c r="E5943" s="2">
        <v>2001.0</v>
      </c>
      <c r="F5943" s="2" t="s">
        <v>10</v>
      </c>
      <c r="G5943" s="2" t="s">
        <v>10</v>
      </c>
    </row>
    <row r="5944" ht="14.25" customHeight="1">
      <c r="A5944" s="1" t="s">
        <v>5059</v>
      </c>
      <c r="B5944" s="1" t="s">
        <v>20</v>
      </c>
      <c r="C5944" s="2" t="s">
        <v>32</v>
      </c>
      <c r="D5944" s="2">
        <v>7.3</v>
      </c>
      <c r="E5944" s="2">
        <v>2019.0</v>
      </c>
      <c r="F5944" s="2" t="s">
        <v>10</v>
      </c>
      <c r="G5944" s="2" t="s">
        <v>10</v>
      </c>
    </row>
    <row r="5945" ht="14.25" customHeight="1">
      <c r="A5945" s="1" t="s">
        <v>5060</v>
      </c>
      <c r="B5945" s="1" t="s">
        <v>20</v>
      </c>
      <c r="C5945" s="2" t="s">
        <v>9</v>
      </c>
      <c r="D5945" s="2">
        <v>7.3</v>
      </c>
      <c r="E5945" s="2">
        <v>2016.0</v>
      </c>
      <c r="F5945" s="2" t="s">
        <v>10</v>
      </c>
      <c r="G5945" s="2" t="s">
        <v>10</v>
      </c>
    </row>
    <row r="5946" ht="14.25" customHeight="1">
      <c r="A5946" s="1" t="s">
        <v>836</v>
      </c>
      <c r="B5946" s="1" t="s">
        <v>20</v>
      </c>
      <c r="C5946" s="2" t="s">
        <v>1060</v>
      </c>
      <c r="D5946" s="2">
        <v>7.3</v>
      </c>
      <c r="E5946" s="2">
        <v>1996.0</v>
      </c>
      <c r="F5946" s="2">
        <v>2014.0</v>
      </c>
      <c r="G5946" s="2" t="s">
        <v>10</v>
      </c>
    </row>
    <row r="5947" ht="14.25" customHeight="1">
      <c r="A5947" s="1" t="s">
        <v>5061</v>
      </c>
      <c r="B5947" s="1" t="s">
        <v>20</v>
      </c>
      <c r="C5947" s="2" t="s">
        <v>461</v>
      </c>
      <c r="D5947" s="2">
        <v>7.3</v>
      </c>
      <c r="E5947" s="2">
        <v>1980.0</v>
      </c>
      <c r="F5947" s="2" t="s">
        <v>10</v>
      </c>
      <c r="G5947" s="2" t="s">
        <v>10</v>
      </c>
    </row>
    <row r="5948" ht="14.25" customHeight="1">
      <c r="A5948" s="1" t="s">
        <v>5062</v>
      </c>
      <c r="B5948" s="1" t="s">
        <v>20</v>
      </c>
      <c r="C5948" s="2" t="s">
        <v>154</v>
      </c>
      <c r="D5948" s="2">
        <v>7.3</v>
      </c>
      <c r="E5948" s="2">
        <v>2019.0</v>
      </c>
      <c r="F5948" s="2" t="s">
        <v>10</v>
      </c>
      <c r="G5948" s="2" t="s">
        <v>10</v>
      </c>
    </row>
    <row r="5949" ht="14.25" customHeight="1">
      <c r="A5949" s="1" t="s">
        <v>5063</v>
      </c>
      <c r="B5949" s="1" t="s">
        <v>20</v>
      </c>
      <c r="C5949" s="2" t="s">
        <v>18</v>
      </c>
      <c r="D5949" s="2">
        <v>7.3</v>
      </c>
      <c r="E5949" s="2">
        <v>2006.0</v>
      </c>
      <c r="F5949" s="2" t="s">
        <v>10</v>
      </c>
      <c r="G5949" s="2" t="s">
        <v>10</v>
      </c>
    </row>
    <row r="5950" ht="14.25" customHeight="1">
      <c r="A5950" s="1" t="s">
        <v>5064</v>
      </c>
      <c r="B5950" s="1" t="s">
        <v>8</v>
      </c>
      <c r="C5950" s="2" t="s">
        <v>55</v>
      </c>
      <c r="D5950" s="2">
        <v>7.3</v>
      </c>
      <c r="E5950" s="2">
        <v>2007.0</v>
      </c>
      <c r="F5950" s="2" t="s">
        <v>10</v>
      </c>
      <c r="G5950" s="2" t="s">
        <v>10</v>
      </c>
    </row>
    <row r="5951" ht="14.25" customHeight="1">
      <c r="A5951" s="1" t="s">
        <v>5065</v>
      </c>
      <c r="B5951" s="1" t="s">
        <v>20</v>
      </c>
      <c r="C5951" s="2" t="s">
        <v>184</v>
      </c>
      <c r="D5951" s="2">
        <v>7.3</v>
      </c>
      <c r="E5951" s="2">
        <v>1999.0</v>
      </c>
      <c r="F5951" s="2" t="s">
        <v>10</v>
      </c>
      <c r="G5951" s="2" t="s">
        <v>10</v>
      </c>
    </row>
    <row r="5952" ht="14.25" customHeight="1">
      <c r="A5952" s="1" t="s">
        <v>5066</v>
      </c>
      <c r="B5952" s="1" t="s">
        <v>20</v>
      </c>
      <c r="C5952" s="2" t="s">
        <v>32</v>
      </c>
      <c r="D5952" s="2">
        <v>7.3</v>
      </c>
      <c r="E5952" s="2">
        <v>2016.0</v>
      </c>
      <c r="F5952" s="2" t="s">
        <v>10</v>
      </c>
      <c r="G5952" s="2" t="s">
        <v>10</v>
      </c>
    </row>
    <row r="5953" ht="14.25" customHeight="1">
      <c r="A5953" s="1" t="s">
        <v>5067</v>
      </c>
      <c r="B5953" s="1" t="s">
        <v>20</v>
      </c>
      <c r="C5953" s="2" t="s">
        <v>239</v>
      </c>
      <c r="D5953" s="2">
        <v>7.3</v>
      </c>
      <c r="E5953" s="2">
        <v>2001.0</v>
      </c>
      <c r="F5953" s="2" t="s">
        <v>10</v>
      </c>
      <c r="G5953" s="2" t="s">
        <v>10</v>
      </c>
    </row>
    <row r="5954" ht="14.25" customHeight="1">
      <c r="A5954" s="1" t="s">
        <v>5068</v>
      </c>
      <c r="B5954" s="1" t="s">
        <v>20</v>
      </c>
      <c r="C5954" s="2" t="s">
        <v>75</v>
      </c>
      <c r="D5954" s="2">
        <v>7.3</v>
      </c>
      <c r="E5954" s="2">
        <v>2019.0</v>
      </c>
      <c r="F5954" s="2">
        <v>2019.0</v>
      </c>
      <c r="G5954" s="2" t="s">
        <v>10</v>
      </c>
    </row>
    <row r="5955" ht="14.25" customHeight="1">
      <c r="A5955" s="1" t="s">
        <v>5069</v>
      </c>
      <c r="B5955" s="1" t="s">
        <v>20</v>
      </c>
      <c r="C5955" s="2" t="s">
        <v>5070</v>
      </c>
      <c r="D5955" s="2">
        <v>7.3</v>
      </c>
      <c r="E5955" s="2">
        <v>1995.0</v>
      </c>
      <c r="F5955" s="2" t="s">
        <v>10</v>
      </c>
      <c r="G5955" s="2" t="s">
        <v>10</v>
      </c>
    </row>
    <row r="5956" ht="14.25" customHeight="1">
      <c r="A5956" s="1" t="s">
        <v>5071</v>
      </c>
      <c r="B5956" s="1" t="s">
        <v>20</v>
      </c>
      <c r="C5956" s="2" t="s">
        <v>187</v>
      </c>
      <c r="D5956" s="2">
        <v>7.3</v>
      </c>
      <c r="E5956" s="2">
        <v>1974.0</v>
      </c>
      <c r="F5956" s="2" t="s">
        <v>10</v>
      </c>
      <c r="G5956" s="2" t="s">
        <v>10</v>
      </c>
    </row>
    <row r="5957" ht="14.25" customHeight="1">
      <c r="A5957" s="1" t="s">
        <v>296</v>
      </c>
      <c r="B5957" s="1" t="s">
        <v>8</v>
      </c>
      <c r="C5957" s="2" t="s">
        <v>591</v>
      </c>
      <c r="D5957" s="2">
        <v>7.3</v>
      </c>
      <c r="E5957" s="2">
        <v>2013.0</v>
      </c>
      <c r="F5957" s="2" t="s">
        <v>10</v>
      </c>
      <c r="G5957" s="2" t="s">
        <v>10</v>
      </c>
    </row>
    <row r="5958" ht="14.25" customHeight="1">
      <c r="A5958" s="1" t="s">
        <v>5072</v>
      </c>
      <c r="B5958" s="1" t="s">
        <v>20</v>
      </c>
      <c r="C5958" s="2" t="s">
        <v>36</v>
      </c>
      <c r="D5958" s="2">
        <v>7.3</v>
      </c>
      <c r="E5958" s="2">
        <v>2011.0</v>
      </c>
      <c r="F5958" s="2" t="s">
        <v>10</v>
      </c>
      <c r="G5958" s="2" t="s">
        <v>10</v>
      </c>
    </row>
    <row r="5959" ht="14.25" customHeight="1">
      <c r="A5959" s="1" t="s">
        <v>5073</v>
      </c>
      <c r="B5959" s="1" t="s">
        <v>20</v>
      </c>
      <c r="C5959" s="2" t="s">
        <v>9</v>
      </c>
      <c r="D5959" s="2">
        <v>7.3</v>
      </c>
      <c r="E5959" s="2">
        <v>2011.0</v>
      </c>
      <c r="F5959" s="2">
        <v>2012.0</v>
      </c>
      <c r="G5959" s="2" t="s">
        <v>10</v>
      </c>
    </row>
    <row r="5960" ht="14.25" customHeight="1">
      <c r="A5960" s="1" t="s">
        <v>5074</v>
      </c>
      <c r="B5960" s="1" t="s">
        <v>20</v>
      </c>
      <c r="C5960" s="2" t="s">
        <v>530</v>
      </c>
      <c r="D5960" s="2">
        <v>7.3</v>
      </c>
      <c r="E5960" s="2">
        <v>1993.0</v>
      </c>
      <c r="F5960" s="2" t="s">
        <v>10</v>
      </c>
      <c r="G5960" s="2" t="s">
        <v>10</v>
      </c>
    </row>
    <row r="5961" ht="14.25" customHeight="1">
      <c r="A5961" s="1" t="s">
        <v>5075</v>
      </c>
      <c r="B5961" s="1" t="s">
        <v>8</v>
      </c>
      <c r="C5961" s="2" t="s">
        <v>258</v>
      </c>
      <c r="D5961" s="2">
        <v>7.3</v>
      </c>
      <c r="E5961" s="2">
        <v>2018.0</v>
      </c>
      <c r="F5961" s="2" t="s">
        <v>10</v>
      </c>
      <c r="G5961" s="2" t="s">
        <v>10</v>
      </c>
    </row>
    <row r="5962" ht="14.25" customHeight="1">
      <c r="A5962" s="1" t="s">
        <v>5076</v>
      </c>
      <c r="B5962" s="1" t="s">
        <v>8</v>
      </c>
      <c r="C5962" s="2" t="s">
        <v>187</v>
      </c>
      <c r="D5962" s="2">
        <v>7.3</v>
      </c>
      <c r="E5962" s="2">
        <v>2014.0</v>
      </c>
      <c r="F5962" s="2" t="s">
        <v>10</v>
      </c>
      <c r="G5962" s="2" t="s">
        <v>10</v>
      </c>
    </row>
    <row r="5963" ht="14.25" customHeight="1">
      <c r="A5963" s="1" t="s">
        <v>5077</v>
      </c>
      <c r="B5963" s="1" t="s">
        <v>20</v>
      </c>
      <c r="C5963" s="2" t="s">
        <v>9</v>
      </c>
      <c r="D5963" s="2">
        <v>7.3</v>
      </c>
      <c r="E5963" s="2">
        <v>1976.0</v>
      </c>
      <c r="F5963" s="2" t="s">
        <v>10</v>
      </c>
      <c r="G5963" s="2" t="s">
        <v>10</v>
      </c>
    </row>
    <row r="5964" ht="14.25" customHeight="1">
      <c r="A5964" s="1" t="s">
        <v>5078</v>
      </c>
      <c r="B5964" s="1" t="s">
        <v>20</v>
      </c>
      <c r="C5964" s="2" t="s">
        <v>461</v>
      </c>
      <c r="D5964" s="2">
        <v>7.3</v>
      </c>
      <c r="E5964" s="2">
        <v>1978.0</v>
      </c>
      <c r="F5964" s="2" t="s">
        <v>10</v>
      </c>
      <c r="G5964" s="2" t="s">
        <v>10</v>
      </c>
    </row>
    <row r="5965" ht="14.25" customHeight="1">
      <c r="A5965" s="1" t="s">
        <v>5079</v>
      </c>
      <c r="B5965" s="1" t="s">
        <v>8</v>
      </c>
      <c r="C5965" s="2" t="s">
        <v>686</v>
      </c>
      <c r="D5965" s="2">
        <v>7.3</v>
      </c>
      <c r="E5965" s="2">
        <v>2017.0</v>
      </c>
      <c r="F5965" s="2" t="s">
        <v>10</v>
      </c>
      <c r="G5965" s="2" t="s">
        <v>10</v>
      </c>
    </row>
    <row r="5966" ht="14.25" customHeight="1">
      <c r="A5966" s="1" t="s">
        <v>5080</v>
      </c>
      <c r="B5966" s="1" t="s">
        <v>20</v>
      </c>
      <c r="C5966" s="2" t="s">
        <v>187</v>
      </c>
      <c r="D5966" s="2">
        <v>7.3</v>
      </c>
      <c r="E5966" s="2">
        <v>1987.0</v>
      </c>
      <c r="F5966" s="2" t="s">
        <v>10</v>
      </c>
      <c r="G5966" s="2" t="s">
        <v>10</v>
      </c>
    </row>
    <row r="5967" ht="14.25" customHeight="1">
      <c r="A5967" s="1" t="s">
        <v>5081</v>
      </c>
      <c r="B5967" s="1" t="s">
        <v>8</v>
      </c>
      <c r="C5967" s="2" t="s">
        <v>9</v>
      </c>
      <c r="D5967" s="2">
        <v>7.3</v>
      </c>
      <c r="E5967" s="2">
        <v>2022.0</v>
      </c>
      <c r="F5967" s="2" t="s">
        <v>10</v>
      </c>
      <c r="G5967" s="2" t="s">
        <v>10</v>
      </c>
    </row>
    <row r="5968" ht="14.25" customHeight="1">
      <c r="A5968" s="1" t="s">
        <v>4014</v>
      </c>
      <c r="B5968" s="1" t="s">
        <v>8</v>
      </c>
      <c r="C5968" s="2" t="s">
        <v>63</v>
      </c>
      <c r="D5968" s="2">
        <v>7.3</v>
      </c>
      <c r="E5968" s="2">
        <v>1990.0</v>
      </c>
      <c r="F5968" s="2" t="s">
        <v>10</v>
      </c>
      <c r="G5968" s="2" t="s">
        <v>10</v>
      </c>
    </row>
    <row r="5969" ht="14.25" customHeight="1">
      <c r="A5969" s="1" t="s">
        <v>5082</v>
      </c>
      <c r="B5969" s="1" t="s">
        <v>20</v>
      </c>
      <c r="C5969" s="2" t="s">
        <v>3466</v>
      </c>
      <c r="D5969" s="2">
        <v>7.3</v>
      </c>
      <c r="E5969" s="2">
        <v>2018.0</v>
      </c>
      <c r="F5969" s="2" t="s">
        <v>10</v>
      </c>
      <c r="G5969" s="2" t="s">
        <v>10</v>
      </c>
    </row>
    <row r="5970" ht="14.25" customHeight="1">
      <c r="A5970" s="1" t="s">
        <v>5083</v>
      </c>
      <c r="B5970" s="1" t="s">
        <v>20</v>
      </c>
      <c r="C5970" s="2" t="s">
        <v>36</v>
      </c>
      <c r="D5970" s="2">
        <v>7.3</v>
      </c>
      <c r="E5970" s="2">
        <v>2016.0</v>
      </c>
      <c r="F5970" s="2" t="s">
        <v>10</v>
      </c>
      <c r="G5970" s="2" t="s">
        <v>10</v>
      </c>
    </row>
    <row r="5971" ht="14.25" customHeight="1">
      <c r="A5971" s="1" t="s">
        <v>553</v>
      </c>
      <c r="B5971" s="1" t="s">
        <v>20</v>
      </c>
      <c r="C5971" s="2" t="s">
        <v>262</v>
      </c>
      <c r="D5971" s="2">
        <v>7.3</v>
      </c>
      <c r="E5971" s="2">
        <v>2022.0</v>
      </c>
      <c r="F5971" s="2" t="s">
        <v>10</v>
      </c>
      <c r="G5971" s="2">
        <v>2110000.0</v>
      </c>
    </row>
    <row r="5972" ht="14.25" customHeight="1">
      <c r="A5972" s="1" t="s">
        <v>553</v>
      </c>
      <c r="B5972" s="1" t="s">
        <v>20</v>
      </c>
      <c r="C5972" s="2" t="s">
        <v>262</v>
      </c>
      <c r="D5972" s="2">
        <v>7.3</v>
      </c>
      <c r="E5972" s="2">
        <v>2022.0</v>
      </c>
      <c r="F5972" s="2" t="s">
        <v>10</v>
      </c>
      <c r="G5972" s="2">
        <v>5490000.0</v>
      </c>
    </row>
    <row r="5973" ht="14.25" customHeight="1">
      <c r="A5973" s="1" t="s">
        <v>553</v>
      </c>
      <c r="B5973" s="1" t="s">
        <v>20</v>
      </c>
      <c r="C5973" s="2" t="s">
        <v>262</v>
      </c>
      <c r="D5973" s="2">
        <v>7.3</v>
      </c>
      <c r="E5973" s="2">
        <v>2022.0</v>
      </c>
      <c r="F5973" s="2" t="s">
        <v>10</v>
      </c>
      <c r="G5973" s="2">
        <v>4470000.0</v>
      </c>
    </row>
    <row r="5974" ht="14.25" customHeight="1">
      <c r="A5974" s="1" t="s">
        <v>5084</v>
      </c>
      <c r="B5974" s="1" t="s">
        <v>8</v>
      </c>
      <c r="C5974" s="2" t="s">
        <v>217</v>
      </c>
      <c r="D5974" s="2">
        <v>7.3</v>
      </c>
      <c r="E5974" s="2">
        <v>2022.0</v>
      </c>
      <c r="F5974" s="2" t="s">
        <v>10</v>
      </c>
      <c r="G5974" s="2">
        <v>1.048E7</v>
      </c>
    </row>
    <row r="5975" ht="14.25" customHeight="1">
      <c r="A5975" s="1" t="s">
        <v>5085</v>
      </c>
      <c r="B5975" s="1" t="s">
        <v>8</v>
      </c>
      <c r="C5975" s="2" t="s">
        <v>18</v>
      </c>
      <c r="D5975" s="2">
        <v>7.3</v>
      </c>
      <c r="E5975" s="2">
        <v>2007.0</v>
      </c>
      <c r="F5975" s="2" t="s">
        <v>10</v>
      </c>
      <c r="G5975" s="2" t="s">
        <v>10</v>
      </c>
    </row>
    <row r="5976" ht="14.25" customHeight="1">
      <c r="A5976" s="1" t="s">
        <v>5086</v>
      </c>
      <c r="B5976" s="1" t="s">
        <v>20</v>
      </c>
      <c r="C5976" s="2" t="s">
        <v>187</v>
      </c>
      <c r="D5976" s="2">
        <v>7.3</v>
      </c>
      <c r="E5976" s="2">
        <v>2004.0</v>
      </c>
      <c r="F5976" s="2" t="s">
        <v>10</v>
      </c>
      <c r="G5976" s="2" t="s">
        <v>10</v>
      </c>
    </row>
    <row r="5977" ht="14.25" customHeight="1">
      <c r="A5977" s="1" t="s">
        <v>5087</v>
      </c>
      <c r="B5977" s="1" t="s">
        <v>8</v>
      </c>
      <c r="C5977" s="2" t="s">
        <v>32</v>
      </c>
      <c r="D5977" s="2">
        <v>7.3</v>
      </c>
      <c r="E5977" s="2">
        <v>1998.0</v>
      </c>
      <c r="F5977" s="2" t="s">
        <v>10</v>
      </c>
      <c r="G5977" s="2" t="s">
        <v>10</v>
      </c>
    </row>
    <row r="5978" ht="14.25" customHeight="1">
      <c r="A5978" s="1" t="s">
        <v>2572</v>
      </c>
      <c r="B5978" s="1" t="s">
        <v>8</v>
      </c>
      <c r="C5978" s="2" t="s">
        <v>151</v>
      </c>
      <c r="D5978" s="2">
        <v>7.3</v>
      </c>
      <c r="E5978" s="2">
        <v>1984.0</v>
      </c>
      <c r="F5978" s="2" t="s">
        <v>10</v>
      </c>
      <c r="G5978" s="2" t="s">
        <v>10</v>
      </c>
    </row>
    <row r="5979" ht="14.25" customHeight="1">
      <c r="A5979" s="1" t="s">
        <v>5088</v>
      </c>
      <c r="B5979" s="1" t="s">
        <v>20</v>
      </c>
      <c r="C5979" s="2" t="s">
        <v>169</v>
      </c>
      <c r="D5979" s="2">
        <v>7.3</v>
      </c>
      <c r="E5979" s="2">
        <v>2009.0</v>
      </c>
      <c r="F5979" s="2" t="s">
        <v>10</v>
      </c>
      <c r="G5979" s="2" t="s">
        <v>10</v>
      </c>
    </row>
    <row r="5980" ht="14.25" customHeight="1">
      <c r="A5980" s="1" t="s">
        <v>5089</v>
      </c>
      <c r="B5980" s="1" t="s">
        <v>20</v>
      </c>
      <c r="C5980" s="2" t="s">
        <v>945</v>
      </c>
      <c r="D5980" s="2">
        <v>7.3</v>
      </c>
      <c r="E5980" s="2">
        <v>1974.0</v>
      </c>
      <c r="F5980" s="2" t="s">
        <v>10</v>
      </c>
      <c r="G5980" s="2">
        <v>2580000.0</v>
      </c>
    </row>
    <row r="5981" ht="14.25" customHeight="1">
      <c r="A5981" s="1" t="s">
        <v>5089</v>
      </c>
      <c r="B5981" s="1" t="s">
        <v>20</v>
      </c>
      <c r="C5981" s="2" t="s">
        <v>945</v>
      </c>
      <c r="D5981" s="2">
        <v>7.3</v>
      </c>
      <c r="E5981" s="2">
        <v>1974.0</v>
      </c>
      <c r="F5981" s="2" t="s">
        <v>10</v>
      </c>
      <c r="G5981" s="2">
        <v>2400000.0</v>
      </c>
    </row>
    <row r="5982" ht="14.25" customHeight="1">
      <c r="A5982" s="1" t="s">
        <v>5090</v>
      </c>
      <c r="B5982" s="1" t="s">
        <v>8</v>
      </c>
      <c r="C5982" s="2" t="s">
        <v>14</v>
      </c>
      <c r="D5982" s="2">
        <v>7.3</v>
      </c>
      <c r="E5982" s="2">
        <v>2017.0</v>
      </c>
      <c r="F5982" s="2" t="s">
        <v>10</v>
      </c>
      <c r="G5982" s="2" t="s">
        <v>10</v>
      </c>
    </row>
    <row r="5983" ht="14.25" customHeight="1">
      <c r="A5983" s="1" t="s">
        <v>5091</v>
      </c>
      <c r="B5983" s="1" t="s">
        <v>20</v>
      </c>
      <c r="C5983" s="2" t="s">
        <v>44</v>
      </c>
      <c r="D5983" s="2">
        <v>7.3</v>
      </c>
      <c r="E5983" s="2">
        <v>2014.0</v>
      </c>
      <c r="F5983" s="2" t="s">
        <v>10</v>
      </c>
      <c r="G5983" s="2" t="s">
        <v>10</v>
      </c>
    </row>
    <row r="5984" ht="14.25" customHeight="1">
      <c r="A5984" s="1" t="s">
        <v>4277</v>
      </c>
      <c r="B5984" s="1" t="s">
        <v>8</v>
      </c>
      <c r="C5984" s="2" t="s">
        <v>32</v>
      </c>
      <c r="D5984" s="2">
        <v>7.3</v>
      </c>
      <c r="E5984" s="2">
        <v>2012.0</v>
      </c>
      <c r="F5984" s="2">
        <v>2014.0</v>
      </c>
      <c r="G5984" s="2" t="s">
        <v>10</v>
      </c>
    </row>
    <row r="5985" ht="14.25" customHeight="1">
      <c r="A5985" s="1" t="s">
        <v>2750</v>
      </c>
      <c r="B5985" s="1" t="s">
        <v>20</v>
      </c>
      <c r="C5985" s="2" t="s">
        <v>63</v>
      </c>
      <c r="D5985" s="2">
        <v>7.3</v>
      </c>
      <c r="E5985" s="2">
        <v>1972.0</v>
      </c>
      <c r="F5985" s="2">
        <v>2018.0</v>
      </c>
      <c r="G5985" s="2" t="s">
        <v>10</v>
      </c>
    </row>
    <row r="5986" ht="14.25" customHeight="1">
      <c r="A5986" s="1" t="s">
        <v>5092</v>
      </c>
      <c r="B5986" s="1" t="s">
        <v>20</v>
      </c>
      <c r="C5986" s="2" t="s">
        <v>63</v>
      </c>
      <c r="D5986" s="2">
        <v>7.3</v>
      </c>
      <c r="E5986" s="2">
        <v>2015.0</v>
      </c>
      <c r="F5986" s="2" t="s">
        <v>10</v>
      </c>
      <c r="G5986" s="2" t="s">
        <v>10</v>
      </c>
    </row>
    <row r="5987" ht="14.25" customHeight="1">
      <c r="A5987" s="1" t="s">
        <v>5093</v>
      </c>
      <c r="B5987" s="1" t="s">
        <v>8</v>
      </c>
      <c r="C5987" s="2" t="s">
        <v>80</v>
      </c>
      <c r="D5987" s="2">
        <v>7.3</v>
      </c>
      <c r="E5987" s="2">
        <v>2020.0</v>
      </c>
      <c r="F5987" s="2">
        <v>2020.0</v>
      </c>
      <c r="G5987" s="2" t="s">
        <v>10</v>
      </c>
    </row>
    <row r="5988" ht="14.25" customHeight="1">
      <c r="A5988" s="1" t="s">
        <v>5094</v>
      </c>
      <c r="B5988" s="1" t="s">
        <v>8</v>
      </c>
      <c r="C5988" s="2" t="s">
        <v>69</v>
      </c>
      <c r="D5988" s="2">
        <v>7.3</v>
      </c>
      <c r="E5988" s="2">
        <v>2013.0</v>
      </c>
      <c r="F5988" s="2" t="s">
        <v>10</v>
      </c>
      <c r="G5988" s="2" t="s">
        <v>10</v>
      </c>
    </row>
    <row r="5989" ht="14.25" customHeight="1">
      <c r="A5989" s="1" t="s">
        <v>5095</v>
      </c>
      <c r="B5989" s="1" t="s">
        <v>20</v>
      </c>
      <c r="C5989" s="2" t="s">
        <v>53</v>
      </c>
      <c r="D5989" s="2">
        <v>7.3</v>
      </c>
      <c r="E5989" s="2">
        <v>1927.0</v>
      </c>
      <c r="F5989" s="2" t="s">
        <v>10</v>
      </c>
      <c r="G5989" s="2" t="s">
        <v>10</v>
      </c>
    </row>
    <row r="5990" ht="14.25" customHeight="1">
      <c r="A5990" s="1" t="s">
        <v>5096</v>
      </c>
      <c r="B5990" s="1" t="s">
        <v>20</v>
      </c>
      <c r="C5990" s="2" t="s">
        <v>9</v>
      </c>
      <c r="D5990" s="2">
        <v>7.3</v>
      </c>
      <c r="E5990" s="2">
        <v>2019.0</v>
      </c>
      <c r="F5990" s="2" t="s">
        <v>10</v>
      </c>
      <c r="G5990" s="2" t="s">
        <v>10</v>
      </c>
    </row>
    <row r="5991" ht="14.25" customHeight="1">
      <c r="A5991" s="1" t="s">
        <v>5097</v>
      </c>
      <c r="B5991" s="1" t="s">
        <v>20</v>
      </c>
      <c r="C5991" s="2" t="s">
        <v>18</v>
      </c>
      <c r="D5991" s="2">
        <v>7.3</v>
      </c>
      <c r="E5991" s="2">
        <v>1956.0</v>
      </c>
      <c r="F5991" s="2" t="s">
        <v>10</v>
      </c>
      <c r="G5991" s="2" t="s">
        <v>10</v>
      </c>
    </row>
    <row r="5992" ht="14.25" customHeight="1">
      <c r="A5992" s="1" t="s">
        <v>5098</v>
      </c>
      <c r="B5992" s="1" t="s">
        <v>20</v>
      </c>
      <c r="C5992" s="2" t="s">
        <v>1042</v>
      </c>
      <c r="D5992" s="2">
        <v>7.3</v>
      </c>
      <c r="E5992" s="2">
        <v>2023.0</v>
      </c>
      <c r="F5992" s="2" t="s">
        <v>10</v>
      </c>
      <c r="G5992" s="2" t="s">
        <v>10</v>
      </c>
    </row>
    <row r="5993" ht="14.25" customHeight="1">
      <c r="A5993" s="1" t="s">
        <v>5099</v>
      </c>
      <c r="B5993" s="1" t="s">
        <v>8</v>
      </c>
      <c r="C5993" s="2" t="s">
        <v>14</v>
      </c>
      <c r="D5993" s="2">
        <v>7.3</v>
      </c>
      <c r="E5993" s="2">
        <v>2023.0</v>
      </c>
      <c r="F5993" s="2" t="s">
        <v>10</v>
      </c>
      <c r="G5993" s="2" t="s">
        <v>10</v>
      </c>
    </row>
    <row r="5994" ht="14.25" customHeight="1">
      <c r="A5994" s="1" t="s">
        <v>5100</v>
      </c>
      <c r="B5994" s="1" t="s">
        <v>8</v>
      </c>
      <c r="C5994" s="2" t="s">
        <v>53</v>
      </c>
      <c r="D5994" s="2">
        <v>7.3</v>
      </c>
      <c r="E5994" s="2">
        <v>2018.0</v>
      </c>
      <c r="F5994" s="2">
        <v>2020.0</v>
      </c>
      <c r="G5994" s="2" t="s">
        <v>10</v>
      </c>
    </row>
    <row r="5995" ht="14.25" customHeight="1">
      <c r="A5995" s="1" t="s">
        <v>5101</v>
      </c>
      <c r="B5995" s="1" t="s">
        <v>20</v>
      </c>
      <c r="C5995" s="2" t="s">
        <v>742</v>
      </c>
      <c r="D5995" s="2">
        <v>7.3</v>
      </c>
      <c r="E5995" s="2">
        <v>1999.0</v>
      </c>
      <c r="F5995" s="2" t="s">
        <v>10</v>
      </c>
      <c r="G5995" s="2" t="s">
        <v>10</v>
      </c>
    </row>
    <row r="5996" ht="14.25" customHeight="1">
      <c r="A5996" s="1" t="s">
        <v>5102</v>
      </c>
      <c r="B5996" s="1" t="s">
        <v>20</v>
      </c>
      <c r="C5996" s="2" t="s">
        <v>69</v>
      </c>
      <c r="D5996" s="2">
        <v>7.3</v>
      </c>
      <c r="E5996" s="2">
        <v>2014.0</v>
      </c>
      <c r="F5996" s="2" t="s">
        <v>10</v>
      </c>
      <c r="G5996" s="2" t="s">
        <v>10</v>
      </c>
    </row>
    <row r="5997" ht="14.25" customHeight="1">
      <c r="A5997" s="1" t="s">
        <v>5103</v>
      </c>
      <c r="B5997" s="1" t="s">
        <v>8</v>
      </c>
      <c r="C5997" s="2" t="s">
        <v>25</v>
      </c>
      <c r="D5997" s="2">
        <v>7.3</v>
      </c>
      <c r="E5997" s="2">
        <v>2024.0</v>
      </c>
      <c r="F5997" s="2" t="s">
        <v>10</v>
      </c>
      <c r="G5997" s="2" t="s">
        <v>10</v>
      </c>
    </row>
    <row r="5998" ht="14.25" customHeight="1">
      <c r="A5998" s="1" t="s">
        <v>5104</v>
      </c>
      <c r="B5998" s="1" t="s">
        <v>20</v>
      </c>
      <c r="C5998" s="2" t="s">
        <v>187</v>
      </c>
      <c r="D5998" s="2">
        <v>7.3</v>
      </c>
      <c r="E5998" s="2">
        <v>2007.0</v>
      </c>
      <c r="F5998" s="2" t="s">
        <v>10</v>
      </c>
      <c r="G5998" s="2" t="s">
        <v>10</v>
      </c>
    </row>
    <row r="5999" ht="14.25" customHeight="1">
      <c r="A5999" s="1" t="s">
        <v>5105</v>
      </c>
      <c r="B5999" s="1" t="s">
        <v>20</v>
      </c>
      <c r="C5999" s="2" t="s">
        <v>253</v>
      </c>
      <c r="D5999" s="2">
        <v>7.3</v>
      </c>
      <c r="E5999" s="2">
        <v>2010.0</v>
      </c>
      <c r="F5999" s="2" t="s">
        <v>10</v>
      </c>
      <c r="G5999" s="2" t="s">
        <v>10</v>
      </c>
    </row>
    <row r="6000" ht="14.25" customHeight="1">
      <c r="A6000" s="1" t="s">
        <v>5106</v>
      </c>
      <c r="B6000" s="1" t="s">
        <v>20</v>
      </c>
      <c r="C6000" s="2" t="s">
        <v>1037</v>
      </c>
      <c r="D6000" s="2">
        <v>7.3</v>
      </c>
      <c r="E6000" s="2">
        <v>1958.0</v>
      </c>
      <c r="F6000" s="2" t="s">
        <v>10</v>
      </c>
      <c r="G6000" s="2" t="s">
        <v>10</v>
      </c>
    </row>
    <row r="6001" ht="14.25" customHeight="1">
      <c r="A6001" s="1" t="s">
        <v>5107</v>
      </c>
      <c r="B6001" s="1" t="s">
        <v>8</v>
      </c>
      <c r="C6001" s="2" t="s">
        <v>69</v>
      </c>
      <c r="D6001" s="2">
        <v>7.3</v>
      </c>
      <c r="E6001" s="2">
        <v>2022.0</v>
      </c>
      <c r="F6001" s="2" t="s">
        <v>10</v>
      </c>
      <c r="G6001" s="2" t="s">
        <v>10</v>
      </c>
    </row>
    <row r="6002" ht="14.25" customHeight="1">
      <c r="A6002" s="1" t="s">
        <v>5108</v>
      </c>
      <c r="B6002" s="1" t="s">
        <v>8</v>
      </c>
      <c r="C6002" s="2" t="s">
        <v>1326</v>
      </c>
      <c r="D6002" s="2">
        <v>7.3</v>
      </c>
      <c r="E6002" s="2">
        <v>2023.0</v>
      </c>
      <c r="F6002" s="2" t="s">
        <v>10</v>
      </c>
      <c r="G6002" s="2" t="s">
        <v>10</v>
      </c>
    </row>
    <row r="6003" ht="14.25" customHeight="1">
      <c r="A6003" s="1" t="s">
        <v>5109</v>
      </c>
      <c r="B6003" s="1" t="s">
        <v>8</v>
      </c>
      <c r="C6003" s="2" t="s">
        <v>1734</v>
      </c>
      <c r="D6003" s="2">
        <v>7.3</v>
      </c>
      <c r="E6003" s="2">
        <v>2020.0</v>
      </c>
      <c r="F6003" s="2">
        <v>2020.0</v>
      </c>
      <c r="G6003" s="2">
        <v>1.406E7</v>
      </c>
    </row>
    <row r="6004" ht="14.25" customHeight="1">
      <c r="A6004" s="1" t="s">
        <v>5109</v>
      </c>
      <c r="B6004" s="1" t="s">
        <v>8</v>
      </c>
      <c r="C6004" s="2" t="s">
        <v>1734</v>
      </c>
      <c r="D6004" s="2">
        <v>7.3</v>
      </c>
      <c r="E6004" s="2">
        <v>2020.0</v>
      </c>
      <c r="F6004" s="2">
        <v>2020.0</v>
      </c>
      <c r="G6004" s="2">
        <v>1.893E7</v>
      </c>
    </row>
    <row r="6005" ht="14.25" customHeight="1">
      <c r="A6005" s="1" t="s">
        <v>5110</v>
      </c>
      <c r="B6005" s="1" t="s">
        <v>20</v>
      </c>
      <c r="C6005" s="2" t="s">
        <v>468</v>
      </c>
      <c r="D6005" s="2">
        <v>7.3</v>
      </c>
      <c r="E6005" s="2">
        <v>1963.0</v>
      </c>
      <c r="F6005" s="2" t="s">
        <v>10</v>
      </c>
      <c r="G6005" s="2" t="s">
        <v>10</v>
      </c>
    </row>
    <row r="6006" ht="14.25" customHeight="1">
      <c r="A6006" s="1" t="s">
        <v>5111</v>
      </c>
      <c r="B6006" s="1" t="s">
        <v>20</v>
      </c>
      <c r="C6006" s="2" t="s">
        <v>3466</v>
      </c>
      <c r="D6006" s="2">
        <v>7.3</v>
      </c>
      <c r="E6006" s="2">
        <v>2011.0</v>
      </c>
      <c r="F6006" s="2" t="s">
        <v>10</v>
      </c>
      <c r="G6006" s="2" t="s">
        <v>10</v>
      </c>
    </row>
    <row r="6007" ht="14.25" customHeight="1">
      <c r="A6007" s="1" t="s">
        <v>5112</v>
      </c>
      <c r="B6007" s="1" t="s">
        <v>20</v>
      </c>
      <c r="C6007" s="2" t="s">
        <v>25</v>
      </c>
      <c r="D6007" s="2">
        <v>7.3</v>
      </c>
      <c r="E6007" s="2">
        <v>2018.0</v>
      </c>
      <c r="F6007" s="2" t="s">
        <v>10</v>
      </c>
      <c r="G6007" s="2" t="s">
        <v>10</v>
      </c>
    </row>
    <row r="6008" ht="14.25" customHeight="1">
      <c r="A6008" s="1" t="s">
        <v>1638</v>
      </c>
      <c r="B6008" s="1" t="s">
        <v>8</v>
      </c>
      <c r="C6008" s="2" t="s">
        <v>25</v>
      </c>
      <c r="D6008" s="2">
        <v>7.3</v>
      </c>
      <c r="E6008" s="2">
        <v>1994.0</v>
      </c>
      <c r="F6008" s="2" t="s">
        <v>10</v>
      </c>
      <c r="G6008" s="2" t="s">
        <v>10</v>
      </c>
    </row>
    <row r="6009" ht="14.25" customHeight="1">
      <c r="A6009" s="1" t="s">
        <v>5113</v>
      </c>
      <c r="B6009" s="1" t="s">
        <v>20</v>
      </c>
      <c r="C6009" s="2" t="s">
        <v>207</v>
      </c>
      <c r="D6009" s="2">
        <v>7.3</v>
      </c>
      <c r="E6009" s="2">
        <v>1989.0</v>
      </c>
      <c r="F6009" s="2">
        <v>1989.0</v>
      </c>
      <c r="G6009" s="2" t="s">
        <v>10</v>
      </c>
    </row>
    <row r="6010" ht="14.25" customHeight="1">
      <c r="A6010" s="1" t="s">
        <v>5114</v>
      </c>
      <c r="B6010" s="1" t="s">
        <v>8</v>
      </c>
      <c r="C6010" s="2" t="s">
        <v>32</v>
      </c>
      <c r="D6010" s="2">
        <v>7.3</v>
      </c>
      <c r="E6010" s="2">
        <v>2017.0</v>
      </c>
      <c r="F6010" s="2">
        <v>2019.0</v>
      </c>
      <c r="G6010" s="2" t="s">
        <v>10</v>
      </c>
    </row>
    <row r="6011" ht="14.25" customHeight="1">
      <c r="A6011" s="1" t="s">
        <v>5115</v>
      </c>
      <c r="B6011" s="1" t="s">
        <v>20</v>
      </c>
      <c r="C6011" s="2" t="s">
        <v>1100</v>
      </c>
      <c r="D6011" s="2">
        <v>7.3</v>
      </c>
      <c r="E6011" s="2">
        <v>1933.0</v>
      </c>
      <c r="F6011" s="2" t="s">
        <v>10</v>
      </c>
      <c r="G6011" s="2" t="s">
        <v>10</v>
      </c>
    </row>
    <row r="6012" ht="14.25" customHeight="1">
      <c r="A6012" s="1" t="s">
        <v>5116</v>
      </c>
      <c r="B6012" s="1" t="s">
        <v>8</v>
      </c>
      <c r="C6012" s="2" t="s">
        <v>63</v>
      </c>
      <c r="D6012" s="2">
        <v>7.3</v>
      </c>
      <c r="E6012" s="2">
        <v>2021.0</v>
      </c>
      <c r="F6012" s="2" t="s">
        <v>10</v>
      </c>
      <c r="G6012" s="2" t="s">
        <v>10</v>
      </c>
    </row>
    <row r="6013" ht="14.25" customHeight="1">
      <c r="A6013" s="1" t="s">
        <v>5117</v>
      </c>
      <c r="B6013" s="1" t="s">
        <v>20</v>
      </c>
      <c r="C6013" s="2" t="s">
        <v>945</v>
      </c>
      <c r="D6013" s="2">
        <v>7.3</v>
      </c>
      <c r="E6013" s="2">
        <v>1978.0</v>
      </c>
      <c r="F6013" s="2" t="s">
        <v>10</v>
      </c>
      <c r="G6013" s="2" t="s">
        <v>10</v>
      </c>
    </row>
    <row r="6014" ht="14.25" customHeight="1">
      <c r="A6014" s="1" t="s">
        <v>5118</v>
      </c>
      <c r="B6014" s="1" t="s">
        <v>20</v>
      </c>
      <c r="C6014" s="2" t="s">
        <v>945</v>
      </c>
      <c r="D6014" s="2">
        <v>7.3</v>
      </c>
      <c r="E6014" s="2">
        <v>2014.0</v>
      </c>
      <c r="F6014" s="2" t="s">
        <v>10</v>
      </c>
      <c r="G6014" s="2" t="s">
        <v>10</v>
      </c>
    </row>
    <row r="6015" ht="14.25" customHeight="1">
      <c r="A6015" s="1" t="s">
        <v>5119</v>
      </c>
      <c r="B6015" s="1" t="s">
        <v>20</v>
      </c>
      <c r="C6015" s="2" t="s">
        <v>1784</v>
      </c>
      <c r="D6015" s="2">
        <v>7.3</v>
      </c>
      <c r="E6015" s="2">
        <v>2011.0</v>
      </c>
      <c r="F6015" s="2" t="s">
        <v>10</v>
      </c>
      <c r="G6015" s="2" t="s">
        <v>10</v>
      </c>
    </row>
    <row r="6016" ht="14.25" customHeight="1">
      <c r="A6016" s="1" t="s">
        <v>5120</v>
      </c>
      <c r="B6016" s="1" t="s">
        <v>20</v>
      </c>
      <c r="C6016" s="2" t="s">
        <v>833</v>
      </c>
      <c r="D6016" s="2">
        <v>7.3</v>
      </c>
      <c r="E6016" s="2">
        <v>1970.0</v>
      </c>
      <c r="F6016" s="2" t="s">
        <v>10</v>
      </c>
      <c r="G6016" s="2" t="s">
        <v>10</v>
      </c>
    </row>
    <row r="6017" ht="14.25" customHeight="1">
      <c r="A6017" s="1" t="s">
        <v>5121</v>
      </c>
      <c r="B6017" s="1" t="s">
        <v>20</v>
      </c>
      <c r="C6017" s="2" t="s">
        <v>18</v>
      </c>
      <c r="D6017" s="2">
        <v>7.3</v>
      </c>
      <c r="E6017" s="2">
        <v>1979.0</v>
      </c>
      <c r="F6017" s="2" t="s">
        <v>10</v>
      </c>
      <c r="G6017" s="2" t="s">
        <v>10</v>
      </c>
    </row>
    <row r="6018" ht="14.25" customHeight="1">
      <c r="A6018" s="1" t="s">
        <v>5122</v>
      </c>
      <c r="B6018" s="1" t="s">
        <v>20</v>
      </c>
      <c r="C6018" s="2" t="s">
        <v>12</v>
      </c>
      <c r="D6018" s="2">
        <v>7.3</v>
      </c>
      <c r="E6018" s="2">
        <v>2019.0</v>
      </c>
      <c r="F6018" s="2">
        <v>2019.0</v>
      </c>
      <c r="G6018" s="2" t="s">
        <v>10</v>
      </c>
    </row>
    <row r="6019" ht="14.25" customHeight="1">
      <c r="A6019" s="1" t="s">
        <v>5123</v>
      </c>
      <c r="B6019" s="1" t="s">
        <v>8</v>
      </c>
      <c r="C6019" s="2" t="s">
        <v>284</v>
      </c>
      <c r="D6019" s="2">
        <v>7.3</v>
      </c>
      <c r="E6019" s="2">
        <v>2015.0</v>
      </c>
      <c r="F6019" s="2">
        <v>2019.0</v>
      </c>
      <c r="G6019" s="2" t="s">
        <v>10</v>
      </c>
    </row>
    <row r="6020" ht="14.25" customHeight="1">
      <c r="A6020" s="1" t="s">
        <v>5124</v>
      </c>
      <c r="B6020" s="1" t="s">
        <v>20</v>
      </c>
      <c r="C6020" s="2" t="s">
        <v>1334</v>
      </c>
      <c r="D6020" s="2">
        <v>7.3</v>
      </c>
      <c r="E6020" s="2">
        <v>1948.0</v>
      </c>
      <c r="F6020" s="2" t="s">
        <v>10</v>
      </c>
      <c r="G6020" s="2" t="s">
        <v>10</v>
      </c>
    </row>
    <row r="6021" ht="14.25" customHeight="1">
      <c r="A6021" s="1" t="s">
        <v>5125</v>
      </c>
      <c r="B6021" s="1" t="s">
        <v>20</v>
      </c>
      <c r="C6021" s="2" t="s">
        <v>1932</v>
      </c>
      <c r="D6021" s="2">
        <v>7.3</v>
      </c>
      <c r="E6021" s="2">
        <v>1953.0</v>
      </c>
      <c r="F6021" s="2" t="s">
        <v>10</v>
      </c>
      <c r="G6021" s="2" t="s">
        <v>10</v>
      </c>
    </row>
    <row r="6022" ht="14.25" customHeight="1">
      <c r="A6022" s="1" t="s">
        <v>5126</v>
      </c>
      <c r="B6022" s="1" t="s">
        <v>20</v>
      </c>
      <c r="C6022" s="2" t="s">
        <v>497</v>
      </c>
      <c r="D6022" s="2">
        <v>7.3</v>
      </c>
      <c r="E6022" s="2">
        <v>2017.0</v>
      </c>
      <c r="F6022" s="2" t="s">
        <v>10</v>
      </c>
      <c r="G6022" s="2" t="s">
        <v>10</v>
      </c>
    </row>
    <row r="6023" ht="14.25" customHeight="1">
      <c r="A6023" s="1" t="s">
        <v>1494</v>
      </c>
      <c r="B6023" s="1" t="s">
        <v>8</v>
      </c>
      <c r="C6023" s="2" t="s">
        <v>591</v>
      </c>
      <c r="D6023" s="2">
        <v>7.3</v>
      </c>
      <c r="E6023" s="2">
        <v>2019.0</v>
      </c>
      <c r="F6023" s="2" t="s">
        <v>10</v>
      </c>
      <c r="G6023" s="2" t="s">
        <v>10</v>
      </c>
    </row>
    <row r="6024" ht="14.25" customHeight="1">
      <c r="A6024" s="1" t="s">
        <v>5127</v>
      </c>
      <c r="B6024" s="1" t="s">
        <v>20</v>
      </c>
      <c r="C6024" s="2" t="s">
        <v>18</v>
      </c>
      <c r="D6024" s="2">
        <v>7.3</v>
      </c>
      <c r="E6024" s="2">
        <v>2013.0</v>
      </c>
      <c r="F6024" s="2" t="s">
        <v>10</v>
      </c>
      <c r="G6024" s="2" t="s">
        <v>10</v>
      </c>
    </row>
    <row r="6025" ht="14.25" customHeight="1">
      <c r="A6025" s="1" t="s">
        <v>5128</v>
      </c>
      <c r="B6025" s="1" t="s">
        <v>20</v>
      </c>
      <c r="C6025" s="2" t="s">
        <v>154</v>
      </c>
      <c r="D6025" s="2">
        <v>7.3</v>
      </c>
      <c r="E6025" s="2">
        <v>1954.0</v>
      </c>
      <c r="F6025" s="2" t="s">
        <v>10</v>
      </c>
      <c r="G6025" s="2" t="s">
        <v>10</v>
      </c>
    </row>
    <row r="6026" ht="14.25" customHeight="1">
      <c r="A6026" s="1" t="s">
        <v>5129</v>
      </c>
      <c r="B6026" s="1" t="s">
        <v>20</v>
      </c>
      <c r="C6026" s="2" t="s">
        <v>18</v>
      </c>
      <c r="D6026" s="2">
        <v>7.3</v>
      </c>
      <c r="E6026" s="2">
        <v>1958.0</v>
      </c>
      <c r="F6026" s="2" t="s">
        <v>10</v>
      </c>
      <c r="G6026" s="2" t="s">
        <v>10</v>
      </c>
    </row>
    <row r="6027" ht="14.25" customHeight="1">
      <c r="A6027" s="1" t="s">
        <v>5130</v>
      </c>
      <c r="B6027" s="1" t="s">
        <v>20</v>
      </c>
      <c r="C6027" s="2" t="s">
        <v>3409</v>
      </c>
      <c r="D6027" s="2">
        <v>7.3</v>
      </c>
      <c r="E6027" s="2">
        <v>1964.0</v>
      </c>
      <c r="F6027" s="2" t="s">
        <v>10</v>
      </c>
      <c r="G6027" s="2" t="s">
        <v>10</v>
      </c>
    </row>
    <row r="6028" ht="14.25" customHeight="1">
      <c r="A6028" s="1" t="s">
        <v>5131</v>
      </c>
      <c r="B6028" s="1" t="s">
        <v>20</v>
      </c>
      <c r="C6028" s="2" t="s">
        <v>187</v>
      </c>
      <c r="D6028" s="2">
        <v>7.3</v>
      </c>
      <c r="E6028" s="2">
        <v>1989.0</v>
      </c>
      <c r="F6028" s="2" t="s">
        <v>10</v>
      </c>
      <c r="G6028" s="2" t="s">
        <v>10</v>
      </c>
    </row>
    <row r="6029" ht="14.25" customHeight="1">
      <c r="A6029" s="1" t="s">
        <v>5132</v>
      </c>
      <c r="B6029" s="1" t="s">
        <v>20</v>
      </c>
      <c r="C6029" s="2" t="s">
        <v>169</v>
      </c>
      <c r="D6029" s="2">
        <v>7.3</v>
      </c>
      <c r="E6029" s="2">
        <v>1956.0</v>
      </c>
      <c r="F6029" s="2" t="s">
        <v>10</v>
      </c>
      <c r="G6029" s="2" t="s">
        <v>10</v>
      </c>
    </row>
    <row r="6030" ht="14.25" customHeight="1">
      <c r="A6030" s="1" t="s">
        <v>5133</v>
      </c>
      <c r="B6030" s="1" t="s">
        <v>20</v>
      </c>
      <c r="C6030" s="2" t="s">
        <v>154</v>
      </c>
      <c r="D6030" s="2">
        <v>7.3</v>
      </c>
      <c r="E6030" s="2">
        <v>2015.0</v>
      </c>
      <c r="F6030" s="2">
        <v>2015.0</v>
      </c>
      <c r="G6030" s="2" t="s">
        <v>10</v>
      </c>
    </row>
    <row r="6031" ht="14.25" customHeight="1">
      <c r="A6031" s="1" t="s">
        <v>5134</v>
      </c>
      <c r="B6031" s="1" t="s">
        <v>20</v>
      </c>
      <c r="C6031" s="2" t="s">
        <v>192</v>
      </c>
      <c r="D6031" s="2">
        <v>7.3</v>
      </c>
      <c r="E6031" s="2">
        <v>1979.0</v>
      </c>
      <c r="F6031" s="2" t="s">
        <v>10</v>
      </c>
      <c r="G6031" s="2" t="s">
        <v>10</v>
      </c>
    </row>
    <row r="6032" ht="14.25" customHeight="1">
      <c r="A6032" s="1" t="s">
        <v>5135</v>
      </c>
      <c r="B6032" s="1" t="s">
        <v>20</v>
      </c>
      <c r="C6032" s="2" t="s">
        <v>284</v>
      </c>
      <c r="D6032" s="2">
        <v>7.3</v>
      </c>
      <c r="E6032" s="2">
        <v>1943.0</v>
      </c>
      <c r="F6032" s="2" t="s">
        <v>10</v>
      </c>
      <c r="G6032" s="2" t="s">
        <v>10</v>
      </c>
    </row>
    <row r="6033" ht="14.25" customHeight="1">
      <c r="A6033" s="1" t="s">
        <v>5136</v>
      </c>
      <c r="B6033" s="1" t="s">
        <v>8</v>
      </c>
      <c r="C6033" s="2" t="s">
        <v>169</v>
      </c>
      <c r="D6033" s="2">
        <v>7.3</v>
      </c>
      <c r="E6033" s="2">
        <v>2014.0</v>
      </c>
      <c r="F6033" s="2" t="s">
        <v>10</v>
      </c>
      <c r="G6033" s="2" t="s">
        <v>10</v>
      </c>
    </row>
    <row r="6034" ht="14.25" customHeight="1">
      <c r="A6034" s="1" t="s">
        <v>5137</v>
      </c>
      <c r="B6034" s="1" t="s">
        <v>20</v>
      </c>
      <c r="C6034" s="2" t="s">
        <v>192</v>
      </c>
      <c r="D6034" s="2">
        <v>7.3</v>
      </c>
      <c r="E6034" s="2">
        <v>1955.0</v>
      </c>
      <c r="F6034" s="2" t="s">
        <v>10</v>
      </c>
      <c r="G6034" s="2" t="s">
        <v>10</v>
      </c>
    </row>
    <row r="6035" ht="14.25" customHeight="1">
      <c r="A6035" s="1" t="s">
        <v>5138</v>
      </c>
      <c r="B6035" s="1" t="s">
        <v>20</v>
      </c>
      <c r="C6035" s="2" t="s">
        <v>105</v>
      </c>
      <c r="D6035" s="2">
        <v>7.3</v>
      </c>
      <c r="E6035" s="2">
        <v>1984.0</v>
      </c>
      <c r="F6035" s="2" t="s">
        <v>10</v>
      </c>
      <c r="G6035" s="2" t="s">
        <v>10</v>
      </c>
    </row>
    <row r="6036" ht="14.25" customHeight="1">
      <c r="A6036" s="1" t="s">
        <v>5139</v>
      </c>
      <c r="B6036" s="1" t="s">
        <v>20</v>
      </c>
      <c r="C6036" s="2" t="s">
        <v>452</v>
      </c>
      <c r="D6036" s="2">
        <v>7.3</v>
      </c>
      <c r="E6036" s="2">
        <v>1983.0</v>
      </c>
      <c r="F6036" s="2" t="s">
        <v>10</v>
      </c>
      <c r="G6036" s="2" t="s">
        <v>10</v>
      </c>
    </row>
    <row r="6037" ht="14.25" customHeight="1">
      <c r="A6037" s="1" t="s">
        <v>5140</v>
      </c>
      <c r="B6037" s="1" t="s">
        <v>8</v>
      </c>
      <c r="C6037" s="2" t="s">
        <v>125</v>
      </c>
      <c r="D6037" s="2">
        <v>7.3</v>
      </c>
      <c r="E6037" s="2">
        <v>2022.0</v>
      </c>
      <c r="F6037" s="2" t="s">
        <v>10</v>
      </c>
      <c r="G6037" s="2" t="s">
        <v>10</v>
      </c>
    </row>
    <row r="6038" ht="14.25" customHeight="1">
      <c r="A6038" s="1" t="s">
        <v>5141</v>
      </c>
      <c r="B6038" s="1" t="s">
        <v>20</v>
      </c>
      <c r="C6038" s="2" t="s">
        <v>118</v>
      </c>
      <c r="D6038" s="2">
        <v>7.3</v>
      </c>
      <c r="E6038" s="2">
        <v>1945.0</v>
      </c>
      <c r="F6038" s="2" t="s">
        <v>10</v>
      </c>
      <c r="G6038" s="2" t="s">
        <v>10</v>
      </c>
    </row>
    <row r="6039" ht="14.25" customHeight="1">
      <c r="A6039" s="1" t="s">
        <v>5142</v>
      </c>
      <c r="B6039" s="1" t="s">
        <v>20</v>
      </c>
      <c r="C6039" s="2" t="s">
        <v>249</v>
      </c>
      <c r="D6039" s="2">
        <v>7.3</v>
      </c>
      <c r="E6039" s="2">
        <v>1955.0</v>
      </c>
      <c r="F6039" s="2" t="s">
        <v>10</v>
      </c>
      <c r="G6039" s="2" t="s">
        <v>10</v>
      </c>
    </row>
    <row r="6040" ht="14.25" customHeight="1">
      <c r="A6040" s="1" t="s">
        <v>5143</v>
      </c>
      <c r="B6040" s="1" t="s">
        <v>20</v>
      </c>
      <c r="C6040" s="2" t="s">
        <v>25</v>
      </c>
      <c r="D6040" s="2">
        <v>7.3</v>
      </c>
      <c r="E6040" s="2">
        <v>2005.0</v>
      </c>
      <c r="F6040" s="2" t="s">
        <v>10</v>
      </c>
      <c r="G6040" s="2" t="s">
        <v>10</v>
      </c>
    </row>
    <row r="6041" ht="14.25" customHeight="1">
      <c r="A6041" s="1" t="s">
        <v>5144</v>
      </c>
      <c r="B6041" s="1" t="s">
        <v>8</v>
      </c>
      <c r="C6041" s="2" t="s">
        <v>36</v>
      </c>
      <c r="D6041" s="2">
        <v>7.3</v>
      </c>
      <c r="E6041" s="2">
        <v>2021.0</v>
      </c>
      <c r="F6041" s="2" t="s">
        <v>10</v>
      </c>
      <c r="G6041" s="2" t="s">
        <v>10</v>
      </c>
    </row>
    <row r="6042" ht="14.25" customHeight="1">
      <c r="A6042" s="1" t="s">
        <v>5145</v>
      </c>
      <c r="B6042" s="1" t="s">
        <v>20</v>
      </c>
      <c r="C6042" s="2" t="s">
        <v>12</v>
      </c>
      <c r="D6042" s="2">
        <v>7.3</v>
      </c>
      <c r="E6042" s="2">
        <v>2002.0</v>
      </c>
      <c r="F6042" s="2" t="s">
        <v>10</v>
      </c>
      <c r="G6042" s="2" t="s">
        <v>10</v>
      </c>
    </row>
    <row r="6043" ht="14.25" customHeight="1">
      <c r="A6043" s="1" t="s">
        <v>5146</v>
      </c>
      <c r="B6043" s="1" t="s">
        <v>8</v>
      </c>
      <c r="C6043" s="2" t="s">
        <v>55</v>
      </c>
      <c r="D6043" s="2">
        <v>7.3</v>
      </c>
      <c r="E6043" s="2">
        <v>2002.0</v>
      </c>
      <c r="F6043" s="2" t="s">
        <v>10</v>
      </c>
      <c r="G6043" s="2" t="s">
        <v>10</v>
      </c>
    </row>
    <row r="6044" ht="14.25" customHeight="1">
      <c r="A6044" s="1" t="s">
        <v>5147</v>
      </c>
      <c r="B6044" s="1" t="s">
        <v>8</v>
      </c>
      <c r="C6044" s="2" t="s">
        <v>53</v>
      </c>
      <c r="D6044" s="2">
        <v>7.3</v>
      </c>
      <c r="E6044" s="2">
        <v>2021.0</v>
      </c>
      <c r="F6044" s="2" t="s">
        <v>10</v>
      </c>
      <c r="G6044" s="2" t="s">
        <v>10</v>
      </c>
    </row>
    <row r="6045" ht="14.25" customHeight="1">
      <c r="A6045" s="1" t="s">
        <v>5148</v>
      </c>
      <c r="B6045" s="1" t="s">
        <v>8</v>
      </c>
      <c r="C6045" s="2" t="s">
        <v>118</v>
      </c>
      <c r="D6045" s="2">
        <v>7.3</v>
      </c>
      <c r="E6045" s="2">
        <v>2018.0</v>
      </c>
      <c r="F6045" s="2" t="s">
        <v>10</v>
      </c>
      <c r="G6045" s="2" t="s">
        <v>10</v>
      </c>
    </row>
    <row r="6046" ht="14.25" customHeight="1">
      <c r="A6046" s="1" t="s">
        <v>2881</v>
      </c>
      <c r="B6046" s="1" t="s">
        <v>20</v>
      </c>
      <c r="C6046" s="2" t="s">
        <v>44</v>
      </c>
      <c r="D6046" s="2">
        <v>7.3</v>
      </c>
      <c r="E6046" s="2">
        <v>2016.0</v>
      </c>
      <c r="F6046" s="2">
        <v>2018.0</v>
      </c>
      <c r="G6046" s="2" t="s">
        <v>10</v>
      </c>
    </row>
    <row r="6047" ht="14.25" customHeight="1">
      <c r="A6047" s="1" t="s">
        <v>5149</v>
      </c>
      <c r="B6047" s="1" t="s">
        <v>20</v>
      </c>
      <c r="C6047" s="2" t="s">
        <v>118</v>
      </c>
      <c r="D6047" s="2">
        <v>7.3</v>
      </c>
      <c r="E6047" s="2">
        <v>1940.0</v>
      </c>
      <c r="F6047" s="2" t="s">
        <v>10</v>
      </c>
      <c r="G6047" s="2" t="s">
        <v>10</v>
      </c>
    </row>
    <row r="6048" ht="14.25" customHeight="1">
      <c r="A6048" s="1" t="s">
        <v>5150</v>
      </c>
      <c r="B6048" s="1" t="s">
        <v>20</v>
      </c>
      <c r="C6048" s="2" t="s">
        <v>63</v>
      </c>
      <c r="D6048" s="2">
        <v>7.3</v>
      </c>
      <c r="E6048" s="2">
        <v>2003.0</v>
      </c>
      <c r="F6048" s="2" t="s">
        <v>10</v>
      </c>
      <c r="G6048" s="2" t="s">
        <v>10</v>
      </c>
    </row>
    <row r="6049" ht="14.25" customHeight="1">
      <c r="A6049" s="1" t="s">
        <v>5151</v>
      </c>
      <c r="B6049" s="1" t="s">
        <v>20</v>
      </c>
      <c r="C6049" s="2" t="s">
        <v>497</v>
      </c>
      <c r="D6049" s="2">
        <v>7.3</v>
      </c>
      <c r="E6049" s="2">
        <v>2015.0</v>
      </c>
      <c r="F6049" s="2" t="s">
        <v>10</v>
      </c>
      <c r="G6049" s="2" t="s">
        <v>10</v>
      </c>
    </row>
    <row r="6050" ht="14.25" customHeight="1">
      <c r="A6050" s="1" t="s">
        <v>5152</v>
      </c>
      <c r="B6050" s="1" t="s">
        <v>20</v>
      </c>
      <c r="C6050" s="2" t="s">
        <v>63</v>
      </c>
      <c r="D6050" s="2">
        <v>7.3</v>
      </c>
      <c r="E6050" s="2">
        <v>2009.0</v>
      </c>
      <c r="F6050" s="2" t="s">
        <v>10</v>
      </c>
      <c r="G6050" s="2" t="s">
        <v>10</v>
      </c>
    </row>
    <row r="6051" ht="14.25" customHeight="1">
      <c r="A6051" s="1" t="s">
        <v>5153</v>
      </c>
      <c r="B6051" s="1" t="s">
        <v>20</v>
      </c>
      <c r="C6051" s="2" t="s">
        <v>476</v>
      </c>
      <c r="D6051" s="2">
        <v>7.3</v>
      </c>
      <c r="E6051" s="2">
        <v>1946.0</v>
      </c>
      <c r="F6051" s="2" t="s">
        <v>10</v>
      </c>
      <c r="G6051" s="2" t="s">
        <v>10</v>
      </c>
    </row>
    <row r="6052" ht="14.25" customHeight="1">
      <c r="A6052" s="1" t="s">
        <v>5154</v>
      </c>
      <c r="B6052" s="1" t="s">
        <v>8</v>
      </c>
      <c r="C6052" s="2" t="s">
        <v>9</v>
      </c>
      <c r="D6052" s="2">
        <v>7.3</v>
      </c>
      <c r="E6052" s="2">
        <v>2019.0</v>
      </c>
      <c r="F6052" s="2" t="s">
        <v>10</v>
      </c>
      <c r="G6052" s="2" t="s">
        <v>10</v>
      </c>
    </row>
    <row r="6053" ht="14.25" customHeight="1">
      <c r="A6053" s="1" t="s">
        <v>5155</v>
      </c>
      <c r="B6053" s="1" t="s">
        <v>20</v>
      </c>
      <c r="C6053" s="2" t="s">
        <v>663</v>
      </c>
      <c r="D6053" s="2">
        <v>7.3</v>
      </c>
      <c r="E6053" s="2">
        <v>1994.0</v>
      </c>
      <c r="F6053" s="2">
        <v>2016.0</v>
      </c>
      <c r="G6053" s="2" t="s">
        <v>10</v>
      </c>
    </row>
    <row r="6054" ht="14.25" customHeight="1">
      <c r="A6054" s="1" t="s">
        <v>5156</v>
      </c>
      <c r="B6054" s="1" t="s">
        <v>8</v>
      </c>
      <c r="C6054" s="2" t="s">
        <v>299</v>
      </c>
      <c r="D6054" s="2">
        <v>7.3</v>
      </c>
      <c r="E6054" s="2">
        <v>2020.0</v>
      </c>
      <c r="F6054" s="2" t="s">
        <v>10</v>
      </c>
      <c r="G6054" s="2" t="s">
        <v>10</v>
      </c>
    </row>
    <row r="6055" ht="14.25" customHeight="1">
      <c r="A6055" s="1" t="s">
        <v>5157</v>
      </c>
      <c r="B6055" s="1" t="s">
        <v>8</v>
      </c>
      <c r="C6055" s="2" t="s">
        <v>1844</v>
      </c>
      <c r="D6055" s="2">
        <v>7.3</v>
      </c>
      <c r="E6055" s="2">
        <v>2007.0</v>
      </c>
      <c r="F6055" s="2" t="s">
        <v>10</v>
      </c>
      <c r="G6055" s="2" t="s">
        <v>10</v>
      </c>
    </row>
    <row r="6056" ht="14.25" customHeight="1">
      <c r="A6056" s="1" t="s">
        <v>5158</v>
      </c>
      <c r="B6056" s="1" t="s">
        <v>20</v>
      </c>
      <c r="C6056" s="2" t="s">
        <v>307</v>
      </c>
      <c r="D6056" s="2">
        <v>7.3</v>
      </c>
      <c r="E6056" s="2">
        <v>2003.0</v>
      </c>
      <c r="F6056" s="2" t="s">
        <v>10</v>
      </c>
      <c r="G6056" s="2" t="s">
        <v>10</v>
      </c>
    </row>
    <row r="6057" ht="14.25" customHeight="1">
      <c r="A6057" s="1" t="s">
        <v>5159</v>
      </c>
      <c r="B6057" s="1" t="s">
        <v>20</v>
      </c>
      <c r="C6057" s="2" t="s">
        <v>623</v>
      </c>
      <c r="D6057" s="2">
        <v>7.3</v>
      </c>
      <c r="E6057" s="2">
        <v>1980.0</v>
      </c>
      <c r="F6057" s="2" t="s">
        <v>10</v>
      </c>
      <c r="G6057" s="2" t="s">
        <v>10</v>
      </c>
    </row>
    <row r="6058" ht="14.25" customHeight="1">
      <c r="A6058" s="1" t="s">
        <v>5160</v>
      </c>
      <c r="B6058" s="1" t="s">
        <v>8</v>
      </c>
      <c r="C6058" s="2" t="s">
        <v>1726</v>
      </c>
      <c r="D6058" s="2">
        <v>7.3</v>
      </c>
      <c r="E6058" s="2">
        <v>1959.0</v>
      </c>
      <c r="F6058" s="2" t="s">
        <v>10</v>
      </c>
      <c r="G6058" s="2" t="s">
        <v>10</v>
      </c>
    </row>
    <row r="6059" ht="14.25" customHeight="1">
      <c r="A6059" s="1" t="s">
        <v>5161</v>
      </c>
      <c r="B6059" s="1" t="s">
        <v>8</v>
      </c>
      <c r="C6059" s="2" t="s">
        <v>284</v>
      </c>
      <c r="D6059" s="2">
        <v>7.3</v>
      </c>
      <c r="E6059" s="2">
        <v>2022.0</v>
      </c>
      <c r="F6059" s="2" t="s">
        <v>10</v>
      </c>
      <c r="G6059" s="2" t="s">
        <v>10</v>
      </c>
    </row>
    <row r="6060" ht="14.25" customHeight="1">
      <c r="A6060" s="1" t="s">
        <v>5162</v>
      </c>
      <c r="B6060" s="1" t="s">
        <v>8</v>
      </c>
      <c r="C6060" s="2" t="s">
        <v>75</v>
      </c>
      <c r="D6060" s="2">
        <v>7.3</v>
      </c>
      <c r="E6060" s="2">
        <v>2022.0</v>
      </c>
      <c r="F6060" s="2" t="s">
        <v>10</v>
      </c>
      <c r="G6060" s="2">
        <v>2.462E7</v>
      </c>
    </row>
    <row r="6061" ht="14.25" customHeight="1">
      <c r="A6061" s="1" t="s">
        <v>5163</v>
      </c>
      <c r="B6061" s="1" t="s">
        <v>20</v>
      </c>
      <c r="C6061" s="2" t="s">
        <v>18</v>
      </c>
      <c r="D6061" s="2">
        <v>7.3</v>
      </c>
      <c r="E6061" s="2">
        <v>2006.0</v>
      </c>
      <c r="F6061" s="2" t="s">
        <v>10</v>
      </c>
      <c r="G6061" s="2" t="s">
        <v>10</v>
      </c>
    </row>
    <row r="6062" ht="14.25" customHeight="1">
      <c r="A6062" s="1" t="s">
        <v>5164</v>
      </c>
      <c r="B6062" s="1" t="s">
        <v>8</v>
      </c>
      <c r="C6062" s="2" t="s">
        <v>305</v>
      </c>
      <c r="D6062" s="2">
        <v>7.3</v>
      </c>
      <c r="E6062" s="2">
        <v>1962.0</v>
      </c>
      <c r="F6062" s="2" t="s">
        <v>10</v>
      </c>
      <c r="G6062" s="2" t="s">
        <v>10</v>
      </c>
    </row>
    <row r="6063" ht="14.25" customHeight="1">
      <c r="A6063" s="1" t="s">
        <v>5165</v>
      </c>
      <c r="B6063" s="1" t="s">
        <v>8</v>
      </c>
      <c r="C6063" s="2" t="s">
        <v>838</v>
      </c>
      <c r="D6063" s="2">
        <v>7.3</v>
      </c>
      <c r="E6063" s="2">
        <v>2018.0</v>
      </c>
      <c r="F6063" s="2">
        <v>2019.0</v>
      </c>
      <c r="G6063" s="2" t="s">
        <v>10</v>
      </c>
    </row>
    <row r="6064" ht="14.25" customHeight="1">
      <c r="A6064" s="1" t="s">
        <v>5166</v>
      </c>
      <c r="B6064" s="1" t="s">
        <v>20</v>
      </c>
      <c r="C6064" s="2" t="s">
        <v>5167</v>
      </c>
      <c r="D6064" s="2">
        <v>7.3</v>
      </c>
      <c r="E6064" s="2">
        <v>1948.0</v>
      </c>
      <c r="F6064" s="2" t="s">
        <v>10</v>
      </c>
      <c r="G6064" s="2" t="s">
        <v>10</v>
      </c>
    </row>
    <row r="6065" ht="14.25" customHeight="1">
      <c r="A6065" s="1" t="s">
        <v>5168</v>
      </c>
      <c r="B6065" s="1" t="s">
        <v>8</v>
      </c>
      <c r="C6065" s="2" t="s">
        <v>32</v>
      </c>
      <c r="D6065" s="2">
        <v>7.3</v>
      </c>
      <c r="E6065" s="2">
        <v>2019.0</v>
      </c>
      <c r="F6065" s="2" t="s">
        <v>10</v>
      </c>
      <c r="G6065" s="2" t="s">
        <v>10</v>
      </c>
    </row>
    <row r="6066" ht="14.25" customHeight="1">
      <c r="A6066" s="1" t="s">
        <v>5169</v>
      </c>
      <c r="B6066" s="1" t="s">
        <v>20</v>
      </c>
      <c r="C6066" s="2" t="s">
        <v>184</v>
      </c>
      <c r="D6066" s="2">
        <v>7.3</v>
      </c>
      <c r="E6066" s="2">
        <v>2011.0</v>
      </c>
      <c r="F6066" s="2">
        <v>2018.0</v>
      </c>
      <c r="G6066" s="2" t="s">
        <v>10</v>
      </c>
    </row>
    <row r="6067" ht="14.25" customHeight="1">
      <c r="A6067" s="1" t="s">
        <v>3132</v>
      </c>
      <c r="B6067" s="1" t="s">
        <v>20</v>
      </c>
      <c r="C6067" s="2" t="s">
        <v>154</v>
      </c>
      <c r="D6067" s="2">
        <v>7.3</v>
      </c>
      <c r="E6067" s="2">
        <v>1937.0</v>
      </c>
      <c r="F6067" s="2" t="s">
        <v>10</v>
      </c>
      <c r="G6067" s="2" t="s">
        <v>10</v>
      </c>
    </row>
    <row r="6068" ht="14.25" customHeight="1">
      <c r="A6068" s="1" t="s">
        <v>5170</v>
      </c>
      <c r="B6068" s="1" t="s">
        <v>20</v>
      </c>
      <c r="C6068" s="2" t="s">
        <v>187</v>
      </c>
      <c r="D6068" s="2">
        <v>7.3</v>
      </c>
      <c r="E6068" s="2">
        <v>2010.0</v>
      </c>
      <c r="F6068" s="2">
        <v>2009.0</v>
      </c>
      <c r="G6068" s="2" t="s">
        <v>10</v>
      </c>
    </row>
    <row r="6069" ht="14.25" customHeight="1">
      <c r="A6069" s="1" t="s">
        <v>5171</v>
      </c>
      <c r="B6069" s="1" t="s">
        <v>20</v>
      </c>
      <c r="C6069" s="2" t="s">
        <v>217</v>
      </c>
      <c r="D6069" s="2">
        <v>7.3</v>
      </c>
      <c r="E6069" s="2">
        <v>1998.0</v>
      </c>
      <c r="F6069" s="2" t="s">
        <v>10</v>
      </c>
      <c r="G6069" s="2" t="s">
        <v>10</v>
      </c>
    </row>
    <row r="6070" ht="14.25" customHeight="1">
      <c r="A6070" s="1" t="s">
        <v>5172</v>
      </c>
      <c r="B6070" s="1" t="s">
        <v>20</v>
      </c>
      <c r="C6070" s="2" t="s">
        <v>613</v>
      </c>
      <c r="D6070" s="2">
        <v>7.3</v>
      </c>
      <c r="E6070" s="2">
        <v>1988.0</v>
      </c>
      <c r="F6070" s="2" t="s">
        <v>10</v>
      </c>
      <c r="G6070" s="2" t="s">
        <v>10</v>
      </c>
    </row>
    <row r="6071" ht="14.25" customHeight="1">
      <c r="A6071" s="1" t="s">
        <v>5173</v>
      </c>
      <c r="B6071" s="1" t="s">
        <v>20</v>
      </c>
      <c r="C6071" s="2" t="s">
        <v>963</v>
      </c>
      <c r="D6071" s="2">
        <v>7.3</v>
      </c>
      <c r="E6071" s="2">
        <v>1981.0</v>
      </c>
      <c r="F6071" s="2" t="s">
        <v>10</v>
      </c>
      <c r="G6071" s="2" t="s">
        <v>10</v>
      </c>
    </row>
    <row r="6072" ht="14.25" customHeight="1">
      <c r="A6072" s="1" t="s">
        <v>5174</v>
      </c>
      <c r="B6072" s="1" t="s">
        <v>20</v>
      </c>
      <c r="C6072" s="2" t="s">
        <v>339</v>
      </c>
      <c r="D6072" s="2">
        <v>7.3</v>
      </c>
      <c r="E6072" s="2">
        <v>2023.0</v>
      </c>
      <c r="F6072" s="2" t="s">
        <v>10</v>
      </c>
      <c r="G6072" s="2">
        <v>2430000.0</v>
      </c>
    </row>
    <row r="6073" ht="14.25" customHeight="1">
      <c r="A6073" s="1" t="s">
        <v>5175</v>
      </c>
      <c r="B6073" s="1" t="s">
        <v>20</v>
      </c>
      <c r="C6073" s="2" t="s">
        <v>69</v>
      </c>
      <c r="D6073" s="2">
        <v>7.3</v>
      </c>
      <c r="E6073" s="2">
        <v>2008.0</v>
      </c>
      <c r="F6073" s="2" t="s">
        <v>10</v>
      </c>
      <c r="G6073" s="2" t="s">
        <v>10</v>
      </c>
    </row>
    <row r="6074" ht="14.25" customHeight="1">
      <c r="A6074" s="1" t="s">
        <v>5176</v>
      </c>
      <c r="B6074" s="1" t="s">
        <v>20</v>
      </c>
      <c r="C6074" s="2" t="s">
        <v>5177</v>
      </c>
      <c r="D6074" s="2">
        <v>7.3</v>
      </c>
      <c r="E6074" s="2">
        <v>1932.0</v>
      </c>
      <c r="F6074" s="2" t="s">
        <v>10</v>
      </c>
      <c r="G6074" s="2" t="s">
        <v>10</v>
      </c>
    </row>
    <row r="6075" ht="14.25" customHeight="1">
      <c r="A6075" s="1" t="s">
        <v>5178</v>
      </c>
      <c r="B6075" s="1" t="s">
        <v>20</v>
      </c>
      <c r="C6075" s="2" t="s">
        <v>187</v>
      </c>
      <c r="D6075" s="2">
        <v>7.3</v>
      </c>
      <c r="E6075" s="2">
        <v>1983.0</v>
      </c>
      <c r="F6075" s="2" t="s">
        <v>10</v>
      </c>
      <c r="G6075" s="2" t="s">
        <v>10</v>
      </c>
    </row>
    <row r="6076" ht="14.25" customHeight="1">
      <c r="A6076" s="1" t="s">
        <v>5179</v>
      </c>
      <c r="B6076" s="1" t="s">
        <v>20</v>
      </c>
      <c r="C6076" s="2" t="s">
        <v>34</v>
      </c>
      <c r="D6076" s="2">
        <v>7.3</v>
      </c>
      <c r="E6076" s="2">
        <v>2008.0</v>
      </c>
      <c r="F6076" s="2" t="s">
        <v>10</v>
      </c>
      <c r="G6076" s="2" t="s">
        <v>10</v>
      </c>
    </row>
    <row r="6077" ht="14.25" customHeight="1">
      <c r="A6077" s="1" t="s">
        <v>5180</v>
      </c>
      <c r="B6077" s="1" t="s">
        <v>8</v>
      </c>
      <c r="C6077" s="2" t="s">
        <v>154</v>
      </c>
      <c r="D6077" s="2">
        <v>7.3</v>
      </c>
      <c r="E6077" s="2">
        <v>2015.0</v>
      </c>
      <c r="F6077" s="2" t="s">
        <v>10</v>
      </c>
      <c r="G6077" s="2" t="s">
        <v>10</v>
      </c>
    </row>
    <row r="6078" ht="14.25" customHeight="1">
      <c r="A6078" s="1" t="s">
        <v>5181</v>
      </c>
      <c r="B6078" s="1" t="s">
        <v>20</v>
      </c>
      <c r="C6078" s="2" t="s">
        <v>147</v>
      </c>
      <c r="D6078" s="2">
        <v>7.3</v>
      </c>
      <c r="E6078" s="2">
        <v>1992.0</v>
      </c>
      <c r="F6078" s="2" t="s">
        <v>10</v>
      </c>
      <c r="G6078" s="2" t="s">
        <v>10</v>
      </c>
    </row>
    <row r="6079" ht="14.25" customHeight="1">
      <c r="A6079" s="1" t="s">
        <v>5182</v>
      </c>
      <c r="B6079" s="1" t="s">
        <v>20</v>
      </c>
      <c r="C6079" s="2" t="s">
        <v>895</v>
      </c>
      <c r="D6079" s="2">
        <v>7.3</v>
      </c>
      <c r="E6079" s="2">
        <v>2006.0</v>
      </c>
      <c r="F6079" s="2" t="s">
        <v>10</v>
      </c>
      <c r="G6079" s="2" t="s">
        <v>10</v>
      </c>
    </row>
    <row r="6080" ht="14.25" customHeight="1">
      <c r="A6080" s="1" t="s">
        <v>5183</v>
      </c>
      <c r="B6080" s="1" t="s">
        <v>20</v>
      </c>
      <c r="C6080" s="2" t="s">
        <v>311</v>
      </c>
      <c r="D6080" s="2">
        <v>7.3</v>
      </c>
      <c r="E6080" s="2">
        <v>1998.0</v>
      </c>
      <c r="F6080" s="2" t="s">
        <v>10</v>
      </c>
      <c r="G6080" s="2" t="s">
        <v>10</v>
      </c>
    </row>
    <row r="6081" ht="14.25" customHeight="1">
      <c r="A6081" s="1" t="s">
        <v>5184</v>
      </c>
      <c r="B6081" s="1" t="s">
        <v>20</v>
      </c>
      <c r="C6081" s="2" t="s">
        <v>18</v>
      </c>
      <c r="D6081" s="2">
        <v>7.3</v>
      </c>
      <c r="E6081" s="2">
        <v>1981.0</v>
      </c>
      <c r="F6081" s="2" t="s">
        <v>10</v>
      </c>
      <c r="G6081" s="2" t="s">
        <v>10</v>
      </c>
    </row>
    <row r="6082" ht="14.25" customHeight="1">
      <c r="A6082" s="1" t="s">
        <v>5185</v>
      </c>
      <c r="B6082" s="1" t="s">
        <v>8</v>
      </c>
      <c r="C6082" s="2" t="s">
        <v>838</v>
      </c>
      <c r="D6082" s="2">
        <v>7.3</v>
      </c>
      <c r="E6082" s="2">
        <v>2022.0</v>
      </c>
      <c r="F6082" s="2" t="s">
        <v>10</v>
      </c>
      <c r="G6082" s="2" t="s">
        <v>10</v>
      </c>
    </row>
    <row r="6083" ht="14.25" customHeight="1">
      <c r="A6083" s="1" t="s">
        <v>5186</v>
      </c>
      <c r="B6083" s="1" t="s">
        <v>20</v>
      </c>
      <c r="C6083" s="2" t="s">
        <v>32</v>
      </c>
      <c r="D6083" s="2">
        <v>7.3</v>
      </c>
      <c r="E6083" s="2">
        <v>2013.0</v>
      </c>
      <c r="F6083" s="2" t="s">
        <v>10</v>
      </c>
      <c r="G6083" s="2" t="s">
        <v>10</v>
      </c>
    </row>
    <row r="6084" ht="14.25" customHeight="1">
      <c r="A6084" s="1" t="s">
        <v>5187</v>
      </c>
      <c r="B6084" s="1" t="s">
        <v>20</v>
      </c>
      <c r="C6084" s="2" t="s">
        <v>63</v>
      </c>
      <c r="D6084" s="2">
        <v>7.3</v>
      </c>
      <c r="E6084" s="2">
        <v>1982.0</v>
      </c>
      <c r="F6084" s="2" t="s">
        <v>10</v>
      </c>
      <c r="G6084" s="2" t="s">
        <v>10</v>
      </c>
    </row>
    <row r="6085" ht="14.25" customHeight="1">
      <c r="A6085" s="1" t="s">
        <v>5188</v>
      </c>
      <c r="B6085" s="1" t="s">
        <v>20</v>
      </c>
      <c r="C6085" s="2" t="s">
        <v>118</v>
      </c>
      <c r="D6085" s="2">
        <v>7.3</v>
      </c>
      <c r="E6085" s="2">
        <v>2000.0</v>
      </c>
      <c r="F6085" s="2" t="s">
        <v>10</v>
      </c>
      <c r="G6085" s="2" t="s">
        <v>10</v>
      </c>
    </row>
    <row r="6086" ht="14.25" customHeight="1">
      <c r="A6086" s="1" t="s">
        <v>5189</v>
      </c>
      <c r="B6086" s="1" t="s">
        <v>20</v>
      </c>
      <c r="C6086" s="2" t="s">
        <v>36</v>
      </c>
      <c r="D6086" s="2">
        <v>7.3</v>
      </c>
      <c r="E6086" s="2">
        <v>2016.0</v>
      </c>
      <c r="F6086" s="2">
        <v>2016.0</v>
      </c>
      <c r="G6086" s="2" t="s">
        <v>10</v>
      </c>
    </row>
    <row r="6087" ht="14.25" customHeight="1">
      <c r="A6087" s="1" t="s">
        <v>5190</v>
      </c>
      <c r="B6087" s="1" t="s">
        <v>20</v>
      </c>
      <c r="C6087" s="2" t="s">
        <v>461</v>
      </c>
      <c r="D6087" s="2">
        <v>7.3</v>
      </c>
      <c r="E6087" s="2">
        <v>1965.0</v>
      </c>
      <c r="F6087" s="2" t="s">
        <v>10</v>
      </c>
      <c r="G6087" s="2" t="s">
        <v>10</v>
      </c>
    </row>
    <row r="6088" ht="14.25" customHeight="1">
      <c r="A6088" s="1" t="s">
        <v>5191</v>
      </c>
      <c r="B6088" s="1" t="s">
        <v>8</v>
      </c>
      <c r="C6088" s="2" t="s">
        <v>63</v>
      </c>
      <c r="D6088" s="2">
        <v>7.3</v>
      </c>
      <c r="E6088" s="2">
        <v>2012.0</v>
      </c>
      <c r="F6088" s="2" t="s">
        <v>10</v>
      </c>
      <c r="G6088" s="2" t="s">
        <v>10</v>
      </c>
    </row>
    <row r="6089" ht="14.25" customHeight="1">
      <c r="A6089" s="1" t="s">
        <v>5192</v>
      </c>
      <c r="B6089" s="1" t="s">
        <v>20</v>
      </c>
      <c r="C6089" s="2" t="s">
        <v>2363</v>
      </c>
      <c r="D6089" s="2">
        <v>7.3</v>
      </c>
      <c r="E6089" s="2">
        <v>1945.0</v>
      </c>
      <c r="F6089" s="2" t="s">
        <v>10</v>
      </c>
      <c r="G6089" s="2" t="s">
        <v>10</v>
      </c>
    </row>
    <row r="6090" ht="14.25" customHeight="1">
      <c r="A6090" s="1" t="s">
        <v>5193</v>
      </c>
      <c r="B6090" s="1" t="s">
        <v>20</v>
      </c>
      <c r="C6090" s="2" t="s">
        <v>69</v>
      </c>
      <c r="D6090" s="2">
        <v>7.3</v>
      </c>
      <c r="E6090" s="2">
        <v>2019.0</v>
      </c>
      <c r="F6090" s="2" t="s">
        <v>10</v>
      </c>
      <c r="G6090" s="2" t="s">
        <v>10</v>
      </c>
    </row>
    <row r="6091" ht="14.25" customHeight="1">
      <c r="A6091" s="1" t="s">
        <v>5194</v>
      </c>
      <c r="B6091" s="1" t="s">
        <v>20</v>
      </c>
      <c r="C6091" s="2" t="s">
        <v>468</v>
      </c>
      <c r="D6091" s="2">
        <v>7.3</v>
      </c>
      <c r="E6091" s="2">
        <v>1965.0</v>
      </c>
      <c r="F6091" s="2" t="s">
        <v>10</v>
      </c>
      <c r="G6091" s="2" t="s">
        <v>10</v>
      </c>
    </row>
    <row r="6092" ht="14.25" customHeight="1">
      <c r="A6092" s="1" t="s">
        <v>5195</v>
      </c>
      <c r="B6092" s="1" t="s">
        <v>20</v>
      </c>
      <c r="C6092" s="2" t="s">
        <v>12</v>
      </c>
      <c r="D6092" s="2">
        <v>7.3</v>
      </c>
      <c r="E6092" s="2">
        <v>2011.0</v>
      </c>
      <c r="F6092" s="2">
        <v>2012.0</v>
      </c>
      <c r="G6092" s="2" t="s">
        <v>10</v>
      </c>
    </row>
    <row r="6093" ht="14.25" customHeight="1">
      <c r="A6093" s="1" t="s">
        <v>5196</v>
      </c>
      <c r="B6093" s="1" t="s">
        <v>8</v>
      </c>
      <c r="C6093" s="2" t="s">
        <v>9</v>
      </c>
      <c r="D6093" s="2">
        <v>7.3</v>
      </c>
      <c r="E6093" s="2">
        <v>2019.0</v>
      </c>
      <c r="F6093" s="2" t="s">
        <v>10</v>
      </c>
      <c r="G6093" s="2" t="s">
        <v>10</v>
      </c>
    </row>
    <row r="6094" ht="14.25" customHeight="1">
      <c r="A6094" s="1" t="s">
        <v>5197</v>
      </c>
      <c r="B6094" s="1" t="s">
        <v>8</v>
      </c>
      <c r="C6094" s="2" t="s">
        <v>25</v>
      </c>
      <c r="D6094" s="2">
        <v>7.3</v>
      </c>
      <c r="E6094" s="2">
        <v>2008.0</v>
      </c>
      <c r="F6094" s="2" t="s">
        <v>10</v>
      </c>
      <c r="G6094" s="2" t="s">
        <v>10</v>
      </c>
    </row>
    <row r="6095" ht="14.25" customHeight="1">
      <c r="A6095" s="1" t="s">
        <v>5198</v>
      </c>
      <c r="B6095" s="1" t="s">
        <v>20</v>
      </c>
      <c r="C6095" s="2" t="s">
        <v>69</v>
      </c>
      <c r="D6095" s="2">
        <v>7.3</v>
      </c>
      <c r="E6095" s="2">
        <v>2015.0</v>
      </c>
      <c r="F6095" s="2" t="s">
        <v>10</v>
      </c>
      <c r="G6095" s="2" t="s">
        <v>10</v>
      </c>
    </row>
    <row r="6096" ht="14.25" customHeight="1">
      <c r="A6096" s="1" t="s">
        <v>5199</v>
      </c>
      <c r="B6096" s="1" t="s">
        <v>20</v>
      </c>
      <c r="C6096" s="2" t="s">
        <v>395</v>
      </c>
      <c r="D6096" s="2">
        <v>7.3</v>
      </c>
      <c r="E6096" s="2">
        <v>2013.0</v>
      </c>
      <c r="F6096" s="2" t="s">
        <v>10</v>
      </c>
      <c r="G6096" s="2" t="s">
        <v>10</v>
      </c>
    </row>
    <row r="6097" ht="14.25" customHeight="1">
      <c r="A6097" s="1" t="s">
        <v>5200</v>
      </c>
      <c r="B6097" s="1" t="s">
        <v>20</v>
      </c>
      <c r="C6097" s="2" t="s">
        <v>187</v>
      </c>
      <c r="D6097" s="2">
        <v>7.3</v>
      </c>
      <c r="E6097" s="2">
        <v>1991.0</v>
      </c>
      <c r="F6097" s="2" t="s">
        <v>10</v>
      </c>
      <c r="G6097" s="2" t="s">
        <v>10</v>
      </c>
    </row>
    <row r="6098" ht="14.25" customHeight="1">
      <c r="A6098" s="1" t="s">
        <v>5201</v>
      </c>
      <c r="B6098" s="1" t="s">
        <v>20</v>
      </c>
      <c r="C6098" s="2" t="s">
        <v>169</v>
      </c>
      <c r="D6098" s="2">
        <v>7.3</v>
      </c>
      <c r="E6098" s="2">
        <v>2023.0</v>
      </c>
      <c r="F6098" s="2" t="s">
        <v>10</v>
      </c>
      <c r="G6098" s="2" t="s">
        <v>10</v>
      </c>
    </row>
    <row r="6099" ht="14.25" customHeight="1">
      <c r="A6099" s="1" t="s">
        <v>5202</v>
      </c>
      <c r="B6099" s="1" t="s">
        <v>20</v>
      </c>
      <c r="C6099" s="2" t="s">
        <v>239</v>
      </c>
      <c r="D6099" s="2">
        <v>7.3</v>
      </c>
      <c r="E6099" s="2">
        <v>2019.0</v>
      </c>
      <c r="F6099" s="2" t="s">
        <v>10</v>
      </c>
      <c r="G6099" s="2" t="s">
        <v>10</v>
      </c>
    </row>
    <row r="6100" ht="14.25" customHeight="1">
      <c r="A6100" s="1" t="s">
        <v>5203</v>
      </c>
      <c r="B6100" s="1" t="s">
        <v>20</v>
      </c>
      <c r="C6100" s="2" t="s">
        <v>18</v>
      </c>
      <c r="D6100" s="2">
        <v>7.3</v>
      </c>
      <c r="E6100" s="2">
        <v>1997.0</v>
      </c>
      <c r="F6100" s="2" t="s">
        <v>10</v>
      </c>
      <c r="G6100" s="2" t="s">
        <v>10</v>
      </c>
    </row>
    <row r="6101" ht="14.25" customHeight="1">
      <c r="A6101" s="1" t="s">
        <v>5204</v>
      </c>
      <c r="B6101" s="1" t="s">
        <v>8</v>
      </c>
      <c r="C6101" s="2" t="s">
        <v>2237</v>
      </c>
      <c r="D6101" s="2">
        <v>7.3</v>
      </c>
      <c r="E6101" s="2">
        <v>2011.0</v>
      </c>
      <c r="F6101" s="2" t="s">
        <v>10</v>
      </c>
      <c r="G6101" s="2" t="s">
        <v>10</v>
      </c>
    </row>
    <row r="6102" ht="14.25" customHeight="1">
      <c r="A6102" s="1" t="s">
        <v>5205</v>
      </c>
      <c r="B6102" s="1" t="s">
        <v>8</v>
      </c>
      <c r="C6102" s="2" t="s">
        <v>5206</v>
      </c>
      <c r="D6102" s="2">
        <v>7.3</v>
      </c>
      <c r="E6102" s="2">
        <v>2013.0</v>
      </c>
      <c r="F6102" s="2" t="s">
        <v>10</v>
      </c>
      <c r="G6102" s="2" t="s">
        <v>10</v>
      </c>
    </row>
    <row r="6103" ht="14.25" customHeight="1">
      <c r="A6103" s="1" t="s">
        <v>5207</v>
      </c>
      <c r="B6103" s="1" t="s">
        <v>20</v>
      </c>
      <c r="C6103" s="2" t="s">
        <v>845</v>
      </c>
      <c r="D6103" s="2">
        <v>7.3</v>
      </c>
      <c r="E6103" s="2">
        <v>1979.0</v>
      </c>
      <c r="F6103" s="2">
        <v>2011.0</v>
      </c>
      <c r="G6103" s="2" t="s">
        <v>10</v>
      </c>
    </row>
    <row r="6104" ht="14.25" customHeight="1">
      <c r="A6104" s="1" t="s">
        <v>5208</v>
      </c>
      <c r="B6104" s="1" t="s">
        <v>20</v>
      </c>
      <c r="C6104" s="2" t="s">
        <v>411</v>
      </c>
      <c r="D6104" s="2">
        <v>7.3</v>
      </c>
      <c r="E6104" s="2">
        <v>1993.0</v>
      </c>
      <c r="F6104" s="2" t="s">
        <v>10</v>
      </c>
      <c r="G6104" s="2" t="s">
        <v>10</v>
      </c>
    </row>
    <row r="6105" ht="14.25" customHeight="1">
      <c r="A6105" s="1" t="s">
        <v>5209</v>
      </c>
      <c r="B6105" s="1" t="s">
        <v>8</v>
      </c>
      <c r="C6105" s="2" t="s">
        <v>118</v>
      </c>
      <c r="D6105" s="2">
        <v>7.3</v>
      </c>
      <c r="E6105" s="2">
        <v>2015.0</v>
      </c>
      <c r="F6105" s="2" t="s">
        <v>10</v>
      </c>
      <c r="G6105" s="2" t="s">
        <v>10</v>
      </c>
    </row>
    <row r="6106" ht="14.25" customHeight="1">
      <c r="A6106" s="1" t="s">
        <v>5210</v>
      </c>
      <c r="B6106" s="1" t="s">
        <v>20</v>
      </c>
      <c r="C6106" s="2" t="s">
        <v>169</v>
      </c>
      <c r="D6106" s="2">
        <v>7.3</v>
      </c>
      <c r="E6106" s="2">
        <v>2018.0</v>
      </c>
      <c r="F6106" s="2" t="s">
        <v>10</v>
      </c>
      <c r="G6106" s="2" t="s">
        <v>10</v>
      </c>
    </row>
    <row r="6107" ht="14.25" customHeight="1">
      <c r="A6107" s="1" t="s">
        <v>5211</v>
      </c>
      <c r="B6107" s="1" t="s">
        <v>20</v>
      </c>
      <c r="C6107" s="2" t="s">
        <v>945</v>
      </c>
      <c r="D6107" s="2">
        <v>7.3</v>
      </c>
      <c r="E6107" s="2">
        <v>2017.0</v>
      </c>
      <c r="F6107" s="2" t="s">
        <v>10</v>
      </c>
      <c r="G6107" s="2" t="s">
        <v>10</v>
      </c>
    </row>
    <row r="6108" ht="14.25" customHeight="1">
      <c r="A6108" s="1" t="s">
        <v>5212</v>
      </c>
      <c r="B6108" s="1" t="s">
        <v>20</v>
      </c>
      <c r="C6108" s="2" t="s">
        <v>80</v>
      </c>
      <c r="D6108" s="2">
        <v>7.3</v>
      </c>
      <c r="E6108" s="2">
        <v>2007.0</v>
      </c>
      <c r="F6108" s="2" t="s">
        <v>10</v>
      </c>
      <c r="G6108" s="2" t="s">
        <v>10</v>
      </c>
    </row>
    <row r="6109" ht="14.25" customHeight="1">
      <c r="A6109" s="1" t="s">
        <v>5213</v>
      </c>
      <c r="B6109" s="1" t="s">
        <v>20</v>
      </c>
      <c r="C6109" s="2" t="s">
        <v>154</v>
      </c>
      <c r="D6109" s="2">
        <v>7.3</v>
      </c>
      <c r="E6109" s="2">
        <v>2001.0</v>
      </c>
      <c r="F6109" s="2" t="s">
        <v>10</v>
      </c>
      <c r="G6109" s="2" t="s">
        <v>10</v>
      </c>
    </row>
    <row r="6110" ht="14.25" customHeight="1">
      <c r="A6110" s="1" t="s">
        <v>5214</v>
      </c>
      <c r="B6110" s="1" t="s">
        <v>8</v>
      </c>
      <c r="C6110" s="2" t="s">
        <v>845</v>
      </c>
      <c r="D6110" s="2">
        <v>7.3</v>
      </c>
      <c r="E6110" s="2">
        <v>1982.0</v>
      </c>
      <c r="F6110" s="2" t="s">
        <v>10</v>
      </c>
      <c r="G6110" s="2" t="s">
        <v>10</v>
      </c>
    </row>
    <row r="6111" ht="14.25" customHeight="1">
      <c r="A6111" s="1" t="s">
        <v>5215</v>
      </c>
      <c r="B6111" s="1" t="s">
        <v>8</v>
      </c>
      <c r="C6111" s="2" t="s">
        <v>639</v>
      </c>
      <c r="D6111" s="2">
        <v>7.3</v>
      </c>
      <c r="E6111" s="2">
        <v>2020.0</v>
      </c>
      <c r="F6111" s="2" t="s">
        <v>10</v>
      </c>
      <c r="G6111" s="2" t="s">
        <v>10</v>
      </c>
    </row>
    <row r="6112" ht="14.25" customHeight="1">
      <c r="A6112" s="1" t="s">
        <v>5216</v>
      </c>
      <c r="B6112" s="1" t="s">
        <v>8</v>
      </c>
      <c r="C6112" s="2" t="s">
        <v>142</v>
      </c>
      <c r="D6112" s="2">
        <v>7.3</v>
      </c>
      <c r="E6112" s="2">
        <v>2022.0</v>
      </c>
      <c r="F6112" s="2" t="s">
        <v>10</v>
      </c>
      <c r="G6112" s="2">
        <v>2.771E7</v>
      </c>
    </row>
    <row r="6113" ht="14.25" customHeight="1">
      <c r="A6113" s="1" t="s">
        <v>5216</v>
      </c>
      <c r="B6113" s="1" t="s">
        <v>8</v>
      </c>
      <c r="C6113" s="2" t="s">
        <v>142</v>
      </c>
      <c r="D6113" s="2">
        <v>7.3</v>
      </c>
      <c r="E6113" s="2">
        <v>2022.0</v>
      </c>
      <c r="F6113" s="2" t="s">
        <v>10</v>
      </c>
      <c r="G6113" s="2">
        <v>3.14E7</v>
      </c>
    </row>
    <row r="6114" ht="14.25" customHeight="1">
      <c r="A6114" s="1" t="s">
        <v>5217</v>
      </c>
      <c r="B6114" s="1" t="s">
        <v>8</v>
      </c>
      <c r="C6114" s="2" t="s">
        <v>686</v>
      </c>
      <c r="D6114" s="2">
        <v>7.3</v>
      </c>
      <c r="E6114" s="2">
        <v>2002.0</v>
      </c>
      <c r="F6114" s="2" t="s">
        <v>10</v>
      </c>
      <c r="G6114" s="2" t="s">
        <v>10</v>
      </c>
    </row>
    <row r="6115" ht="14.25" customHeight="1">
      <c r="A6115" s="1" t="s">
        <v>4069</v>
      </c>
      <c r="B6115" s="1" t="s">
        <v>20</v>
      </c>
      <c r="C6115" s="2" t="s">
        <v>187</v>
      </c>
      <c r="D6115" s="2">
        <v>7.3</v>
      </c>
      <c r="E6115" s="2">
        <v>1967.0</v>
      </c>
      <c r="F6115" s="2" t="s">
        <v>10</v>
      </c>
      <c r="G6115" s="2" t="s">
        <v>10</v>
      </c>
    </row>
    <row r="6116" ht="14.25" customHeight="1">
      <c r="A6116" s="1" t="s">
        <v>5218</v>
      </c>
      <c r="B6116" s="1" t="s">
        <v>8</v>
      </c>
      <c r="C6116" s="2" t="s">
        <v>838</v>
      </c>
      <c r="D6116" s="2">
        <v>7.3</v>
      </c>
      <c r="E6116" s="2">
        <v>2009.0</v>
      </c>
      <c r="F6116" s="2" t="s">
        <v>10</v>
      </c>
      <c r="G6116" s="2" t="s">
        <v>10</v>
      </c>
    </row>
    <row r="6117" ht="14.25" customHeight="1">
      <c r="A6117" s="1" t="s">
        <v>5219</v>
      </c>
      <c r="B6117" s="1" t="s">
        <v>8</v>
      </c>
      <c r="C6117" s="2" t="s">
        <v>18</v>
      </c>
      <c r="D6117" s="2">
        <v>7.3</v>
      </c>
      <c r="E6117" s="2">
        <v>2020.0</v>
      </c>
      <c r="F6117" s="2" t="s">
        <v>10</v>
      </c>
      <c r="G6117" s="2" t="s">
        <v>10</v>
      </c>
    </row>
    <row r="6118" ht="14.25" customHeight="1">
      <c r="A6118" s="1" t="s">
        <v>5220</v>
      </c>
      <c r="B6118" s="1" t="s">
        <v>20</v>
      </c>
      <c r="C6118" s="2" t="s">
        <v>1375</v>
      </c>
      <c r="D6118" s="2">
        <v>7.3</v>
      </c>
      <c r="E6118" s="2">
        <v>1988.0</v>
      </c>
      <c r="F6118" s="2" t="s">
        <v>10</v>
      </c>
      <c r="G6118" s="2" t="s">
        <v>10</v>
      </c>
    </row>
    <row r="6119" ht="14.25" customHeight="1">
      <c r="A6119" s="1" t="s">
        <v>5221</v>
      </c>
      <c r="B6119" s="1" t="s">
        <v>20</v>
      </c>
      <c r="C6119" s="2" t="s">
        <v>253</v>
      </c>
      <c r="D6119" s="2">
        <v>7.3</v>
      </c>
      <c r="E6119" s="2">
        <v>2013.0</v>
      </c>
      <c r="F6119" s="2" t="s">
        <v>10</v>
      </c>
      <c r="G6119" s="2" t="s">
        <v>10</v>
      </c>
    </row>
    <row r="6120" ht="14.25" customHeight="1">
      <c r="A6120" s="1" t="s">
        <v>5222</v>
      </c>
      <c r="B6120" s="1" t="s">
        <v>20</v>
      </c>
      <c r="C6120" s="2" t="s">
        <v>844</v>
      </c>
      <c r="D6120" s="2">
        <v>7.3</v>
      </c>
      <c r="E6120" s="2">
        <v>1947.0</v>
      </c>
      <c r="F6120" s="2" t="s">
        <v>10</v>
      </c>
      <c r="G6120" s="2" t="s">
        <v>10</v>
      </c>
    </row>
    <row r="6121" ht="14.25" customHeight="1">
      <c r="A6121" s="1" t="s">
        <v>5223</v>
      </c>
      <c r="B6121" s="1" t="s">
        <v>20</v>
      </c>
      <c r="C6121" s="2" t="s">
        <v>311</v>
      </c>
      <c r="D6121" s="2">
        <v>7.3</v>
      </c>
      <c r="E6121" s="2">
        <v>1954.0</v>
      </c>
      <c r="F6121" s="2" t="s">
        <v>10</v>
      </c>
      <c r="G6121" s="2" t="s">
        <v>10</v>
      </c>
    </row>
    <row r="6122" ht="14.25" customHeight="1">
      <c r="A6122" s="1" t="s">
        <v>5224</v>
      </c>
      <c r="B6122" s="1" t="s">
        <v>20</v>
      </c>
      <c r="C6122" s="2" t="s">
        <v>151</v>
      </c>
      <c r="D6122" s="2">
        <v>7.2</v>
      </c>
      <c r="E6122" s="2">
        <v>2012.0</v>
      </c>
      <c r="F6122" s="2" t="s">
        <v>10</v>
      </c>
      <c r="G6122" s="2">
        <v>4900000.0</v>
      </c>
    </row>
    <row r="6123" ht="14.25" customHeight="1">
      <c r="A6123" s="1" t="s">
        <v>5224</v>
      </c>
      <c r="B6123" s="1" t="s">
        <v>20</v>
      </c>
      <c r="C6123" s="2" t="s">
        <v>151</v>
      </c>
      <c r="D6123" s="2">
        <v>7.2</v>
      </c>
      <c r="E6123" s="2">
        <v>2012.0</v>
      </c>
      <c r="F6123" s="2" t="s">
        <v>10</v>
      </c>
      <c r="G6123" s="2">
        <v>8320000.0</v>
      </c>
    </row>
    <row r="6124" ht="14.25" customHeight="1">
      <c r="A6124" s="1" t="s">
        <v>5224</v>
      </c>
      <c r="B6124" s="1" t="s">
        <v>20</v>
      </c>
      <c r="C6124" s="2" t="s">
        <v>151</v>
      </c>
      <c r="D6124" s="2">
        <v>7.2</v>
      </c>
      <c r="E6124" s="2">
        <v>2012.0</v>
      </c>
      <c r="F6124" s="2" t="s">
        <v>10</v>
      </c>
      <c r="G6124" s="2">
        <v>6230000.0</v>
      </c>
    </row>
    <row r="6125" ht="14.25" customHeight="1">
      <c r="A6125" s="1" t="s">
        <v>5225</v>
      </c>
      <c r="B6125" s="1" t="s">
        <v>20</v>
      </c>
      <c r="C6125" s="2" t="s">
        <v>1982</v>
      </c>
      <c r="D6125" s="2">
        <v>7.2</v>
      </c>
      <c r="E6125" s="2">
        <v>2007.0</v>
      </c>
      <c r="F6125" s="2" t="s">
        <v>10</v>
      </c>
      <c r="G6125" s="2" t="s">
        <v>10</v>
      </c>
    </row>
    <row r="6126" ht="14.25" customHeight="1">
      <c r="A6126" s="1" t="s">
        <v>5226</v>
      </c>
      <c r="B6126" s="1" t="s">
        <v>20</v>
      </c>
      <c r="C6126" s="2" t="s">
        <v>5227</v>
      </c>
      <c r="D6126" s="2">
        <v>7.2</v>
      </c>
      <c r="E6126" s="2">
        <v>2015.0</v>
      </c>
      <c r="F6126" s="2" t="s">
        <v>10</v>
      </c>
      <c r="G6126" s="2" t="s">
        <v>10</v>
      </c>
    </row>
    <row r="6127" ht="14.25" customHeight="1">
      <c r="A6127" s="1" t="s">
        <v>5228</v>
      </c>
      <c r="B6127" s="1" t="s">
        <v>20</v>
      </c>
      <c r="C6127" s="2" t="s">
        <v>134</v>
      </c>
      <c r="D6127" s="2">
        <v>7.2</v>
      </c>
      <c r="E6127" s="2">
        <v>2013.0</v>
      </c>
      <c r="F6127" s="2" t="s">
        <v>10</v>
      </c>
      <c r="G6127" s="2" t="s">
        <v>10</v>
      </c>
    </row>
    <row r="6128" ht="14.25" customHeight="1">
      <c r="A6128" s="1" t="s">
        <v>5229</v>
      </c>
      <c r="B6128" s="1" t="s">
        <v>20</v>
      </c>
      <c r="C6128" s="2" t="s">
        <v>210</v>
      </c>
      <c r="D6128" s="2">
        <v>7.2</v>
      </c>
      <c r="E6128" s="2">
        <v>2003.0</v>
      </c>
      <c r="F6128" s="2">
        <v>2003.0</v>
      </c>
      <c r="G6128" s="2" t="s">
        <v>10</v>
      </c>
    </row>
    <row r="6129" ht="14.25" customHeight="1">
      <c r="A6129" s="1" t="s">
        <v>5230</v>
      </c>
      <c r="B6129" s="1" t="s">
        <v>20</v>
      </c>
      <c r="C6129" s="2" t="s">
        <v>1326</v>
      </c>
      <c r="D6129" s="2">
        <v>7.2</v>
      </c>
      <c r="E6129" s="2">
        <v>2021.0</v>
      </c>
      <c r="F6129" s="2" t="s">
        <v>10</v>
      </c>
      <c r="G6129" s="2">
        <v>5360000.0</v>
      </c>
    </row>
    <row r="6130" ht="14.25" customHeight="1">
      <c r="A6130" s="1" t="s">
        <v>5230</v>
      </c>
      <c r="B6130" s="1" t="s">
        <v>20</v>
      </c>
      <c r="C6130" s="2" t="s">
        <v>1326</v>
      </c>
      <c r="D6130" s="2">
        <v>7.2</v>
      </c>
      <c r="E6130" s="2">
        <v>2021.0</v>
      </c>
      <c r="F6130" s="2" t="s">
        <v>10</v>
      </c>
      <c r="G6130" s="2">
        <v>6930000.0</v>
      </c>
    </row>
    <row r="6131" ht="14.25" customHeight="1">
      <c r="A6131" s="1" t="s">
        <v>5230</v>
      </c>
      <c r="B6131" s="1" t="s">
        <v>20</v>
      </c>
      <c r="C6131" s="2" t="s">
        <v>1326</v>
      </c>
      <c r="D6131" s="2">
        <v>7.2</v>
      </c>
      <c r="E6131" s="2">
        <v>2021.0</v>
      </c>
      <c r="F6131" s="2" t="s">
        <v>10</v>
      </c>
      <c r="G6131" s="2">
        <v>1.025E7</v>
      </c>
    </row>
    <row r="6132" ht="14.25" customHeight="1">
      <c r="A6132" s="1" t="s">
        <v>5230</v>
      </c>
      <c r="B6132" s="1" t="s">
        <v>20</v>
      </c>
      <c r="C6132" s="2" t="s">
        <v>1326</v>
      </c>
      <c r="D6132" s="2">
        <v>7.2</v>
      </c>
      <c r="E6132" s="2">
        <v>2021.0</v>
      </c>
      <c r="F6132" s="2" t="s">
        <v>10</v>
      </c>
      <c r="G6132" s="2">
        <v>1.713E7</v>
      </c>
    </row>
    <row r="6133" ht="14.25" customHeight="1">
      <c r="A6133" s="1" t="s">
        <v>5230</v>
      </c>
      <c r="B6133" s="1" t="s">
        <v>20</v>
      </c>
      <c r="C6133" s="2" t="s">
        <v>1326</v>
      </c>
      <c r="D6133" s="2">
        <v>7.2</v>
      </c>
      <c r="E6133" s="2">
        <v>2021.0</v>
      </c>
      <c r="F6133" s="2" t="s">
        <v>10</v>
      </c>
      <c r="G6133" s="2">
        <v>2.839E7</v>
      </c>
    </row>
    <row r="6134" ht="14.25" customHeight="1">
      <c r="A6134" s="1" t="s">
        <v>5230</v>
      </c>
      <c r="B6134" s="1" t="s">
        <v>20</v>
      </c>
      <c r="C6134" s="2" t="s">
        <v>1326</v>
      </c>
      <c r="D6134" s="2">
        <v>7.2</v>
      </c>
      <c r="E6134" s="2">
        <v>2021.0</v>
      </c>
      <c r="F6134" s="2" t="s">
        <v>10</v>
      </c>
      <c r="G6134" s="2">
        <v>5.82E7</v>
      </c>
    </row>
    <row r="6135" ht="14.25" customHeight="1">
      <c r="A6135" s="1" t="s">
        <v>5230</v>
      </c>
      <c r="B6135" s="1" t="s">
        <v>20</v>
      </c>
      <c r="C6135" s="2" t="s">
        <v>1326</v>
      </c>
      <c r="D6135" s="2">
        <v>7.2</v>
      </c>
      <c r="E6135" s="2">
        <v>2021.0</v>
      </c>
      <c r="F6135" s="2" t="s">
        <v>10</v>
      </c>
      <c r="G6135" s="2">
        <v>1.5229E8</v>
      </c>
    </row>
    <row r="6136" ht="14.25" customHeight="1">
      <c r="A6136" s="1" t="s">
        <v>5230</v>
      </c>
      <c r="B6136" s="1" t="s">
        <v>20</v>
      </c>
      <c r="C6136" s="2" t="s">
        <v>1326</v>
      </c>
      <c r="D6136" s="2">
        <v>7.2</v>
      </c>
      <c r="E6136" s="2">
        <v>2021.0</v>
      </c>
      <c r="F6136" s="2" t="s">
        <v>10</v>
      </c>
      <c r="G6136" s="2">
        <v>1.1103E8</v>
      </c>
    </row>
    <row r="6137" ht="14.25" customHeight="1">
      <c r="A6137" s="1" t="s">
        <v>5231</v>
      </c>
      <c r="B6137" s="1" t="s">
        <v>20</v>
      </c>
      <c r="C6137" s="2" t="s">
        <v>217</v>
      </c>
      <c r="D6137" s="2">
        <v>7.2</v>
      </c>
      <c r="E6137" s="2">
        <v>2012.0</v>
      </c>
      <c r="F6137" s="2" t="s">
        <v>10</v>
      </c>
      <c r="G6137" s="2">
        <v>1.169E7</v>
      </c>
    </row>
    <row r="6138" ht="14.25" customHeight="1">
      <c r="A6138" s="1" t="s">
        <v>5232</v>
      </c>
      <c r="B6138" s="1" t="s">
        <v>20</v>
      </c>
      <c r="C6138" s="2" t="s">
        <v>154</v>
      </c>
      <c r="D6138" s="2">
        <v>7.2</v>
      </c>
      <c r="E6138" s="2">
        <v>2013.0</v>
      </c>
      <c r="F6138" s="2" t="s">
        <v>10</v>
      </c>
      <c r="G6138" s="2" t="s">
        <v>10</v>
      </c>
    </row>
    <row r="6139" ht="14.25" customHeight="1">
      <c r="A6139" s="1" t="s">
        <v>5233</v>
      </c>
      <c r="B6139" s="1" t="s">
        <v>20</v>
      </c>
      <c r="C6139" s="2" t="s">
        <v>719</v>
      </c>
      <c r="D6139" s="2">
        <v>7.2</v>
      </c>
      <c r="E6139" s="2">
        <v>2016.0</v>
      </c>
      <c r="F6139" s="2" t="s">
        <v>10</v>
      </c>
      <c r="G6139" s="2" t="s">
        <v>10</v>
      </c>
    </row>
    <row r="6140" ht="14.25" customHeight="1">
      <c r="A6140" s="1" t="s">
        <v>5234</v>
      </c>
      <c r="B6140" s="1" t="s">
        <v>20</v>
      </c>
      <c r="C6140" s="2" t="s">
        <v>36</v>
      </c>
      <c r="D6140" s="2">
        <v>7.2</v>
      </c>
      <c r="E6140" s="2">
        <v>2013.0</v>
      </c>
      <c r="F6140" s="2" t="s">
        <v>10</v>
      </c>
      <c r="G6140" s="2" t="s">
        <v>10</v>
      </c>
    </row>
    <row r="6141" ht="14.25" customHeight="1">
      <c r="A6141" s="1" t="s">
        <v>2236</v>
      </c>
      <c r="B6141" s="1" t="s">
        <v>20</v>
      </c>
      <c r="C6141" s="2" t="s">
        <v>1622</v>
      </c>
      <c r="D6141" s="2">
        <v>7.2</v>
      </c>
      <c r="E6141" s="2">
        <v>1996.0</v>
      </c>
      <c r="F6141" s="2" t="s">
        <v>10</v>
      </c>
      <c r="G6141" s="2" t="s">
        <v>10</v>
      </c>
    </row>
    <row r="6142" ht="14.25" customHeight="1">
      <c r="A6142" s="1" t="s">
        <v>2030</v>
      </c>
      <c r="B6142" s="1" t="s">
        <v>20</v>
      </c>
      <c r="C6142" s="2" t="s">
        <v>2075</v>
      </c>
      <c r="D6142" s="2">
        <v>7.2</v>
      </c>
      <c r="E6142" s="2">
        <v>2005.0</v>
      </c>
      <c r="F6142" s="2" t="s">
        <v>10</v>
      </c>
      <c r="G6142" s="2" t="s">
        <v>10</v>
      </c>
    </row>
    <row r="6143" ht="14.25" customHeight="1">
      <c r="A6143" s="1" t="s">
        <v>5235</v>
      </c>
      <c r="B6143" s="1" t="s">
        <v>20</v>
      </c>
      <c r="C6143" s="2" t="s">
        <v>291</v>
      </c>
      <c r="D6143" s="2">
        <v>7.2</v>
      </c>
      <c r="E6143" s="2">
        <v>2014.0</v>
      </c>
      <c r="F6143" s="2" t="s">
        <v>10</v>
      </c>
      <c r="G6143" s="2" t="s">
        <v>10</v>
      </c>
    </row>
    <row r="6144" ht="14.25" customHeight="1">
      <c r="A6144" s="1" t="s">
        <v>5236</v>
      </c>
      <c r="B6144" s="1" t="s">
        <v>20</v>
      </c>
      <c r="C6144" s="2" t="s">
        <v>5237</v>
      </c>
      <c r="D6144" s="2">
        <v>7.2</v>
      </c>
      <c r="E6144" s="2">
        <v>2022.0</v>
      </c>
      <c r="F6144" s="2" t="s">
        <v>10</v>
      </c>
      <c r="G6144" s="2" t="s">
        <v>10</v>
      </c>
    </row>
    <row r="6145" ht="14.25" customHeight="1">
      <c r="A6145" s="1" t="s">
        <v>5238</v>
      </c>
      <c r="B6145" s="1" t="s">
        <v>20</v>
      </c>
      <c r="C6145" s="2" t="s">
        <v>845</v>
      </c>
      <c r="D6145" s="2">
        <v>7.2</v>
      </c>
      <c r="E6145" s="2">
        <v>2021.0</v>
      </c>
      <c r="F6145" s="2" t="s">
        <v>10</v>
      </c>
      <c r="G6145" s="2" t="s">
        <v>10</v>
      </c>
    </row>
    <row r="6146" ht="14.25" customHeight="1">
      <c r="A6146" s="1" t="s">
        <v>5239</v>
      </c>
      <c r="B6146" s="1" t="s">
        <v>20</v>
      </c>
      <c r="C6146" s="2" t="s">
        <v>55</v>
      </c>
      <c r="D6146" s="2">
        <v>7.2</v>
      </c>
      <c r="E6146" s="2">
        <v>2013.0</v>
      </c>
      <c r="F6146" s="2" t="s">
        <v>10</v>
      </c>
      <c r="G6146" s="2" t="s">
        <v>10</v>
      </c>
    </row>
    <row r="6147" ht="14.25" customHeight="1">
      <c r="A6147" s="1" t="s">
        <v>5240</v>
      </c>
      <c r="B6147" s="1" t="s">
        <v>20</v>
      </c>
      <c r="C6147" s="2" t="s">
        <v>1982</v>
      </c>
      <c r="D6147" s="2">
        <v>7.2</v>
      </c>
      <c r="E6147" s="2">
        <v>2016.0</v>
      </c>
      <c r="F6147" s="2" t="s">
        <v>10</v>
      </c>
      <c r="G6147" s="2" t="s">
        <v>10</v>
      </c>
    </row>
    <row r="6148" ht="14.25" customHeight="1">
      <c r="A6148" s="1" t="s">
        <v>5241</v>
      </c>
      <c r="B6148" s="1" t="s">
        <v>20</v>
      </c>
      <c r="C6148" s="2" t="s">
        <v>187</v>
      </c>
      <c r="D6148" s="2">
        <v>7.2</v>
      </c>
      <c r="E6148" s="2">
        <v>1999.0</v>
      </c>
      <c r="F6148" s="2" t="s">
        <v>10</v>
      </c>
      <c r="G6148" s="2" t="s">
        <v>10</v>
      </c>
    </row>
    <row r="6149" ht="14.25" customHeight="1">
      <c r="A6149" s="1" t="s">
        <v>5242</v>
      </c>
      <c r="B6149" s="1" t="s">
        <v>20</v>
      </c>
      <c r="C6149" s="2" t="s">
        <v>5243</v>
      </c>
      <c r="D6149" s="2">
        <v>7.2</v>
      </c>
      <c r="E6149" s="2">
        <v>1996.0</v>
      </c>
      <c r="F6149" s="2">
        <v>2016.0</v>
      </c>
      <c r="G6149" s="2" t="s">
        <v>10</v>
      </c>
    </row>
    <row r="6150" ht="14.25" customHeight="1">
      <c r="A6150" s="1" t="s">
        <v>5244</v>
      </c>
      <c r="B6150" s="1" t="s">
        <v>20</v>
      </c>
      <c r="C6150" s="2" t="s">
        <v>845</v>
      </c>
      <c r="D6150" s="2">
        <v>7.2</v>
      </c>
      <c r="E6150" s="2">
        <v>2015.0</v>
      </c>
      <c r="F6150" s="2" t="s">
        <v>10</v>
      </c>
      <c r="G6150" s="2" t="s">
        <v>10</v>
      </c>
    </row>
    <row r="6151" ht="14.25" customHeight="1">
      <c r="A6151" s="1" t="s">
        <v>5245</v>
      </c>
      <c r="B6151" s="1" t="s">
        <v>20</v>
      </c>
      <c r="C6151" s="2" t="s">
        <v>179</v>
      </c>
      <c r="D6151" s="2">
        <v>7.2</v>
      </c>
      <c r="E6151" s="2">
        <v>2003.0</v>
      </c>
      <c r="F6151" s="2">
        <v>2003.0</v>
      </c>
      <c r="G6151" s="2" t="s">
        <v>10</v>
      </c>
    </row>
    <row r="6152" ht="14.25" customHeight="1">
      <c r="A6152" s="1" t="s">
        <v>5246</v>
      </c>
      <c r="B6152" s="1" t="s">
        <v>20</v>
      </c>
      <c r="C6152" s="2" t="s">
        <v>452</v>
      </c>
      <c r="D6152" s="2">
        <v>7.2</v>
      </c>
      <c r="E6152" s="2">
        <v>2002.0</v>
      </c>
      <c r="F6152" s="2" t="s">
        <v>10</v>
      </c>
      <c r="G6152" s="2" t="s">
        <v>10</v>
      </c>
    </row>
    <row r="6153" ht="14.25" customHeight="1">
      <c r="A6153" s="1" t="s">
        <v>5247</v>
      </c>
      <c r="B6153" s="1" t="s">
        <v>20</v>
      </c>
      <c r="C6153" s="2" t="s">
        <v>125</v>
      </c>
      <c r="D6153" s="2">
        <v>7.2</v>
      </c>
      <c r="E6153" s="2">
        <v>2001.0</v>
      </c>
      <c r="F6153" s="2" t="s">
        <v>10</v>
      </c>
      <c r="G6153" s="2" t="s">
        <v>10</v>
      </c>
    </row>
    <row r="6154" ht="14.25" customHeight="1">
      <c r="A6154" s="1" t="s">
        <v>5248</v>
      </c>
      <c r="B6154" s="1" t="s">
        <v>20</v>
      </c>
      <c r="C6154" s="2" t="s">
        <v>468</v>
      </c>
      <c r="D6154" s="2">
        <v>7.2</v>
      </c>
      <c r="E6154" s="2">
        <v>2002.0</v>
      </c>
      <c r="F6154" s="2" t="s">
        <v>10</v>
      </c>
      <c r="G6154" s="2" t="s">
        <v>10</v>
      </c>
    </row>
    <row r="6155" ht="14.25" customHeight="1">
      <c r="A6155" s="1" t="s">
        <v>5249</v>
      </c>
      <c r="B6155" s="1" t="s">
        <v>20</v>
      </c>
      <c r="C6155" s="2" t="s">
        <v>55</v>
      </c>
      <c r="D6155" s="2">
        <v>7.2</v>
      </c>
      <c r="E6155" s="2">
        <v>1998.0</v>
      </c>
      <c r="F6155" s="2" t="s">
        <v>10</v>
      </c>
      <c r="G6155" s="2" t="s">
        <v>10</v>
      </c>
    </row>
    <row r="6156" ht="14.25" customHeight="1">
      <c r="A6156" s="1" t="s">
        <v>5250</v>
      </c>
      <c r="B6156" s="1" t="s">
        <v>20</v>
      </c>
      <c r="C6156" s="2" t="s">
        <v>55</v>
      </c>
      <c r="D6156" s="2">
        <v>7.2</v>
      </c>
      <c r="E6156" s="2">
        <v>2016.0</v>
      </c>
      <c r="F6156" s="2" t="s">
        <v>10</v>
      </c>
      <c r="G6156" s="2" t="s">
        <v>10</v>
      </c>
    </row>
    <row r="6157" ht="14.25" customHeight="1">
      <c r="A6157" s="1" t="s">
        <v>5251</v>
      </c>
      <c r="B6157" s="1" t="s">
        <v>20</v>
      </c>
      <c r="C6157" s="2" t="s">
        <v>829</v>
      </c>
      <c r="D6157" s="2">
        <v>7.2</v>
      </c>
      <c r="E6157" s="2">
        <v>1978.0</v>
      </c>
      <c r="F6157" s="2">
        <v>1978.0</v>
      </c>
      <c r="G6157" s="2" t="s">
        <v>10</v>
      </c>
    </row>
    <row r="6158" ht="14.25" customHeight="1">
      <c r="A6158" s="1" t="s">
        <v>5252</v>
      </c>
      <c r="B6158" s="1" t="s">
        <v>20</v>
      </c>
      <c r="C6158" s="2" t="s">
        <v>14</v>
      </c>
      <c r="D6158" s="2">
        <v>7.2</v>
      </c>
      <c r="E6158" s="2">
        <v>2000.0</v>
      </c>
      <c r="F6158" s="2" t="s">
        <v>10</v>
      </c>
      <c r="G6158" s="2" t="s">
        <v>10</v>
      </c>
    </row>
    <row r="6159" ht="14.25" customHeight="1">
      <c r="A6159" s="1" t="s">
        <v>5253</v>
      </c>
      <c r="B6159" s="1" t="s">
        <v>20</v>
      </c>
      <c r="C6159" s="2" t="s">
        <v>9</v>
      </c>
      <c r="D6159" s="2">
        <v>7.2</v>
      </c>
      <c r="E6159" s="2">
        <v>2002.0</v>
      </c>
      <c r="F6159" s="2" t="s">
        <v>10</v>
      </c>
      <c r="G6159" s="2" t="s">
        <v>10</v>
      </c>
    </row>
    <row r="6160" ht="14.25" customHeight="1">
      <c r="A6160" s="1" t="s">
        <v>5254</v>
      </c>
      <c r="B6160" s="1" t="s">
        <v>20</v>
      </c>
      <c r="C6160" s="2" t="s">
        <v>1982</v>
      </c>
      <c r="D6160" s="2">
        <v>7.2</v>
      </c>
      <c r="E6160" s="2">
        <v>2020.0</v>
      </c>
      <c r="F6160" s="2" t="s">
        <v>10</v>
      </c>
      <c r="G6160" s="2">
        <v>5750000.0</v>
      </c>
    </row>
    <row r="6161" ht="14.25" customHeight="1">
      <c r="A6161" s="1" t="s">
        <v>5254</v>
      </c>
      <c r="B6161" s="1" t="s">
        <v>20</v>
      </c>
      <c r="C6161" s="2" t="s">
        <v>1982</v>
      </c>
      <c r="D6161" s="2">
        <v>7.2</v>
      </c>
      <c r="E6161" s="2">
        <v>2020.0</v>
      </c>
      <c r="F6161" s="2" t="s">
        <v>10</v>
      </c>
      <c r="G6161" s="2">
        <v>4760000.0</v>
      </c>
    </row>
    <row r="6162" ht="14.25" customHeight="1">
      <c r="A6162" s="1" t="s">
        <v>2365</v>
      </c>
      <c r="B6162" s="1" t="s">
        <v>20</v>
      </c>
      <c r="C6162" s="2" t="s">
        <v>1301</v>
      </c>
      <c r="D6162" s="2">
        <v>7.2</v>
      </c>
      <c r="E6162" s="2">
        <v>2004.0</v>
      </c>
      <c r="F6162" s="2" t="s">
        <v>10</v>
      </c>
      <c r="G6162" s="2" t="s">
        <v>10</v>
      </c>
    </row>
    <row r="6163" ht="14.25" customHeight="1">
      <c r="A6163" s="1" t="s">
        <v>5255</v>
      </c>
      <c r="B6163" s="1" t="s">
        <v>20</v>
      </c>
      <c r="C6163" s="2" t="s">
        <v>1622</v>
      </c>
      <c r="D6163" s="2">
        <v>7.2</v>
      </c>
      <c r="E6163" s="2">
        <v>1995.0</v>
      </c>
      <c r="F6163" s="2">
        <v>1995.0</v>
      </c>
      <c r="G6163" s="2" t="s">
        <v>10</v>
      </c>
    </row>
    <row r="6164" ht="14.25" customHeight="1">
      <c r="A6164" s="1" t="s">
        <v>5256</v>
      </c>
      <c r="B6164" s="1" t="s">
        <v>20</v>
      </c>
      <c r="C6164" s="2" t="s">
        <v>756</v>
      </c>
      <c r="D6164" s="2">
        <v>7.2</v>
      </c>
      <c r="E6164" s="2">
        <v>2021.0</v>
      </c>
      <c r="F6164" s="2" t="s">
        <v>10</v>
      </c>
      <c r="G6164" s="2" t="s">
        <v>10</v>
      </c>
    </row>
    <row r="6165" ht="14.25" customHeight="1">
      <c r="A6165" s="1" t="s">
        <v>5257</v>
      </c>
      <c r="B6165" s="1" t="s">
        <v>20</v>
      </c>
      <c r="C6165" s="2" t="s">
        <v>1474</v>
      </c>
      <c r="D6165" s="2">
        <v>7.2</v>
      </c>
      <c r="E6165" s="2">
        <v>1998.0</v>
      </c>
      <c r="F6165" s="2" t="s">
        <v>10</v>
      </c>
      <c r="G6165" s="2" t="s">
        <v>10</v>
      </c>
    </row>
    <row r="6166" ht="14.25" customHeight="1">
      <c r="A6166" s="1" t="s">
        <v>3995</v>
      </c>
      <c r="B6166" s="1" t="s">
        <v>20</v>
      </c>
      <c r="C6166" s="2" t="s">
        <v>3407</v>
      </c>
      <c r="D6166" s="2">
        <v>7.2</v>
      </c>
      <c r="E6166" s="2">
        <v>2007.0</v>
      </c>
      <c r="F6166" s="2" t="s">
        <v>10</v>
      </c>
      <c r="G6166" s="2" t="s">
        <v>10</v>
      </c>
    </row>
    <row r="6167" ht="14.25" customHeight="1">
      <c r="A6167" s="1" t="s">
        <v>5258</v>
      </c>
      <c r="B6167" s="1" t="s">
        <v>20</v>
      </c>
      <c r="C6167" s="2" t="s">
        <v>291</v>
      </c>
      <c r="D6167" s="2">
        <v>7.2</v>
      </c>
      <c r="E6167" s="2">
        <v>2008.0</v>
      </c>
      <c r="F6167" s="2" t="s">
        <v>10</v>
      </c>
      <c r="G6167" s="2" t="s">
        <v>10</v>
      </c>
    </row>
    <row r="6168" ht="14.25" customHeight="1">
      <c r="A6168" s="1" t="s">
        <v>5259</v>
      </c>
      <c r="B6168" s="1" t="s">
        <v>20</v>
      </c>
      <c r="C6168" s="2" t="s">
        <v>299</v>
      </c>
      <c r="D6168" s="2">
        <v>7.2</v>
      </c>
      <c r="E6168" s="2">
        <v>2009.0</v>
      </c>
      <c r="F6168" s="2" t="s">
        <v>10</v>
      </c>
      <c r="G6168" s="2" t="s">
        <v>10</v>
      </c>
    </row>
    <row r="6169" ht="14.25" customHeight="1">
      <c r="A6169" s="1" t="s">
        <v>5260</v>
      </c>
      <c r="B6169" s="1" t="s">
        <v>20</v>
      </c>
      <c r="C6169" s="2" t="s">
        <v>5261</v>
      </c>
      <c r="D6169" s="2">
        <v>7.2</v>
      </c>
      <c r="E6169" s="2">
        <v>1994.0</v>
      </c>
      <c r="F6169" s="2" t="s">
        <v>10</v>
      </c>
      <c r="G6169" s="2" t="s">
        <v>10</v>
      </c>
    </row>
    <row r="6170" ht="14.25" customHeight="1">
      <c r="A6170" s="1" t="s">
        <v>5262</v>
      </c>
      <c r="B6170" s="1" t="s">
        <v>20</v>
      </c>
      <c r="C6170" s="2" t="s">
        <v>40</v>
      </c>
      <c r="D6170" s="2">
        <v>7.2</v>
      </c>
      <c r="E6170" s="2">
        <v>2012.0</v>
      </c>
      <c r="F6170" s="2">
        <v>2012.0</v>
      </c>
      <c r="G6170" s="2" t="s">
        <v>10</v>
      </c>
    </row>
    <row r="6171" ht="14.25" customHeight="1">
      <c r="A6171" s="1" t="s">
        <v>5263</v>
      </c>
      <c r="B6171" s="1" t="s">
        <v>20</v>
      </c>
      <c r="C6171" s="2" t="s">
        <v>5264</v>
      </c>
      <c r="D6171" s="2">
        <v>7.2</v>
      </c>
      <c r="E6171" s="2">
        <v>2005.0</v>
      </c>
      <c r="F6171" s="2" t="s">
        <v>10</v>
      </c>
      <c r="G6171" s="2" t="s">
        <v>10</v>
      </c>
    </row>
    <row r="6172" ht="14.25" customHeight="1">
      <c r="A6172" s="1" t="s">
        <v>5265</v>
      </c>
      <c r="B6172" s="1" t="s">
        <v>20</v>
      </c>
      <c r="C6172" s="2" t="s">
        <v>18</v>
      </c>
      <c r="D6172" s="2">
        <v>7.2</v>
      </c>
      <c r="E6172" s="2">
        <v>2004.0</v>
      </c>
      <c r="F6172" s="2" t="s">
        <v>10</v>
      </c>
      <c r="G6172" s="2" t="s">
        <v>10</v>
      </c>
    </row>
    <row r="6173" ht="14.25" customHeight="1">
      <c r="A6173" s="1" t="s">
        <v>5266</v>
      </c>
      <c r="B6173" s="1" t="s">
        <v>20</v>
      </c>
      <c r="C6173" s="2" t="s">
        <v>1060</v>
      </c>
      <c r="D6173" s="2">
        <v>7.2</v>
      </c>
      <c r="E6173" s="2">
        <v>2006.0</v>
      </c>
      <c r="F6173" s="2" t="s">
        <v>10</v>
      </c>
      <c r="G6173" s="2" t="s">
        <v>10</v>
      </c>
    </row>
    <row r="6174" ht="14.25" customHeight="1">
      <c r="A6174" s="1" t="s">
        <v>5267</v>
      </c>
      <c r="B6174" s="1" t="s">
        <v>20</v>
      </c>
      <c r="C6174" s="2" t="s">
        <v>845</v>
      </c>
      <c r="D6174" s="2">
        <v>7.2</v>
      </c>
      <c r="E6174" s="2">
        <v>2023.0</v>
      </c>
      <c r="F6174" s="2" t="s">
        <v>10</v>
      </c>
      <c r="G6174" s="2" t="s">
        <v>10</v>
      </c>
    </row>
    <row r="6175" ht="14.25" customHeight="1">
      <c r="A6175" s="1" t="s">
        <v>5268</v>
      </c>
      <c r="B6175" s="1" t="s">
        <v>20</v>
      </c>
      <c r="C6175" s="2" t="s">
        <v>5269</v>
      </c>
      <c r="D6175" s="2">
        <v>7.2</v>
      </c>
      <c r="E6175" s="2">
        <v>2002.0</v>
      </c>
      <c r="F6175" s="2" t="s">
        <v>10</v>
      </c>
      <c r="G6175" s="2" t="s">
        <v>10</v>
      </c>
    </row>
    <row r="6176" ht="14.25" customHeight="1">
      <c r="A6176" s="1" t="s">
        <v>5270</v>
      </c>
      <c r="B6176" s="1" t="s">
        <v>20</v>
      </c>
      <c r="C6176" s="2" t="s">
        <v>154</v>
      </c>
      <c r="D6176" s="2">
        <v>7.2</v>
      </c>
      <c r="E6176" s="2">
        <v>2004.0</v>
      </c>
      <c r="F6176" s="2" t="s">
        <v>10</v>
      </c>
      <c r="G6176" s="2" t="s">
        <v>10</v>
      </c>
    </row>
    <row r="6177" ht="14.25" customHeight="1">
      <c r="A6177" s="1" t="s">
        <v>5271</v>
      </c>
      <c r="B6177" s="1" t="s">
        <v>20</v>
      </c>
      <c r="C6177" s="2" t="s">
        <v>9</v>
      </c>
      <c r="D6177" s="2">
        <v>7.2</v>
      </c>
      <c r="E6177" s="2">
        <v>2007.0</v>
      </c>
      <c r="F6177" s="2">
        <v>2007.0</v>
      </c>
      <c r="G6177" s="2" t="s">
        <v>10</v>
      </c>
    </row>
    <row r="6178" ht="14.25" customHeight="1">
      <c r="A6178" s="1" t="s">
        <v>5272</v>
      </c>
      <c r="B6178" s="1" t="s">
        <v>20</v>
      </c>
      <c r="C6178" s="2" t="s">
        <v>60</v>
      </c>
      <c r="D6178" s="2">
        <v>7.2</v>
      </c>
      <c r="E6178" s="2">
        <v>2007.0</v>
      </c>
      <c r="F6178" s="2" t="s">
        <v>10</v>
      </c>
      <c r="G6178" s="2" t="s">
        <v>10</v>
      </c>
    </row>
    <row r="6179" ht="14.25" customHeight="1">
      <c r="A6179" s="1" t="s">
        <v>5273</v>
      </c>
      <c r="B6179" s="1" t="s">
        <v>20</v>
      </c>
      <c r="C6179" s="2" t="s">
        <v>845</v>
      </c>
      <c r="D6179" s="2">
        <v>7.2</v>
      </c>
      <c r="E6179" s="2">
        <v>2004.0</v>
      </c>
      <c r="F6179" s="2" t="s">
        <v>10</v>
      </c>
      <c r="G6179" s="2" t="s">
        <v>10</v>
      </c>
    </row>
    <row r="6180" ht="14.25" customHeight="1">
      <c r="A6180" s="1" t="s">
        <v>5274</v>
      </c>
      <c r="B6180" s="1" t="s">
        <v>20</v>
      </c>
      <c r="C6180" s="2" t="s">
        <v>1474</v>
      </c>
      <c r="D6180" s="2">
        <v>7.2</v>
      </c>
      <c r="E6180" s="2">
        <v>2015.0</v>
      </c>
      <c r="F6180" s="2" t="s">
        <v>10</v>
      </c>
      <c r="G6180" s="2">
        <v>9340000.0</v>
      </c>
    </row>
    <row r="6181" ht="14.25" customHeight="1">
      <c r="A6181" s="1" t="s">
        <v>1873</v>
      </c>
      <c r="B6181" s="1" t="s">
        <v>20</v>
      </c>
      <c r="C6181" s="2" t="s">
        <v>18</v>
      </c>
      <c r="D6181" s="2">
        <v>7.2</v>
      </c>
      <c r="E6181" s="2">
        <v>2011.0</v>
      </c>
      <c r="F6181" s="2" t="s">
        <v>10</v>
      </c>
      <c r="G6181" s="2" t="s">
        <v>10</v>
      </c>
    </row>
    <row r="6182" ht="14.25" customHeight="1">
      <c r="A6182" s="1" t="s">
        <v>5275</v>
      </c>
      <c r="B6182" s="1" t="s">
        <v>20</v>
      </c>
      <c r="C6182" s="2" t="s">
        <v>154</v>
      </c>
      <c r="D6182" s="2">
        <v>7.2</v>
      </c>
      <c r="E6182" s="2">
        <v>2000.0</v>
      </c>
      <c r="F6182" s="2" t="s">
        <v>10</v>
      </c>
      <c r="G6182" s="2" t="s">
        <v>10</v>
      </c>
    </row>
    <row r="6183" ht="14.25" customHeight="1">
      <c r="A6183" s="1" t="s">
        <v>5276</v>
      </c>
      <c r="B6183" s="1" t="s">
        <v>20</v>
      </c>
      <c r="C6183" s="2" t="s">
        <v>291</v>
      </c>
      <c r="D6183" s="2">
        <v>7.2</v>
      </c>
      <c r="E6183" s="2">
        <v>1998.0</v>
      </c>
      <c r="F6183" s="2" t="s">
        <v>10</v>
      </c>
      <c r="G6183" s="2" t="s">
        <v>10</v>
      </c>
    </row>
    <row r="6184" ht="14.25" customHeight="1">
      <c r="A6184" s="1" t="s">
        <v>5277</v>
      </c>
      <c r="B6184" s="1" t="s">
        <v>20</v>
      </c>
      <c r="C6184" s="2" t="s">
        <v>25</v>
      </c>
      <c r="D6184" s="2">
        <v>7.2</v>
      </c>
      <c r="E6184" s="2">
        <v>2012.0</v>
      </c>
      <c r="F6184" s="2" t="s">
        <v>10</v>
      </c>
      <c r="G6184" s="2" t="s">
        <v>10</v>
      </c>
    </row>
    <row r="6185" ht="14.25" customHeight="1">
      <c r="A6185" s="1" t="s">
        <v>5278</v>
      </c>
      <c r="B6185" s="1" t="s">
        <v>8</v>
      </c>
      <c r="C6185" s="2" t="s">
        <v>151</v>
      </c>
      <c r="D6185" s="2">
        <v>7.2</v>
      </c>
      <c r="E6185" s="2">
        <v>2021.0</v>
      </c>
      <c r="F6185" s="2" t="s">
        <v>10</v>
      </c>
      <c r="G6185" s="2" t="s">
        <v>10</v>
      </c>
    </row>
    <row r="6186" ht="14.25" customHeight="1">
      <c r="A6186" s="1" t="s">
        <v>5279</v>
      </c>
      <c r="B6186" s="1" t="s">
        <v>20</v>
      </c>
      <c r="C6186" s="2" t="s">
        <v>792</v>
      </c>
      <c r="D6186" s="2">
        <v>7.2</v>
      </c>
      <c r="E6186" s="2">
        <v>2008.0</v>
      </c>
      <c r="F6186" s="2">
        <v>2008.0</v>
      </c>
      <c r="G6186" s="2" t="s">
        <v>10</v>
      </c>
    </row>
    <row r="6187" ht="14.25" customHeight="1">
      <c r="A6187" s="1" t="s">
        <v>5280</v>
      </c>
      <c r="B6187" s="1" t="s">
        <v>20</v>
      </c>
      <c r="C6187" s="2" t="s">
        <v>910</v>
      </c>
      <c r="D6187" s="2">
        <v>7.2</v>
      </c>
      <c r="E6187" s="2">
        <v>2014.0</v>
      </c>
      <c r="F6187" s="2">
        <v>2019.0</v>
      </c>
      <c r="G6187" s="2" t="s">
        <v>10</v>
      </c>
    </row>
    <row r="6188" ht="14.25" customHeight="1">
      <c r="A6188" s="1" t="s">
        <v>5281</v>
      </c>
      <c r="B6188" s="1" t="s">
        <v>20</v>
      </c>
      <c r="C6188" s="2" t="s">
        <v>169</v>
      </c>
      <c r="D6188" s="2">
        <v>7.2</v>
      </c>
      <c r="E6188" s="2">
        <v>2016.0</v>
      </c>
      <c r="F6188" s="2">
        <v>2016.0</v>
      </c>
      <c r="G6188" s="2" t="s">
        <v>10</v>
      </c>
    </row>
    <row r="6189" ht="14.25" customHeight="1">
      <c r="A6189" s="1" t="s">
        <v>5282</v>
      </c>
      <c r="B6189" s="1" t="s">
        <v>20</v>
      </c>
      <c r="C6189" s="2" t="s">
        <v>1622</v>
      </c>
      <c r="D6189" s="2">
        <v>7.2</v>
      </c>
      <c r="E6189" s="2">
        <v>1962.0</v>
      </c>
      <c r="F6189" s="2" t="s">
        <v>10</v>
      </c>
      <c r="G6189" s="2" t="s">
        <v>10</v>
      </c>
    </row>
    <row r="6190" ht="14.25" customHeight="1">
      <c r="A6190" s="1" t="s">
        <v>5283</v>
      </c>
      <c r="B6190" s="1" t="s">
        <v>20</v>
      </c>
      <c r="C6190" s="2" t="s">
        <v>169</v>
      </c>
      <c r="D6190" s="2">
        <v>7.2</v>
      </c>
      <c r="E6190" s="2">
        <v>2015.0</v>
      </c>
      <c r="F6190" s="2">
        <v>2015.0</v>
      </c>
      <c r="G6190" s="2" t="s">
        <v>10</v>
      </c>
    </row>
    <row r="6191" ht="14.25" customHeight="1">
      <c r="A6191" s="1" t="s">
        <v>5284</v>
      </c>
      <c r="B6191" s="1" t="s">
        <v>20</v>
      </c>
      <c r="C6191" s="2" t="s">
        <v>945</v>
      </c>
      <c r="D6191" s="2">
        <v>7.2</v>
      </c>
      <c r="E6191" s="2">
        <v>2004.0</v>
      </c>
      <c r="F6191" s="2">
        <v>2004.0</v>
      </c>
      <c r="G6191" s="2" t="s">
        <v>10</v>
      </c>
    </row>
    <row r="6192" ht="14.25" customHeight="1">
      <c r="A6192" s="1" t="s">
        <v>5285</v>
      </c>
      <c r="B6192" s="1" t="s">
        <v>20</v>
      </c>
      <c r="C6192" s="2" t="s">
        <v>335</v>
      </c>
      <c r="D6192" s="2">
        <v>7.2</v>
      </c>
      <c r="E6192" s="2">
        <v>2007.0</v>
      </c>
      <c r="F6192" s="2" t="s">
        <v>10</v>
      </c>
      <c r="G6192" s="2" t="s">
        <v>10</v>
      </c>
    </row>
    <row r="6193" ht="14.25" customHeight="1">
      <c r="A6193" s="1" t="s">
        <v>5286</v>
      </c>
      <c r="B6193" s="1" t="s">
        <v>20</v>
      </c>
      <c r="C6193" s="2" t="s">
        <v>53</v>
      </c>
      <c r="D6193" s="2">
        <v>7.2</v>
      </c>
      <c r="E6193" s="2">
        <v>2007.0</v>
      </c>
      <c r="F6193" s="2" t="s">
        <v>10</v>
      </c>
      <c r="G6193" s="2" t="s">
        <v>10</v>
      </c>
    </row>
    <row r="6194" ht="14.25" customHeight="1">
      <c r="A6194" s="1" t="s">
        <v>5287</v>
      </c>
      <c r="B6194" s="1" t="s">
        <v>20</v>
      </c>
      <c r="C6194" s="2" t="s">
        <v>154</v>
      </c>
      <c r="D6194" s="2">
        <v>7.2</v>
      </c>
      <c r="E6194" s="2">
        <v>1999.0</v>
      </c>
      <c r="F6194" s="2" t="s">
        <v>10</v>
      </c>
      <c r="G6194" s="2" t="s">
        <v>10</v>
      </c>
    </row>
    <row r="6195" ht="14.25" customHeight="1">
      <c r="A6195" s="1" t="s">
        <v>5288</v>
      </c>
      <c r="B6195" s="1" t="s">
        <v>20</v>
      </c>
      <c r="C6195" s="2" t="s">
        <v>55</v>
      </c>
      <c r="D6195" s="2">
        <v>7.2</v>
      </c>
      <c r="E6195" s="2">
        <v>2009.0</v>
      </c>
      <c r="F6195" s="2">
        <v>2009.0</v>
      </c>
      <c r="G6195" s="2" t="s">
        <v>10</v>
      </c>
    </row>
    <row r="6196" ht="14.25" customHeight="1">
      <c r="A6196" s="1" t="s">
        <v>5289</v>
      </c>
      <c r="B6196" s="1" t="s">
        <v>20</v>
      </c>
      <c r="C6196" s="2" t="s">
        <v>1100</v>
      </c>
      <c r="D6196" s="2">
        <v>7.2</v>
      </c>
      <c r="E6196" s="2">
        <v>2018.0</v>
      </c>
      <c r="F6196" s="2">
        <v>2018.0</v>
      </c>
      <c r="G6196" s="2" t="s">
        <v>10</v>
      </c>
    </row>
    <row r="6197" ht="14.25" customHeight="1">
      <c r="A6197" s="1" t="s">
        <v>5290</v>
      </c>
      <c r="B6197" s="1" t="s">
        <v>20</v>
      </c>
      <c r="C6197" s="2" t="s">
        <v>53</v>
      </c>
      <c r="D6197" s="2">
        <v>7.2</v>
      </c>
      <c r="E6197" s="2">
        <v>2010.0</v>
      </c>
      <c r="F6197" s="2" t="s">
        <v>10</v>
      </c>
      <c r="G6197" s="2" t="s">
        <v>10</v>
      </c>
    </row>
    <row r="6198" ht="14.25" customHeight="1">
      <c r="A6198" s="1" t="s">
        <v>5291</v>
      </c>
      <c r="B6198" s="1" t="s">
        <v>20</v>
      </c>
      <c r="C6198" s="2" t="s">
        <v>613</v>
      </c>
      <c r="D6198" s="2">
        <v>7.2</v>
      </c>
      <c r="E6198" s="2">
        <v>2011.0</v>
      </c>
      <c r="F6198" s="2">
        <v>2011.0</v>
      </c>
      <c r="G6198" s="2" t="s">
        <v>10</v>
      </c>
    </row>
    <row r="6199" ht="14.25" customHeight="1">
      <c r="A6199" s="1" t="s">
        <v>5292</v>
      </c>
      <c r="B6199" s="1" t="s">
        <v>20</v>
      </c>
      <c r="C6199" s="2" t="s">
        <v>766</v>
      </c>
      <c r="D6199" s="2">
        <v>7.2</v>
      </c>
      <c r="E6199" s="2">
        <v>1987.0</v>
      </c>
      <c r="F6199" s="2" t="s">
        <v>10</v>
      </c>
      <c r="G6199" s="2" t="s">
        <v>10</v>
      </c>
    </row>
    <row r="6200" ht="14.25" customHeight="1">
      <c r="A6200" s="1" t="s">
        <v>5293</v>
      </c>
      <c r="B6200" s="1" t="s">
        <v>20</v>
      </c>
      <c r="C6200" s="2" t="s">
        <v>742</v>
      </c>
      <c r="D6200" s="2">
        <v>7.2</v>
      </c>
      <c r="E6200" s="2">
        <v>2018.0</v>
      </c>
      <c r="F6200" s="2" t="s">
        <v>10</v>
      </c>
      <c r="G6200" s="2" t="s">
        <v>10</v>
      </c>
    </row>
    <row r="6201" ht="14.25" customHeight="1">
      <c r="A6201" s="1" t="s">
        <v>5294</v>
      </c>
      <c r="B6201" s="1" t="s">
        <v>20</v>
      </c>
      <c r="C6201" s="2" t="s">
        <v>80</v>
      </c>
      <c r="D6201" s="2">
        <v>7.2</v>
      </c>
      <c r="E6201" s="2">
        <v>2017.0</v>
      </c>
      <c r="F6201" s="2" t="s">
        <v>10</v>
      </c>
      <c r="G6201" s="2" t="s">
        <v>10</v>
      </c>
    </row>
    <row r="6202" ht="14.25" customHeight="1">
      <c r="A6202" s="1" t="s">
        <v>5295</v>
      </c>
      <c r="B6202" s="1" t="s">
        <v>20</v>
      </c>
      <c r="C6202" s="2" t="s">
        <v>328</v>
      </c>
      <c r="D6202" s="2">
        <v>7.2</v>
      </c>
      <c r="E6202" s="2">
        <v>1959.0</v>
      </c>
      <c r="F6202" s="2" t="s">
        <v>10</v>
      </c>
      <c r="G6202" s="2" t="s">
        <v>10</v>
      </c>
    </row>
    <row r="6203" ht="14.25" customHeight="1">
      <c r="A6203" s="1" t="s">
        <v>3152</v>
      </c>
      <c r="B6203" s="1" t="s">
        <v>20</v>
      </c>
      <c r="C6203" s="2" t="s">
        <v>719</v>
      </c>
      <c r="D6203" s="2">
        <v>7.2</v>
      </c>
      <c r="E6203" s="2">
        <v>2023.0</v>
      </c>
      <c r="F6203" s="2">
        <v>2018.0</v>
      </c>
      <c r="G6203" s="2" t="s">
        <v>10</v>
      </c>
    </row>
    <row r="6204" ht="14.25" customHeight="1">
      <c r="A6204" s="1" t="s">
        <v>5296</v>
      </c>
      <c r="B6204" s="1" t="s">
        <v>20</v>
      </c>
      <c r="C6204" s="2" t="s">
        <v>1897</v>
      </c>
      <c r="D6204" s="2">
        <v>7.2</v>
      </c>
      <c r="E6204" s="2">
        <v>2003.0</v>
      </c>
      <c r="F6204" s="2">
        <v>2003.0</v>
      </c>
      <c r="G6204" s="2" t="s">
        <v>10</v>
      </c>
    </row>
    <row r="6205" ht="14.25" customHeight="1">
      <c r="A6205" s="1" t="s">
        <v>5297</v>
      </c>
      <c r="B6205" s="1" t="s">
        <v>20</v>
      </c>
      <c r="C6205" s="2" t="s">
        <v>845</v>
      </c>
      <c r="D6205" s="2">
        <v>7.2</v>
      </c>
      <c r="E6205" s="2">
        <v>1986.0</v>
      </c>
      <c r="F6205" s="2" t="s">
        <v>10</v>
      </c>
      <c r="G6205" s="2" t="s">
        <v>10</v>
      </c>
    </row>
    <row r="6206" ht="14.25" customHeight="1">
      <c r="A6206" s="1" t="s">
        <v>5298</v>
      </c>
      <c r="B6206" s="1" t="s">
        <v>20</v>
      </c>
      <c r="C6206" s="2" t="s">
        <v>766</v>
      </c>
      <c r="D6206" s="2">
        <v>7.2</v>
      </c>
      <c r="E6206" s="2">
        <v>1990.0</v>
      </c>
      <c r="F6206" s="2">
        <v>1990.0</v>
      </c>
      <c r="G6206" s="2" t="s">
        <v>10</v>
      </c>
    </row>
    <row r="6207" ht="14.25" customHeight="1">
      <c r="A6207" s="1" t="s">
        <v>5299</v>
      </c>
      <c r="B6207" s="1" t="s">
        <v>20</v>
      </c>
      <c r="C6207" s="2" t="s">
        <v>1046</v>
      </c>
      <c r="D6207" s="2">
        <v>7.2</v>
      </c>
      <c r="E6207" s="2">
        <v>2013.0</v>
      </c>
      <c r="F6207" s="2" t="s">
        <v>10</v>
      </c>
      <c r="G6207" s="2" t="s">
        <v>10</v>
      </c>
    </row>
    <row r="6208" ht="14.25" customHeight="1">
      <c r="A6208" s="1" t="s">
        <v>5300</v>
      </c>
      <c r="B6208" s="1" t="s">
        <v>20</v>
      </c>
      <c r="C6208" s="2" t="s">
        <v>14</v>
      </c>
      <c r="D6208" s="2">
        <v>7.2</v>
      </c>
      <c r="E6208" s="2">
        <v>2002.0</v>
      </c>
      <c r="F6208" s="2" t="s">
        <v>10</v>
      </c>
      <c r="G6208" s="2" t="s">
        <v>10</v>
      </c>
    </row>
    <row r="6209" ht="14.25" customHeight="1">
      <c r="A6209" s="1" t="s">
        <v>5301</v>
      </c>
      <c r="B6209" s="1" t="s">
        <v>20</v>
      </c>
      <c r="C6209" s="2" t="s">
        <v>5302</v>
      </c>
      <c r="D6209" s="2">
        <v>7.2</v>
      </c>
      <c r="E6209" s="2">
        <v>1988.0</v>
      </c>
      <c r="F6209" s="2" t="s">
        <v>10</v>
      </c>
      <c r="G6209" s="2" t="s">
        <v>10</v>
      </c>
    </row>
    <row r="6210" ht="14.25" customHeight="1">
      <c r="A6210" s="1" t="s">
        <v>5303</v>
      </c>
      <c r="B6210" s="1" t="s">
        <v>20</v>
      </c>
      <c r="C6210" s="2" t="s">
        <v>395</v>
      </c>
      <c r="D6210" s="2">
        <v>7.2</v>
      </c>
      <c r="E6210" s="2">
        <v>1998.0</v>
      </c>
      <c r="F6210" s="2" t="s">
        <v>10</v>
      </c>
      <c r="G6210" s="2" t="s">
        <v>10</v>
      </c>
    </row>
    <row r="6211" ht="14.25" customHeight="1">
      <c r="A6211" s="1" t="s">
        <v>5304</v>
      </c>
      <c r="B6211" s="1" t="s">
        <v>20</v>
      </c>
      <c r="C6211" s="2" t="s">
        <v>187</v>
      </c>
      <c r="D6211" s="2">
        <v>7.2</v>
      </c>
      <c r="E6211" s="2">
        <v>1997.0</v>
      </c>
      <c r="F6211" s="2">
        <v>1997.0</v>
      </c>
      <c r="G6211" s="2" t="s">
        <v>10</v>
      </c>
    </row>
    <row r="6212" ht="14.25" customHeight="1">
      <c r="A6212" s="1" t="s">
        <v>5305</v>
      </c>
      <c r="B6212" s="1" t="s">
        <v>20</v>
      </c>
      <c r="C6212" s="2" t="s">
        <v>395</v>
      </c>
      <c r="D6212" s="2">
        <v>7.2</v>
      </c>
      <c r="E6212" s="2">
        <v>1941.0</v>
      </c>
      <c r="F6212" s="2" t="s">
        <v>10</v>
      </c>
      <c r="G6212" s="2" t="s">
        <v>10</v>
      </c>
    </row>
    <row r="6213" ht="14.25" customHeight="1">
      <c r="A6213" s="1" t="s">
        <v>5306</v>
      </c>
      <c r="B6213" s="1" t="s">
        <v>8</v>
      </c>
      <c r="C6213" s="2" t="s">
        <v>69</v>
      </c>
      <c r="D6213" s="2">
        <v>7.2</v>
      </c>
      <c r="E6213" s="2">
        <v>2016.0</v>
      </c>
      <c r="F6213" s="2" t="s">
        <v>10</v>
      </c>
      <c r="G6213" s="2" t="s">
        <v>10</v>
      </c>
    </row>
    <row r="6214" ht="14.25" customHeight="1">
      <c r="A6214" s="1" t="s">
        <v>5307</v>
      </c>
      <c r="B6214" s="1" t="s">
        <v>8</v>
      </c>
      <c r="C6214" s="2" t="s">
        <v>34</v>
      </c>
      <c r="D6214" s="2">
        <v>7.2</v>
      </c>
      <c r="E6214" s="2">
        <v>2021.0</v>
      </c>
      <c r="F6214" s="2" t="s">
        <v>10</v>
      </c>
      <c r="G6214" s="2" t="s">
        <v>10</v>
      </c>
    </row>
    <row r="6215" ht="14.25" customHeight="1">
      <c r="A6215" s="1" t="s">
        <v>5308</v>
      </c>
      <c r="B6215" s="1" t="s">
        <v>20</v>
      </c>
      <c r="C6215" s="2" t="s">
        <v>1060</v>
      </c>
      <c r="D6215" s="2">
        <v>7.2</v>
      </c>
      <c r="E6215" s="2">
        <v>2022.0</v>
      </c>
      <c r="F6215" s="2" t="s">
        <v>10</v>
      </c>
      <c r="G6215" s="2">
        <v>9640000.0</v>
      </c>
    </row>
    <row r="6216" ht="14.25" customHeight="1">
      <c r="A6216" s="1" t="s">
        <v>5308</v>
      </c>
      <c r="B6216" s="1" t="s">
        <v>20</v>
      </c>
      <c r="C6216" s="2" t="s">
        <v>1060</v>
      </c>
      <c r="D6216" s="2">
        <v>7.2</v>
      </c>
      <c r="E6216" s="2">
        <v>2022.0</v>
      </c>
      <c r="F6216" s="2" t="s">
        <v>10</v>
      </c>
      <c r="G6216" s="2">
        <v>2.033E7</v>
      </c>
    </row>
    <row r="6217" ht="14.25" customHeight="1">
      <c r="A6217" s="1" t="s">
        <v>5308</v>
      </c>
      <c r="B6217" s="1" t="s">
        <v>20</v>
      </c>
      <c r="C6217" s="2" t="s">
        <v>1060</v>
      </c>
      <c r="D6217" s="2">
        <v>7.2</v>
      </c>
      <c r="E6217" s="2">
        <v>2022.0</v>
      </c>
      <c r="F6217" s="2" t="s">
        <v>10</v>
      </c>
      <c r="G6217" s="2">
        <v>1.083E7</v>
      </c>
    </row>
    <row r="6218" ht="14.25" customHeight="1">
      <c r="A6218" s="1" t="s">
        <v>5309</v>
      </c>
      <c r="B6218" s="1" t="s">
        <v>20</v>
      </c>
      <c r="C6218" s="2" t="s">
        <v>18</v>
      </c>
      <c r="D6218" s="2">
        <v>7.2</v>
      </c>
      <c r="E6218" s="2">
        <v>2009.0</v>
      </c>
      <c r="F6218" s="2" t="s">
        <v>10</v>
      </c>
      <c r="G6218" s="2" t="s">
        <v>10</v>
      </c>
    </row>
    <row r="6219" ht="14.25" customHeight="1">
      <c r="A6219" s="1" t="s">
        <v>5310</v>
      </c>
      <c r="B6219" s="1" t="s">
        <v>20</v>
      </c>
      <c r="C6219" s="2" t="s">
        <v>328</v>
      </c>
      <c r="D6219" s="2">
        <v>7.2</v>
      </c>
      <c r="E6219" s="2">
        <v>2002.0</v>
      </c>
      <c r="F6219" s="2" t="s">
        <v>10</v>
      </c>
      <c r="G6219" s="2" t="s">
        <v>10</v>
      </c>
    </row>
    <row r="6220" ht="14.25" customHeight="1">
      <c r="A6220" s="1" t="s">
        <v>5311</v>
      </c>
      <c r="B6220" s="1" t="s">
        <v>20</v>
      </c>
      <c r="C6220" s="2" t="s">
        <v>18</v>
      </c>
      <c r="D6220" s="2">
        <v>7.2</v>
      </c>
      <c r="E6220" s="2">
        <v>2002.0</v>
      </c>
      <c r="F6220" s="2" t="s">
        <v>10</v>
      </c>
      <c r="G6220" s="2" t="s">
        <v>10</v>
      </c>
    </row>
    <row r="6221" ht="14.25" customHeight="1">
      <c r="A6221" s="1" t="s">
        <v>3945</v>
      </c>
      <c r="B6221" s="1" t="s">
        <v>20</v>
      </c>
      <c r="C6221" s="2" t="s">
        <v>207</v>
      </c>
      <c r="D6221" s="2">
        <v>7.2</v>
      </c>
      <c r="E6221" s="2">
        <v>2004.0</v>
      </c>
      <c r="F6221" s="2">
        <v>2004.0</v>
      </c>
      <c r="G6221" s="2" t="s">
        <v>10</v>
      </c>
    </row>
    <row r="6222" ht="14.25" customHeight="1">
      <c r="A6222" s="1" t="s">
        <v>5312</v>
      </c>
      <c r="B6222" s="1" t="s">
        <v>20</v>
      </c>
      <c r="C6222" s="2" t="s">
        <v>34</v>
      </c>
      <c r="D6222" s="2">
        <v>7.2</v>
      </c>
      <c r="E6222" s="2">
        <v>1988.0</v>
      </c>
      <c r="F6222" s="2" t="s">
        <v>10</v>
      </c>
      <c r="G6222" s="2" t="s">
        <v>10</v>
      </c>
    </row>
    <row r="6223" ht="14.25" customHeight="1">
      <c r="A6223" s="1" t="s">
        <v>5313</v>
      </c>
      <c r="B6223" s="1" t="s">
        <v>20</v>
      </c>
      <c r="C6223" s="2" t="s">
        <v>878</v>
      </c>
      <c r="D6223" s="2">
        <v>7.2</v>
      </c>
      <c r="E6223" s="2">
        <v>1980.0</v>
      </c>
      <c r="F6223" s="2" t="s">
        <v>10</v>
      </c>
      <c r="G6223" s="2" t="s">
        <v>10</v>
      </c>
    </row>
    <row r="6224" ht="14.25" customHeight="1">
      <c r="A6224" s="1" t="s">
        <v>5314</v>
      </c>
      <c r="B6224" s="1" t="s">
        <v>20</v>
      </c>
      <c r="C6224" s="2" t="s">
        <v>63</v>
      </c>
      <c r="D6224" s="2">
        <v>7.2</v>
      </c>
      <c r="E6224" s="2">
        <v>1995.0</v>
      </c>
      <c r="F6224" s="2" t="s">
        <v>10</v>
      </c>
      <c r="G6224" s="2" t="s">
        <v>10</v>
      </c>
    </row>
    <row r="6225" ht="14.25" customHeight="1">
      <c r="A6225" s="1" t="s">
        <v>5315</v>
      </c>
      <c r="B6225" s="1" t="s">
        <v>20</v>
      </c>
      <c r="C6225" s="2" t="s">
        <v>169</v>
      </c>
      <c r="D6225" s="2">
        <v>7.2</v>
      </c>
      <c r="E6225" s="2">
        <v>2000.0</v>
      </c>
      <c r="F6225" s="2" t="s">
        <v>10</v>
      </c>
      <c r="G6225" s="2" t="s">
        <v>10</v>
      </c>
    </row>
    <row r="6226" ht="14.25" customHeight="1">
      <c r="A6226" s="1" t="s">
        <v>5316</v>
      </c>
      <c r="B6226" s="1" t="s">
        <v>20</v>
      </c>
      <c r="C6226" s="2" t="s">
        <v>44</v>
      </c>
      <c r="D6226" s="2">
        <v>7.2</v>
      </c>
      <c r="E6226" s="2">
        <v>2016.0</v>
      </c>
      <c r="F6226" s="2" t="s">
        <v>10</v>
      </c>
      <c r="G6226" s="2" t="s">
        <v>10</v>
      </c>
    </row>
    <row r="6227" ht="14.25" customHeight="1">
      <c r="A6227" s="1" t="s">
        <v>5317</v>
      </c>
      <c r="B6227" s="1" t="s">
        <v>20</v>
      </c>
      <c r="C6227" s="2" t="s">
        <v>18</v>
      </c>
      <c r="D6227" s="2">
        <v>7.2</v>
      </c>
      <c r="E6227" s="2">
        <v>2000.0</v>
      </c>
      <c r="F6227" s="2" t="s">
        <v>10</v>
      </c>
      <c r="G6227" s="2" t="s">
        <v>10</v>
      </c>
    </row>
    <row r="6228" ht="14.25" customHeight="1">
      <c r="A6228" s="1" t="s">
        <v>5318</v>
      </c>
      <c r="B6228" s="1" t="s">
        <v>20</v>
      </c>
      <c r="C6228" s="2" t="s">
        <v>9</v>
      </c>
      <c r="D6228" s="2">
        <v>7.2</v>
      </c>
      <c r="E6228" s="2">
        <v>1973.0</v>
      </c>
      <c r="F6228" s="2">
        <v>1973.0</v>
      </c>
      <c r="G6228" s="2" t="s">
        <v>10</v>
      </c>
    </row>
    <row r="6229" ht="14.25" customHeight="1">
      <c r="A6229" s="1" t="s">
        <v>5319</v>
      </c>
      <c r="B6229" s="1" t="s">
        <v>20</v>
      </c>
      <c r="C6229" s="2" t="s">
        <v>169</v>
      </c>
      <c r="D6229" s="2">
        <v>7.2</v>
      </c>
      <c r="E6229" s="2">
        <v>2013.0</v>
      </c>
      <c r="F6229" s="2" t="s">
        <v>10</v>
      </c>
      <c r="G6229" s="2" t="s">
        <v>10</v>
      </c>
    </row>
    <row r="6230" ht="14.25" customHeight="1">
      <c r="A6230" s="1" t="s">
        <v>5320</v>
      </c>
      <c r="B6230" s="1" t="s">
        <v>20</v>
      </c>
      <c r="C6230" s="2" t="s">
        <v>18</v>
      </c>
      <c r="D6230" s="2">
        <v>7.2</v>
      </c>
      <c r="E6230" s="2">
        <v>2016.0</v>
      </c>
      <c r="F6230" s="2" t="s">
        <v>10</v>
      </c>
      <c r="G6230" s="2" t="s">
        <v>10</v>
      </c>
    </row>
    <row r="6231" ht="14.25" customHeight="1">
      <c r="A6231" s="1" t="s">
        <v>5321</v>
      </c>
      <c r="B6231" s="1" t="s">
        <v>20</v>
      </c>
      <c r="C6231" s="2" t="s">
        <v>307</v>
      </c>
      <c r="D6231" s="2">
        <v>7.2</v>
      </c>
      <c r="E6231" s="2">
        <v>1969.0</v>
      </c>
      <c r="F6231" s="2" t="s">
        <v>10</v>
      </c>
      <c r="G6231" s="2" t="s">
        <v>10</v>
      </c>
    </row>
    <row r="6232" ht="14.25" customHeight="1">
      <c r="A6232" s="1" t="s">
        <v>5322</v>
      </c>
      <c r="B6232" s="1" t="s">
        <v>8</v>
      </c>
      <c r="C6232" s="2" t="s">
        <v>2237</v>
      </c>
      <c r="D6232" s="2">
        <v>7.2</v>
      </c>
      <c r="E6232" s="2">
        <v>2017.0</v>
      </c>
      <c r="F6232" s="2" t="s">
        <v>10</v>
      </c>
      <c r="G6232" s="2" t="s">
        <v>10</v>
      </c>
    </row>
    <row r="6233" ht="14.25" customHeight="1">
      <c r="A6233" s="1" t="s">
        <v>5323</v>
      </c>
      <c r="B6233" s="1" t="s">
        <v>20</v>
      </c>
      <c r="C6233" s="2" t="s">
        <v>794</v>
      </c>
      <c r="D6233" s="2">
        <v>7.2</v>
      </c>
      <c r="E6233" s="2">
        <v>1989.0</v>
      </c>
      <c r="F6233" s="2" t="s">
        <v>10</v>
      </c>
      <c r="G6233" s="2" t="s">
        <v>10</v>
      </c>
    </row>
    <row r="6234" ht="14.25" customHeight="1">
      <c r="A6234" s="1" t="s">
        <v>5324</v>
      </c>
      <c r="B6234" s="1" t="s">
        <v>20</v>
      </c>
      <c r="C6234" s="2" t="s">
        <v>69</v>
      </c>
      <c r="D6234" s="2">
        <v>7.2</v>
      </c>
      <c r="E6234" s="2">
        <v>1993.0</v>
      </c>
      <c r="F6234" s="2">
        <v>1993.0</v>
      </c>
      <c r="G6234" s="2" t="s">
        <v>10</v>
      </c>
    </row>
    <row r="6235" ht="14.25" customHeight="1">
      <c r="A6235" s="1" t="s">
        <v>5325</v>
      </c>
      <c r="B6235" s="1" t="s">
        <v>20</v>
      </c>
      <c r="C6235" s="2" t="s">
        <v>63</v>
      </c>
      <c r="D6235" s="2">
        <v>7.2</v>
      </c>
      <c r="E6235" s="2">
        <v>1997.0</v>
      </c>
      <c r="F6235" s="2" t="s">
        <v>10</v>
      </c>
      <c r="G6235" s="2" t="s">
        <v>10</v>
      </c>
    </row>
    <row r="6236" ht="14.25" customHeight="1">
      <c r="A6236" s="1" t="s">
        <v>5326</v>
      </c>
      <c r="B6236" s="1" t="s">
        <v>20</v>
      </c>
      <c r="C6236" s="2" t="s">
        <v>12</v>
      </c>
      <c r="D6236" s="2">
        <v>7.2</v>
      </c>
      <c r="E6236" s="2">
        <v>2004.0</v>
      </c>
      <c r="F6236" s="2" t="s">
        <v>10</v>
      </c>
      <c r="G6236" s="2" t="s">
        <v>10</v>
      </c>
    </row>
    <row r="6237" ht="14.25" customHeight="1">
      <c r="A6237" s="1" t="s">
        <v>5327</v>
      </c>
      <c r="B6237" s="1" t="s">
        <v>20</v>
      </c>
      <c r="C6237" s="2" t="s">
        <v>284</v>
      </c>
      <c r="D6237" s="2">
        <v>7.2</v>
      </c>
      <c r="E6237" s="2">
        <v>2013.0</v>
      </c>
      <c r="F6237" s="2" t="s">
        <v>10</v>
      </c>
      <c r="G6237" s="2" t="s">
        <v>10</v>
      </c>
    </row>
    <row r="6238" ht="14.25" customHeight="1">
      <c r="A6238" s="1" t="s">
        <v>5328</v>
      </c>
      <c r="B6238" s="1" t="s">
        <v>20</v>
      </c>
      <c r="C6238" s="2" t="s">
        <v>63</v>
      </c>
      <c r="D6238" s="2">
        <v>7.2</v>
      </c>
      <c r="E6238" s="2">
        <v>2014.0</v>
      </c>
      <c r="F6238" s="2" t="s">
        <v>10</v>
      </c>
      <c r="G6238" s="2">
        <v>7640000.0</v>
      </c>
    </row>
    <row r="6239" ht="14.25" customHeight="1">
      <c r="A6239" s="1" t="s">
        <v>5329</v>
      </c>
      <c r="B6239" s="1" t="s">
        <v>20</v>
      </c>
      <c r="C6239" s="2" t="s">
        <v>118</v>
      </c>
      <c r="D6239" s="2">
        <v>7.2</v>
      </c>
      <c r="E6239" s="2">
        <v>1999.0</v>
      </c>
      <c r="F6239" s="2" t="s">
        <v>10</v>
      </c>
      <c r="G6239" s="2" t="s">
        <v>10</v>
      </c>
    </row>
    <row r="6240" ht="14.25" customHeight="1">
      <c r="A6240" s="1" t="s">
        <v>5330</v>
      </c>
      <c r="B6240" s="1" t="s">
        <v>20</v>
      </c>
      <c r="C6240" s="2" t="s">
        <v>1982</v>
      </c>
      <c r="D6240" s="2">
        <v>7.2</v>
      </c>
      <c r="E6240" s="2">
        <v>1983.0</v>
      </c>
      <c r="F6240" s="2" t="s">
        <v>10</v>
      </c>
      <c r="G6240" s="2" t="s">
        <v>10</v>
      </c>
    </row>
    <row r="6241" ht="14.25" customHeight="1">
      <c r="A6241" s="1" t="s">
        <v>5331</v>
      </c>
      <c r="B6241" s="1" t="s">
        <v>20</v>
      </c>
      <c r="C6241" s="2" t="s">
        <v>284</v>
      </c>
      <c r="D6241" s="2">
        <v>7.2</v>
      </c>
      <c r="E6241" s="2">
        <v>2012.0</v>
      </c>
      <c r="F6241" s="2" t="s">
        <v>10</v>
      </c>
      <c r="G6241" s="2" t="s">
        <v>10</v>
      </c>
    </row>
    <row r="6242" ht="14.25" customHeight="1">
      <c r="A6242" s="1" t="s">
        <v>5332</v>
      </c>
      <c r="B6242" s="1" t="s">
        <v>20</v>
      </c>
      <c r="C6242" s="2" t="s">
        <v>55</v>
      </c>
      <c r="D6242" s="2">
        <v>7.2</v>
      </c>
      <c r="E6242" s="2">
        <v>2004.0</v>
      </c>
      <c r="F6242" s="2" t="s">
        <v>10</v>
      </c>
      <c r="G6242" s="2" t="s">
        <v>10</v>
      </c>
    </row>
    <row r="6243" ht="14.25" customHeight="1">
      <c r="A6243" s="1" t="s">
        <v>5333</v>
      </c>
      <c r="B6243" s="1" t="s">
        <v>20</v>
      </c>
      <c r="C6243" s="2" t="s">
        <v>395</v>
      </c>
      <c r="D6243" s="2">
        <v>7.2</v>
      </c>
      <c r="E6243" s="2">
        <v>1981.0</v>
      </c>
      <c r="F6243" s="2" t="s">
        <v>10</v>
      </c>
      <c r="G6243" s="2" t="s">
        <v>10</v>
      </c>
    </row>
    <row r="6244" ht="14.25" customHeight="1">
      <c r="A6244" s="1" t="s">
        <v>5334</v>
      </c>
      <c r="B6244" s="1" t="s">
        <v>20</v>
      </c>
      <c r="C6244" s="2" t="s">
        <v>32</v>
      </c>
      <c r="D6244" s="2">
        <v>7.2</v>
      </c>
      <c r="E6244" s="2">
        <v>1996.0</v>
      </c>
      <c r="F6244" s="2" t="s">
        <v>10</v>
      </c>
      <c r="G6244" s="2" t="s">
        <v>10</v>
      </c>
    </row>
    <row r="6245" ht="14.25" customHeight="1">
      <c r="A6245" s="1" t="s">
        <v>5335</v>
      </c>
      <c r="B6245" s="1" t="s">
        <v>20</v>
      </c>
      <c r="C6245" s="2" t="s">
        <v>9</v>
      </c>
      <c r="D6245" s="2">
        <v>7.2</v>
      </c>
      <c r="E6245" s="2">
        <v>1990.0</v>
      </c>
      <c r="F6245" s="2" t="s">
        <v>10</v>
      </c>
      <c r="G6245" s="2" t="s">
        <v>10</v>
      </c>
    </row>
    <row r="6246" ht="14.25" customHeight="1">
      <c r="A6246" s="1" t="s">
        <v>5336</v>
      </c>
      <c r="B6246" s="1" t="s">
        <v>20</v>
      </c>
      <c r="C6246" s="2" t="s">
        <v>187</v>
      </c>
      <c r="D6246" s="2">
        <v>7.2</v>
      </c>
      <c r="E6246" s="2">
        <v>2011.0</v>
      </c>
      <c r="F6246" s="2" t="s">
        <v>10</v>
      </c>
      <c r="G6246" s="2" t="s">
        <v>10</v>
      </c>
    </row>
    <row r="6247" ht="14.25" customHeight="1">
      <c r="A6247" s="1" t="s">
        <v>5337</v>
      </c>
      <c r="B6247" s="1" t="s">
        <v>20</v>
      </c>
      <c r="C6247" s="2" t="s">
        <v>311</v>
      </c>
      <c r="D6247" s="2">
        <v>7.2</v>
      </c>
      <c r="E6247" s="2">
        <v>1991.0</v>
      </c>
      <c r="F6247" s="2" t="s">
        <v>10</v>
      </c>
      <c r="G6247" s="2" t="s">
        <v>10</v>
      </c>
    </row>
    <row r="6248" ht="14.25" customHeight="1">
      <c r="A6248" s="1" t="s">
        <v>5338</v>
      </c>
      <c r="B6248" s="1" t="s">
        <v>20</v>
      </c>
      <c r="C6248" s="2" t="s">
        <v>249</v>
      </c>
      <c r="D6248" s="2">
        <v>7.2</v>
      </c>
      <c r="E6248" s="2">
        <v>2017.0</v>
      </c>
      <c r="F6248" s="2">
        <v>2017.0</v>
      </c>
      <c r="G6248" s="2" t="s">
        <v>10</v>
      </c>
    </row>
    <row r="6249" ht="14.25" customHeight="1">
      <c r="A6249" s="1" t="s">
        <v>5339</v>
      </c>
      <c r="B6249" s="1" t="s">
        <v>20</v>
      </c>
      <c r="C6249" s="2" t="s">
        <v>459</v>
      </c>
      <c r="D6249" s="2">
        <v>7.2</v>
      </c>
      <c r="E6249" s="2">
        <v>1987.0</v>
      </c>
      <c r="F6249" s="2" t="s">
        <v>10</v>
      </c>
      <c r="G6249" s="2" t="s">
        <v>10</v>
      </c>
    </row>
    <row r="6250" ht="14.25" customHeight="1">
      <c r="A6250" s="1" t="s">
        <v>5340</v>
      </c>
      <c r="B6250" s="1" t="s">
        <v>20</v>
      </c>
      <c r="C6250" s="2" t="s">
        <v>63</v>
      </c>
      <c r="D6250" s="2">
        <v>7.2</v>
      </c>
      <c r="E6250" s="2">
        <v>2013.0</v>
      </c>
      <c r="F6250" s="2">
        <v>2014.0</v>
      </c>
      <c r="G6250" s="2" t="s">
        <v>10</v>
      </c>
    </row>
    <row r="6251" ht="14.25" customHeight="1">
      <c r="A6251" s="1" t="s">
        <v>5341</v>
      </c>
      <c r="B6251" s="1" t="s">
        <v>20</v>
      </c>
      <c r="C6251" s="2" t="s">
        <v>1395</v>
      </c>
      <c r="D6251" s="2">
        <v>7.2</v>
      </c>
      <c r="E6251" s="2">
        <v>2001.0</v>
      </c>
      <c r="F6251" s="2">
        <v>2001.0</v>
      </c>
      <c r="G6251" s="2" t="s">
        <v>10</v>
      </c>
    </row>
    <row r="6252" ht="14.25" customHeight="1">
      <c r="A6252" s="1" t="s">
        <v>5342</v>
      </c>
      <c r="B6252" s="1" t="s">
        <v>20</v>
      </c>
      <c r="C6252" s="2" t="s">
        <v>1240</v>
      </c>
      <c r="D6252" s="2">
        <v>7.2</v>
      </c>
      <c r="E6252" s="2">
        <v>2021.0</v>
      </c>
      <c r="F6252" s="2" t="s">
        <v>10</v>
      </c>
      <c r="G6252" s="2" t="s">
        <v>10</v>
      </c>
    </row>
    <row r="6253" ht="14.25" customHeight="1">
      <c r="A6253" s="1" t="s">
        <v>5343</v>
      </c>
      <c r="B6253" s="1" t="s">
        <v>20</v>
      </c>
      <c r="C6253" s="2" t="s">
        <v>411</v>
      </c>
      <c r="D6253" s="2">
        <v>7.2</v>
      </c>
      <c r="E6253" s="2">
        <v>2009.0</v>
      </c>
      <c r="F6253" s="2" t="s">
        <v>10</v>
      </c>
      <c r="G6253" s="2" t="s">
        <v>10</v>
      </c>
    </row>
    <row r="6254" ht="14.25" customHeight="1">
      <c r="A6254" s="1" t="s">
        <v>5344</v>
      </c>
      <c r="B6254" s="1" t="s">
        <v>20</v>
      </c>
      <c r="C6254" s="2" t="s">
        <v>187</v>
      </c>
      <c r="D6254" s="2">
        <v>7.2</v>
      </c>
      <c r="E6254" s="2">
        <v>2010.0</v>
      </c>
      <c r="F6254" s="2" t="s">
        <v>10</v>
      </c>
      <c r="G6254" s="2" t="s">
        <v>10</v>
      </c>
    </row>
    <row r="6255" ht="14.25" customHeight="1">
      <c r="A6255" s="1" t="s">
        <v>5345</v>
      </c>
      <c r="B6255" s="1" t="s">
        <v>8</v>
      </c>
      <c r="C6255" s="2" t="s">
        <v>9</v>
      </c>
      <c r="D6255" s="2">
        <v>7.2</v>
      </c>
      <c r="E6255" s="2">
        <v>2018.0</v>
      </c>
      <c r="F6255" s="2">
        <v>2021.0</v>
      </c>
      <c r="G6255" s="3">
        <v>1.8E7</v>
      </c>
    </row>
    <row r="6256" ht="14.25" customHeight="1">
      <c r="A6256" s="1" t="s">
        <v>5345</v>
      </c>
      <c r="B6256" s="1" t="s">
        <v>8</v>
      </c>
      <c r="C6256" s="2" t="s">
        <v>9</v>
      </c>
      <c r="D6256" s="2">
        <v>7.2</v>
      </c>
      <c r="E6256" s="2">
        <v>2018.0</v>
      </c>
      <c r="F6256" s="2">
        <v>2021.0</v>
      </c>
      <c r="G6256" s="2">
        <v>3.71E7</v>
      </c>
    </row>
    <row r="6257" ht="14.25" customHeight="1">
      <c r="A6257" s="1" t="s">
        <v>5345</v>
      </c>
      <c r="B6257" s="1" t="s">
        <v>8</v>
      </c>
      <c r="C6257" s="2" t="s">
        <v>9</v>
      </c>
      <c r="D6257" s="2">
        <v>7.2</v>
      </c>
      <c r="E6257" s="2">
        <v>2018.0</v>
      </c>
      <c r="F6257" s="2">
        <v>2021.0</v>
      </c>
      <c r="G6257" s="2">
        <v>2.11E7</v>
      </c>
    </row>
    <row r="6258" ht="14.25" customHeight="1">
      <c r="A6258" s="1" t="s">
        <v>5345</v>
      </c>
      <c r="B6258" s="1" t="s">
        <v>8</v>
      </c>
      <c r="C6258" s="2" t="s">
        <v>9</v>
      </c>
      <c r="D6258" s="2">
        <v>7.2</v>
      </c>
      <c r="E6258" s="2">
        <v>2018.0</v>
      </c>
      <c r="F6258" s="2">
        <v>2021.0</v>
      </c>
      <c r="G6258" s="2">
        <v>1.34E7</v>
      </c>
    </row>
    <row r="6259" ht="14.25" customHeight="1">
      <c r="A6259" s="1" t="s">
        <v>5345</v>
      </c>
      <c r="B6259" s="1" t="s">
        <v>8</v>
      </c>
      <c r="C6259" s="2" t="s">
        <v>9</v>
      </c>
      <c r="D6259" s="2">
        <v>7.2</v>
      </c>
      <c r="E6259" s="2">
        <v>2018.0</v>
      </c>
      <c r="F6259" s="2">
        <v>2021.0</v>
      </c>
      <c r="G6259" s="2">
        <v>2.244E7</v>
      </c>
    </row>
    <row r="6260" ht="14.25" customHeight="1">
      <c r="A6260" s="1" t="s">
        <v>5345</v>
      </c>
      <c r="B6260" s="1" t="s">
        <v>8</v>
      </c>
      <c r="C6260" s="2" t="s">
        <v>9</v>
      </c>
      <c r="D6260" s="2">
        <v>7.2</v>
      </c>
      <c r="E6260" s="2">
        <v>2018.0</v>
      </c>
      <c r="F6260" s="2">
        <v>2021.0</v>
      </c>
      <c r="G6260" s="2">
        <v>4.827E7</v>
      </c>
    </row>
    <row r="6261" ht="14.25" customHeight="1">
      <c r="A6261" s="1" t="s">
        <v>5345</v>
      </c>
      <c r="B6261" s="1" t="s">
        <v>8</v>
      </c>
      <c r="C6261" s="2" t="s">
        <v>9</v>
      </c>
      <c r="D6261" s="2">
        <v>7.2</v>
      </c>
      <c r="E6261" s="2">
        <v>2018.0</v>
      </c>
      <c r="F6261" s="2">
        <v>2021.0</v>
      </c>
      <c r="G6261" s="2">
        <v>3.687E7</v>
      </c>
    </row>
    <row r="6262" ht="14.25" customHeight="1">
      <c r="A6262" s="1" t="s">
        <v>5345</v>
      </c>
      <c r="B6262" s="1" t="s">
        <v>8</v>
      </c>
      <c r="C6262" s="2" t="s">
        <v>9</v>
      </c>
      <c r="D6262" s="2">
        <v>7.2</v>
      </c>
      <c r="E6262" s="2">
        <v>2018.0</v>
      </c>
      <c r="F6262" s="2">
        <v>2021.0</v>
      </c>
      <c r="G6262" s="2">
        <v>9490000.0</v>
      </c>
    </row>
    <row r="6263" ht="14.25" customHeight="1">
      <c r="A6263" s="1" t="s">
        <v>5345</v>
      </c>
      <c r="B6263" s="1" t="s">
        <v>8</v>
      </c>
      <c r="C6263" s="2" t="s">
        <v>9</v>
      </c>
      <c r="D6263" s="2">
        <v>7.2</v>
      </c>
      <c r="E6263" s="2">
        <v>2018.0</v>
      </c>
      <c r="F6263" s="2">
        <v>2021.0</v>
      </c>
      <c r="G6263" s="2">
        <v>1.489E7</v>
      </c>
    </row>
    <row r="6264" ht="14.25" customHeight="1">
      <c r="A6264" s="1" t="s">
        <v>5345</v>
      </c>
      <c r="B6264" s="1" t="s">
        <v>8</v>
      </c>
      <c r="C6264" s="2" t="s">
        <v>9</v>
      </c>
      <c r="D6264" s="2">
        <v>7.2</v>
      </c>
      <c r="E6264" s="2">
        <v>2018.0</v>
      </c>
      <c r="F6264" s="2">
        <v>2021.0</v>
      </c>
      <c r="G6264" s="2">
        <v>2.949E7</v>
      </c>
    </row>
    <row r="6265" ht="14.25" customHeight="1">
      <c r="A6265" s="1" t="s">
        <v>5345</v>
      </c>
      <c r="B6265" s="1" t="s">
        <v>8</v>
      </c>
      <c r="C6265" s="2" t="s">
        <v>9</v>
      </c>
      <c r="D6265" s="2">
        <v>7.2</v>
      </c>
      <c r="E6265" s="2">
        <v>2018.0</v>
      </c>
      <c r="F6265" s="2">
        <v>2021.0</v>
      </c>
      <c r="G6265" s="2">
        <v>6.739E7</v>
      </c>
    </row>
    <row r="6266" ht="14.25" customHeight="1">
      <c r="A6266" s="1" t="s">
        <v>5345</v>
      </c>
      <c r="B6266" s="1" t="s">
        <v>8</v>
      </c>
      <c r="C6266" s="2" t="s">
        <v>9</v>
      </c>
      <c r="D6266" s="2">
        <v>7.2</v>
      </c>
      <c r="E6266" s="2">
        <v>2018.0</v>
      </c>
      <c r="F6266" s="2">
        <v>2021.0</v>
      </c>
      <c r="G6266" s="2">
        <v>1.011E7</v>
      </c>
    </row>
    <row r="6267" ht="14.25" customHeight="1">
      <c r="A6267" s="1" t="s">
        <v>5345</v>
      </c>
      <c r="B6267" s="1" t="s">
        <v>8</v>
      </c>
      <c r="C6267" s="2" t="s">
        <v>9</v>
      </c>
      <c r="D6267" s="2">
        <v>7.2</v>
      </c>
      <c r="E6267" s="2">
        <v>2018.0</v>
      </c>
      <c r="F6267" s="2">
        <v>2021.0</v>
      </c>
      <c r="G6267" s="2">
        <v>5.138E7</v>
      </c>
    </row>
    <row r="6268" ht="14.25" customHeight="1">
      <c r="A6268" s="1" t="s">
        <v>5345</v>
      </c>
      <c r="B6268" s="1" t="s">
        <v>8</v>
      </c>
      <c r="C6268" s="2" t="s">
        <v>9</v>
      </c>
      <c r="D6268" s="2">
        <v>7.2</v>
      </c>
      <c r="E6268" s="2">
        <v>2018.0</v>
      </c>
      <c r="F6268" s="2">
        <v>2021.0</v>
      </c>
      <c r="G6268" s="2">
        <v>6920000.0</v>
      </c>
    </row>
    <row r="6269" ht="14.25" customHeight="1">
      <c r="A6269" s="1" t="s">
        <v>5345</v>
      </c>
      <c r="B6269" s="1" t="s">
        <v>8</v>
      </c>
      <c r="C6269" s="2" t="s">
        <v>9</v>
      </c>
      <c r="D6269" s="2">
        <v>7.2</v>
      </c>
      <c r="E6269" s="2">
        <v>2018.0</v>
      </c>
      <c r="F6269" s="2">
        <v>2021.0</v>
      </c>
      <c r="G6269" s="2">
        <v>9410000.0</v>
      </c>
    </row>
    <row r="6270" ht="14.25" customHeight="1">
      <c r="A6270" s="1" t="s">
        <v>5345</v>
      </c>
      <c r="B6270" s="1" t="s">
        <v>8</v>
      </c>
      <c r="C6270" s="2" t="s">
        <v>9</v>
      </c>
      <c r="D6270" s="2">
        <v>7.2</v>
      </c>
      <c r="E6270" s="2">
        <v>2018.0</v>
      </c>
      <c r="F6270" s="2">
        <v>2021.0</v>
      </c>
      <c r="G6270" s="2">
        <v>1.424E7</v>
      </c>
    </row>
    <row r="6271" ht="14.25" customHeight="1">
      <c r="A6271" s="1" t="s">
        <v>5345</v>
      </c>
      <c r="B6271" s="1" t="s">
        <v>8</v>
      </c>
      <c r="C6271" s="2" t="s">
        <v>9</v>
      </c>
      <c r="D6271" s="2">
        <v>7.2</v>
      </c>
      <c r="E6271" s="2">
        <v>2018.0</v>
      </c>
      <c r="F6271" s="2">
        <v>2021.0</v>
      </c>
      <c r="G6271" s="2">
        <v>2.178E7</v>
      </c>
    </row>
    <row r="6272" ht="14.25" customHeight="1">
      <c r="A6272" s="1" t="s">
        <v>5345</v>
      </c>
      <c r="B6272" s="1" t="s">
        <v>8</v>
      </c>
      <c r="C6272" s="2" t="s">
        <v>9</v>
      </c>
      <c r="D6272" s="2">
        <v>7.2</v>
      </c>
      <c r="E6272" s="2">
        <v>2018.0</v>
      </c>
      <c r="F6272" s="2">
        <v>2021.0</v>
      </c>
      <c r="G6272" s="2">
        <v>3.872E7</v>
      </c>
    </row>
    <row r="6273" ht="14.25" customHeight="1">
      <c r="A6273" s="1" t="s">
        <v>5345</v>
      </c>
      <c r="B6273" s="1" t="s">
        <v>8</v>
      </c>
      <c r="C6273" s="2" t="s">
        <v>9</v>
      </c>
      <c r="D6273" s="2">
        <v>7.2</v>
      </c>
      <c r="E6273" s="2">
        <v>2018.0</v>
      </c>
      <c r="F6273" s="2">
        <v>2021.0</v>
      </c>
      <c r="G6273" s="2">
        <v>1.053E7</v>
      </c>
    </row>
    <row r="6274" ht="14.25" customHeight="1">
      <c r="A6274" s="1" t="s">
        <v>5345</v>
      </c>
      <c r="B6274" s="1" t="s">
        <v>8</v>
      </c>
      <c r="C6274" s="2" t="s">
        <v>9</v>
      </c>
      <c r="D6274" s="2">
        <v>7.2</v>
      </c>
      <c r="E6274" s="2">
        <v>2018.0</v>
      </c>
      <c r="F6274" s="2">
        <v>2021.0</v>
      </c>
      <c r="G6274" s="2">
        <v>1.02E7</v>
      </c>
    </row>
    <row r="6275" ht="14.25" customHeight="1">
      <c r="A6275" s="1" t="s">
        <v>5345</v>
      </c>
      <c r="B6275" s="1" t="s">
        <v>8</v>
      </c>
      <c r="C6275" s="2" t="s">
        <v>9</v>
      </c>
      <c r="D6275" s="2">
        <v>7.2</v>
      </c>
      <c r="E6275" s="2">
        <v>2018.0</v>
      </c>
      <c r="F6275" s="2">
        <v>2021.0</v>
      </c>
      <c r="G6275" s="2">
        <v>1.014E7</v>
      </c>
    </row>
    <row r="6276" ht="14.25" customHeight="1">
      <c r="A6276" s="1" t="s">
        <v>5346</v>
      </c>
      <c r="B6276" s="1" t="s">
        <v>8</v>
      </c>
      <c r="C6276" s="2" t="s">
        <v>686</v>
      </c>
      <c r="D6276" s="2">
        <v>7.2</v>
      </c>
      <c r="E6276" s="2">
        <v>1998.0</v>
      </c>
      <c r="F6276" s="2">
        <v>2021.0</v>
      </c>
      <c r="G6276" s="2" t="s">
        <v>10</v>
      </c>
    </row>
    <row r="6277" ht="14.25" customHeight="1">
      <c r="A6277" s="1" t="s">
        <v>5347</v>
      </c>
      <c r="B6277" s="1" t="s">
        <v>20</v>
      </c>
      <c r="C6277" s="2" t="s">
        <v>9</v>
      </c>
      <c r="D6277" s="2">
        <v>7.2</v>
      </c>
      <c r="E6277" s="2">
        <v>2001.0</v>
      </c>
      <c r="F6277" s="2" t="s">
        <v>10</v>
      </c>
      <c r="G6277" s="2" t="s">
        <v>10</v>
      </c>
    </row>
    <row r="6278" ht="14.25" customHeight="1">
      <c r="A6278" s="1" t="s">
        <v>5348</v>
      </c>
      <c r="B6278" s="1" t="s">
        <v>20</v>
      </c>
      <c r="C6278" s="2" t="s">
        <v>69</v>
      </c>
      <c r="D6278" s="2">
        <v>7.2</v>
      </c>
      <c r="E6278" s="2">
        <v>1999.0</v>
      </c>
      <c r="F6278" s="2" t="s">
        <v>10</v>
      </c>
      <c r="G6278" s="2" t="s">
        <v>10</v>
      </c>
    </row>
    <row r="6279" ht="14.25" customHeight="1">
      <c r="A6279" s="1" t="s">
        <v>5349</v>
      </c>
      <c r="B6279" s="1" t="s">
        <v>20</v>
      </c>
      <c r="C6279" s="2" t="s">
        <v>187</v>
      </c>
      <c r="D6279" s="2">
        <v>7.2</v>
      </c>
      <c r="E6279" s="2">
        <v>2012.0</v>
      </c>
      <c r="F6279" s="2" t="s">
        <v>10</v>
      </c>
      <c r="G6279" s="2" t="s">
        <v>10</v>
      </c>
    </row>
    <row r="6280" ht="14.25" customHeight="1">
      <c r="A6280" s="1" t="s">
        <v>5350</v>
      </c>
      <c r="B6280" s="1" t="s">
        <v>20</v>
      </c>
      <c r="C6280" s="2" t="s">
        <v>69</v>
      </c>
      <c r="D6280" s="2">
        <v>7.2</v>
      </c>
      <c r="E6280" s="2">
        <v>2009.0</v>
      </c>
      <c r="F6280" s="2" t="s">
        <v>10</v>
      </c>
      <c r="G6280" s="2" t="s">
        <v>10</v>
      </c>
    </row>
    <row r="6281" ht="14.25" customHeight="1">
      <c r="A6281" s="1" t="s">
        <v>5351</v>
      </c>
      <c r="B6281" s="1" t="s">
        <v>20</v>
      </c>
      <c r="C6281" s="2" t="s">
        <v>1316</v>
      </c>
      <c r="D6281" s="2">
        <v>7.2</v>
      </c>
      <c r="E6281" s="2">
        <v>2019.0</v>
      </c>
      <c r="F6281" s="2" t="s">
        <v>10</v>
      </c>
      <c r="G6281" s="2" t="s">
        <v>10</v>
      </c>
    </row>
    <row r="6282" ht="14.25" customHeight="1">
      <c r="A6282" s="1" t="s">
        <v>5352</v>
      </c>
      <c r="B6282" s="1" t="s">
        <v>20</v>
      </c>
      <c r="C6282" s="2" t="s">
        <v>591</v>
      </c>
      <c r="D6282" s="2">
        <v>7.2</v>
      </c>
      <c r="E6282" s="2">
        <v>2009.0</v>
      </c>
      <c r="F6282" s="2" t="s">
        <v>10</v>
      </c>
      <c r="G6282" s="2" t="s">
        <v>10</v>
      </c>
    </row>
    <row r="6283" ht="14.25" customHeight="1">
      <c r="A6283" s="1" t="s">
        <v>5353</v>
      </c>
      <c r="B6283" s="1" t="s">
        <v>20</v>
      </c>
      <c r="C6283" s="2" t="s">
        <v>963</v>
      </c>
      <c r="D6283" s="2">
        <v>7.2</v>
      </c>
      <c r="E6283" s="2">
        <v>2015.0</v>
      </c>
      <c r="F6283" s="2">
        <v>2019.0</v>
      </c>
      <c r="G6283" s="2" t="s">
        <v>10</v>
      </c>
    </row>
    <row r="6284" ht="14.25" customHeight="1">
      <c r="A6284" s="1" t="s">
        <v>5354</v>
      </c>
      <c r="B6284" s="1" t="s">
        <v>20</v>
      </c>
      <c r="C6284" s="2" t="s">
        <v>63</v>
      </c>
      <c r="D6284" s="2">
        <v>7.2</v>
      </c>
      <c r="E6284" s="2">
        <v>1996.0</v>
      </c>
      <c r="F6284" s="2" t="s">
        <v>10</v>
      </c>
      <c r="G6284" s="2" t="s">
        <v>10</v>
      </c>
    </row>
    <row r="6285" ht="14.25" customHeight="1">
      <c r="A6285" s="1" t="s">
        <v>1681</v>
      </c>
      <c r="B6285" s="1" t="s">
        <v>20</v>
      </c>
      <c r="C6285" s="2" t="s">
        <v>4093</v>
      </c>
      <c r="D6285" s="2">
        <v>7.2</v>
      </c>
      <c r="E6285" s="2">
        <v>2017.0</v>
      </c>
      <c r="F6285" s="2" t="s">
        <v>10</v>
      </c>
      <c r="G6285" s="2" t="s">
        <v>10</v>
      </c>
    </row>
    <row r="6286" ht="14.25" customHeight="1">
      <c r="A6286" s="1" t="s">
        <v>5355</v>
      </c>
      <c r="B6286" s="1" t="s">
        <v>20</v>
      </c>
      <c r="C6286" s="2" t="s">
        <v>395</v>
      </c>
      <c r="D6286" s="2">
        <v>7.2</v>
      </c>
      <c r="E6286" s="2">
        <v>2002.0</v>
      </c>
      <c r="F6286" s="2" t="s">
        <v>10</v>
      </c>
      <c r="G6286" s="2" t="s">
        <v>10</v>
      </c>
    </row>
    <row r="6287" ht="14.25" customHeight="1">
      <c r="A6287" s="1" t="s">
        <v>5356</v>
      </c>
      <c r="B6287" s="1" t="s">
        <v>20</v>
      </c>
      <c r="C6287" s="2" t="s">
        <v>154</v>
      </c>
      <c r="D6287" s="2">
        <v>7.2</v>
      </c>
      <c r="E6287" s="2">
        <v>2019.0</v>
      </c>
      <c r="F6287" s="2">
        <v>2019.0</v>
      </c>
      <c r="G6287" s="2" t="s">
        <v>10</v>
      </c>
    </row>
    <row r="6288" ht="14.25" customHeight="1">
      <c r="A6288" s="1" t="s">
        <v>5357</v>
      </c>
      <c r="B6288" s="1" t="s">
        <v>20</v>
      </c>
      <c r="C6288" s="2" t="s">
        <v>284</v>
      </c>
      <c r="D6288" s="2">
        <v>7.2</v>
      </c>
      <c r="E6288" s="2">
        <v>1994.0</v>
      </c>
      <c r="F6288" s="2" t="s">
        <v>10</v>
      </c>
      <c r="G6288" s="2" t="s">
        <v>10</v>
      </c>
    </row>
    <row r="6289" ht="14.25" customHeight="1">
      <c r="A6289" s="1" t="s">
        <v>5358</v>
      </c>
      <c r="B6289" s="1" t="s">
        <v>20</v>
      </c>
      <c r="C6289" s="2" t="s">
        <v>60</v>
      </c>
      <c r="D6289" s="2">
        <v>7.2</v>
      </c>
      <c r="E6289" s="2">
        <v>2018.0</v>
      </c>
      <c r="F6289" s="2">
        <v>2018.0</v>
      </c>
      <c r="G6289" s="2" t="s">
        <v>10</v>
      </c>
    </row>
    <row r="6290" ht="14.25" customHeight="1">
      <c r="A6290" s="1" t="s">
        <v>5359</v>
      </c>
      <c r="B6290" s="1" t="s">
        <v>20</v>
      </c>
      <c r="C6290" s="2" t="s">
        <v>78</v>
      </c>
      <c r="D6290" s="2">
        <v>7.2</v>
      </c>
      <c r="E6290" s="2">
        <v>2012.0</v>
      </c>
      <c r="F6290" s="2" t="s">
        <v>10</v>
      </c>
      <c r="G6290" s="2" t="s">
        <v>10</v>
      </c>
    </row>
    <row r="6291" ht="14.25" customHeight="1">
      <c r="A6291" s="1" t="s">
        <v>5360</v>
      </c>
      <c r="B6291" s="1" t="s">
        <v>20</v>
      </c>
      <c r="C6291" s="2" t="s">
        <v>9</v>
      </c>
      <c r="D6291" s="2">
        <v>7.2</v>
      </c>
      <c r="E6291" s="2">
        <v>1997.0</v>
      </c>
      <c r="F6291" s="2">
        <v>1997.0</v>
      </c>
      <c r="G6291" s="2" t="s">
        <v>10</v>
      </c>
    </row>
    <row r="6292" ht="14.25" customHeight="1">
      <c r="A6292" s="1" t="s">
        <v>5361</v>
      </c>
      <c r="B6292" s="1" t="s">
        <v>20</v>
      </c>
      <c r="C6292" s="2" t="s">
        <v>134</v>
      </c>
      <c r="D6292" s="2">
        <v>7.2</v>
      </c>
      <c r="E6292" s="2">
        <v>1986.0</v>
      </c>
      <c r="F6292" s="2" t="s">
        <v>10</v>
      </c>
      <c r="G6292" s="2" t="s">
        <v>10</v>
      </c>
    </row>
    <row r="6293" ht="14.25" customHeight="1">
      <c r="A6293" s="1" t="s">
        <v>5362</v>
      </c>
      <c r="B6293" s="1" t="s">
        <v>20</v>
      </c>
      <c r="C6293" s="2" t="s">
        <v>151</v>
      </c>
      <c r="D6293" s="2">
        <v>7.2</v>
      </c>
      <c r="E6293" s="2">
        <v>1991.0</v>
      </c>
      <c r="F6293" s="2" t="s">
        <v>10</v>
      </c>
      <c r="G6293" s="2" t="s">
        <v>10</v>
      </c>
    </row>
    <row r="6294" ht="14.25" customHeight="1">
      <c r="A6294" s="1" t="s">
        <v>5363</v>
      </c>
      <c r="B6294" s="1" t="s">
        <v>20</v>
      </c>
      <c r="C6294" s="2" t="s">
        <v>60</v>
      </c>
      <c r="D6294" s="2">
        <v>7.2</v>
      </c>
      <c r="E6294" s="2">
        <v>2017.0</v>
      </c>
      <c r="F6294" s="2" t="s">
        <v>10</v>
      </c>
      <c r="G6294" s="2" t="s">
        <v>10</v>
      </c>
    </row>
    <row r="6295" ht="14.25" customHeight="1">
      <c r="A6295" s="1" t="s">
        <v>5364</v>
      </c>
      <c r="B6295" s="1" t="s">
        <v>8</v>
      </c>
      <c r="C6295" s="2" t="s">
        <v>468</v>
      </c>
      <c r="D6295" s="2">
        <v>7.2</v>
      </c>
      <c r="E6295" s="2">
        <v>2021.0</v>
      </c>
      <c r="F6295" s="2">
        <v>2021.0</v>
      </c>
      <c r="G6295" s="2" t="s">
        <v>10</v>
      </c>
    </row>
    <row r="6296" ht="14.25" customHeight="1">
      <c r="A6296" s="1" t="s">
        <v>5365</v>
      </c>
      <c r="B6296" s="1" t="s">
        <v>20</v>
      </c>
      <c r="C6296" s="2" t="s">
        <v>3696</v>
      </c>
      <c r="D6296" s="2">
        <v>7.2</v>
      </c>
      <c r="E6296" s="2">
        <v>1998.0</v>
      </c>
      <c r="F6296" s="2" t="s">
        <v>10</v>
      </c>
      <c r="G6296" s="2" t="s">
        <v>10</v>
      </c>
    </row>
    <row r="6297" ht="14.25" customHeight="1">
      <c r="A6297" s="1" t="s">
        <v>5366</v>
      </c>
      <c r="B6297" s="1" t="s">
        <v>20</v>
      </c>
      <c r="C6297" s="2" t="s">
        <v>55</v>
      </c>
      <c r="D6297" s="2">
        <v>7.2</v>
      </c>
      <c r="E6297" s="2">
        <v>2014.0</v>
      </c>
      <c r="F6297" s="2" t="s">
        <v>10</v>
      </c>
      <c r="G6297" s="2" t="s">
        <v>10</v>
      </c>
    </row>
    <row r="6298" ht="14.25" customHeight="1">
      <c r="A6298" s="1" t="s">
        <v>5367</v>
      </c>
      <c r="B6298" s="1" t="s">
        <v>20</v>
      </c>
      <c r="C6298" s="2" t="s">
        <v>3051</v>
      </c>
      <c r="D6298" s="2">
        <v>7.2</v>
      </c>
      <c r="E6298" s="2">
        <v>1995.0</v>
      </c>
      <c r="F6298" s="2" t="s">
        <v>10</v>
      </c>
      <c r="G6298" s="2" t="s">
        <v>10</v>
      </c>
    </row>
    <row r="6299" ht="14.25" customHeight="1">
      <c r="A6299" s="1" t="s">
        <v>5217</v>
      </c>
      <c r="B6299" s="1" t="s">
        <v>20</v>
      </c>
      <c r="C6299" s="2" t="s">
        <v>1982</v>
      </c>
      <c r="D6299" s="2">
        <v>7.2</v>
      </c>
      <c r="E6299" s="2">
        <v>1983.0</v>
      </c>
      <c r="F6299" s="2" t="s">
        <v>10</v>
      </c>
      <c r="G6299" s="2" t="s">
        <v>10</v>
      </c>
    </row>
    <row r="6300" ht="14.25" customHeight="1">
      <c r="A6300" s="1" t="s">
        <v>5368</v>
      </c>
      <c r="B6300" s="1" t="s">
        <v>20</v>
      </c>
      <c r="C6300" s="2" t="s">
        <v>878</v>
      </c>
      <c r="D6300" s="2">
        <v>7.2</v>
      </c>
      <c r="E6300" s="2">
        <v>1989.0</v>
      </c>
      <c r="F6300" s="2" t="s">
        <v>10</v>
      </c>
      <c r="G6300" s="2" t="s">
        <v>10</v>
      </c>
    </row>
    <row r="6301" ht="14.25" customHeight="1">
      <c r="A6301" s="1" t="s">
        <v>5369</v>
      </c>
      <c r="B6301" s="1" t="s">
        <v>20</v>
      </c>
      <c r="C6301" s="2" t="s">
        <v>53</v>
      </c>
      <c r="D6301" s="2">
        <v>7.2</v>
      </c>
      <c r="E6301" s="2">
        <v>2022.0</v>
      </c>
      <c r="F6301" s="2" t="s">
        <v>10</v>
      </c>
      <c r="G6301" s="2" t="s">
        <v>10</v>
      </c>
    </row>
    <row r="6302" ht="14.25" customHeight="1">
      <c r="A6302" s="1" t="s">
        <v>5370</v>
      </c>
      <c r="B6302" s="1" t="s">
        <v>20</v>
      </c>
      <c r="C6302" s="2" t="s">
        <v>5371</v>
      </c>
      <c r="D6302" s="2">
        <v>7.2</v>
      </c>
      <c r="E6302" s="2">
        <v>2020.0</v>
      </c>
      <c r="F6302" s="2" t="s">
        <v>10</v>
      </c>
      <c r="G6302" s="2" t="s">
        <v>10</v>
      </c>
    </row>
    <row r="6303" ht="14.25" customHeight="1">
      <c r="A6303" s="1" t="s">
        <v>5372</v>
      </c>
      <c r="B6303" s="1" t="s">
        <v>20</v>
      </c>
      <c r="C6303" s="2" t="s">
        <v>527</v>
      </c>
      <c r="D6303" s="2">
        <v>7.2</v>
      </c>
      <c r="E6303" s="2">
        <v>1999.0</v>
      </c>
      <c r="F6303" s="2" t="s">
        <v>10</v>
      </c>
      <c r="G6303" s="2" t="s">
        <v>10</v>
      </c>
    </row>
    <row r="6304" ht="14.25" customHeight="1">
      <c r="A6304" s="1" t="s">
        <v>24</v>
      </c>
      <c r="B6304" s="1" t="s">
        <v>8</v>
      </c>
      <c r="C6304" s="2" t="s">
        <v>845</v>
      </c>
      <c r="D6304" s="2">
        <v>7.2</v>
      </c>
      <c r="E6304" s="2">
        <v>2024.0</v>
      </c>
      <c r="F6304" s="2">
        <v>2007.0</v>
      </c>
      <c r="G6304" s="2" t="s">
        <v>10</v>
      </c>
    </row>
    <row r="6305" ht="14.25" customHeight="1">
      <c r="A6305" s="1" t="s">
        <v>5373</v>
      </c>
      <c r="B6305" s="1" t="s">
        <v>20</v>
      </c>
      <c r="C6305" s="2" t="s">
        <v>163</v>
      </c>
      <c r="D6305" s="2">
        <v>7.2</v>
      </c>
      <c r="E6305" s="2">
        <v>2015.0</v>
      </c>
      <c r="F6305" s="2" t="s">
        <v>10</v>
      </c>
      <c r="G6305" s="2" t="s">
        <v>10</v>
      </c>
    </row>
    <row r="6306" ht="14.25" customHeight="1">
      <c r="A6306" s="1" t="s">
        <v>5374</v>
      </c>
      <c r="B6306" s="1" t="s">
        <v>20</v>
      </c>
      <c r="C6306" s="2" t="s">
        <v>53</v>
      </c>
      <c r="D6306" s="2">
        <v>7.2</v>
      </c>
      <c r="E6306" s="2">
        <v>2007.0</v>
      </c>
      <c r="F6306" s="2" t="s">
        <v>10</v>
      </c>
      <c r="G6306" s="2" t="s">
        <v>10</v>
      </c>
    </row>
    <row r="6307" ht="14.25" customHeight="1">
      <c r="A6307" s="1" t="s">
        <v>5375</v>
      </c>
      <c r="B6307" s="1" t="s">
        <v>8</v>
      </c>
      <c r="C6307" s="2" t="s">
        <v>25</v>
      </c>
      <c r="D6307" s="2">
        <v>7.2</v>
      </c>
      <c r="E6307" s="2">
        <v>2018.0</v>
      </c>
      <c r="F6307" s="2">
        <v>2021.0</v>
      </c>
      <c r="G6307" s="2">
        <v>1.03E7</v>
      </c>
    </row>
    <row r="6308" ht="14.25" customHeight="1">
      <c r="A6308" s="1" t="s">
        <v>5375</v>
      </c>
      <c r="B6308" s="1" t="s">
        <v>8</v>
      </c>
      <c r="C6308" s="2" t="s">
        <v>25</v>
      </c>
      <c r="D6308" s="2">
        <v>7.2</v>
      </c>
      <c r="E6308" s="2">
        <v>2018.0</v>
      </c>
      <c r="F6308" s="2">
        <v>2021.0</v>
      </c>
      <c r="G6308" s="2">
        <v>6600000.0</v>
      </c>
    </row>
    <row r="6309" ht="14.25" customHeight="1">
      <c r="A6309" s="1" t="s">
        <v>5375</v>
      </c>
      <c r="B6309" s="1" t="s">
        <v>8</v>
      </c>
      <c r="C6309" s="2" t="s">
        <v>25</v>
      </c>
      <c r="D6309" s="2">
        <v>7.2</v>
      </c>
      <c r="E6309" s="2">
        <v>2018.0</v>
      </c>
      <c r="F6309" s="2">
        <v>2021.0</v>
      </c>
      <c r="G6309" s="2">
        <v>1.23E7</v>
      </c>
    </row>
    <row r="6310" ht="14.25" customHeight="1">
      <c r="A6310" s="1" t="s">
        <v>5375</v>
      </c>
      <c r="B6310" s="1" t="s">
        <v>8</v>
      </c>
      <c r="C6310" s="2" t="s">
        <v>25</v>
      </c>
      <c r="D6310" s="2">
        <v>7.2</v>
      </c>
      <c r="E6310" s="2">
        <v>2018.0</v>
      </c>
      <c r="F6310" s="2">
        <v>2021.0</v>
      </c>
      <c r="G6310" s="2">
        <v>1.709E7</v>
      </c>
    </row>
    <row r="6311" ht="14.25" customHeight="1">
      <c r="A6311" s="1" t="s">
        <v>5376</v>
      </c>
      <c r="B6311" s="1" t="s">
        <v>20</v>
      </c>
      <c r="C6311" s="2" t="s">
        <v>5377</v>
      </c>
      <c r="D6311" s="2">
        <v>7.2</v>
      </c>
      <c r="E6311" s="2">
        <v>1984.0</v>
      </c>
      <c r="F6311" s="2" t="s">
        <v>10</v>
      </c>
      <c r="G6311" s="2" t="s">
        <v>10</v>
      </c>
    </row>
    <row r="6312" ht="14.25" customHeight="1">
      <c r="A6312" s="1" t="s">
        <v>5378</v>
      </c>
      <c r="B6312" s="1" t="s">
        <v>20</v>
      </c>
      <c r="C6312" s="2" t="s">
        <v>187</v>
      </c>
      <c r="D6312" s="2">
        <v>7.2</v>
      </c>
      <c r="E6312" s="2">
        <v>2006.0</v>
      </c>
      <c r="F6312" s="2" t="s">
        <v>10</v>
      </c>
      <c r="G6312" s="2" t="s">
        <v>10</v>
      </c>
    </row>
    <row r="6313" ht="14.25" customHeight="1">
      <c r="A6313" s="1" t="s">
        <v>5379</v>
      </c>
      <c r="B6313" s="1" t="s">
        <v>20</v>
      </c>
      <c r="C6313" s="2" t="s">
        <v>4831</v>
      </c>
      <c r="D6313" s="2">
        <v>7.2</v>
      </c>
      <c r="E6313" s="2">
        <v>1985.0</v>
      </c>
      <c r="F6313" s="2" t="s">
        <v>10</v>
      </c>
      <c r="G6313" s="2" t="s">
        <v>10</v>
      </c>
    </row>
    <row r="6314" ht="14.25" customHeight="1">
      <c r="A6314" s="1" t="s">
        <v>5380</v>
      </c>
      <c r="B6314" s="1" t="s">
        <v>20</v>
      </c>
      <c r="C6314" s="2" t="s">
        <v>187</v>
      </c>
      <c r="D6314" s="2">
        <v>7.2</v>
      </c>
      <c r="E6314" s="2">
        <v>1987.0</v>
      </c>
      <c r="F6314" s="2" t="s">
        <v>10</v>
      </c>
      <c r="G6314" s="2" t="s">
        <v>10</v>
      </c>
    </row>
    <row r="6315" ht="14.25" customHeight="1">
      <c r="A6315" s="1" t="s">
        <v>5381</v>
      </c>
      <c r="B6315" s="1" t="s">
        <v>20</v>
      </c>
      <c r="C6315" s="2" t="s">
        <v>284</v>
      </c>
      <c r="D6315" s="2">
        <v>7.2</v>
      </c>
      <c r="E6315" s="2">
        <v>2006.0</v>
      </c>
      <c r="F6315" s="2" t="s">
        <v>10</v>
      </c>
      <c r="G6315" s="2" t="s">
        <v>10</v>
      </c>
    </row>
    <row r="6316" ht="14.25" customHeight="1">
      <c r="A6316" s="1" t="s">
        <v>5382</v>
      </c>
      <c r="B6316" s="1" t="s">
        <v>20</v>
      </c>
      <c r="C6316" s="2" t="s">
        <v>53</v>
      </c>
      <c r="D6316" s="2">
        <v>7.2</v>
      </c>
      <c r="E6316" s="2">
        <v>1974.0</v>
      </c>
      <c r="F6316" s="2" t="s">
        <v>10</v>
      </c>
      <c r="G6316" s="2" t="s">
        <v>10</v>
      </c>
    </row>
    <row r="6317" ht="14.25" customHeight="1">
      <c r="A6317" s="1" t="s">
        <v>5383</v>
      </c>
      <c r="B6317" s="1" t="s">
        <v>20</v>
      </c>
      <c r="C6317" s="2" t="s">
        <v>25</v>
      </c>
      <c r="D6317" s="2">
        <v>7.2</v>
      </c>
      <c r="E6317" s="2">
        <v>2023.0</v>
      </c>
      <c r="F6317" s="2" t="s">
        <v>10</v>
      </c>
      <c r="G6317" s="2" t="s">
        <v>10</v>
      </c>
    </row>
    <row r="6318" ht="14.25" customHeight="1">
      <c r="A6318" s="1" t="s">
        <v>5384</v>
      </c>
      <c r="B6318" s="1" t="s">
        <v>20</v>
      </c>
      <c r="C6318" s="2" t="s">
        <v>154</v>
      </c>
      <c r="D6318" s="2">
        <v>7.2</v>
      </c>
      <c r="E6318" s="2">
        <v>1993.0</v>
      </c>
      <c r="F6318" s="2" t="s">
        <v>10</v>
      </c>
      <c r="G6318" s="2" t="s">
        <v>10</v>
      </c>
    </row>
    <row r="6319" ht="14.25" customHeight="1">
      <c r="A6319" s="1" t="s">
        <v>5385</v>
      </c>
      <c r="B6319" s="1" t="s">
        <v>20</v>
      </c>
      <c r="C6319" s="2" t="s">
        <v>63</v>
      </c>
      <c r="D6319" s="2">
        <v>7.2</v>
      </c>
      <c r="E6319" s="2">
        <v>2014.0</v>
      </c>
      <c r="F6319" s="2" t="s">
        <v>10</v>
      </c>
      <c r="G6319" s="2" t="s">
        <v>10</v>
      </c>
    </row>
    <row r="6320" ht="14.25" customHeight="1">
      <c r="A6320" s="1" t="s">
        <v>5386</v>
      </c>
      <c r="B6320" s="1" t="s">
        <v>20</v>
      </c>
      <c r="C6320" s="2" t="s">
        <v>428</v>
      </c>
      <c r="D6320" s="2">
        <v>7.2</v>
      </c>
      <c r="E6320" s="2">
        <v>1973.0</v>
      </c>
      <c r="F6320" s="2" t="s">
        <v>10</v>
      </c>
      <c r="G6320" s="2" t="s">
        <v>10</v>
      </c>
    </row>
    <row r="6321" ht="14.25" customHeight="1">
      <c r="A6321" s="1" t="s">
        <v>261</v>
      </c>
      <c r="B6321" s="1" t="s">
        <v>20</v>
      </c>
      <c r="C6321" s="2" t="s">
        <v>546</v>
      </c>
      <c r="D6321" s="2">
        <v>7.2</v>
      </c>
      <c r="E6321" s="2">
        <v>2004.0</v>
      </c>
      <c r="F6321" s="2">
        <v>2010.0</v>
      </c>
      <c r="G6321" s="2" t="s">
        <v>10</v>
      </c>
    </row>
    <row r="6322" ht="14.25" customHeight="1">
      <c r="A6322" s="1" t="s">
        <v>5387</v>
      </c>
      <c r="B6322" s="1" t="s">
        <v>20</v>
      </c>
      <c r="C6322" s="2" t="s">
        <v>80</v>
      </c>
      <c r="D6322" s="2">
        <v>7.2</v>
      </c>
      <c r="E6322" s="2">
        <v>2009.0</v>
      </c>
      <c r="F6322" s="2" t="s">
        <v>10</v>
      </c>
      <c r="G6322" s="2" t="s">
        <v>10</v>
      </c>
    </row>
    <row r="6323" ht="14.25" customHeight="1">
      <c r="A6323" s="1" t="s">
        <v>5388</v>
      </c>
      <c r="B6323" s="1" t="s">
        <v>20</v>
      </c>
      <c r="C6323" s="2" t="s">
        <v>9</v>
      </c>
      <c r="D6323" s="2">
        <v>7.2</v>
      </c>
      <c r="E6323" s="2">
        <v>1994.0</v>
      </c>
      <c r="F6323" s="2" t="s">
        <v>10</v>
      </c>
      <c r="G6323" s="2" t="s">
        <v>10</v>
      </c>
    </row>
    <row r="6324" ht="14.25" customHeight="1">
      <c r="A6324" s="1" t="s">
        <v>5389</v>
      </c>
      <c r="B6324" s="1" t="s">
        <v>20</v>
      </c>
      <c r="C6324" s="2" t="s">
        <v>63</v>
      </c>
      <c r="D6324" s="2">
        <v>7.2</v>
      </c>
      <c r="E6324" s="2">
        <v>2000.0</v>
      </c>
      <c r="F6324" s="2" t="s">
        <v>10</v>
      </c>
      <c r="G6324" s="2" t="s">
        <v>10</v>
      </c>
    </row>
    <row r="6325" ht="14.25" customHeight="1">
      <c r="A6325" s="1" t="s">
        <v>5390</v>
      </c>
      <c r="B6325" s="1" t="s">
        <v>20</v>
      </c>
      <c r="C6325" s="2" t="s">
        <v>18</v>
      </c>
      <c r="D6325" s="2">
        <v>7.2</v>
      </c>
      <c r="E6325" s="2">
        <v>1992.0</v>
      </c>
      <c r="F6325" s="2" t="s">
        <v>10</v>
      </c>
      <c r="G6325" s="2" t="s">
        <v>10</v>
      </c>
    </row>
    <row r="6326" ht="14.25" customHeight="1">
      <c r="A6326" s="1" t="s">
        <v>5391</v>
      </c>
      <c r="B6326" s="1" t="s">
        <v>20</v>
      </c>
      <c r="C6326" s="2" t="s">
        <v>742</v>
      </c>
      <c r="D6326" s="2">
        <v>7.2</v>
      </c>
      <c r="E6326" s="2">
        <v>2019.0</v>
      </c>
      <c r="F6326" s="2">
        <v>2019.0</v>
      </c>
      <c r="G6326" s="2" t="s">
        <v>10</v>
      </c>
    </row>
    <row r="6327" ht="14.25" customHeight="1">
      <c r="A6327" s="1" t="s">
        <v>5392</v>
      </c>
      <c r="B6327" s="1" t="s">
        <v>20</v>
      </c>
      <c r="C6327" s="2" t="s">
        <v>69</v>
      </c>
      <c r="D6327" s="2">
        <v>7.2</v>
      </c>
      <c r="E6327" s="2">
        <v>2023.0</v>
      </c>
      <c r="F6327" s="2" t="s">
        <v>10</v>
      </c>
      <c r="G6327" s="2">
        <v>1.68E7</v>
      </c>
    </row>
    <row r="6328" ht="14.25" customHeight="1">
      <c r="A6328" s="1" t="s">
        <v>5392</v>
      </c>
      <c r="B6328" s="1" t="s">
        <v>20</v>
      </c>
      <c r="C6328" s="2" t="s">
        <v>69</v>
      </c>
      <c r="D6328" s="2">
        <v>7.2</v>
      </c>
      <c r="E6328" s="2">
        <v>2023.0</v>
      </c>
      <c r="F6328" s="2" t="s">
        <v>10</v>
      </c>
      <c r="G6328" s="2">
        <v>2.54E7</v>
      </c>
    </row>
    <row r="6329" ht="14.25" customHeight="1">
      <c r="A6329" s="1" t="s">
        <v>5392</v>
      </c>
      <c r="B6329" s="1" t="s">
        <v>20</v>
      </c>
      <c r="C6329" s="2" t="s">
        <v>69</v>
      </c>
      <c r="D6329" s="2">
        <v>7.2</v>
      </c>
      <c r="E6329" s="2">
        <v>2023.0</v>
      </c>
      <c r="F6329" s="2" t="s">
        <v>10</v>
      </c>
      <c r="G6329" s="2">
        <v>4.21E7</v>
      </c>
    </row>
    <row r="6330" ht="14.25" customHeight="1">
      <c r="A6330" s="1" t="s">
        <v>5392</v>
      </c>
      <c r="B6330" s="1" t="s">
        <v>20</v>
      </c>
      <c r="C6330" s="2" t="s">
        <v>69</v>
      </c>
      <c r="D6330" s="2">
        <v>7.2</v>
      </c>
      <c r="E6330" s="2">
        <v>2023.0</v>
      </c>
      <c r="F6330" s="2" t="s">
        <v>10</v>
      </c>
      <c r="G6330" s="2">
        <v>6.17E7</v>
      </c>
    </row>
    <row r="6331" ht="14.25" customHeight="1">
      <c r="A6331" s="1" t="s">
        <v>5393</v>
      </c>
      <c r="B6331" s="1" t="s">
        <v>8</v>
      </c>
      <c r="C6331" s="2" t="s">
        <v>845</v>
      </c>
      <c r="D6331" s="2">
        <v>7.2</v>
      </c>
      <c r="E6331" s="2">
        <v>2024.0</v>
      </c>
      <c r="F6331" s="2" t="s">
        <v>10</v>
      </c>
      <c r="G6331" s="2" t="s">
        <v>10</v>
      </c>
    </row>
    <row r="6332" ht="14.25" customHeight="1">
      <c r="A6332" s="1" t="s">
        <v>4935</v>
      </c>
      <c r="B6332" s="1" t="s">
        <v>8</v>
      </c>
      <c r="C6332" s="2" t="s">
        <v>53</v>
      </c>
      <c r="D6332" s="2">
        <v>7.2</v>
      </c>
      <c r="E6332" s="2">
        <v>2020.0</v>
      </c>
      <c r="F6332" s="2">
        <v>2020.0</v>
      </c>
      <c r="G6332" s="2">
        <v>9170000.0</v>
      </c>
    </row>
    <row r="6333" ht="14.25" customHeight="1">
      <c r="A6333" s="1" t="s">
        <v>4935</v>
      </c>
      <c r="B6333" s="1" t="s">
        <v>8</v>
      </c>
      <c r="C6333" s="2" t="s">
        <v>53</v>
      </c>
      <c r="D6333" s="2">
        <v>7.2</v>
      </c>
      <c r="E6333" s="2">
        <v>2020.0</v>
      </c>
      <c r="F6333" s="2">
        <v>2020.0</v>
      </c>
      <c r="G6333" s="2">
        <v>1.704E7</v>
      </c>
    </row>
    <row r="6334" ht="14.25" customHeight="1">
      <c r="A6334" s="1" t="s">
        <v>5394</v>
      </c>
      <c r="B6334" s="1" t="s">
        <v>20</v>
      </c>
      <c r="C6334" s="2" t="s">
        <v>169</v>
      </c>
      <c r="D6334" s="2">
        <v>7.2</v>
      </c>
      <c r="E6334" s="2">
        <v>2015.0</v>
      </c>
      <c r="F6334" s="2" t="s">
        <v>10</v>
      </c>
      <c r="G6334" s="2" t="s">
        <v>10</v>
      </c>
    </row>
    <row r="6335" ht="14.25" customHeight="1">
      <c r="A6335" s="1" t="s">
        <v>5395</v>
      </c>
      <c r="B6335" s="1" t="s">
        <v>8</v>
      </c>
      <c r="C6335" s="2" t="s">
        <v>53</v>
      </c>
      <c r="D6335" s="2">
        <v>7.2</v>
      </c>
      <c r="E6335" s="2">
        <v>2021.0</v>
      </c>
      <c r="F6335" s="2">
        <v>2021.0</v>
      </c>
      <c r="G6335" s="2">
        <v>1.321E7</v>
      </c>
    </row>
    <row r="6336" ht="14.25" customHeight="1">
      <c r="A6336" s="1" t="s">
        <v>5395</v>
      </c>
      <c r="B6336" s="1" t="s">
        <v>8</v>
      </c>
      <c r="C6336" s="2" t="s">
        <v>53</v>
      </c>
      <c r="D6336" s="2">
        <v>7.2</v>
      </c>
      <c r="E6336" s="2">
        <v>2021.0</v>
      </c>
      <c r="F6336" s="2">
        <v>2021.0</v>
      </c>
      <c r="G6336" s="2">
        <v>2.215E7</v>
      </c>
    </row>
    <row r="6337" ht="14.25" customHeight="1">
      <c r="A6337" s="1" t="s">
        <v>5395</v>
      </c>
      <c r="B6337" s="1" t="s">
        <v>8</v>
      </c>
      <c r="C6337" s="2" t="s">
        <v>53</v>
      </c>
      <c r="D6337" s="2">
        <v>7.2</v>
      </c>
      <c r="E6337" s="2">
        <v>2021.0</v>
      </c>
      <c r="F6337" s="2">
        <v>2021.0</v>
      </c>
      <c r="G6337" s="2">
        <v>3.502E7</v>
      </c>
    </row>
    <row r="6338" ht="14.25" customHeight="1">
      <c r="A6338" s="1" t="s">
        <v>5395</v>
      </c>
      <c r="B6338" s="1" t="s">
        <v>8</v>
      </c>
      <c r="C6338" s="2" t="s">
        <v>53</v>
      </c>
      <c r="D6338" s="2">
        <v>7.2</v>
      </c>
      <c r="E6338" s="2">
        <v>2021.0</v>
      </c>
      <c r="F6338" s="2">
        <v>2021.0</v>
      </c>
      <c r="G6338" s="2">
        <v>5.442E7</v>
      </c>
    </row>
    <row r="6339" ht="14.25" customHeight="1">
      <c r="A6339" s="1" t="s">
        <v>5395</v>
      </c>
      <c r="B6339" s="1" t="s">
        <v>8</v>
      </c>
      <c r="C6339" s="2" t="s">
        <v>53</v>
      </c>
      <c r="D6339" s="2">
        <v>7.2</v>
      </c>
      <c r="E6339" s="2">
        <v>2021.0</v>
      </c>
      <c r="F6339" s="2">
        <v>2021.0</v>
      </c>
      <c r="G6339" s="2">
        <v>7.654E7</v>
      </c>
    </row>
    <row r="6340" ht="14.25" customHeight="1">
      <c r="A6340" s="1" t="s">
        <v>5395</v>
      </c>
      <c r="B6340" s="1" t="s">
        <v>8</v>
      </c>
      <c r="C6340" s="2" t="s">
        <v>53</v>
      </c>
      <c r="D6340" s="2">
        <v>7.2</v>
      </c>
      <c r="E6340" s="2">
        <v>2021.0</v>
      </c>
      <c r="F6340" s="2">
        <v>2021.0</v>
      </c>
      <c r="G6340" s="2">
        <v>5.128E7</v>
      </c>
    </row>
    <row r="6341" ht="14.25" customHeight="1">
      <c r="A6341" s="1">
        <v>71.0</v>
      </c>
      <c r="B6341" s="1" t="s">
        <v>20</v>
      </c>
      <c r="C6341" s="2" t="s">
        <v>69</v>
      </c>
      <c r="D6341" s="2">
        <v>7.2</v>
      </c>
      <c r="E6341" s="2">
        <v>2014.0</v>
      </c>
      <c r="F6341" s="2" t="s">
        <v>10</v>
      </c>
      <c r="G6341" s="2" t="s">
        <v>10</v>
      </c>
    </row>
    <row r="6342" ht="14.25" customHeight="1">
      <c r="A6342" s="1" t="s">
        <v>1131</v>
      </c>
      <c r="B6342" s="1" t="s">
        <v>20</v>
      </c>
      <c r="C6342" s="2" t="s">
        <v>9</v>
      </c>
      <c r="D6342" s="2">
        <v>7.2</v>
      </c>
      <c r="E6342" s="2">
        <v>2010.0</v>
      </c>
      <c r="F6342" s="2" t="s">
        <v>10</v>
      </c>
      <c r="G6342" s="2" t="s">
        <v>10</v>
      </c>
    </row>
    <row r="6343" ht="14.25" customHeight="1">
      <c r="A6343" s="1" t="s">
        <v>5396</v>
      </c>
      <c r="B6343" s="1" t="s">
        <v>20</v>
      </c>
      <c r="C6343" s="2" t="s">
        <v>154</v>
      </c>
      <c r="D6343" s="2">
        <v>7.2</v>
      </c>
      <c r="E6343" s="2">
        <v>2016.0</v>
      </c>
      <c r="F6343" s="2" t="s">
        <v>10</v>
      </c>
      <c r="G6343" s="2" t="s">
        <v>10</v>
      </c>
    </row>
    <row r="6344" ht="14.25" customHeight="1">
      <c r="A6344" s="1" t="s">
        <v>5397</v>
      </c>
      <c r="B6344" s="1" t="s">
        <v>20</v>
      </c>
      <c r="C6344" s="2" t="s">
        <v>192</v>
      </c>
      <c r="D6344" s="2">
        <v>7.2</v>
      </c>
      <c r="E6344" s="2">
        <v>1992.0</v>
      </c>
      <c r="F6344" s="2">
        <v>1992.0</v>
      </c>
      <c r="G6344" s="2" t="s">
        <v>10</v>
      </c>
    </row>
    <row r="6345" ht="14.25" customHeight="1">
      <c r="A6345" s="1" t="s">
        <v>5398</v>
      </c>
      <c r="B6345" s="1" t="s">
        <v>20</v>
      </c>
      <c r="C6345" s="2" t="s">
        <v>18</v>
      </c>
      <c r="D6345" s="2">
        <v>7.2</v>
      </c>
      <c r="E6345" s="2">
        <v>1989.0</v>
      </c>
      <c r="F6345" s="2" t="s">
        <v>10</v>
      </c>
      <c r="G6345" s="2" t="s">
        <v>10</v>
      </c>
    </row>
    <row r="6346" ht="14.25" customHeight="1">
      <c r="A6346" s="1" t="s">
        <v>5399</v>
      </c>
      <c r="B6346" s="1" t="s">
        <v>20</v>
      </c>
      <c r="C6346" s="2" t="s">
        <v>284</v>
      </c>
      <c r="D6346" s="2">
        <v>7.2</v>
      </c>
      <c r="E6346" s="2">
        <v>2006.0</v>
      </c>
      <c r="F6346" s="2" t="s">
        <v>10</v>
      </c>
      <c r="G6346" s="2" t="s">
        <v>10</v>
      </c>
    </row>
    <row r="6347" ht="14.25" customHeight="1">
      <c r="A6347" s="1" t="s">
        <v>5400</v>
      </c>
      <c r="B6347" s="1" t="s">
        <v>20</v>
      </c>
      <c r="C6347" s="2" t="s">
        <v>169</v>
      </c>
      <c r="D6347" s="2">
        <v>7.2</v>
      </c>
      <c r="E6347" s="2">
        <v>2000.0</v>
      </c>
      <c r="F6347" s="2" t="s">
        <v>10</v>
      </c>
      <c r="G6347" s="2" t="s">
        <v>10</v>
      </c>
    </row>
    <row r="6348" ht="14.25" customHeight="1">
      <c r="A6348" s="1" t="s">
        <v>5401</v>
      </c>
      <c r="B6348" s="1" t="s">
        <v>20</v>
      </c>
      <c r="C6348" s="2" t="s">
        <v>14</v>
      </c>
      <c r="D6348" s="2">
        <v>7.2</v>
      </c>
      <c r="E6348" s="2">
        <v>2016.0</v>
      </c>
      <c r="F6348" s="2" t="s">
        <v>10</v>
      </c>
      <c r="G6348" s="2" t="s">
        <v>10</v>
      </c>
    </row>
    <row r="6349" ht="14.25" customHeight="1">
      <c r="A6349" s="1" t="s">
        <v>5402</v>
      </c>
      <c r="B6349" s="1" t="s">
        <v>8</v>
      </c>
      <c r="C6349" s="2" t="s">
        <v>53</v>
      </c>
      <c r="D6349" s="2">
        <v>7.2</v>
      </c>
      <c r="E6349" s="2">
        <v>2018.0</v>
      </c>
      <c r="F6349" s="2">
        <v>2018.0</v>
      </c>
      <c r="G6349" s="2" t="s">
        <v>10</v>
      </c>
    </row>
    <row r="6350" ht="14.25" customHeight="1">
      <c r="A6350" s="1" t="s">
        <v>5403</v>
      </c>
      <c r="B6350" s="1" t="s">
        <v>20</v>
      </c>
      <c r="C6350" s="2" t="s">
        <v>1271</v>
      </c>
      <c r="D6350" s="2">
        <v>7.2</v>
      </c>
      <c r="E6350" s="2">
        <v>1988.0</v>
      </c>
      <c r="F6350" s="2" t="s">
        <v>10</v>
      </c>
      <c r="G6350" s="2" t="s">
        <v>10</v>
      </c>
    </row>
    <row r="6351" ht="14.25" customHeight="1">
      <c r="A6351" s="1" t="s">
        <v>5404</v>
      </c>
      <c r="B6351" s="1" t="s">
        <v>20</v>
      </c>
      <c r="C6351" s="2" t="s">
        <v>361</v>
      </c>
      <c r="D6351" s="2">
        <v>7.2</v>
      </c>
      <c r="E6351" s="2">
        <v>2008.0</v>
      </c>
      <c r="F6351" s="2" t="s">
        <v>10</v>
      </c>
      <c r="G6351" s="2" t="s">
        <v>10</v>
      </c>
    </row>
    <row r="6352" ht="14.25" customHeight="1">
      <c r="A6352" s="1" t="s">
        <v>5405</v>
      </c>
      <c r="B6352" s="1" t="s">
        <v>20</v>
      </c>
      <c r="C6352" s="2" t="s">
        <v>616</v>
      </c>
      <c r="D6352" s="2">
        <v>7.2</v>
      </c>
      <c r="E6352" s="2">
        <v>1986.0</v>
      </c>
      <c r="F6352" s="2" t="s">
        <v>10</v>
      </c>
      <c r="G6352" s="2" t="s">
        <v>10</v>
      </c>
    </row>
    <row r="6353" ht="14.25" customHeight="1">
      <c r="A6353" s="1" t="s">
        <v>5406</v>
      </c>
      <c r="B6353" s="1" t="s">
        <v>20</v>
      </c>
      <c r="C6353" s="2" t="s">
        <v>9</v>
      </c>
      <c r="D6353" s="2">
        <v>7.2</v>
      </c>
      <c r="E6353" s="2">
        <v>2023.0</v>
      </c>
      <c r="F6353" s="2" t="s">
        <v>10</v>
      </c>
      <c r="G6353" s="2">
        <v>1790000.0</v>
      </c>
    </row>
    <row r="6354" ht="14.25" customHeight="1">
      <c r="A6354" s="1" t="s">
        <v>5406</v>
      </c>
      <c r="B6354" s="1" t="s">
        <v>20</v>
      </c>
      <c r="C6354" s="2" t="s">
        <v>9</v>
      </c>
      <c r="D6354" s="2">
        <v>7.2</v>
      </c>
      <c r="E6354" s="2">
        <v>2023.0</v>
      </c>
      <c r="F6354" s="2" t="s">
        <v>10</v>
      </c>
      <c r="G6354" s="2">
        <v>4210000.0</v>
      </c>
    </row>
    <row r="6355" ht="14.25" customHeight="1">
      <c r="A6355" s="1" t="s">
        <v>5406</v>
      </c>
      <c r="B6355" s="1" t="s">
        <v>20</v>
      </c>
      <c r="C6355" s="2" t="s">
        <v>9</v>
      </c>
      <c r="D6355" s="2">
        <v>7.2</v>
      </c>
      <c r="E6355" s="2">
        <v>2023.0</v>
      </c>
      <c r="F6355" s="2" t="s">
        <v>10</v>
      </c>
      <c r="G6355" s="2">
        <v>1.73E7</v>
      </c>
    </row>
    <row r="6356" ht="14.25" customHeight="1">
      <c r="A6356" s="1" t="s">
        <v>5406</v>
      </c>
      <c r="B6356" s="1" t="s">
        <v>20</v>
      </c>
      <c r="C6356" s="2" t="s">
        <v>9</v>
      </c>
      <c r="D6356" s="2">
        <v>7.2</v>
      </c>
      <c r="E6356" s="2">
        <v>2023.0</v>
      </c>
      <c r="F6356" s="2" t="s">
        <v>10</v>
      </c>
      <c r="G6356" s="2">
        <v>1.17E7</v>
      </c>
    </row>
    <row r="6357" ht="14.25" customHeight="1">
      <c r="A6357" s="1" t="s">
        <v>5407</v>
      </c>
      <c r="B6357" s="1" t="s">
        <v>8</v>
      </c>
      <c r="C6357" s="2" t="s">
        <v>53</v>
      </c>
      <c r="D6357" s="2">
        <v>7.2</v>
      </c>
      <c r="E6357" s="2">
        <v>2020.0</v>
      </c>
      <c r="F6357" s="2" t="s">
        <v>10</v>
      </c>
      <c r="G6357" s="2" t="s">
        <v>10</v>
      </c>
    </row>
    <row r="6358" ht="14.25" customHeight="1">
      <c r="A6358" s="1" t="s">
        <v>5408</v>
      </c>
      <c r="B6358" s="1" t="s">
        <v>20</v>
      </c>
      <c r="C6358" s="2" t="s">
        <v>5409</v>
      </c>
      <c r="D6358" s="2">
        <v>7.2</v>
      </c>
      <c r="E6358" s="2">
        <v>2019.0</v>
      </c>
      <c r="F6358" s="2" t="s">
        <v>10</v>
      </c>
      <c r="G6358" s="2" t="s">
        <v>10</v>
      </c>
    </row>
    <row r="6359" ht="14.25" customHeight="1">
      <c r="A6359" s="1" t="s">
        <v>5410</v>
      </c>
      <c r="B6359" s="1" t="s">
        <v>20</v>
      </c>
      <c r="C6359" s="2" t="s">
        <v>40</v>
      </c>
      <c r="D6359" s="2">
        <v>7.2</v>
      </c>
      <c r="E6359" s="2">
        <v>2019.0</v>
      </c>
      <c r="F6359" s="2" t="s">
        <v>10</v>
      </c>
      <c r="G6359" s="2" t="s">
        <v>10</v>
      </c>
    </row>
    <row r="6360" ht="14.25" customHeight="1">
      <c r="A6360" s="1" t="s">
        <v>5411</v>
      </c>
      <c r="B6360" s="1" t="s">
        <v>20</v>
      </c>
      <c r="C6360" s="2" t="s">
        <v>80</v>
      </c>
      <c r="D6360" s="2">
        <v>7.2</v>
      </c>
      <c r="E6360" s="2">
        <v>2019.0</v>
      </c>
      <c r="F6360" s="2">
        <v>2019.0</v>
      </c>
      <c r="G6360" s="2" t="s">
        <v>10</v>
      </c>
    </row>
    <row r="6361" ht="14.25" customHeight="1">
      <c r="A6361" s="1" t="s">
        <v>5412</v>
      </c>
      <c r="B6361" s="1" t="s">
        <v>20</v>
      </c>
      <c r="C6361" s="2" t="s">
        <v>25</v>
      </c>
      <c r="D6361" s="2">
        <v>7.2</v>
      </c>
      <c r="E6361" s="2">
        <v>2021.0</v>
      </c>
      <c r="F6361" s="2">
        <v>2021.0</v>
      </c>
      <c r="G6361" s="2">
        <v>1.33E7</v>
      </c>
    </row>
    <row r="6362" ht="14.25" customHeight="1">
      <c r="A6362" s="1" t="s">
        <v>5413</v>
      </c>
      <c r="B6362" s="1" t="s">
        <v>20</v>
      </c>
      <c r="C6362" s="2" t="s">
        <v>217</v>
      </c>
      <c r="D6362" s="2">
        <v>7.2</v>
      </c>
      <c r="E6362" s="2">
        <v>1969.0</v>
      </c>
      <c r="F6362" s="2" t="s">
        <v>10</v>
      </c>
      <c r="G6362" s="2" t="s">
        <v>10</v>
      </c>
    </row>
    <row r="6363" ht="14.25" customHeight="1">
      <c r="A6363" s="1" t="s">
        <v>5414</v>
      </c>
      <c r="B6363" s="1" t="s">
        <v>20</v>
      </c>
      <c r="C6363" s="2" t="s">
        <v>69</v>
      </c>
      <c r="D6363" s="2">
        <v>7.2</v>
      </c>
      <c r="E6363" s="2">
        <v>1985.0</v>
      </c>
      <c r="F6363" s="2" t="s">
        <v>10</v>
      </c>
      <c r="G6363" s="2" t="s">
        <v>10</v>
      </c>
    </row>
    <row r="6364" ht="14.25" customHeight="1">
      <c r="A6364" s="1" t="s">
        <v>5415</v>
      </c>
      <c r="B6364" s="1" t="s">
        <v>8</v>
      </c>
      <c r="C6364" s="2" t="s">
        <v>305</v>
      </c>
      <c r="D6364" s="2">
        <v>7.2</v>
      </c>
      <c r="E6364" s="2">
        <v>1991.0</v>
      </c>
      <c r="F6364" s="2" t="s">
        <v>10</v>
      </c>
      <c r="G6364" s="2" t="s">
        <v>10</v>
      </c>
    </row>
    <row r="6365" ht="14.25" customHeight="1">
      <c r="A6365" s="1" t="s">
        <v>5416</v>
      </c>
      <c r="B6365" s="1" t="s">
        <v>20</v>
      </c>
      <c r="C6365" s="2" t="s">
        <v>833</v>
      </c>
      <c r="D6365" s="2">
        <v>7.2</v>
      </c>
      <c r="E6365" s="2">
        <v>2007.0</v>
      </c>
      <c r="F6365" s="2" t="s">
        <v>10</v>
      </c>
      <c r="G6365" s="2" t="s">
        <v>10</v>
      </c>
    </row>
    <row r="6366" ht="14.25" customHeight="1">
      <c r="A6366" s="1" t="s">
        <v>5417</v>
      </c>
      <c r="B6366" s="1" t="s">
        <v>20</v>
      </c>
      <c r="C6366" s="2" t="s">
        <v>910</v>
      </c>
      <c r="D6366" s="2">
        <v>7.2</v>
      </c>
      <c r="E6366" s="2">
        <v>2006.0</v>
      </c>
      <c r="F6366" s="2" t="s">
        <v>10</v>
      </c>
      <c r="G6366" s="2" t="s">
        <v>10</v>
      </c>
    </row>
    <row r="6367" ht="14.25" customHeight="1">
      <c r="A6367" s="1" t="s">
        <v>5418</v>
      </c>
      <c r="B6367" s="1" t="s">
        <v>20</v>
      </c>
      <c r="C6367" s="2" t="s">
        <v>154</v>
      </c>
      <c r="D6367" s="2">
        <v>7.2</v>
      </c>
      <c r="E6367" s="2">
        <v>1985.0</v>
      </c>
      <c r="F6367" s="2" t="s">
        <v>10</v>
      </c>
      <c r="G6367" s="2" t="s">
        <v>10</v>
      </c>
    </row>
    <row r="6368" ht="14.25" customHeight="1">
      <c r="A6368" s="1" t="s">
        <v>1566</v>
      </c>
      <c r="B6368" s="1" t="s">
        <v>20</v>
      </c>
      <c r="C6368" s="2" t="s">
        <v>154</v>
      </c>
      <c r="D6368" s="2">
        <v>7.2</v>
      </c>
      <c r="E6368" s="2">
        <v>2006.0</v>
      </c>
      <c r="F6368" s="2" t="s">
        <v>10</v>
      </c>
      <c r="G6368" s="2" t="s">
        <v>10</v>
      </c>
    </row>
    <row r="6369" ht="14.25" customHeight="1">
      <c r="A6369" s="1" t="s">
        <v>5419</v>
      </c>
      <c r="B6369" s="1" t="s">
        <v>8</v>
      </c>
      <c r="C6369" s="2" t="s">
        <v>55</v>
      </c>
      <c r="D6369" s="2">
        <v>7.2</v>
      </c>
      <c r="E6369" s="2">
        <v>2001.0</v>
      </c>
      <c r="F6369" s="2" t="s">
        <v>10</v>
      </c>
      <c r="G6369" s="2" t="s">
        <v>10</v>
      </c>
    </row>
    <row r="6370" ht="14.25" customHeight="1">
      <c r="A6370" s="1" t="s">
        <v>5420</v>
      </c>
      <c r="B6370" s="1" t="s">
        <v>20</v>
      </c>
      <c r="C6370" s="2" t="s">
        <v>9</v>
      </c>
      <c r="D6370" s="2">
        <v>7.2</v>
      </c>
      <c r="E6370" s="2">
        <v>2011.0</v>
      </c>
      <c r="F6370" s="2" t="s">
        <v>10</v>
      </c>
      <c r="G6370" s="2" t="s">
        <v>10</v>
      </c>
    </row>
    <row r="6371" ht="14.25" customHeight="1">
      <c r="A6371" s="1" t="s">
        <v>5421</v>
      </c>
      <c r="B6371" s="1" t="s">
        <v>20</v>
      </c>
      <c r="C6371" s="2" t="s">
        <v>40</v>
      </c>
      <c r="D6371" s="2">
        <v>7.2</v>
      </c>
      <c r="E6371" s="2">
        <v>2010.0</v>
      </c>
      <c r="F6371" s="2" t="s">
        <v>10</v>
      </c>
      <c r="G6371" s="2" t="s">
        <v>10</v>
      </c>
    </row>
    <row r="6372" ht="14.25" customHeight="1">
      <c r="A6372" s="1" t="s">
        <v>5422</v>
      </c>
      <c r="B6372" s="1" t="s">
        <v>20</v>
      </c>
      <c r="C6372" s="2" t="s">
        <v>284</v>
      </c>
      <c r="D6372" s="2">
        <v>7.2</v>
      </c>
      <c r="E6372" s="2">
        <v>1993.0</v>
      </c>
      <c r="F6372" s="2" t="s">
        <v>10</v>
      </c>
      <c r="G6372" s="2" t="s">
        <v>10</v>
      </c>
    </row>
    <row r="6373" ht="14.25" customHeight="1">
      <c r="A6373" s="1" t="s">
        <v>5423</v>
      </c>
      <c r="B6373" s="1" t="s">
        <v>20</v>
      </c>
      <c r="C6373" s="2" t="s">
        <v>53</v>
      </c>
      <c r="D6373" s="2">
        <v>7.2</v>
      </c>
      <c r="E6373" s="2">
        <v>2012.0</v>
      </c>
      <c r="F6373" s="2" t="s">
        <v>10</v>
      </c>
      <c r="G6373" s="2" t="s">
        <v>10</v>
      </c>
    </row>
    <row r="6374" ht="14.25" customHeight="1">
      <c r="A6374" s="1" t="s">
        <v>5424</v>
      </c>
      <c r="B6374" s="1" t="s">
        <v>20</v>
      </c>
      <c r="C6374" s="2" t="s">
        <v>838</v>
      </c>
      <c r="D6374" s="2">
        <v>7.2</v>
      </c>
      <c r="E6374" s="2">
        <v>1966.0</v>
      </c>
      <c r="F6374" s="2" t="s">
        <v>10</v>
      </c>
      <c r="G6374" s="2" t="s">
        <v>10</v>
      </c>
    </row>
    <row r="6375" ht="14.25" customHeight="1">
      <c r="A6375" s="1" t="s">
        <v>5425</v>
      </c>
      <c r="B6375" s="1" t="s">
        <v>20</v>
      </c>
      <c r="C6375" s="2" t="s">
        <v>611</v>
      </c>
      <c r="D6375" s="2">
        <v>7.2</v>
      </c>
      <c r="E6375" s="2">
        <v>2016.0</v>
      </c>
      <c r="F6375" s="2">
        <v>2016.0</v>
      </c>
      <c r="G6375" s="2" t="s">
        <v>10</v>
      </c>
    </row>
    <row r="6376" ht="14.25" customHeight="1">
      <c r="A6376" s="1" t="s">
        <v>5426</v>
      </c>
      <c r="B6376" s="1" t="s">
        <v>8</v>
      </c>
      <c r="C6376" s="2" t="s">
        <v>40</v>
      </c>
      <c r="D6376" s="2">
        <v>7.2</v>
      </c>
      <c r="E6376" s="2">
        <v>2024.0</v>
      </c>
      <c r="F6376" s="2" t="s">
        <v>10</v>
      </c>
      <c r="G6376" s="2" t="s">
        <v>10</v>
      </c>
    </row>
    <row r="6377" ht="14.25" customHeight="1">
      <c r="A6377" s="1" t="s">
        <v>5427</v>
      </c>
      <c r="B6377" s="1" t="s">
        <v>20</v>
      </c>
      <c r="C6377" s="2" t="s">
        <v>9</v>
      </c>
      <c r="D6377" s="2">
        <v>7.2</v>
      </c>
      <c r="E6377" s="2">
        <v>2002.0</v>
      </c>
      <c r="F6377" s="2" t="s">
        <v>10</v>
      </c>
      <c r="G6377" s="2" t="s">
        <v>10</v>
      </c>
    </row>
    <row r="6378" ht="14.25" customHeight="1">
      <c r="A6378" s="1" t="s">
        <v>5428</v>
      </c>
      <c r="B6378" s="1" t="s">
        <v>20</v>
      </c>
      <c r="C6378" s="2" t="s">
        <v>742</v>
      </c>
      <c r="D6378" s="2">
        <v>7.2</v>
      </c>
      <c r="E6378" s="2">
        <v>2012.0</v>
      </c>
      <c r="F6378" s="2" t="s">
        <v>10</v>
      </c>
      <c r="G6378" s="2" t="s">
        <v>10</v>
      </c>
    </row>
    <row r="6379" ht="14.25" customHeight="1">
      <c r="A6379" s="1" t="s">
        <v>5429</v>
      </c>
      <c r="B6379" s="1" t="s">
        <v>20</v>
      </c>
      <c r="C6379" s="2" t="s">
        <v>1336</v>
      </c>
      <c r="D6379" s="2">
        <v>7.2</v>
      </c>
      <c r="E6379" s="2">
        <v>1992.0</v>
      </c>
      <c r="F6379" s="2" t="s">
        <v>10</v>
      </c>
      <c r="G6379" s="2" t="s">
        <v>10</v>
      </c>
    </row>
    <row r="6380" ht="14.25" customHeight="1">
      <c r="A6380" s="1" t="s">
        <v>5430</v>
      </c>
      <c r="B6380" s="1" t="s">
        <v>20</v>
      </c>
      <c r="C6380" s="2" t="s">
        <v>18</v>
      </c>
      <c r="D6380" s="2">
        <v>7.2</v>
      </c>
      <c r="E6380" s="2">
        <v>2017.0</v>
      </c>
      <c r="F6380" s="2" t="s">
        <v>10</v>
      </c>
      <c r="G6380" s="2" t="s">
        <v>10</v>
      </c>
    </row>
    <row r="6381" ht="14.25" customHeight="1">
      <c r="A6381" s="1" t="s">
        <v>5431</v>
      </c>
      <c r="B6381" s="1" t="s">
        <v>20</v>
      </c>
      <c r="C6381" s="2" t="s">
        <v>1336</v>
      </c>
      <c r="D6381" s="2">
        <v>7.2</v>
      </c>
      <c r="E6381" s="2">
        <v>2009.0</v>
      </c>
      <c r="F6381" s="2" t="s">
        <v>10</v>
      </c>
      <c r="G6381" s="2" t="s">
        <v>10</v>
      </c>
    </row>
    <row r="6382" ht="14.25" customHeight="1">
      <c r="A6382" s="1" t="s">
        <v>5432</v>
      </c>
      <c r="B6382" s="1" t="s">
        <v>20</v>
      </c>
      <c r="C6382" s="2" t="s">
        <v>25</v>
      </c>
      <c r="D6382" s="2">
        <v>7.2</v>
      </c>
      <c r="E6382" s="2">
        <v>1986.0</v>
      </c>
      <c r="F6382" s="2" t="s">
        <v>10</v>
      </c>
      <c r="G6382" s="2" t="s">
        <v>10</v>
      </c>
    </row>
    <row r="6383" ht="14.25" customHeight="1">
      <c r="A6383" s="1" t="s">
        <v>5433</v>
      </c>
      <c r="B6383" s="1" t="s">
        <v>20</v>
      </c>
      <c r="C6383" s="2" t="s">
        <v>63</v>
      </c>
      <c r="D6383" s="2">
        <v>7.2</v>
      </c>
      <c r="E6383" s="2">
        <v>1994.0</v>
      </c>
      <c r="F6383" s="2" t="s">
        <v>10</v>
      </c>
      <c r="G6383" s="2" t="s">
        <v>10</v>
      </c>
    </row>
    <row r="6384" ht="14.25" customHeight="1">
      <c r="A6384" s="1" t="s">
        <v>5434</v>
      </c>
      <c r="B6384" s="1" t="s">
        <v>20</v>
      </c>
      <c r="C6384" s="2" t="s">
        <v>159</v>
      </c>
      <c r="D6384" s="2">
        <v>7.2</v>
      </c>
      <c r="E6384" s="2">
        <v>1977.0</v>
      </c>
      <c r="F6384" s="2" t="s">
        <v>10</v>
      </c>
      <c r="G6384" s="2" t="s">
        <v>10</v>
      </c>
    </row>
    <row r="6385" ht="14.25" customHeight="1">
      <c r="A6385" s="1" t="s">
        <v>5435</v>
      </c>
      <c r="B6385" s="1" t="s">
        <v>20</v>
      </c>
      <c r="C6385" s="2" t="s">
        <v>349</v>
      </c>
      <c r="D6385" s="2">
        <v>7.2</v>
      </c>
      <c r="E6385" s="2">
        <v>2013.0</v>
      </c>
      <c r="F6385" s="2">
        <v>2013.0</v>
      </c>
      <c r="G6385" s="2" t="s">
        <v>10</v>
      </c>
    </row>
    <row r="6386" ht="14.25" customHeight="1">
      <c r="A6386" s="1" t="s">
        <v>5436</v>
      </c>
      <c r="B6386" s="1" t="s">
        <v>20</v>
      </c>
      <c r="C6386" s="2" t="s">
        <v>282</v>
      </c>
      <c r="D6386" s="2">
        <v>7.2</v>
      </c>
      <c r="E6386" s="2">
        <v>2009.0</v>
      </c>
      <c r="F6386" s="2" t="s">
        <v>10</v>
      </c>
      <c r="G6386" s="2" t="s">
        <v>10</v>
      </c>
    </row>
    <row r="6387" ht="14.25" customHeight="1">
      <c r="A6387" s="1" t="s">
        <v>5437</v>
      </c>
      <c r="B6387" s="1" t="s">
        <v>20</v>
      </c>
      <c r="C6387" s="2" t="s">
        <v>845</v>
      </c>
      <c r="D6387" s="2">
        <v>7.2</v>
      </c>
      <c r="E6387" s="2">
        <v>1972.0</v>
      </c>
      <c r="F6387" s="2" t="s">
        <v>10</v>
      </c>
      <c r="G6387" s="2" t="s">
        <v>10</v>
      </c>
    </row>
    <row r="6388" ht="14.25" customHeight="1">
      <c r="A6388" s="1" t="s">
        <v>5438</v>
      </c>
      <c r="B6388" s="1" t="s">
        <v>20</v>
      </c>
      <c r="C6388" s="2" t="s">
        <v>36</v>
      </c>
      <c r="D6388" s="2">
        <v>7.2</v>
      </c>
      <c r="E6388" s="2">
        <v>1989.0</v>
      </c>
      <c r="F6388" s="2" t="s">
        <v>10</v>
      </c>
      <c r="G6388" s="2" t="s">
        <v>10</v>
      </c>
    </row>
    <row r="6389" ht="14.25" customHeight="1">
      <c r="A6389" s="1" t="s">
        <v>5439</v>
      </c>
      <c r="B6389" s="1" t="s">
        <v>20</v>
      </c>
      <c r="C6389" s="2" t="s">
        <v>18</v>
      </c>
      <c r="D6389" s="2">
        <v>7.2</v>
      </c>
      <c r="E6389" s="2">
        <v>2019.0</v>
      </c>
      <c r="F6389" s="2" t="s">
        <v>10</v>
      </c>
      <c r="G6389" s="2" t="s">
        <v>10</v>
      </c>
    </row>
    <row r="6390" ht="14.25" customHeight="1">
      <c r="A6390" s="1" t="s">
        <v>5440</v>
      </c>
      <c r="B6390" s="1" t="s">
        <v>20</v>
      </c>
      <c r="C6390" s="2" t="s">
        <v>1629</v>
      </c>
      <c r="D6390" s="2">
        <v>7.2</v>
      </c>
      <c r="E6390" s="2">
        <v>1971.0</v>
      </c>
      <c r="F6390" s="2" t="s">
        <v>10</v>
      </c>
      <c r="G6390" s="2" t="s">
        <v>10</v>
      </c>
    </row>
    <row r="6391" ht="14.25" customHeight="1">
      <c r="A6391" s="1" t="s">
        <v>5441</v>
      </c>
      <c r="B6391" s="1" t="s">
        <v>20</v>
      </c>
      <c r="C6391" s="2" t="s">
        <v>63</v>
      </c>
      <c r="D6391" s="2">
        <v>7.2</v>
      </c>
      <c r="E6391" s="2">
        <v>2009.0</v>
      </c>
      <c r="F6391" s="2" t="s">
        <v>10</v>
      </c>
      <c r="G6391" s="2" t="s">
        <v>10</v>
      </c>
    </row>
    <row r="6392" ht="14.25" customHeight="1">
      <c r="A6392" s="1" t="s">
        <v>5442</v>
      </c>
      <c r="B6392" s="1" t="s">
        <v>8</v>
      </c>
      <c r="C6392" s="2" t="s">
        <v>291</v>
      </c>
      <c r="D6392" s="2">
        <v>7.2</v>
      </c>
      <c r="E6392" s="2">
        <v>2023.0</v>
      </c>
      <c r="F6392" s="2" t="s">
        <v>10</v>
      </c>
      <c r="G6392" s="2" t="s">
        <v>10</v>
      </c>
    </row>
    <row r="6393" ht="14.25" customHeight="1">
      <c r="A6393" s="1" t="s">
        <v>5443</v>
      </c>
      <c r="B6393" s="1" t="s">
        <v>20</v>
      </c>
      <c r="C6393" s="2" t="s">
        <v>742</v>
      </c>
      <c r="D6393" s="2">
        <v>7.2</v>
      </c>
      <c r="E6393" s="2">
        <v>2018.0</v>
      </c>
      <c r="F6393" s="2" t="s">
        <v>10</v>
      </c>
      <c r="G6393" s="2" t="s">
        <v>10</v>
      </c>
    </row>
    <row r="6394" ht="14.25" customHeight="1">
      <c r="A6394" s="1" t="s">
        <v>5444</v>
      </c>
      <c r="B6394" s="1" t="s">
        <v>8</v>
      </c>
      <c r="C6394" s="2" t="s">
        <v>55</v>
      </c>
      <c r="D6394" s="2">
        <v>7.2</v>
      </c>
      <c r="E6394" s="2">
        <v>1997.0</v>
      </c>
      <c r="F6394" s="2" t="s">
        <v>10</v>
      </c>
      <c r="G6394" s="2" t="s">
        <v>10</v>
      </c>
    </row>
    <row r="6395" ht="14.25" customHeight="1">
      <c r="A6395" s="1" t="s">
        <v>5445</v>
      </c>
      <c r="B6395" s="1" t="s">
        <v>20</v>
      </c>
      <c r="C6395" s="2" t="s">
        <v>63</v>
      </c>
      <c r="D6395" s="2">
        <v>7.2</v>
      </c>
      <c r="E6395" s="2">
        <v>2022.0</v>
      </c>
      <c r="F6395" s="2" t="s">
        <v>10</v>
      </c>
      <c r="G6395" s="2" t="s">
        <v>10</v>
      </c>
    </row>
    <row r="6396" ht="14.25" customHeight="1">
      <c r="A6396" s="1" t="s">
        <v>5446</v>
      </c>
      <c r="B6396" s="1" t="s">
        <v>8</v>
      </c>
      <c r="C6396" s="2" t="s">
        <v>78</v>
      </c>
      <c r="D6396" s="2">
        <v>7.2</v>
      </c>
      <c r="E6396" s="2">
        <v>2018.0</v>
      </c>
      <c r="F6396" s="2">
        <v>2019.0</v>
      </c>
      <c r="G6396" s="2" t="s">
        <v>10</v>
      </c>
    </row>
    <row r="6397" ht="14.25" customHeight="1">
      <c r="A6397" s="1" t="s">
        <v>5447</v>
      </c>
      <c r="B6397" s="1" t="s">
        <v>8</v>
      </c>
      <c r="C6397" s="2" t="s">
        <v>287</v>
      </c>
      <c r="D6397" s="2">
        <v>7.2</v>
      </c>
      <c r="E6397" s="2">
        <v>2017.0</v>
      </c>
      <c r="F6397" s="2" t="s">
        <v>10</v>
      </c>
      <c r="G6397" s="2" t="s">
        <v>10</v>
      </c>
    </row>
    <row r="6398" ht="14.25" customHeight="1">
      <c r="A6398" s="1" t="s">
        <v>5448</v>
      </c>
      <c r="B6398" s="1" t="s">
        <v>20</v>
      </c>
      <c r="C6398" s="2" t="s">
        <v>845</v>
      </c>
      <c r="D6398" s="2">
        <v>7.2</v>
      </c>
      <c r="E6398" s="2">
        <v>2008.0</v>
      </c>
      <c r="F6398" s="2" t="s">
        <v>10</v>
      </c>
      <c r="G6398" s="2" t="s">
        <v>10</v>
      </c>
    </row>
    <row r="6399" ht="14.25" customHeight="1">
      <c r="A6399" s="1" t="s">
        <v>5449</v>
      </c>
      <c r="B6399" s="1" t="s">
        <v>20</v>
      </c>
      <c r="C6399" s="2" t="s">
        <v>40</v>
      </c>
      <c r="D6399" s="2">
        <v>7.2</v>
      </c>
      <c r="E6399" s="2">
        <v>2007.0</v>
      </c>
      <c r="F6399" s="2" t="s">
        <v>10</v>
      </c>
      <c r="G6399" s="2" t="s">
        <v>10</v>
      </c>
    </row>
    <row r="6400" ht="14.25" customHeight="1">
      <c r="A6400" s="1" t="s">
        <v>5450</v>
      </c>
      <c r="B6400" s="1" t="s">
        <v>20</v>
      </c>
      <c r="C6400" s="2" t="s">
        <v>105</v>
      </c>
      <c r="D6400" s="2">
        <v>7.2</v>
      </c>
      <c r="E6400" s="2">
        <v>1954.0</v>
      </c>
      <c r="F6400" s="2" t="s">
        <v>10</v>
      </c>
      <c r="G6400" s="2" t="s">
        <v>10</v>
      </c>
    </row>
    <row r="6401" ht="14.25" customHeight="1">
      <c r="A6401" s="1" t="s">
        <v>5451</v>
      </c>
      <c r="B6401" s="1" t="s">
        <v>20</v>
      </c>
      <c r="C6401" s="2" t="s">
        <v>63</v>
      </c>
      <c r="D6401" s="2">
        <v>7.2</v>
      </c>
      <c r="E6401" s="2">
        <v>2005.0</v>
      </c>
      <c r="F6401" s="2" t="s">
        <v>10</v>
      </c>
      <c r="G6401" s="2" t="s">
        <v>10</v>
      </c>
    </row>
    <row r="6402" ht="14.25" customHeight="1">
      <c r="A6402" s="1" t="s">
        <v>5452</v>
      </c>
      <c r="B6402" s="1" t="s">
        <v>8</v>
      </c>
      <c r="C6402" s="2" t="s">
        <v>1267</v>
      </c>
      <c r="D6402" s="2">
        <v>7.2</v>
      </c>
      <c r="E6402" s="2">
        <v>2013.0</v>
      </c>
      <c r="F6402" s="2" t="s">
        <v>10</v>
      </c>
      <c r="G6402" s="2" t="s">
        <v>10</v>
      </c>
    </row>
    <row r="6403" ht="14.25" customHeight="1">
      <c r="A6403" s="1" t="s">
        <v>5453</v>
      </c>
      <c r="B6403" s="1" t="s">
        <v>20</v>
      </c>
      <c r="C6403" s="2" t="s">
        <v>134</v>
      </c>
      <c r="D6403" s="2">
        <v>7.2</v>
      </c>
      <c r="E6403" s="2">
        <v>2014.0</v>
      </c>
      <c r="F6403" s="2" t="s">
        <v>10</v>
      </c>
      <c r="G6403" s="2" t="s">
        <v>10</v>
      </c>
    </row>
    <row r="6404" ht="14.25" customHeight="1">
      <c r="A6404" s="1" t="s">
        <v>5454</v>
      </c>
      <c r="B6404" s="1" t="s">
        <v>20</v>
      </c>
      <c r="C6404" s="2" t="s">
        <v>361</v>
      </c>
      <c r="D6404" s="2">
        <v>7.2</v>
      </c>
      <c r="E6404" s="2">
        <v>1999.0</v>
      </c>
      <c r="F6404" s="2" t="s">
        <v>10</v>
      </c>
      <c r="G6404" s="2" t="s">
        <v>10</v>
      </c>
    </row>
    <row r="6405" ht="14.25" customHeight="1">
      <c r="A6405" s="1" t="s">
        <v>5455</v>
      </c>
      <c r="B6405" s="1" t="s">
        <v>8</v>
      </c>
      <c r="C6405" s="2" t="s">
        <v>2237</v>
      </c>
      <c r="D6405" s="2">
        <v>7.2</v>
      </c>
      <c r="E6405" s="2">
        <v>2017.0</v>
      </c>
      <c r="F6405" s="2">
        <v>2003.0</v>
      </c>
      <c r="G6405" s="2">
        <v>1.026E7</v>
      </c>
    </row>
    <row r="6406" ht="14.25" customHeight="1">
      <c r="A6406" s="1" t="s">
        <v>5455</v>
      </c>
      <c r="B6406" s="1" t="s">
        <v>8</v>
      </c>
      <c r="C6406" s="2" t="s">
        <v>2237</v>
      </c>
      <c r="D6406" s="2">
        <v>7.2</v>
      </c>
      <c r="E6406" s="2">
        <v>2017.0</v>
      </c>
      <c r="F6406" s="2">
        <v>2003.0</v>
      </c>
      <c r="G6406" s="2">
        <v>1.547E7</v>
      </c>
    </row>
    <row r="6407" ht="14.25" customHeight="1">
      <c r="A6407" s="1" t="s">
        <v>5455</v>
      </c>
      <c r="B6407" s="1" t="s">
        <v>8</v>
      </c>
      <c r="C6407" s="2" t="s">
        <v>2237</v>
      </c>
      <c r="D6407" s="2">
        <v>7.2</v>
      </c>
      <c r="E6407" s="2">
        <v>2017.0</v>
      </c>
      <c r="F6407" s="2">
        <v>2003.0</v>
      </c>
      <c r="G6407" s="2">
        <v>2.023E7</v>
      </c>
    </row>
    <row r="6408" ht="14.25" customHeight="1">
      <c r="A6408" s="1" t="s">
        <v>5456</v>
      </c>
      <c r="B6408" s="1" t="s">
        <v>8</v>
      </c>
      <c r="C6408" s="2" t="s">
        <v>92</v>
      </c>
      <c r="D6408" s="2">
        <v>7.2</v>
      </c>
      <c r="E6408" s="2">
        <v>2020.0</v>
      </c>
      <c r="F6408" s="2" t="s">
        <v>10</v>
      </c>
      <c r="G6408" s="2">
        <v>3.71E7</v>
      </c>
    </row>
    <row r="6409" ht="14.25" customHeight="1">
      <c r="A6409" s="1" t="s">
        <v>5456</v>
      </c>
      <c r="B6409" s="1" t="s">
        <v>8</v>
      </c>
      <c r="C6409" s="2" t="s">
        <v>92</v>
      </c>
      <c r="D6409" s="2">
        <v>7.2</v>
      </c>
      <c r="E6409" s="2">
        <v>2020.0</v>
      </c>
      <c r="F6409" s="2" t="s">
        <v>10</v>
      </c>
      <c r="G6409" s="2">
        <v>1.66E7</v>
      </c>
    </row>
    <row r="6410" ht="14.25" customHeight="1">
      <c r="A6410" s="1" t="s">
        <v>5456</v>
      </c>
      <c r="B6410" s="1" t="s">
        <v>8</v>
      </c>
      <c r="C6410" s="2" t="s">
        <v>92</v>
      </c>
      <c r="D6410" s="2">
        <v>7.2</v>
      </c>
      <c r="E6410" s="2">
        <v>2020.0</v>
      </c>
      <c r="F6410" s="2" t="s">
        <v>10</v>
      </c>
      <c r="G6410" s="2">
        <v>2.37E7</v>
      </c>
    </row>
    <row r="6411" ht="14.25" customHeight="1">
      <c r="A6411" s="1" t="s">
        <v>5457</v>
      </c>
      <c r="B6411" s="1" t="s">
        <v>20</v>
      </c>
      <c r="C6411" s="2" t="s">
        <v>18</v>
      </c>
      <c r="D6411" s="2">
        <v>7.2</v>
      </c>
      <c r="E6411" s="2">
        <v>2022.0</v>
      </c>
      <c r="F6411" s="2" t="s">
        <v>10</v>
      </c>
      <c r="G6411" s="2" t="s">
        <v>10</v>
      </c>
    </row>
    <row r="6412" ht="14.25" customHeight="1">
      <c r="A6412" s="1" t="s">
        <v>5458</v>
      </c>
      <c r="B6412" s="1" t="s">
        <v>20</v>
      </c>
      <c r="C6412" s="2" t="s">
        <v>55</v>
      </c>
      <c r="D6412" s="2">
        <v>7.2</v>
      </c>
      <c r="E6412" s="2">
        <v>2021.0</v>
      </c>
      <c r="F6412" s="2">
        <v>2021.0</v>
      </c>
      <c r="G6412" s="2">
        <v>5150000.0</v>
      </c>
    </row>
    <row r="6413" ht="14.25" customHeight="1">
      <c r="A6413" s="1" t="s">
        <v>5458</v>
      </c>
      <c r="B6413" s="1" t="s">
        <v>20</v>
      </c>
      <c r="C6413" s="2" t="s">
        <v>55</v>
      </c>
      <c r="D6413" s="2">
        <v>7.2</v>
      </c>
      <c r="E6413" s="2">
        <v>2021.0</v>
      </c>
      <c r="F6413" s="2">
        <v>2021.0</v>
      </c>
      <c r="G6413" s="2">
        <v>6290000.0</v>
      </c>
    </row>
    <row r="6414" ht="14.25" customHeight="1">
      <c r="A6414" s="1" t="s">
        <v>5458</v>
      </c>
      <c r="B6414" s="1" t="s">
        <v>20</v>
      </c>
      <c r="C6414" s="2" t="s">
        <v>55</v>
      </c>
      <c r="D6414" s="2">
        <v>7.2</v>
      </c>
      <c r="E6414" s="2">
        <v>2021.0</v>
      </c>
      <c r="F6414" s="2">
        <v>2021.0</v>
      </c>
      <c r="G6414" s="2">
        <v>8550000.0</v>
      </c>
    </row>
    <row r="6415" ht="14.25" customHeight="1">
      <c r="A6415" s="1" t="s">
        <v>5458</v>
      </c>
      <c r="B6415" s="1" t="s">
        <v>20</v>
      </c>
      <c r="C6415" s="2" t="s">
        <v>55</v>
      </c>
      <c r="D6415" s="2">
        <v>7.2</v>
      </c>
      <c r="E6415" s="2">
        <v>2021.0</v>
      </c>
      <c r="F6415" s="2">
        <v>2021.0</v>
      </c>
      <c r="G6415" s="2">
        <v>1.059E7</v>
      </c>
    </row>
    <row r="6416" ht="14.25" customHeight="1">
      <c r="A6416" s="1" t="s">
        <v>5458</v>
      </c>
      <c r="B6416" s="1" t="s">
        <v>20</v>
      </c>
      <c r="C6416" s="2" t="s">
        <v>55</v>
      </c>
      <c r="D6416" s="2">
        <v>7.2</v>
      </c>
      <c r="E6416" s="2">
        <v>2021.0</v>
      </c>
      <c r="F6416" s="2">
        <v>2021.0</v>
      </c>
      <c r="G6416" s="2">
        <v>1.526E7</v>
      </c>
    </row>
    <row r="6417" ht="14.25" customHeight="1">
      <c r="A6417" s="1" t="s">
        <v>5459</v>
      </c>
      <c r="B6417" s="1" t="s">
        <v>20</v>
      </c>
      <c r="C6417" s="2" t="s">
        <v>239</v>
      </c>
      <c r="D6417" s="2">
        <v>7.2</v>
      </c>
      <c r="E6417" s="2">
        <v>1972.0</v>
      </c>
      <c r="F6417" s="2" t="s">
        <v>10</v>
      </c>
      <c r="G6417" s="2" t="s">
        <v>10</v>
      </c>
    </row>
    <row r="6418" ht="14.25" customHeight="1">
      <c r="A6418" s="1" t="s">
        <v>5460</v>
      </c>
      <c r="B6418" s="1" t="s">
        <v>20</v>
      </c>
      <c r="C6418" s="2" t="s">
        <v>497</v>
      </c>
      <c r="D6418" s="2">
        <v>7.2</v>
      </c>
      <c r="E6418" s="2">
        <v>2020.0</v>
      </c>
      <c r="F6418" s="2">
        <v>2020.0</v>
      </c>
      <c r="G6418" s="2" t="s">
        <v>10</v>
      </c>
    </row>
    <row r="6419" ht="14.25" customHeight="1">
      <c r="A6419" s="1" t="s">
        <v>5461</v>
      </c>
      <c r="B6419" s="1" t="s">
        <v>20</v>
      </c>
      <c r="C6419" s="2" t="s">
        <v>34</v>
      </c>
      <c r="D6419" s="2">
        <v>7.2</v>
      </c>
      <c r="E6419" s="2">
        <v>1985.0</v>
      </c>
      <c r="F6419" s="2" t="s">
        <v>10</v>
      </c>
      <c r="G6419" s="2" t="s">
        <v>10</v>
      </c>
    </row>
    <row r="6420" ht="14.25" customHeight="1">
      <c r="A6420" s="1" t="s">
        <v>5462</v>
      </c>
      <c r="B6420" s="1" t="s">
        <v>20</v>
      </c>
      <c r="C6420" s="2" t="s">
        <v>53</v>
      </c>
      <c r="D6420" s="2">
        <v>7.2</v>
      </c>
      <c r="E6420" s="2">
        <v>2013.0</v>
      </c>
      <c r="F6420" s="2" t="s">
        <v>10</v>
      </c>
      <c r="G6420" s="2" t="s">
        <v>10</v>
      </c>
    </row>
    <row r="6421" ht="14.25" customHeight="1">
      <c r="A6421" s="1" t="s">
        <v>5463</v>
      </c>
      <c r="B6421" s="1" t="s">
        <v>20</v>
      </c>
      <c r="C6421" s="2" t="s">
        <v>1474</v>
      </c>
      <c r="D6421" s="2">
        <v>7.2</v>
      </c>
      <c r="E6421" s="2">
        <v>1980.0</v>
      </c>
      <c r="F6421" s="2" t="s">
        <v>10</v>
      </c>
      <c r="G6421" s="2" t="s">
        <v>10</v>
      </c>
    </row>
    <row r="6422" ht="14.25" customHeight="1">
      <c r="A6422" s="1" t="s">
        <v>5464</v>
      </c>
      <c r="B6422" s="1" t="s">
        <v>8</v>
      </c>
      <c r="C6422" s="2" t="s">
        <v>25</v>
      </c>
      <c r="D6422" s="2">
        <v>7.2</v>
      </c>
      <c r="E6422" s="2">
        <v>2002.0</v>
      </c>
      <c r="F6422" s="2" t="s">
        <v>10</v>
      </c>
      <c r="G6422" s="2" t="s">
        <v>10</v>
      </c>
    </row>
    <row r="6423" ht="14.25" customHeight="1">
      <c r="A6423" s="1" t="s">
        <v>5465</v>
      </c>
      <c r="B6423" s="1" t="s">
        <v>20</v>
      </c>
      <c r="C6423" s="2" t="s">
        <v>169</v>
      </c>
      <c r="D6423" s="2">
        <v>7.2</v>
      </c>
      <c r="E6423" s="2">
        <v>1985.0</v>
      </c>
      <c r="F6423" s="2" t="s">
        <v>10</v>
      </c>
      <c r="G6423" s="2" t="s">
        <v>10</v>
      </c>
    </row>
    <row r="6424" ht="14.25" customHeight="1">
      <c r="A6424" s="1" t="s">
        <v>5466</v>
      </c>
      <c r="B6424" s="1" t="s">
        <v>8</v>
      </c>
      <c r="C6424" s="2" t="s">
        <v>32</v>
      </c>
      <c r="D6424" s="2">
        <v>7.2</v>
      </c>
      <c r="E6424" s="2">
        <v>2011.0</v>
      </c>
      <c r="F6424" s="2" t="s">
        <v>10</v>
      </c>
      <c r="G6424" s="2" t="s">
        <v>10</v>
      </c>
    </row>
    <row r="6425" ht="14.25" customHeight="1">
      <c r="A6425" s="1" t="s">
        <v>5467</v>
      </c>
      <c r="B6425" s="1" t="s">
        <v>20</v>
      </c>
      <c r="C6425" s="2" t="s">
        <v>169</v>
      </c>
      <c r="D6425" s="2">
        <v>7.2</v>
      </c>
      <c r="E6425" s="2">
        <v>2015.0</v>
      </c>
      <c r="F6425" s="2">
        <v>2015.0</v>
      </c>
      <c r="G6425" s="2" t="s">
        <v>10</v>
      </c>
    </row>
    <row r="6426" ht="14.25" customHeight="1">
      <c r="A6426" s="1" t="s">
        <v>5468</v>
      </c>
      <c r="B6426" s="1" t="s">
        <v>20</v>
      </c>
      <c r="C6426" s="2" t="s">
        <v>5469</v>
      </c>
      <c r="D6426" s="2">
        <v>7.2</v>
      </c>
      <c r="E6426" s="2">
        <v>1941.0</v>
      </c>
      <c r="F6426" s="2" t="s">
        <v>10</v>
      </c>
      <c r="G6426" s="2" t="s">
        <v>10</v>
      </c>
    </row>
    <row r="6427" ht="14.25" customHeight="1">
      <c r="A6427" s="1" t="s">
        <v>5470</v>
      </c>
      <c r="B6427" s="1" t="s">
        <v>20</v>
      </c>
      <c r="C6427" s="2" t="s">
        <v>249</v>
      </c>
      <c r="D6427" s="2">
        <v>7.2</v>
      </c>
      <c r="E6427" s="2">
        <v>1970.0</v>
      </c>
      <c r="F6427" s="2" t="s">
        <v>10</v>
      </c>
      <c r="G6427" s="2" t="s">
        <v>10</v>
      </c>
    </row>
    <row r="6428" ht="14.25" customHeight="1">
      <c r="A6428" s="1" t="s">
        <v>5471</v>
      </c>
      <c r="B6428" s="1" t="s">
        <v>20</v>
      </c>
      <c r="C6428" s="2" t="s">
        <v>1105</v>
      </c>
      <c r="D6428" s="2">
        <v>7.2</v>
      </c>
      <c r="E6428" s="2">
        <v>1966.0</v>
      </c>
      <c r="F6428" s="2" t="s">
        <v>10</v>
      </c>
      <c r="G6428" s="2" t="s">
        <v>10</v>
      </c>
    </row>
    <row r="6429" ht="14.25" customHeight="1">
      <c r="A6429" s="1" t="s">
        <v>5472</v>
      </c>
      <c r="B6429" s="1" t="s">
        <v>20</v>
      </c>
      <c r="C6429" s="2" t="s">
        <v>527</v>
      </c>
      <c r="D6429" s="2">
        <v>7.2</v>
      </c>
      <c r="E6429" s="2">
        <v>1969.0</v>
      </c>
      <c r="F6429" s="2" t="s">
        <v>10</v>
      </c>
      <c r="G6429" s="2" t="s">
        <v>10</v>
      </c>
    </row>
    <row r="6430" ht="14.25" customHeight="1">
      <c r="A6430" s="1" t="s">
        <v>5473</v>
      </c>
      <c r="B6430" s="1" t="s">
        <v>20</v>
      </c>
      <c r="C6430" s="2" t="s">
        <v>361</v>
      </c>
      <c r="D6430" s="2">
        <v>7.2</v>
      </c>
      <c r="E6430" s="2">
        <v>1990.0</v>
      </c>
      <c r="F6430" s="2" t="s">
        <v>10</v>
      </c>
      <c r="G6430" s="2" t="s">
        <v>10</v>
      </c>
    </row>
    <row r="6431" ht="14.25" customHeight="1">
      <c r="A6431" s="1" t="s">
        <v>5474</v>
      </c>
      <c r="B6431" s="1" t="s">
        <v>20</v>
      </c>
      <c r="C6431" s="2" t="s">
        <v>36</v>
      </c>
      <c r="D6431" s="2">
        <v>7.2</v>
      </c>
      <c r="E6431" s="2">
        <v>2005.0</v>
      </c>
      <c r="F6431" s="2" t="s">
        <v>10</v>
      </c>
      <c r="G6431" s="2" t="s">
        <v>10</v>
      </c>
    </row>
    <row r="6432" ht="14.25" customHeight="1">
      <c r="A6432" s="1" t="s">
        <v>5475</v>
      </c>
      <c r="B6432" s="1" t="s">
        <v>8</v>
      </c>
      <c r="C6432" s="2" t="s">
        <v>34</v>
      </c>
      <c r="D6432" s="2">
        <v>7.2</v>
      </c>
      <c r="E6432" s="2">
        <v>2020.0</v>
      </c>
      <c r="F6432" s="2">
        <v>2020.0</v>
      </c>
      <c r="G6432" s="2">
        <v>9390000.0</v>
      </c>
    </row>
    <row r="6433" ht="14.25" customHeight="1">
      <c r="A6433" s="1" t="s">
        <v>5475</v>
      </c>
      <c r="B6433" s="1" t="s">
        <v>8</v>
      </c>
      <c r="C6433" s="2" t="s">
        <v>34</v>
      </c>
      <c r="D6433" s="2">
        <v>7.2</v>
      </c>
      <c r="E6433" s="2">
        <v>2020.0</v>
      </c>
      <c r="F6433" s="2">
        <v>2020.0</v>
      </c>
      <c r="G6433" s="2">
        <v>2.122E7</v>
      </c>
    </row>
    <row r="6434" ht="14.25" customHeight="1">
      <c r="A6434" s="1" t="s">
        <v>5475</v>
      </c>
      <c r="B6434" s="1" t="s">
        <v>8</v>
      </c>
      <c r="C6434" s="2" t="s">
        <v>34</v>
      </c>
      <c r="D6434" s="2">
        <v>7.2</v>
      </c>
      <c r="E6434" s="2">
        <v>2020.0</v>
      </c>
      <c r="F6434" s="2">
        <v>2020.0</v>
      </c>
      <c r="G6434" s="2">
        <v>1.212E7</v>
      </c>
    </row>
    <row r="6435" ht="14.25" customHeight="1">
      <c r="A6435" s="1" t="s">
        <v>5475</v>
      </c>
      <c r="B6435" s="1" t="s">
        <v>8</v>
      </c>
      <c r="C6435" s="2" t="s">
        <v>34</v>
      </c>
      <c r="D6435" s="2">
        <v>7.2</v>
      </c>
      <c r="E6435" s="2">
        <v>2020.0</v>
      </c>
      <c r="F6435" s="2">
        <v>2020.0</v>
      </c>
      <c r="G6435" s="2">
        <v>1.459E7</v>
      </c>
    </row>
    <row r="6436" ht="14.25" customHeight="1">
      <c r="A6436" s="1" t="s">
        <v>5475</v>
      </c>
      <c r="B6436" s="1" t="s">
        <v>8</v>
      </c>
      <c r="C6436" s="2" t="s">
        <v>34</v>
      </c>
      <c r="D6436" s="2">
        <v>7.2</v>
      </c>
      <c r="E6436" s="2">
        <v>2020.0</v>
      </c>
      <c r="F6436" s="2">
        <v>2020.0</v>
      </c>
      <c r="G6436" s="2">
        <v>8300000.0</v>
      </c>
    </row>
    <row r="6437" ht="14.25" customHeight="1">
      <c r="A6437" s="1" t="s">
        <v>5476</v>
      </c>
      <c r="B6437" s="1" t="s">
        <v>20</v>
      </c>
      <c r="C6437" s="2" t="s">
        <v>1316</v>
      </c>
      <c r="D6437" s="2">
        <v>7.2</v>
      </c>
      <c r="E6437" s="2">
        <v>2010.0</v>
      </c>
      <c r="F6437" s="2" t="s">
        <v>10</v>
      </c>
      <c r="G6437" s="2" t="s">
        <v>10</v>
      </c>
    </row>
    <row r="6438" ht="14.25" customHeight="1">
      <c r="A6438" s="1" t="s">
        <v>5477</v>
      </c>
      <c r="B6438" s="1" t="s">
        <v>20</v>
      </c>
      <c r="C6438" s="2" t="s">
        <v>291</v>
      </c>
      <c r="D6438" s="2">
        <v>7.2</v>
      </c>
      <c r="E6438" s="2">
        <v>1971.0</v>
      </c>
      <c r="F6438" s="2" t="s">
        <v>10</v>
      </c>
      <c r="G6438" s="2" t="s">
        <v>10</v>
      </c>
    </row>
    <row r="6439" ht="14.25" customHeight="1">
      <c r="A6439" s="1" t="s">
        <v>5478</v>
      </c>
      <c r="B6439" s="1" t="s">
        <v>20</v>
      </c>
      <c r="C6439" s="2" t="s">
        <v>80</v>
      </c>
      <c r="D6439" s="2">
        <v>7.2</v>
      </c>
      <c r="E6439" s="2">
        <v>2014.0</v>
      </c>
      <c r="F6439" s="2" t="s">
        <v>10</v>
      </c>
      <c r="G6439" s="2" t="s">
        <v>10</v>
      </c>
    </row>
    <row r="6440" ht="14.25" customHeight="1">
      <c r="A6440" s="1" t="s">
        <v>2964</v>
      </c>
      <c r="B6440" s="1" t="s">
        <v>20</v>
      </c>
      <c r="C6440" s="2" t="s">
        <v>1025</v>
      </c>
      <c r="D6440" s="2">
        <v>7.2</v>
      </c>
      <c r="E6440" s="2">
        <v>2014.0</v>
      </c>
      <c r="F6440" s="2" t="s">
        <v>10</v>
      </c>
      <c r="G6440" s="2" t="s">
        <v>10</v>
      </c>
    </row>
    <row r="6441" ht="14.25" customHeight="1">
      <c r="A6441" s="1" t="s">
        <v>5479</v>
      </c>
      <c r="B6441" s="1" t="s">
        <v>20</v>
      </c>
      <c r="C6441" s="2" t="s">
        <v>12</v>
      </c>
      <c r="D6441" s="2">
        <v>7.2</v>
      </c>
      <c r="E6441" s="2">
        <v>2017.0</v>
      </c>
      <c r="F6441" s="2">
        <v>2017.0</v>
      </c>
      <c r="G6441" s="2" t="s">
        <v>10</v>
      </c>
    </row>
    <row r="6442" ht="14.25" customHeight="1">
      <c r="A6442" s="1" t="s">
        <v>5480</v>
      </c>
      <c r="B6442" s="1" t="s">
        <v>20</v>
      </c>
      <c r="C6442" s="2" t="s">
        <v>9</v>
      </c>
      <c r="D6442" s="2">
        <v>7.2</v>
      </c>
      <c r="E6442" s="2">
        <v>2018.0</v>
      </c>
      <c r="F6442" s="2" t="s">
        <v>10</v>
      </c>
      <c r="G6442" s="2" t="s">
        <v>10</v>
      </c>
    </row>
    <row r="6443" ht="14.25" customHeight="1">
      <c r="A6443" s="1" t="s">
        <v>5481</v>
      </c>
      <c r="B6443" s="1" t="s">
        <v>8</v>
      </c>
      <c r="C6443" s="2" t="s">
        <v>53</v>
      </c>
      <c r="D6443" s="2">
        <v>7.2</v>
      </c>
      <c r="E6443" s="2">
        <v>1984.0</v>
      </c>
      <c r="F6443" s="2" t="s">
        <v>10</v>
      </c>
      <c r="G6443" s="2" t="s">
        <v>10</v>
      </c>
    </row>
    <row r="6444" ht="14.25" customHeight="1">
      <c r="A6444" s="1" t="s">
        <v>5482</v>
      </c>
      <c r="B6444" s="1" t="s">
        <v>20</v>
      </c>
      <c r="C6444" s="2" t="s">
        <v>2390</v>
      </c>
      <c r="D6444" s="2">
        <v>7.2</v>
      </c>
      <c r="E6444" s="2">
        <v>2006.0</v>
      </c>
      <c r="F6444" s="2" t="s">
        <v>10</v>
      </c>
      <c r="G6444" s="2" t="s">
        <v>10</v>
      </c>
    </row>
    <row r="6445" ht="14.25" customHeight="1">
      <c r="A6445" s="1" t="s">
        <v>5483</v>
      </c>
      <c r="B6445" s="1" t="s">
        <v>20</v>
      </c>
      <c r="C6445" s="2" t="s">
        <v>18</v>
      </c>
      <c r="D6445" s="2">
        <v>7.2</v>
      </c>
      <c r="E6445" s="2">
        <v>2004.0</v>
      </c>
      <c r="F6445" s="2" t="s">
        <v>10</v>
      </c>
      <c r="G6445" s="2" t="s">
        <v>10</v>
      </c>
    </row>
    <row r="6446" ht="14.25" customHeight="1">
      <c r="A6446" s="1" t="s">
        <v>5484</v>
      </c>
      <c r="B6446" s="1" t="s">
        <v>20</v>
      </c>
      <c r="C6446" s="2" t="s">
        <v>179</v>
      </c>
      <c r="D6446" s="2">
        <v>7.2</v>
      </c>
      <c r="E6446" s="2">
        <v>2003.0</v>
      </c>
      <c r="F6446" s="2" t="s">
        <v>10</v>
      </c>
      <c r="G6446" s="2" t="s">
        <v>10</v>
      </c>
    </row>
    <row r="6447" ht="14.25" customHeight="1">
      <c r="A6447" s="1" t="s">
        <v>5485</v>
      </c>
      <c r="B6447" s="1" t="s">
        <v>8</v>
      </c>
      <c r="C6447" s="2" t="s">
        <v>1267</v>
      </c>
      <c r="D6447" s="2">
        <v>7.2</v>
      </c>
      <c r="E6447" s="2">
        <v>2011.0</v>
      </c>
      <c r="F6447" s="2" t="s">
        <v>10</v>
      </c>
      <c r="G6447" s="2" t="s">
        <v>10</v>
      </c>
    </row>
    <row r="6448" ht="14.25" customHeight="1">
      <c r="A6448" s="1" t="s">
        <v>5486</v>
      </c>
      <c r="B6448" s="1" t="s">
        <v>20</v>
      </c>
      <c r="C6448" s="2" t="s">
        <v>361</v>
      </c>
      <c r="D6448" s="2">
        <v>7.2</v>
      </c>
      <c r="E6448" s="2">
        <v>1992.0</v>
      </c>
      <c r="F6448" s="2">
        <v>1992.0</v>
      </c>
      <c r="G6448" s="2" t="s">
        <v>10</v>
      </c>
    </row>
    <row r="6449" ht="14.25" customHeight="1">
      <c r="A6449" s="1" t="s">
        <v>5487</v>
      </c>
      <c r="B6449" s="1" t="s">
        <v>8</v>
      </c>
      <c r="C6449" s="2" t="s">
        <v>935</v>
      </c>
      <c r="D6449" s="2">
        <v>7.2</v>
      </c>
      <c r="E6449" s="2">
        <v>2021.0</v>
      </c>
      <c r="F6449" s="2" t="s">
        <v>10</v>
      </c>
      <c r="G6449" s="2" t="s">
        <v>10</v>
      </c>
    </row>
    <row r="6450" ht="14.25" customHeight="1">
      <c r="A6450" s="1" t="s">
        <v>5488</v>
      </c>
      <c r="B6450" s="1" t="s">
        <v>20</v>
      </c>
      <c r="C6450" s="2" t="s">
        <v>621</v>
      </c>
      <c r="D6450" s="2">
        <v>7.2</v>
      </c>
      <c r="E6450" s="2">
        <v>1958.0</v>
      </c>
      <c r="F6450" s="2" t="s">
        <v>10</v>
      </c>
      <c r="G6450" s="2" t="s">
        <v>10</v>
      </c>
    </row>
    <row r="6451" ht="14.25" customHeight="1">
      <c r="A6451" s="1" t="s">
        <v>5489</v>
      </c>
      <c r="B6451" s="1" t="s">
        <v>20</v>
      </c>
      <c r="C6451" s="2" t="s">
        <v>18</v>
      </c>
      <c r="D6451" s="2">
        <v>7.2</v>
      </c>
      <c r="E6451" s="2">
        <v>2008.0</v>
      </c>
      <c r="F6451" s="2" t="s">
        <v>10</v>
      </c>
      <c r="G6451" s="2" t="s">
        <v>10</v>
      </c>
    </row>
    <row r="6452" ht="14.25" customHeight="1">
      <c r="A6452" s="1" t="s">
        <v>5490</v>
      </c>
      <c r="B6452" s="1" t="s">
        <v>20</v>
      </c>
      <c r="C6452" s="2" t="s">
        <v>328</v>
      </c>
      <c r="D6452" s="2">
        <v>7.2</v>
      </c>
      <c r="E6452" s="2">
        <v>1987.0</v>
      </c>
      <c r="F6452" s="2" t="s">
        <v>10</v>
      </c>
      <c r="G6452" s="2" t="s">
        <v>10</v>
      </c>
    </row>
    <row r="6453" ht="14.25" customHeight="1">
      <c r="A6453" s="1" t="s">
        <v>5491</v>
      </c>
      <c r="B6453" s="1" t="s">
        <v>20</v>
      </c>
      <c r="C6453" s="2" t="s">
        <v>530</v>
      </c>
      <c r="D6453" s="2">
        <v>7.2</v>
      </c>
      <c r="E6453" s="2">
        <v>2017.0</v>
      </c>
      <c r="F6453" s="2" t="s">
        <v>10</v>
      </c>
      <c r="G6453" s="2" t="s">
        <v>10</v>
      </c>
    </row>
    <row r="6454" ht="14.25" customHeight="1">
      <c r="A6454" s="1" t="s">
        <v>5492</v>
      </c>
      <c r="B6454" s="1" t="s">
        <v>20</v>
      </c>
      <c r="C6454" s="2" t="s">
        <v>18</v>
      </c>
      <c r="D6454" s="2">
        <v>7.2</v>
      </c>
      <c r="E6454" s="2">
        <v>2017.0</v>
      </c>
      <c r="F6454" s="2" t="s">
        <v>10</v>
      </c>
      <c r="G6454" s="2" t="s">
        <v>10</v>
      </c>
    </row>
    <row r="6455" ht="14.25" customHeight="1">
      <c r="A6455" s="1" t="s">
        <v>5493</v>
      </c>
      <c r="B6455" s="1" t="s">
        <v>20</v>
      </c>
      <c r="C6455" s="2" t="s">
        <v>154</v>
      </c>
      <c r="D6455" s="2">
        <v>7.2</v>
      </c>
      <c r="E6455" s="2">
        <v>2010.0</v>
      </c>
      <c r="F6455" s="2" t="s">
        <v>10</v>
      </c>
      <c r="G6455" s="2" t="s">
        <v>10</v>
      </c>
    </row>
    <row r="6456" ht="14.25" customHeight="1">
      <c r="A6456" s="1" t="s">
        <v>5494</v>
      </c>
      <c r="B6456" s="1" t="s">
        <v>20</v>
      </c>
      <c r="C6456" s="2" t="s">
        <v>468</v>
      </c>
      <c r="D6456" s="2">
        <v>7.2</v>
      </c>
      <c r="E6456" s="2">
        <v>1994.0</v>
      </c>
      <c r="F6456" s="2" t="s">
        <v>10</v>
      </c>
      <c r="G6456" s="2" t="s">
        <v>10</v>
      </c>
    </row>
    <row r="6457" ht="14.25" customHeight="1">
      <c r="A6457" s="1" t="s">
        <v>5495</v>
      </c>
      <c r="B6457" s="1" t="s">
        <v>20</v>
      </c>
      <c r="C6457" s="2" t="s">
        <v>5496</v>
      </c>
      <c r="D6457" s="2">
        <v>7.2</v>
      </c>
      <c r="E6457" s="2">
        <v>1942.0</v>
      </c>
      <c r="F6457" s="2">
        <v>2021.0</v>
      </c>
      <c r="G6457" s="2" t="s">
        <v>10</v>
      </c>
    </row>
    <row r="6458" ht="14.25" customHeight="1">
      <c r="A6458" s="1" t="s">
        <v>5497</v>
      </c>
      <c r="B6458" s="1" t="s">
        <v>20</v>
      </c>
      <c r="C6458" s="2" t="s">
        <v>468</v>
      </c>
      <c r="D6458" s="2">
        <v>7.2</v>
      </c>
      <c r="E6458" s="2">
        <v>1997.0</v>
      </c>
      <c r="F6458" s="2" t="s">
        <v>10</v>
      </c>
      <c r="G6458" s="2" t="s">
        <v>10</v>
      </c>
    </row>
    <row r="6459" ht="14.25" customHeight="1">
      <c r="A6459" s="1" t="s">
        <v>5498</v>
      </c>
      <c r="B6459" s="1" t="s">
        <v>20</v>
      </c>
      <c r="C6459" s="2" t="s">
        <v>69</v>
      </c>
      <c r="D6459" s="2">
        <v>7.2</v>
      </c>
      <c r="E6459" s="2">
        <v>1990.0</v>
      </c>
      <c r="F6459" s="2" t="s">
        <v>10</v>
      </c>
      <c r="G6459" s="2" t="s">
        <v>10</v>
      </c>
    </row>
    <row r="6460" ht="14.25" customHeight="1">
      <c r="A6460" s="1" t="s">
        <v>5499</v>
      </c>
      <c r="B6460" s="1" t="s">
        <v>8</v>
      </c>
      <c r="C6460" s="2" t="s">
        <v>18</v>
      </c>
      <c r="D6460" s="2">
        <v>7.2</v>
      </c>
      <c r="E6460" s="2">
        <v>2017.0</v>
      </c>
      <c r="F6460" s="2">
        <v>2019.0</v>
      </c>
      <c r="G6460" s="2">
        <v>1.261E7</v>
      </c>
    </row>
    <row r="6461" ht="14.25" customHeight="1">
      <c r="A6461" s="1" t="s">
        <v>5499</v>
      </c>
      <c r="B6461" s="1" t="s">
        <v>8</v>
      </c>
      <c r="C6461" s="2" t="s">
        <v>18</v>
      </c>
      <c r="D6461" s="2">
        <v>7.2</v>
      </c>
      <c r="E6461" s="2">
        <v>2017.0</v>
      </c>
      <c r="F6461" s="2">
        <v>2019.0</v>
      </c>
      <c r="G6461" s="2">
        <v>1.823E7</v>
      </c>
    </row>
    <row r="6462" ht="14.25" customHeight="1">
      <c r="A6462" s="1" t="s">
        <v>5499</v>
      </c>
      <c r="B6462" s="1" t="s">
        <v>8</v>
      </c>
      <c r="C6462" s="2" t="s">
        <v>18</v>
      </c>
      <c r="D6462" s="2">
        <v>7.2</v>
      </c>
      <c r="E6462" s="2">
        <v>2017.0</v>
      </c>
      <c r="F6462" s="2">
        <v>2019.0</v>
      </c>
      <c r="G6462" s="2">
        <v>2.783E7</v>
      </c>
    </row>
    <row r="6463" ht="14.25" customHeight="1">
      <c r="A6463" s="1" t="s">
        <v>5499</v>
      </c>
      <c r="B6463" s="1" t="s">
        <v>8</v>
      </c>
      <c r="C6463" s="2" t="s">
        <v>18</v>
      </c>
      <c r="D6463" s="2">
        <v>7.2</v>
      </c>
      <c r="E6463" s="2">
        <v>2017.0</v>
      </c>
      <c r="F6463" s="2">
        <v>2019.0</v>
      </c>
      <c r="G6463" s="2">
        <v>4.461E7</v>
      </c>
    </row>
    <row r="6464" ht="14.25" customHeight="1">
      <c r="A6464" s="1" t="s">
        <v>5499</v>
      </c>
      <c r="B6464" s="1" t="s">
        <v>8</v>
      </c>
      <c r="C6464" s="2" t="s">
        <v>18</v>
      </c>
      <c r="D6464" s="2">
        <v>7.2</v>
      </c>
      <c r="E6464" s="2">
        <v>2017.0</v>
      </c>
      <c r="F6464" s="2">
        <v>2019.0</v>
      </c>
      <c r="G6464" s="2">
        <v>1.283E7</v>
      </c>
    </row>
    <row r="6465" ht="14.25" customHeight="1">
      <c r="A6465" s="1" t="s">
        <v>5499</v>
      </c>
      <c r="B6465" s="1" t="s">
        <v>8</v>
      </c>
      <c r="C6465" s="2" t="s">
        <v>18</v>
      </c>
      <c r="D6465" s="2">
        <v>7.2</v>
      </c>
      <c r="E6465" s="2">
        <v>2017.0</v>
      </c>
      <c r="F6465" s="2">
        <v>2019.0</v>
      </c>
      <c r="G6465" s="2">
        <v>1.056E7</v>
      </c>
    </row>
    <row r="6466" ht="14.25" customHeight="1">
      <c r="A6466" s="1" t="s">
        <v>5499</v>
      </c>
      <c r="B6466" s="1" t="s">
        <v>8</v>
      </c>
      <c r="C6466" s="2" t="s">
        <v>18</v>
      </c>
      <c r="D6466" s="2">
        <v>7.2</v>
      </c>
      <c r="E6466" s="2">
        <v>2017.0</v>
      </c>
      <c r="F6466" s="2">
        <v>2019.0</v>
      </c>
      <c r="G6466" s="2">
        <v>1.506E7</v>
      </c>
    </row>
    <row r="6467" ht="14.25" customHeight="1">
      <c r="A6467" s="1" t="s">
        <v>5499</v>
      </c>
      <c r="B6467" s="1" t="s">
        <v>8</v>
      </c>
      <c r="C6467" s="2" t="s">
        <v>18</v>
      </c>
      <c r="D6467" s="2">
        <v>7.2</v>
      </c>
      <c r="E6467" s="2">
        <v>2017.0</v>
      </c>
      <c r="F6467" s="2">
        <v>2019.0</v>
      </c>
      <c r="G6467" s="2">
        <v>2.102E7</v>
      </c>
    </row>
    <row r="6468" ht="14.25" customHeight="1">
      <c r="A6468" s="1" t="s">
        <v>5499</v>
      </c>
      <c r="B6468" s="1" t="s">
        <v>8</v>
      </c>
      <c r="C6468" s="2" t="s">
        <v>18</v>
      </c>
      <c r="D6468" s="2">
        <v>7.2</v>
      </c>
      <c r="E6468" s="2">
        <v>2017.0</v>
      </c>
      <c r="F6468" s="2">
        <v>2019.0</v>
      </c>
      <c r="G6468" s="2">
        <v>3.205E7</v>
      </c>
    </row>
    <row r="6469" ht="14.25" customHeight="1">
      <c r="A6469" s="1" t="s">
        <v>5499</v>
      </c>
      <c r="B6469" s="1" t="s">
        <v>8</v>
      </c>
      <c r="C6469" s="2" t="s">
        <v>18</v>
      </c>
      <c r="D6469" s="2">
        <v>7.2</v>
      </c>
      <c r="E6469" s="2">
        <v>2017.0</v>
      </c>
      <c r="F6469" s="2">
        <v>2019.0</v>
      </c>
      <c r="G6469" s="2">
        <v>4.782E7</v>
      </c>
    </row>
    <row r="6470" ht="14.25" customHeight="1">
      <c r="A6470" s="1" t="s">
        <v>5499</v>
      </c>
      <c r="B6470" s="1" t="s">
        <v>8</v>
      </c>
      <c r="C6470" s="2" t="s">
        <v>18</v>
      </c>
      <c r="D6470" s="2">
        <v>7.2</v>
      </c>
      <c r="E6470" s="2">
        <v>2017.0</v>
      </c>
      <c r="F6470" s="2">
        <v>2019.0</v>
      </c>
      <c r="G6470" s="2">
        <v>1.997E7</v>
      </c>
    </row>
    <row r="6471" ht="14.25" customHeight="1">
      <c r="A6471" s="1" t="s">
        <v>5500</v>
      </c>
      <c r="B6471" s="1" t="s">
        <v>20</v>
      </c>
      <c r="C6471" s="2" t="s">
        <v>184</v>
      </c>
      <c r="D6471" s="2">
        <v>7.2</v>
      </c>
      <c r="E6471" s="2">
        <v>1984.0</v>
      </c>
      <c r="F6471" s="2" t="s">
        <v>10</v>
      </c>
      <c r="G6471" s="2" t="s">
        <v>10</v>
      </c>
    </row>
    <row r="6472" ht="14.25" customHeight="1">
      <c r="A6472" s="1" t="s">
        <v>5501</v>
      </c>
      <c r="B6472" s="1" t="s">
        <v>20</v>
      </c>
      <c r="C6472" s="2" t="s">
        <v>18</v>
      </c>
      <c r="D6472" s="2">
        <v>7.2</v>
      </c>
      <c r="E6472" s="2">
        <v>2005.0</v>
      </c>
      <c r="F6472" s="2" t="s">
        <v>10</v>
      </c>
      <c r="G6472" s="2" t="s">
        <v>10</v>
      </c>
    </row>
    <row r="6473" ht="14.25" customHeight="1">
      <c r="A6473" s="1" t="s">
        <v>5502</v>
      </c>
      <c r="B6473" s="1" t="s">
        <v>20</v>
      </c>
      <c r="C6473" s="2" t="s">
        <v>63</v>
      </c>
      <c r="D6473" s="2">
        <v>7.2</v>
      </c>
      <c r="E6473" s="2">
        <v>2003.0</v>
      </c>
      <c r="F6473" s="2" t="s">
        <v>10</v>
      </c>
      <c r="G6473" s="2" t="s">
        <v>10</v>
      </c>
    </row>
    <row r="6474" ht="14.25" customHeight="1">
      <c r="A6474" s="1" t="s">
        <v>5503</v>
      </c>
      <c r="B6474" s="1" t="s">
        <v>20</v>
      </c>
      <c r="C6474" s="2" t="s">
        <v>455</v>
      </c>
      <c r="D6474" s="2">
        <v>7.2</v>
      </c>
      <c r="E6474" s="2">
        <v>1954.0</v>
      </c>
      <c r="F6474" s="2" t="s">
        <v>10</v>
      </c>
      <c r="G6474" s="2" t="s">
        <v>10</v>
      </c>
    </row>
    <row r="6475" ht="14.25" customHeight="1">
      <c r="A6475" s="1" t="s">
        <v>5504</v>
      </c>
      <c r="B6475" s="1" t="s">
        <v>20</v>
      </c>
      <c r="C6475" s="2" t="s">
        <v>63</v>
      </c>
      <c r="D6475" s="2">
        <v>7.2</v>
      </c>
      <c r="E6475" s="2">
        <v>2005.0</v>
      </c>
      <c r="F6475" s="2" t="s">
        <v>10</v>
      </c>
      <c r="G6475" s="2" t="s">
        <v>10</v>
      </c>
    </row>
    <row r="6476" ht="14.25" customHeight="1">
      <c r="A6476" s="1" t="s">
        <v>5505</v>
      </c>
      <c r="B6476" s="1" t="s">
        <v>20</v>
      </c>
      <c r="C6476" s="2" t="s">
        <v>2390</v>
      </c>
      <c r="D6476" s="2">
        <v>7.2</v>
      </c>
      <c r="E6476" s="2">
        <v>2000.0</v>
      </c>
      <c r="F6476" s="2" t="s">
        <v>10</v>
      </c>
      <c r="G6476" s="2" t="s">
        <v>10</v>
      </c>
    </row>
    <row r="6477" ht="14.25" customHeight="1">
      <c r="A6477" s="1" t="s">
        <v>5506</v>
      </c>
      <c r="B6477" s="1" t="s">
        <v>20</v>
      </c>
      <c r="C6477" s="2" t="s">
        <v>1444</v>
      </c>
      <c r="D6477" s="2">
        <v>7.2</v>
      </c>
      <c r="E6477" s="2">
        <v>1961.0</v>
      </c>
      <c r="F6477" s="2" t="s">
        <v>10</v>
      </c>
      <c r="G6477" s="2" t="s">
        <v>10</v>
      </c>
    </row>
    <row r="6478" ht="14.25" customHeight="1">
      <c r="A6478" s="1" t="s">
        <v>5507</v>
      </c>
      <c r="B6478" s="1" t="s">
        <v>20</v>
      </c>
      <c r="C6478" s="2" t="s">
        <v>792</v>
      </c>
      <c r="D6478" s="2">
        <v>7.2</v>
      </c>
      <c r="E6478" s="2">
        <v>1987.0</v>
      </c>
      <c r="F6478" s="2" t="s">
        <v>10</v>
      </c>
      <c r="G6478" s="2" t="s">
        <v>10</v>
      </c>
    </row>
    <row r="6479" ht="14.25" customHeight="1">
      <c r="A6479" s="1" t="s">
        <v>5508</v>
      </c>
      <c r="B6479" s="1" t="s">
        <v>20</v>
      </c>
      <c r="C6479" s="2" t="s">
        <v>63</v>
      </c>
      <c r="D6479" s="2">
        <v>7.2</v>
      </c>
      <c r="E6479" s="2">
        <v>1980.0</v>
      </c>
      <c r="F6479" s="2" t="s">
        <v>10</v>
      </c>
      <c r="G6479" s="2" t="s">
        <v>10</v>
      </c>
    </row>
    <row r="6480" ht="14.25" customHeight="1">
      <c r="A6480" s="1" t="s">
        <v>5509</v>
      </c>
      <c r="B6480" s="1" t="s">
        <v>20</v>
      </c>
      <c r="C6480" s="2" t="s">
        <v>63</v>
      </c>
      <c r="D6480" s="2">
        <v>7.2</v>
      </c>
      <c r="E6480" s="2">
        <v>2011.0</v>
      </c>
      <c r="F6480" s="2" t="s">
        <v>10</v>
      </c>
      <c r="G6480" s="2" t="s">
        <v>10</v>
      </c>
    </row>
    <row r="6481" ht="14.25" customHeight="1">
      <c r="A6481" s="1" t="s">
        <v>5510</v>
      </c>
      <c r="B6481" s="1" t="s">
        <v>8</v>
      </c>
      <c r="C6481" s="2" t="s">
        <v>63</v>
      </c>
      <c r="D6481" s="2">
        <v>7.2</v>
      </c>
      <c r="E6481" s="2">
        <v>2009.0</v>
      </c>
      <c r="F6481" s="2">
        <v>2016.0</v>
      </c>
      <c r="G6481" s="2" t="s">
        <v>10</v>
      </c>
    </row>
    <row r="6482" ht="14.25" customHeight="1">
      <c r="A6482" s="1" t="s">
        <v>5511</v>
      </c>
      <c r="B6482" s="1" t="s">
        <v>8</v>
      </c>
      <c r="C6482" s="2" t="s">
        <v>80</v>
      </c>
      <c r="D6482" s="2">
        <v>7.2</v>
      </c>
      <c r="E6482" s="2">
        <v>2003.0</v>
      </c>
      <c r="F6482" s="2" t="s">
        <v>10</v>
      </c>
      <c r="G6482" s="2" t="s">
        <v>10</v>
      </c>
    </row>
    <row r="6483" ht="14.25" customHeight="1">
      <c r="A6483" s="1" t="s">
        <v>5512</v>
      </c>
      <c r="B6483" s="1" t="s">
        <v>20</v>
      </c>
      <c r="C6483" s="2" t="s">
        <v>2157</v>
      </c>
      <c r="D6483" s="2">
        <v>7.2</v>
      </c>
      <c r="E6483" s="2">
        <v>1961.0</v>
      </c>
      <c r="F6483" s="2" t="s">
        <v>10</v>
      </c>
      <c r="G6483" s="2" t="s">
        <v>10</v>
      </c>
    </row>
    <row r="6484" ht="14.25" customHeight="1">
      <c r="A6484" s="1" t="s">
        <v>5513</v>
      </c>
      <c r="B6484" s="1" t="s">
        <v>20</v>
      </c>
      <c r="C6484" s="2" t="s">
        <v>9</v>
      </c>
      <c r="D6484" s="2">
        <v>7.2</v>
      </c>
      <c r="E6484" s="2">
        <v>1953.0</v>
      </c>
      <c r="F6484" s="2" t="s">
        <v>10</v>
      </c>
      <c r="G6484" s="2" t="s">
        <v>10</v>
      </c>
    </row>
    <row r="6485" ht="14.25" customHeight="1">
      <c r="A6485" s="1" t="s">
        <v>5514</v>
      </c>
      <c r="B6485" s="1" t="s">
        <v>8</v>
      </c>
      <c r="C6485" s="2" t="s">
        <v>151</v>
      </c>
      <c r="D6485" s="2">
        <v>7.2</v>
      </c>
      <c r="E6485" s="2">
        <v>2015.0</v>
      </c>
      <c r="F6485" s="2" t="s">
        <v>10</v>
      </c>
      <c r="G6485" s="2" t="s">
        <v>10</v>
      </c>
    </row>
    <row r="6486" ht="14.25" customHeight="1">
      <c r="A6486" s="1" t="s">
        <v>5515</v>
      </c>
      <c r="B6486" s="1" t="s">
        <v>20</v>
      </c>
      <c r="C6486" s="2" t="s">
        <v>187</v>
      </c>
      <c r="D6486" s="2">
        <v>7.2</v>
      </c>
      <c r="E6486" s="2">
        <v>2017.0</v>
      </c>
      <c r="F6486" s="2" t="s">
        <v>10</v>
      </c>
      <c r="G6486" s="2" t="s">
        <v>10</v>
      </c>
    </row>
    <row r="6487" ht="14.25" customHeight="1">
      <c r="A6487" s="1" t="s">
        <v>5516</v>
      </c>
      <c r="B6487" s="1" t="s">
        <v>20</v>
      </c>
      <c r="C6487" s="2" t="s">
        <v>18</v>
      </c>
      <c r="D6487" s="2">
        <v>7.2</v>
      </c>
      <c r="E6487" s="2">
        <v>2020.0</v>
      </c>
      <c r="F6487" s="2" t="s">
        <v>10</v>
      </c>
      <c r="G6487" s="2" t="s">
        <v>10</v>
      </c>
    </row>
    <row r="6488" ht="14.25" customHeight="1">
      <c r="A6488" s="1" t="s">
        <v>5517</v>
      </c>
      <c r="B6488" s="1" t="s">
        <v>8</v>
      </c>
      <c r="C6488" s="2" t="s">
        <v>63</v>
      </c>
      <c r="D6488" s="2">
        <v>7.2</v>
      </c>
      <c r="E6488" s="2">
        <v>2009.0</v>
      </c>
      <c r="F6488" s="2" t="s">
        <v>10</v>
      </c>
      <c r="G6488" s="2" t="s">
        <v>10</v>
      </c>
    </row>
    <row r="6489" ht="14.25" customHeight="1">
      <c r="A6489" s="1" t="s">
        <v>5518</v>
      </c>
      <c r="B6489" s="1" t="s">
        <v>8</v>
      </c>
      <c r="C6489" s="2" t="s">
        <v>25</v>
      </c>
      <c r="D6489" s="2">
        <v>7.2</v>
      </c>
      <c r="E6489" s="2">
        <v>2002.0</v>
      </c>
      <c r="F6489" s="2" t="s">
        <v>10</v>
      </c>
      <c r="G6489" s="2" t="s">
        <v>10</v>
      </c>
    </row>
    <row r="6490" ht="14.25" customHeight="1">
      <c r="A6490" s="1" t="s">
        <v>5519</v>
      </c>
      <c r="B6490" s="1" t="s">
        <v>8</v>
      </c>
      <c r="C6490" s="2" t="s">
        <v>425</v>
      </c>
      <c r="D6490" s="2">
        <v>7.2</v>
      </c>
      <c r="E6490" s="2">
        <v>2005.0</v>
      </c>
      <c r="F6490" s="2" t="s">
        <v>10</v>
      </c>
      <c r="G6490" s="2" t="s">
        <v>10</v>
      </c>
    </row>
    <row r="6491" ht="14.25" customHeight="1">
      <c r="A6491" s="1" t="s">
        <v>5520</v>
      </c>
      <c r="B6491" s="1" t="s">
        <v>20</v>
      </c>
      <c r="C6491" s="2" t="s">
        <v>845</v>
      </c>
      <c r="D6491" s="2">
        <v>7.2</v>
      </c>
      <c r="E6491" s="2">
        <v>1991.0</v>
      </c>
      <c r="F6491" s="2" t="s">
        <v>10</v>
      </c>
      <c r="G6491" s="2" t="s">
        <v>10</v>
      </c>
    </row>
    <row r="6492" ht="14.25" customHeight="1">
      <c r="A6492" s="1" t="s">
        <v>5521</v>
      </c>
      <c r="B6492" s="1" t="s">
        <v>20</v>
      </c>
      <c r="C6492" s="2" t="s">
        <v>910</v>
      </c>
      <c r="D6492" s="2">
        <v>7.2</v>
      </c>
      <c r="E6492" s="2">
        <v>2008.0</v>
      </c>
      <c r="F6492" s="2" t="s">
        <v>10</v>
      </c>
      <c r="G6492" s="2" t="s">
        <v>10</v>
      </c>
    </row>
    <row r="6493" ht="14.25" customHeight="1">
      <c r="A6493" s="1" t="s">
        <v>837</v>
      </c>
      <c r="B6493" s="1" t="s">
        <v>20</v>
      </c>
      <c r="C6493" s="2" t="s">
        <v>395</v>
      </c>
      <c r="D6493" s="2">
        <v>7.2</v>
      </c>
      <c r="E6493" s="2">
        <v>2001.0</v>
      </c>
      <c r="F6493" s="2" t="s">
        <v>10</v>
      </c>
      <c r="G6493" s="2" t="s">
        <v>10</v>
      </c>
    </row>
    <row r="6494" ht="14.25" customHeight="1">
      <c r="A6494" s="1" t="s">
        <v>5522</v>
      </c>
      <c r="B6494" s="1" t="s">
        <v>20</v>
      </c>
      <c r="C6494" s="2" t="s">
        <v>3466</v>
      </c>
      <c r="D6494" s="2">
        <v>7.2</v>
      </c>
      <c r="E6494" s="2">
        <v>1988.0</v>
      </c>
      <c r="F6494" s="2" t="s">
        <v>10</v>
      </c>
      <c r="G6494" s="2" t="s">
        <v>10</v>
      </c>
    </row>
    <row r="6495" ht="14.25" customHeight="1">
      <c r="A6495" s="1" t="s">
        <v>5523</v>
      </c>
      <c r="B6495" s="1" t="s">
        <v>20</v>
      </c>
      <c r="C6495" s="2" t="s">
        <v>63</v>
      </c>
      <c r="D6495" s="2">
        <v>7.2</v>
      </c>
      <c r="E6495" s="2">
        <v>2018.0</v>
      </c>
      <c r="F6495" s="2">
        <v>2018.0</v>
      </c>
      <c r="G6495" s="2" t="s">
        <v>10</v>
      </c>
    </row>
    <row r="6496" ht="14.25" customHeight="1">
      <c r="A6496" s="1" t="s">
        <v>5524</v>
      </c>
      <c r="B6496" s="1" t="s">
        <v>20</v>
      </c>
      <c r="C6496" s="2" t="s">
        <v>4789</v>
      </c>
      <c r="D6496" s="2">
        <v>7.2</v>
      </c>
      <c r="E6496" s="2">
        <v>2002.0</v>
      </c>
      <c r="F6496" s="2" t="s">
        <v>10</v>
      </c>
      <c r="G6496" s="2" t="s">
        <v>10</v>
      </c>
    </row>
    <row r="6497" ht="14.25" customHeight="1">
      <c r="A6497" s="1" t="s">
        <v>5525</v>
      </c>
      <c r="B6497" s="1" t="s">
        <v>20</v>
      </c>
      <c r="C6497" s="2" t="s">
        <v>18</v>
      </c>
      <c r="D6497" s="2">
        <v>7.2</v>
      </c>
      <c r="E6497" s="2">
        <v>2018.0</v>
      </c>
      <c r="F6497" s="2" t="s">
        <v>10</v>
      </c>
      <c r="G6497" s="2" t="s">
        <v>10</v>
      </c>
    </row>
    <row r="6498" ht="14.25" customHeight="1">
      <c r="A6498" s="1" t="s">
        <v>5526</v>
      </c>
      <c r="B6498" s="1" t="s">
        <v>20</v>
      </c>
      <c r="C6498" s="2" t="s">
        <v>284</v>
      </c>
      <c r="D6498" s="2">
        <v>7.2</v>
      </c>
      <c r="E6498" s="2">
        <v>1991.0</v>
      </c>
      <c r="F6498" s="2" t="s">
        <v>10</v>
      </c>
      <c r="G6498" s="2" t="s">
        <v>10</v>
      </c>
    </row>
    <row r="6499" ht="14.25" customHeight="1">
      <c r="A6499" s="1" t="s">
        <v>5527</v>
      </c>
      <c r="B6499" s="1" t="s">
        <v>8</v>
      </c>
      <c r="C6499" s="2" t="s">
        <v>55</v>
      </c>
      <c r="D6499" s="2">
        <v>7.2</v>
      </c>
      <c r="E6499" s="2">
        <v>1981.0</v>
      </c>
      <c r="F6499" s="2">
        <v>2011.0</v>
      </c>
      <c r="G6499" s="2">
        <v>9220000.0</v>
      </c>
    </row>
    <row r="6500" ht="14.25" customHeight="1">
      <c r="A6500" s="1" t="s">
        <v>5528</v>
      </c>
      <c r="B6500" s="1" t="s">
        <v>20</v>
      </c>
      <c r="C6500" s="2" t="s">
        <v>5529</v>
      </c>
      <c r="D6500" s="2">
        <v>7.2</v>
      </c>
      <c r="E6500" s="2">
        <v>1973.0</v>
      </c>
      <c r="F6500" s="2" t="s">
        <v>10</v>
      </c>
      <c r="G6500" s="2" t="s">
        <v>10</v>
      </c>
    </row>
    <row r="6501" ht="14.25" customHeight="1">
      <c r="A6501" s="1" t="s">
        <v>5530</v>
      </c>
      <c r="B6501" s="1" t="s">
        <v>8</v>
      </c>
      <c r="C6501" s="2" t="s">
        <v>1982</v>
      </c>
      <c r="D6501" s="2">
        <v>7.2</v>
      </c>
      <c r="E6501" s="2">
        <v>2015.0</v>
      </c>
      <c r="F6501" s="2">
        <v>2019.0</v>
      </c>
      <c r="G6501" s="2">
        <v>7440000.0</v>
      </c>
    </row>
    <row r="6502" ht="14.25" customHeight="1">
      <c r="A6502" s="1" t="s">
        <v>5531</v>
      </c>
      <c r="B6502" s="1" t="s">
        <v>20</v>
      </c>
      <c r="C6502" s="2" t="s">
        <v>22</v>
      </c>
      <c r="D6502" s="2">
        <v>7.2</v>
      </c>
      <c r="E6502" s="2">
        <v>2019.0</v>
      </c>
      <c r="F6502" s="2" t="s">
        <v>10</v>
      </c>
      <c r="G6502" s="2" t="s">
        <v>10</v>
      </c>
    </row>
    <row r="6503" ht="14.25" customHeight="1">
      <c r="A6503" s="1" t="s">
        <v>5532</v>
      </c>
      <c r="B6503" s="1" t="s">
        <v>20</v>
      </c>
      <c r="C6503" s="2" t="s">
        <v>18</v>
      </c>
      <c r="D6503" s="2">
        <v>7.2</v>
      </c>
      <c r="E6503" s="2">
        <v>2017.0</v>
      </c>
      <c r="F6503" s="2" t="s">
        <v>10</v>
      </c>
      <c r="G6503" s="2" t="s">
        <v>10</v>
      </c>
    </row>
    <row r="6504" ht="14.25" customHeight="1">
      <c r="A6504" s="1" t="s">
        <v>5533</v>
      </c>
      <c r="B6504" s="1" t="s">
        <v>8</v>
      </c>
      <c r="C6504" s="2" t="s">
        <v>25</v>
      </c>
      <c r="D6504" s="2">
        <v>7.2</v>
      </c>
      <c r="E6504" s="2">
        <v>2003.0</v>
      </c>
      <c r="F6504" s="2" t="s">
        <v>10</v>
      </c>
      <c r="G6504" s="2" t="s">
        <v>10</v>
      </c>
    </row>
    <row r="6505" ht="14.25" customHeight="1">
      <c r="A6505" s="1" t="s">
        <v>5534</v>
      </c>
      <c r="B6505" s="1" t="s">
        <v>20</v>
      </c>
      <c r="C6505" s="2" t="s">
        <v>18</v>
      </c>
      <c r="D6505" s="2">
        <v>7.2</v>
      </c>
      <c r="E6505" s="2">
        <v>2001.0</v>
      </c>
      <c r="F6505" s="2" t="s">
        <v>10</v>
      </c>
      <c r="G6505" s="2" t="s">
        <v>10</v>
      </c>
    </row>
    <row r="6506" ht="14.25" customHeight="1">
      <c r="A6506" s="1" t="s">
        <v>5535</v>
      </c>
      <c r="B6506" s="1" t="s">
        <v>20</v>
      </c>
      <c r="C6506" s="2" t="s">
        <v>452</v>
      </c>
      <c r="D6506" s="2">
        <v>7.2</v>
      </c>
      <c r="E6506" s="2">
        <v>1979.0</v>
      </c>
      <c r="F6506" s="2" t="s">
        <v>10</v>
      </c>
      <c r="G6506" s="2" t="s">
        <v>10</v>
      </c>
    </row>
    <row r="6507" ht="14.25" customHeight="1">
      <c r="A6507" s="1" t="s">
        <v>5536</v>
      </c>
      <c r="B6507" s="1" t="s">
        <v>20</v>
      </c>
      <c r="C6507" s="2" t="s">
        <v>361</v>
      </c>
      <c r="D6507" s="2">
        <v>7.2</v>
      </c>
      <c r="E6507" s="2">
        <v>1996.0</v>
      </c>
      <c r="F6507" s="2" t="s">
        <v>10</v>
      </c>
      <c r="G6507" s="2" t="s">
        <v>10</v>
      </c>
    </row>
    <row r="6508" ht="14.25" customHeight="1">
      <c r="A6508" s="1" t="s">
        <v>5537</v>
      </c>
      <c r="B6508" s="1" t="s">
        <v>20</v>
      </c>
      <c r="C6508" s="2" t="s">
        <v>239</v>
      </c>
      <c r="D6508" s="2">
        <v>7.2</v>
      </c>
      <c r="E6508" s="2">
        <v>2003.0</v>
      </c>
      <c r="F6508" s="2" t="s">
        <v>10</v>
      </c>
      <c r="G6508" s="2" t="s">
        <v>10</v>
      </c>
    </row>
    <row r="6509" ht="14.25" customHeight="1">
      <c r="A6509" s="1" t="s">
        <v>5538</v>
      </c>
      <c r="B6509" s="1" t="s">
        <v>20</v>
      </c>
      <c r="C6509" s="2" t="s">
        <v>80</v>
      </c>
      <c r="D6509" s="2">
        <v>7.2</v>
      </c>
      <c r="E6509" s="2">
        <v>2017.0</v>
      </c>
      <c r="F6509" s="2">
        <v>2017.0</v>
      </c>
      <c r="G6509" s="2" t="s">
        <v>10</v>
      </c>
    </row>
    <row r="6510" ht="14.25" customHeight="1">
      <c r="A6510" s="1" t="s">
        <v>5539</v>
      </c>
      <c r="B6510" s="1" t="s">
        <v>20</v>
      </c>
      <c r="C6510" s="2" t="s">
        <v>566</v>
      </c>
      <c r="D6510" s="2">
        <v>7.2</v>
      </c>
      <c r="E6510" s="2">
        <v>2021.0</v>
      </c>
      <c r="F6510" s="2" t="s">
        <v>10</v>
      </c>
      <c r="G6510" s="2" t="s">
        <v>10</v>
      </c>
    </row>
    <row r="6511" ht="14.25" customHeight="1">
      <c r="A6511" s="1" t="s">
        <v>5540</v>
      </c>
      <c r="B6511" s="1" t="s">
        <v>20</v>
      </c>
      <c r="C6511" s="2" t="s">
        <v>12</v>
      </c>
      <c r="D6511" s="2">
        <v>7.2</v>
      </c>
      <c r="E6511" s="2">
        <v>2018.0</v>
      </c>
      <c r="F6511" s="2" t="s">
        <v>10</v>
      </c>
      <c r="G6511" s="2" t="s">
        <v>10</v>
      </c>
    </row>
    <row r="6512" ht="14.25" customHeight="1">
      <c r="A6512" s="1" t="s">
        <v>5541</v>
      </c>
      <c r="B6512" s="1" t="s">
        <v>20</v>
      </c>
      <c r="C6512" s="2" t="s">
        <v>742</v>
      </c>
      <c r="D6512" s="2">
        <v>7.2</v>
      </c>
      <c r="E6512" s="2">
        <v>2004.0</v>
      </c>
      <c r="F6512" s="2" t="s">
        <v>10</v>
      </c>
      <c r="G6512" s="2" t="s">
        <v>10</v>
      </c>
    </row>
    <row r="6513" ht="14.25" customHeight="1">
      <c r="A6513" s="1" t="s">
        <v>5542</v>
      </c>
      <c r="B6513" s="1" t="s">
        <v>20</v>
      </c>
      <c r="C6513" s="2" t="s">
        <v>3448</v>
      </c>
      <c r="D6513" s="2">
        <v>7.2</v>
      </c>
      <c r="E6513" s="2">
        <v>2005.0</v>
      </c>
      <c r="F6513" s="2" t="s">
        <v>10</v>
      </c>
      <c r="G6513" s="2" t="s">
        <v>10</v>
      </c>
    </row>
    <row r="6514" ht="14.25" customHeight="1">
      <c r="A6514" s="1" t="s">
        <v>5543</v>
      </c>
      <c r="B6514" s="1" t="s">
        <v>20</v>
      </c>
      <c r="C6514" s="2" t="s">
        <v>184</v>
      </c>
      <c r="D6514" s="2">
        <v>7.2</v>
      </c>
      <c r="E6514" s="2">
        <v>1983.0</v>
      </c>
      <c r="F6514" s="2" t="s">
        <v>10</v>
      </c>
      <c r="G6514" s="2" t="s">
        <v>10</v>
      </c>
    </row>
    <row r="6515" ht="14.25" customHeight="1">
      <c r="A6515" s="1" t="s">
        <v>5544</v>
      </c>
      <c r="B6515" s="1" t="s">
        <v>20</v>
      </c>
      <c r="C6515" s="2" t="s">
        <v>1060</v>
      </c>
      <c r="D6515" s="2">
        <v>7.2</v>
      </c>
      <c r="E6515" s="2">
        <v>2001.0</v>
      </c>
      <c r="F6515" s="2" t="s">
        <v>10</v>
      </c>
      <c r="G6515" s="2" t="s">
        <v>10</v>
      </c>
    </row>
    <row r="6516" ht="14.25" customHeight="1">
      <c r="A6516" s="1" t="s">
        <v>5545</v>
      </c>
      <c r="B6516" s="1" t="s">
        <v>20</v>
      </c>
      <c r="C6516" s="2" t="s">
        <v>2189</v>
      </c>
      <c r="D6516" s="2">
        <v>7.2</v>
      </c>
      <c r="E6516" s="2">
        <v>1991.0</v>
      </c>
      <c r="F6516" s="2" t="s">
        <v>10</v>
      </c>
      <c r="G6516" s="2" t="s">
        <v>10</v>
      </c>
    </row>
    <row r="6517" ht="14.25" customHeight="1">
      <c r="A6517" s="1" t="s">
        <v>5546</v>
      </c>
      <c r="B6517" s="1" t="s">
        <v>20</v>
      </c>
      <c r="C6517" s="2" t="s">
        <v>845</v>
      </c>
      <c r="D6517" s="2">
        <v>7.2</v>
      </c>
      <c r="E6517" s="2">
        <v>1965.0</v>
      </c>
      <c r="F6517" s="2" t="s">
        <v>10</v>
      </c>
      <c r="G6517" s="2" t="s">
        <v>10</v>
      </c>
    </row>
    <row r="6518" ht="14.25" customHeight="1">
      <c r="A6518" s="1" t="s">
        <v>5547</v>
      </c>
      <c r="B6518" s="1" t="s">
        <v>20</v>
      </c>
      <c r="C6518" s="2" t="s">
        <v>14</v>
      </c>
      <c r="D6518" s="2">
        <v>7.2</v>
      </c>
      <c r="E6518" s="2">
        <v>2008.0</v>
      </c>
      <c r="F6518" s="2" t="s">
        <v>10</v>
      </c>
      <c r="G6518" s="2" t="s">
        <v>10</v>
      </c>
    </row>
    <row r="6519" ht="14.25" customHeight="1">
      <c r="A6519" s="1" t="s">
        <v>5548</v>
      </c>
      <c r="B6519" s="1" t="s">
        <v>20</v>
      </c>
      <c r="C6519" s="2" t="s">
        <v>1023</v>
      </c>
      <c r="D6519" s="2">
        <v>7.2</v>
      </c>
      <c r="E6519" s="2">
        <v>2018.0</v>
      </c>
      <c r="F6519" s="2" t="s">
        <v>10</v>
      </c>
      <c r="G6519" s="2" t="s">
        <v>10</v>
      </c>
    </row>
    <row r="6520" ht="14.25" customHeight="1">
      <c r="A6520" s="1" t="s">
        <v>5549</v>
      </c>
      <c r="B6520" s="1" t="s">
        <v>20</v>
      </c>
      <c r="C6520" s="2" t="s">
        <v>34</v>
      </c>
      <c r="D6520" s="2">
        <v>7.2</v>
      </c>
      <c r="E6520" s="2">
        <v>2017.0</v>
      </c>
      <c r="F6520" s="2" t="s">
        <v>10</v>
      </c>
      <c r="G6520" s="2" t="s">
        <v>10</v>
      </c>
    </row>
    <row r="6521" ht="14.25" customHeight="1">
      <c r="A6521" s="1" t="s">
        <v>5550</v>
      </c>
      <c r="B6521" s="1" t="s">
        <v>20</v>
      </c>
      <c r="C6521" s="2" t="s">
        <v>69</v>
      </c>
      <c r="D6521" s="2">
        <v>7.2</v>
      </c>
      <c r="E6521" s="2">
        <v>2003.0</v>
      </c>
      <c r="F6521" s="2" t="s">
        <v>10</v>
      </c>
      <c r="G6521" s="2" t="s">
        <v>10</v>
      </c>
    </row>
    <row r="6522" ht="14.25" customHeight="1">
      <c r="A6522" s="1" t="s">
        <v>5551</v>
      </c>
      <c r="B6522" s="1" t="s">
        <v>20</v>
      </c>
      <c r="C6522" s="2" t="s">
        <v>53</v>
      </c>
      <c r="D6522" s="2">
        <v>7.2</v>
      </c>
      <c r="E6522" s="2">
        <v>2020.0</v>
      </c>
      <c r="F6522" s="2">
        <v>2020.0</v>
      </c>
      <c r="G6522" s="2" t="s">
        <v>10</v>
      </c>
    </row>
    <row r="6523" ht="14.25" customHeight="1">
      <c r="A6523" s="1" t="s">
        <v>5552</v>
      </c>
      <c r="B6523" s="1" t="s">
        <v>20</v>
      </c>
      <c r="C6523" s="2" t="s">
        <v>154</v>
      </c>
      <c r="D6523" s="2">
        <v>7.2</v>
      </c>
      <c r="E6523" s="2">
        <v>2011.0</v>
      </c>
      <c r="F6523" s="2" t="s">
        <v>10</v>
      </c>
      <c r="G6523" s="2" t="s">
        <v>10</v>
      </c>
    </row>
    <row r="6524" ht="14.25" customHeight="1">
      <c r="A6524" s="1" t="s">
        <v>5553</v>
      </c>
      <c r="B6524" s="1" t="s">
        <v>20</v>
      </c>
      <c r="C6524" s="2" t="s">
        <v>1726</v>
      </c>
      <c r="D6524" s="2">
        <v>7.2</v>
      </c>
      <c r="E6524" s="2">
        <v>1949.0</v>
      </c>
      <c r="F6524" s="2" t="s">
        <v>10</v>
      </c>
      <c r="G6524" s="2" t="s">
        <v>10</v>
      </c>
    </row>
    <row r="6525" ht="14.25" customHeight="1">
      <c r="A6525" s="1" t="s">
        <v>5554</v>
      </c>
      <c r="B6525" s="1" t="s">
        <v>20</v>
      </c>
      <c r="C6525" s="2" t="s">
        <v>18</v>
      </c>
      <c r="D6525" s="2">
        <v>7.2</v>
      </c>
      <c r="E6525" s="2">
        <v>1973.0</v>
      </c>
      <c r="F6525" s="2">
        <v>2019.0</v>
      </c>
      <c r="G6525" s="2" t="s">
        <v>10</v>
      </c>
    </row>
    <row r="6526" ht="14.25" customHeight="1">
      <c r="A6526" s="1" t="s">
        <v>5555</v>
      </c>
      <c r="B6526" s="1" t="s">
        <v>20</v>
      </c>
      <c r="C6526" s="2" t="s">
        <v>863</v>
      </c>
      <c r="D6526" s="2">
        <v>7.2</v>
      </c>
      <c r="E6526" s="2">
        <v>1971.0</v>
      </c>
      <c r="F6526" s="2">
        <v>2017.0</v>
      </c>
      <c r="G6526" s="2" t="s">
        <v>10</v>
      </c>
    </row>
    <row r="6527" ht="14.25" customHeight="1">
      <c r="A6527" s="1" t="s">
        <v>5556</v>
      </c>
      <c r="B6527" s="1" t="s">
        <v>20</v>
      </c>
      <c r="C6527" s="2" t="s">
        <v>356</v>
      </c>
      <c r="D6527" s="2">
        <v>7.2</v>
      </c>
      <c r="E6527" s="2">
        <v>2009.0</v>
      </c>
      <c r="F6527" s="2" t="s">
        <v>10</v>
      </c>
      <c r="G6527" s="2" t="s">
        <v>10</v>
      </c>
    </row>
    <row r="6528" ht="14.25" customHeight="1">
      <c r="A6528" s="1" t="s">
        <v>5557</v>
      </c>
      <c r="B6528" s="1" t="s">
        <v>8</v>
      </c>
      <c r="C6528" s="2" t="s">
        <v>118</v>
      </c>
      <c r="D6528" s="2">
        <v>7.2</v>
      </c>
      <c r="E6528" s="2">
        <v>2023.0</v>
      </c>
      <c r="F6528" s="2" t="s">
        <v>10</v>
      </c>
      <c r="G6528" s="2" t="s">
        <v>10</v>
      </c>
    </row>
    <row r="6529" ht="14.25" customHeight="1">
      <c r="A6529" s="1" t="s">
        <v>5558</v>
      </c>
      <c r="B6529" s="1" t="s">
        <v>20</v>
      </c>
      <c r="C6529" s="2" t="s">
        <v>1362</v>
      </c>
      <c r="D6529" s="2">
        <v>7.2</v>
      </c>
      <c r="E6529" s="2">
        <v>1954.0</v>
      </c>
      <c r="F6529" s="2" t="s">
        <v>10</v>
      </c>
      <c r="G6529" s="2" t="s">
        <v>10</v>
      </c>
    </row>
    <row r="6530" ht="14.25" customHeight="1">
      <c r="A6530" s="1" t="s">
        <v>5559</v>
      </c>
      <c r="B6530" s="1" t="s">
        <v>20</v>
      </c>
      <c r="C6530" s="2" t="s">
        <v>361</v>
      </c>
      <c r="D6530" s="2">
        <v>7.2</v>
      </c>
      <c r="E6530" s="2">
        <v>2019.0</v>
      </c>
      <c r="F6530" s="2" t="s">
        <v>10</v>
      </c>
      <c r="G6530" s="2" t="s">
        <v>10</v>
      </c>
    </row>
    <row r="6531" ht="14.25" customHeight="1">
      <c r="A6531" s="1" t="s">
        <v>5560</v>
      </c>
      <c r="B6531" s="1" t="s">
        <v>20</v>
      </c>
      <c r="C6531" s="2" t="s">
        <v>1023</v>
      </c>
      <c r="D6531" s="2">
        <v>7.2</v>
      </c>
      <c r="E6531" s="2">
        <v>1990.0</v>
      </c>
      <c r="F6531" s="2" t="s">
        <v>10</v>
      </c>
      <c r="G6531" s="2" t="s">
        <v>10</v>
      </c>
    </row>
    <row r="6532" ht="14.25" customHeight="1">
      <c r="A6532" s="1" t="s">
        <v>5561</v>
      </c>
      <c r="B6532" s="1" t="s">
        <v>20</v>
      </c>
      <c r="C6532" s="2" t="s">
        <v>169</v>
      </c>
      <c r="D6532" s="2">
        <v>7.2</v>
      </c>
      <c r="E6532" s="2">
        <v>2008.0</v>
      </c>
      <c r="F6532" s="2" t="s">
        <v>10</v>
      </c>
      <c r="G6532" s="2" t="s">
        <v>10</v>
      </c>
    </row>
    <row r="6533" ht="14.25" customHeight="1">
      <c r="A6533" s="1" t="s">
        <v>5562</v>
      </c>
      <c r="B6533" s="1" t="s">
        <v>8</v>
      </c>
      <c r="C6533" s="2" t="s">
        <v>63</v>
      </c>
      <c r="D6533" s="2">
        <v>7.2</v>
      </c>
      <c r="E6533" s="2">
        <v>2021.0</v>
      </c>
      <c r="F6533" s="2">
        <v>2021.0</v>
      </c>
      <c r="G6533" s="2">
        <v>1.402E7</v>
      </c>
    </row>
    <row r="6534" ht="14.25" customHeight="1">
      <c r="A6534" s="1" t="s">
        <v>5563</v>
      </c>
      <c r="B6534" s="1" t="s">
        <v>8</v>
      </c>
      <c r="C6534" s="2" t="s">
        <v>838</v>
      </c>
      <c r="D6534" s="2">
        <v>7.2</v>
      </c>
      <c r="E6534" s="2">
        <v>2017.0</v>
      </c>
      <c r="F6534" s="2" t="s">
        <v>10</v>
      </c>
      <c r="G6534" s="2" t="s">
        <v>10</v>
      </c>
    </row>
    <row r="6535" ht="14.25" customHeight="1">
      <c r="A6535" s="1" t="s">
        <v>5564</v>
      </c>
      <c r="B6535" s="1" t="s">
        <v>20</v>
      </c>
      <c r="C6535" s="2" t="s">
        <v>1567</v>
      </c>
      <c r="D6535" s="2">
        <v>7.2</v>
      </c>
      <c r="E6535" s="2">
        <v>1994.0</v>
      </c>
      <c r="F6535" s="2" t="s">
        <v>10</v>
      </c>
      <c r="G6535" s="2" t="s">
        <v>10</v>
      </c>
    </row>
    <row r="6536" ht="14.25" customHeight="1">
      <c r="A6536" s="1" t="s">
        <v>5565</v>
      </c>
      <c r="B6536" s="1" t="s">
        <v>20</v>
      </c>
      <c r="C6536" s="2" t="s">
        <v>845</v>
      </c>
      <c r="D6536" s="2">
        <v>7.2</v>
      </c>
      <c r="E6536" s="2">
        <v>1983.0</v>
      </c>
      <c r="F6536" s="2" t="s">
        <v>10</v>
      </c>
      <c r="G6536" s="2" t="s">
        <v>10</v>
      </c>
    </row>
    <row r="6537" ht="14.25" customHeight="1">
      <c r="A6537" s="1" t="s">
        <v>5566</v>
      </c>
      <c r="B6537" s="1" t="s">
        <v>20</v>
      </c>
      <c r="C6537" s="2" t="s">
        <v>154</v>
      </c>
      <c r="D6537" s="2">
        <v>7.2</v>
      </c>
      <c r="E6537" s="2">
        <v>1986.0</v>
      </c>
      <c r="F6537" s="2" t="s">
        <v>10</v>
      </c>
      <c r="G6537" s="2" t="s">
        <v>10</v>
      </c>
    </row>
    <row r="6538" ht="14.25" customHeight="1">
      <c r="A6538" s="1" t="s">
        <v>5567</v>
      </c>
      <c r="B6538" s="1" t="s">
        <v>20</v>
      </c>
      <c r="C6538" s="2" t="s">
        <v>284</v>
      </c>
      <c r="D6538" s="2">
        <v>7.2</v>
      </c>
      <c r="E6538" s="2">
        <v>1996.0</v>
      </c>
      <c r="F6538" s="2" t="s">
        <v>10</v>
      </c>
      <c r="G6538" s="2" t="s">
        <v>10</v>
      </c>
    </row>
    <row r="6539" ht="14.25" customHeight="1">
      <c r="A6539" s="1" t="s">
        <v>5568</v>
      </c>
      <c r="B6539" s="1" t="s">
        <v>20</v>
      </c>
      <c r="C6539" s="2" t="s">
        <v>742</v>
      </c>
      <c r="D6539" s="2">
        <v>7.2</v>
      </c>
      <c r="E6539" s="2">
        <v>1994.0</v>
      </c>
      <c r="F6539" s="2" t="s">
        <v>10</v>
      </c>
      <c r="G6539" s="2" t="s">
        <v>10</v>
      </c>
    </row>
    <row r="6540" ht="14.25" customHeight="1">
      <c r="A6540" s="1" t="s">
        <v>5569</v>
      </c>
      <c r="B6540" s="1" t="s">
        <v>20</v>
      </c>
      <c r="C6540" s="2" t="s">
        <v>34</v>
      </c>
      <c r="D6540" s="2">
        <v>7.2</v>
      </c>
      <c r="E6540" s="2">
        <v>2023.0</v>
      </c>
      <c r="F6540" s="2" t="s">
        <v>10</v>
      </c>
      <c r="G6540" s="2" t="s">
        <v>10</v>
      </c>
    </row>
    <row r="6541" ht="14.25" customHeight="1">
      <c r="A6541" s="1" t="s">
        <v>5570</v>
      </c>
      <c r="B6541" s="1" t="s">
        <v>20</v>
      </c>
      <c r="C6541" s="2" t="s">
        <v>18</v>
      </c>
      <c r="D6541" s="2">
        <v>7.2</v>
      </c>
      <c r="E6541" s="2">
        <v>1965.0</v>
      </c>
      <c r="F6541" s="2">
        <v>1965.0</v>
      </c>
      <c r="G6541" s="2" t="s">
        <v>10</v>
      </c>
    </row>
    <row r="6542" ht="14.25" customHeight="1">
      <c r="A6542" s="1" t="s">
        <v>5571</v>
      </c>
      <c r="B6542" s="1" t="s">
        <v>20</v>
      </c>
      <c r="C6542" s="2" t="s">
        <v>187</v>
      </c>
      <c r="D6542" s="2">
        <v>7.2</v>
      </c>
      <c r="E6542" s="2">
        <v>2010.0</v>
      </c>
      <c r="F6542" s="2" t="s">
        <v>10</v>
      </c>
      <c r="G6542" s="2" t="s">
        <v>10</v>
      </c>
    </row>
    <row r="6543" ht="14.25" customHeight="1">
      <c r="A6543" s="1" t="s">
        <v>3387</v>
      </c>
      <c r="B6543" s="1" t="s">
        <v>20</v>
      </c>
      <c r="C6543" s="2" t="s">
        <v>349</v>
      </c>
      <c r="D6543" s="2">
        <v>7.2</v>
      </c>
      <c r="E6543" s="2">
        <v>1962.0</v>
      </c>
      <c r="F6543" s="2">
        <v>1962.0</v>
      </c>
      <c r="G6543" s="2" t="s">
        <v>10</v>
      </c>
    </row>
    <row r="6544" ht="14.25" customHeight="1">
      <c r="A6544" s="1" t="s">
        <v>5572</v>
      </c>
      <c r="B6544" s="1" t="s">
        <v>20</v>
      </c>
      <c r="C6544" s="2" t="s">
        <v>284</v>
      </c>
      <c r="D6544" s="2">
        <v>7.2</v>
      </c>
      <c r="E6544" s="2">
        <v>2006.0</v>
      </c>
      <c r="F6544" s="2" t="s">
        <v>10</v>
      </c>
      <c r="G6544" s="2" t="s">
        <v>10</v>
      </c>
    </row>
    <row r="6545" ht="14.25" customHeight="1">
      <c r="A6545" s="1" t="s">
        <v>5573</v>
      </c>
      <c r="B6545" s="1" t="s">
        <v>8</v>
      </c>
      <c r="C6545" s="2" t="s">
        <v>212</v>
      </c>
      <c r="D6545" s="2">
        <v>7.2</v>
      </c>
      <c r="E6545" s="2">
        <v>1992.0</v>
      </c>
      <c r="F6545" s="2" t="s">
        <v>10</v>
      </c>
      <c r="G6545" s="2" t="s">
        <v>10</v>
      </c>
    </row>
    <row r="6546" ht="14.25" customHeight="1">
      <c r="A6546" s="1" t="s">
        <v>5574</v>
      </c>
      <c r="B6546" s="1" t="s">
        <v>8</v>
      </c>
      <c r="C6546" s="2" t="s">
        <v>371</v>
      </c>
      <c r="D6546" s="2">
        <v>7.2</v>
      </c>
      <c r="E6546" s="2">
        <v>2009.0</v>
      </c>
      <c r="F6546" s="2">
        <v>2010.0</v>
      </c>
      <c r="G6546" s="2" t="s">
        <v>10</v>
      </c>
    </row>
    <row r="6547" ht="14.25" customHeight="1">
      <c r="A6547" s="1" t="s">
        <v>5575</v>
      </c>
      <c r="B6547" s="1" t="s">
        <v>20</v>
      </c>
      <c r="C6547" s="2" t="s">
        <v>63</v>
      </c>
      <c r="D6547" s="2">
        <v>7.2</v>
      </c>
      <c r="E6547" s="2">
        <v>2020.0</v>
      </c>
      <c r="F6547" s="2" t="s">
        <v>10</v>
      </c>
      <c r="G6547" s="2" t="s">
        <v>10</v>
      </c>
    </row>
    <row r="6548" ht="14.25" customHeight="1">
      <c r="A6548" s="1" t="s">
        <v>5576</v>
      </c>
      <c r="B6548" s="1" t="s">
        <v>20</v>
      </c>
      <c r="C6548" s="2" t="s">
        <v>1948</v>
      </c>
      <c r="D6548" s="2">
        <v>7.2</v>
      </c>
      <c r="E6548" s="2">
        <v>2004.0</v>
      </c>
      <c r="F6548" s="2" t="s">
        <v>10</v>
      </c>
      <c r="G6548" s="2" t="s">
        <v>10</v>
      </c>
    </row>
    <row r="6549" ht="14.25" customHeight="1">
      <c r="A6549" s="1" t="s">
        <v>5577</v>
      </c>
      <c r="B6549" s="1" t="s">
        <v>20</v>
      </c>
      <c r="C6549" s="2" t="s">
        <v>154</v>
      </c>
      <c r="D6549" s="2">
        <v>7.2</v>
      </c>
      <c r="E6549" s="2">
        <v>1947.0</v>
      </c>
      <c r="F6549" s="2" t="s">
        <v>10</v>
      </c>
      <c r="G6549" s="2" t="s">
        <v>10</v>
      </c>
    </row>
    <row r="6550" ht="14.25" customHeight="1">
      <c r="A6550" s="1" t="s">
        <v>5578</v>
      </c>
      <c r="B6550" s="1" t="s">
        <v>20</v>
      </c>
      <c r="C6550" s="2" t="s">
        <v>299</v>
      </c>
      <c r="D6550" s="2">
        <v>7.2</v>
      </c>
      <c r="E6550" s="2">
        <v>1965.0</v>
      </c>
      <c r="F6550" s="2" t="s">
        <v>10</v>
      </c>
      <c r="G6550" s="2" t="s">
        <v>10</v>
      </c>
    </row>
    <row r="6551" ht="14.25" customHeight="1">
      <c r="A6551" s="1" t="s">
        <v>241</v>
      </c>
      <c r="B6551" s="1" t="s">
        <v>8</v>
      </c>
      <c r="C6551" s="2" t="s">
        <v>151</v>
      </c>
      <c r="D6551" s="2">
        <v>7.2</v>
      </c>
      <c r="E6551" s="2">
        <v>1978.0</v>
      </c>
      <c r="F6551" s="2" t="s">
        <v>10</v>
      </c>
      <c r="G6551" s="2" t="s">
        <v>10</v>
      </c>
    </row>
    <row r="6552" ht="14.25" customHeight="1">
      <c r="A6552" s="1" t="s">
        <v>5579</v>
      </c>
      <c r="B6552" s="1" t="s">
        <v>20</v>
      </c>
      <c r="C6552" s="2" t="s">
        <v>345</v>
      </c>
      <c r="D6552" s="2">
        <v>7.2</v>
      </c>
      <c r="E6552" s="2">
        <v>2006.0</v>
      </c>
      <c r="F6552" s="2" t="s">
        <v>10</v>
      </c>
      <c r="G6552" s="2" t="s">
        <v>10</v>
      </c>
    </row>
    <row r="6553" ht="14.25" customHeight="1">
      <c r="A6553" s="1" t="s">
        <v>5580</v>
      </c>
      <c r="B6553" s="1" t="s">
        <v>20</v>
      </c>
      <c r="C6553" s="2" t="s">
        <v>2758</v>
      </c>
      <c r="D6553" s="2">
        <v>7.2</v>
      </c>
      <c r="E6553" s="2">
        <v>1971.0</v>
      </c>
      <c r="F6553" s="2" t="s">
        <v>10</v>
      </c>
      <c r="G6553" s="2" t="s">
        <v>10</v>
      </c>
    </row>
    <row r="6554" ht="14.25" customHeight="1">
      <c r="A6554" s="1" t="s">
        <v>5581</v>
      </c>
      <c r="B6554" s="1" t="s">
        <v>8</v>
      </c>
      <c r="C6554" s="2" t="s">
        <v>69</v>
      </c>
      <c r="D6554" s="2">
        <v>7.2</v>
      </c>
      <c r="E6554" s="2">
        <v>2024.0</v>
      </c>
      <c r="F6554" s="2" t="s">
        <v>10</v>
      </c>
      <c r="G6554" s="2" t="s">
        <v>10</v>
      </c>
    </row>
    <row r="6555" ht="14.25" customHeight="1">
      <c r="A6555" s="1" t="s">
        <v>5582</v>
      </c>
      <c r="B6555" s="1" t="s">
        <v>20</v>
      </c>
      <c r="C6555" s="2" t="s">
        <v>1271</v>
      </c>
      <c r="D6555" s="2">
        <v>7.2</v>
      </c>
      <c r="E6555" s="2">
        <v>2010.0</v>
      </c>
      <c r="F6555" s="2" t="s">
        <v>10</v>
      </c>
      <c r="G6555" s="2" t="s">
        <v>10</v>
      </c>
    </row>
    <row r="6556" ht="14.25" customHeight="1">
      <c r="A6556" s="1" t="s">
        <v>5583</v>
      </c>
      <c r="B6556" s="1" t="s">
        <v>8</v>
      </c>
      <c r="C6556" s="2" t="s">
        <v>53</v>
      </c>
      <c r="D6556" s="2">
        <v>7.2</v>
      </c>
      <c r="E6556" s="2">
        <v>2017.0</v>
      </c>
      <c r="F6556" s="2" t="s">
        <v>10</v>
      </c>
      <c r="G6556" s="2" t="s">
        <v>10</v>
      </c>
    </row>
    <row r="6557" ht="14.25" customHeight="1">
      <c r="A6557" s="1" t="s">
        <v>5584</v>
      </c>
      <c r="B6557" s="1" t="s">
        <v>20</v>
      </c>
      <c r="C6557" s="2" t="s">
        <v>566</v>
      </c>
      <c r="D6557" s="2">
        <v>7.2</v>
      </c>
      <c r="E6557" s="2">
        <v>2021.0</v>
      </c>
      <c r="F6557" s="2" t="s">
        <v>10</v>
      </c>
      <c r="G6557" s="2" t="s">
        <v>10</v>
      </c>
    </row>
    <row r="6558" ht="14.25" customHeight="1">
      <c r="A6558" s="1" t="s">
        <v>5585</v>
      </c>
      <c r="B6558" s="1" t="s">
        <v>20</v>
      </c>
      <c r="C6558" s="2" t="s">
        <v>9</v>
      </c>
      <c r="D6558" s="2">
        <v>7.2</v>
      </c>
      <c r="E6558" s="2">
        <v>1983.0</v>
      </c>
      <c r="F6558" s="2">
        <v>1995.0</v>
      </c>
      <c r="G6558" s="2" t="s">
        <v>10</v>
      </c>
    </row>
    <row r="6559" ht="14.25" customHeight="1">
      <c r="A6559" s="1" t="s">
        <v>5586</v>
      </c>
      <c r="B6559" s="1" t="s">
        <v>20</v>
      </c>
      <c r="C6559" s="2" t="s">
        <v>18</v>
      </c>
      <c r="D6559" s="2">
        <v>7.2</v>
      </c>
      <c r="E6559" s="2">
        <v>2018.0</v>
      </c>
      <c r="F6559" s="2">
        <v>2018.0</v>
      </c>
      <c r="G6559" s="2" t="s">
        <v>10</v>
      </c>
    </row>
    <row r="6560" ht="14.25" customHeight="1">
      <c r="A6560" s="1" t="s">
        <v>5587</v>
      </c>
      <c r="B6560" s="1" t="s">
        <v>20</v>
      </c>
      <c r="C6560" s="2" t="s">
        <v>1784</v>
      </c>
      <c r="D6560" s="2">
        <v>7.2</v>
      </c>
      <c r="E6560" s="2">
        <v>2000.0</v>
      </c>
      <c r="F6560" s="2" t="s">
        <v>10</v>
      </c>
      <c r="G6560" s="2" t="s">
        <v>10</v>
      </c>
    </row>
    <row r="6561" ht="14.25" customHeight="1">
      <c r="A6561" s="1" t="s">
        <v>5588</v>
      </c>
      <c r="B6561" s="1" t="s">
        <v>20</v>
      </c>
      <c r="C6561" s="2" t="s">
        <v>36</v>
      </c>
      <c r="D6561" s="2">
        <v>7.2</v>
      </c>
      <c r="E6561" s="2">
        <v>2015.0</v>
      </c>
      <c r="F6561" s="2" t="s">
        <v>10</v>
      </c>
      <c r="G6561" s="2" t="s">
        <v>10</v>
      </c>
    </row>
    <row r="6562" ht="14.25" customHeight="1">
      <c r="A6562" s="1" t="s">
        <v>5589</v>
      </c>
      <c r="B6562" s="1" t="s">
        <v>20</v>
      </c>
      <c r="C6562" s="2" t="s">
        <v>291</v>
      </c>
      <c r="D6562" s="2">
        <v>7.2</v>
      </c>
      <c r="E6562" s="2">
        <v>2014.0</v>
      </c>
      <c r="F6562" s="2" t="s">
        <v>10</v>
      </c>
      <c r="G6562" s="2">
        <v>1260000.0</v>
      </c>
    </row>
    <row r="6563" ht="14.25" customHeight="1">
      <c r="A6563" s="1" t="s">
        <v>5590</v>
      </c>
      <c r="B6563" s="1" t="s">
        <v>20</v>
      </c>
      <c r="C6563" s="2" t="s">
        <v>187</v>
      </c>
      <c r="D6563" s="2">
        <v>7.2</v>
      </c>
      <c r="E6563" s="2">
        <v>2011.0</v>
      </c>
      <c r="F6563" s="2" t="s">
        <v>10</v>
      </c>
      <c r="G6563" s="2" t="s">
        <v>10</v>
      </c>
    </row>
    <row r="6564" ht="14.25" customHeight="1">
      <c r="A6564" s="1" t="s">
        <v>5591</v>
      </c>
      <c r="B6564" s="1" t="s">
        <v>8</v>
      </c>
      <c r="C6564" s="2" t="s">
        <v>32</v>
      </c>
      <c r="D6564" s="2">
        <v>7.2</v>
      </c>
      <c r="E6564" s="2">
        <v>2023.0</v>
      </c>
      <c r="F6564" s="2" t="s">
        <v>10</v>
      </c>
      <c r="G6564" s="2" t="s">
        <v>10</v>
      </c>
    </row>
    <row r="6565" ht="14.25" customHeight="1">
      <c r="A6565" s="1" t="s">
        <v>5592</v>
      </c>
      <c r="B6565" s="1" t="s">
        <v>20</v>
      </c>
      <c r="C6565" s="2" t="s">
        <v>468</v>
      </c>
      <c r="D6565" s="2">
        <v>7.2</v>
      </c>
      <c r="E6565" s="2">
        <v>2021.0</v>
      </c>
      <c r="F6565" s="2" t="s">
        <v>10</v>
      </c>
      <c r="G6565" s="2" t="s">
        <v>10</v>
      </c>
    </row>
    <row r="6566" ht="14.25" customHeight="1">
      <c r="A6566" s="1" t="s">
        <v>5593</v>
      </c>
      <c r="B6566" s="1" t="s">
        <v>20</v>
      </c>
      <c r="C6566" s="2" t="s">
        <v>154</v>
      </c>
      <c r="D6566" s="2">
        <v>7.2</v>
      </c>
      <c r="E6566" s="2">
        <v>2011.0</v>
      </c>
      <c r="F6566" s="2" t="s">
        <v>10</v>
      </c>
      <c r="G6566" s="2" t="s">
        <v>10</v>
      </c>
    </row>
    <row r="6567" ht="14.25" customHeight="1">
      <c r="A6567" s="1" t="s">
        <v>5594</v>
      </c>
      <c r="B6567" s="1" t="s">
        <v>8</v>
      </c>
      <c r="C6567" s="2" t="s">
        <v>9</v>
      </c>
      <c r="D6567" s="2">
        <v>7.2</v>
      </c>
      <c r="E6567" s="2">
        <v>2011.0</v>
      </c>
      <c r="F6567" s="2" t="s">
        <v>10</v>
      </c>
      <c r="G6567" s="2" t="s">
        <v>10</v>
      </c>
    </row>
    <row r="6568" ht="14.25" customHeight="1">
      <c r="A6568" s="1" t="s">
        <v>5595</v>
      </c>
      <c r="B6568" s="1" t="s">
        <v>20</v>
      </c>
      <c r="C6568" s="2" t="s">
        <v>36</v>
      </c>
      <c r="D6568" s="2">
        <v>7.2</v>
      </c>
      <c r="E6568" s="2">
        <v>2007.0</v>
      </c>
      <c r="F6568" s="2" t="s">
        <v>10</v>
      </c>
      <c r="G6568" s="2" t="s">
        <v>10</v>
      </c>
    </row>
    <row r="6569" ht="14.25" customHeight="1">
      <c r="A6569" s="1" t="s">
        <v>5596</v>
      </c>
      <c r="B6569" s="1" t="s">
        <v>8</v>
      </c>
      <c r="C6569" s="2" t="s">
        <v>40</v>
      </c>
      <c r="D6569" s="2">
        <v>7.2</v>
      </c>
      <c r="E6569" s="2">
        <v>2024.0</v>
      </c>
      <c r="F6569" s="2" t="s">
        <v>10</v>
      </c>
      <c r="G6569" s="2" t="s">
        <v>10</v>
      </c>
    </row>
    <row r="6570" ht="14.25" customHeight="1">
      <c r="A6570" s="1" t="s">
        <v>5597</v>
      </c>
      <c r="B6570" s="1" t="s">
        <v>20</v>
      </c>
      <c r="C6570" s="2" t="s">
        <v>18</v>
      </c>
      <c r="D6570" s="2">
        <v>7.2</v>
      </c>
      <c r="E6570" s="2">
        <v>2012.0</v>
      </c>
      <c r="F6570" s="2" t="s">
        <v>10</v>
      </c>
      <c r="G6570" s="2" t="s">
        <v>10</v>
      </c>
    </row>
    <row r="6571" ht="14.25" customHeight="1">
      <c r="A6571" s="1" t="s">
        <v>5598</v>
      </c>
      <c r="B6571" s="1" t="s">
        <v>20</v>
      </c>
      <c r="C6571" s="2" t="s">
        <v>1427</v>
      </c>
      <c r="D6571" s="2">
        <v>7.2</v>
      </c>
      <c r="E6571" s="2">
        <v>1959.0</v>
      </c>
      <c r="F6571" s="2" t="s">
        <v>10</v>
      </c>
      <c r="G6571" s="2" t="s">
        <v>10</v>
      </c>
    </row>
    <row r="6572" ht="14.25" customHeight="1">
      <c r="A6572" s="1" t="s">
        <v>5599</v>
      </c>
      <c r="B6572" s="1" t="s">
        <v>20</v>
      </c>
      <c r="C6572" s="2" t="s">
        <v>187</v>
      </c>
      <c r="D6572" s="2">
        <v>7.2</v>
      </c>
      <c r="E6572" s="2">
        <v>2015.0</v>
      </c>
      <c r="F6572" s="2">
        <v>2015.0</v>
      </c>
      <c r="G6572" s="2" t="s">
        <v>10</v>
      </c>
    </row>
    <row r="6573" ht="14.25" customHeight="1">
      <c r="A6573" s="1" t="s">
        <v>5600</v>
      </c>
      <c r="B6573" s="1" t="s">
        <v>20</v>
      </c>
      <c r="C6573" s="2" t="s">
        <v>44</v>
      </c>
      <c r="D6573" s="2">
        <v>7.2</v>
      </c>
      <c r="E6573" s="2">
        <v>2010.0</v>
      </c>
      <c r="F6573" s="2" t="s">
        <v>10</v>
      </c>
      <c r="G6573" s="2" t="s">
        <v>10</v>
      </c>
    </row>
    <row r="6574" ht="14.25" customHeight="1">
      <c r="A6574" s="1" t="s">
        <v>5601</v>
      </c>
      <c r="B6574" s="1" t="s">
        <v>20</v>
      </c>
      <c r="C6574" s="2" t="s">
        <v>40</v>
      </c>
      <c r="D6574" s="2">
        <v>7.2</v>
      </c>
      <c r="E6574" s="2">
        <v>2022.0</v>
      </c>
      <c r="F6574" s="2" t="s">
        <v>10</v>
      </c>
      <c r="G6574" s="2" t="s">
        <v>10</v>
      </c>
    </row>
    <row r="6575" ht="14.25" customHeight="1">
      <c r="A6575" s="1" t="s">
        <v>5602</v>
      </c>
      <c r="B6575" s="1" t="s">
        <v>20</v>
      </c>
      <c r="C6575" s="2" t="s">
        <v>154</v>
      </c>
      <c r="D6575" s="2">
        <v>7.2</v>
      </c>
      <c r="E6575" s="2">
        <v>2021.0</v>
      </c>
      <c r="F6575" s="2" t="s">
        <v>10</v>
      </c>
      <c r="G6575" s="2" t="s">
        <v>10</v>
      </c>
    </row>
    <row r="6576" ht="14.25" customHeight="1">
      <c r="A6576" s="1" t="s">
        <v>5603</v>
      </c>
      <c r="B6576" s="1" t="s">
        <v>8</v>
      </c>
      <c r="C6576" s="2" t="s">
        <v>9</v>
      </c>
      <c r="D6576" s="2">
        <v>7.2</v>
      </c>
      <c r="E6576" s="2">
        <v>2017.0</v>
      </c>
      <c r="F6576" s="2" t="s">
        <v>10</v>
      </c>
      <c r="G6576" s="2" t="s">
        <v>10</v>
      </c>
    </row>
    <row r="6577" ht="14.25" customHeight="1">
      <c r="A6577" s="1" t="s">
        <v>5604</v>
      </c>
      <c r="B6577" s="1" t="s">
        <v>20</v>
      </c>
      <c r="C6577" s="2" t="s">
        <v>299</v>
      </c>
      <c r="D6577" s="2">
        <v>7.2</v>
      </c>
      <c r="E6577" s="2">
        <v>2018.0</v>
      </c>
      <c r="F6577" s="2" t="s">
        <v>10</v>
      </c>
      <c r="G6577" s="2" t="s">
        <v>10</v>
      </c>
    </row>
    <row r="6578" ht="14.25" customHeight="1">
      <c r="A6578" s="1" t="s">
        <v>5605</v>
      </c>
      <c r="B6578" s="1" t="s">
        <v>8</v>
      </c>
      <c r="C6578" s="2" t="s">
        <v>55</v>
      </c>
      <c r="D6578" s="2">
        <v>7.2</v>
      </c>
      <c r="E6578" s="2">
        <v>1997.0</v>
      </c>
      <c r="F6578" s="2" t="s">
        <v>10</v>
      </c>
      <c r="G6578" s="2" t="s">
        <v>10</v>
      </c>
    </row>
    <row r="6579" ht="14.25" customHeight="1">
      <c r="A6579" s="1" t="s">
        <v>5606</v>
      </c>
      <c r="B6579" s="1" t="s">
        <v>20</v>
      </c>
      <c r="C6579" s="2" t="s">
        <v>80</v>
      </c>
      <c r="D6579" s="2">
        <v>7.2</v>
      </c>
      <c r="E6579" s="2">
        <v>1961.0</v>
      </c>
      <c r="F6579" s="2" t="s">
        <v>10</v>
      </c>
      <c r="G6579" s="2" t="s">
        <v>10</v>
      </c>
    </row>
    <row r="6580" ht="14.25" customHeight="1">
      <c r="A6580" s="1" t="s">
        <v>5607</v>
      </c>
      <c r="B6580" s="1" t="s">
        <v>20</v>
      </c>
      <c r="C6580" s="2" t="s">
        <v>32</v>
      </c>
      <c r="D6580" s="2">
        <v>7.2</v>
      </c>
      <c r="E6580" s="2">
        <v>1966.0</v>
      </c>
      <c r="F6580" s="2" t="s">
        <v>10</v>
      </c>
      <c r="G6580" s="2" t="s">
        <v>10</v>
      </c>
    </row>
    <row r="6581" ht="14.25" customHeight="1">
      <c r="A6581" s="1" t="s">
        <v>5608</v>
      </c>
      <c r="B6581" s="1" t="s">
        <v>20</v>
      </c>
      <c r="C6581" s="2" t="s">
        <v>258</v>
      </c>
      <c r="D6581" s="2">
        <v>7.2</v>
      </c>
      <c r="E6581" s="2">
        <v>1997.0</v>
      </c>
      <c r="F6581" s="2" t="s">
        <v>10</v>
      </c>
      <c r="G6581" s="2" t="s">
        <v>10</v>
      </c>
    </row>
    <row r="6582" ht="14.25" customHeight="1">
      <c r="A6582" s="1" t="s">
        <v>5248</v>
      </c>
      <c r="B6582" s="1" t="s">
        <v>20</v>
      </c>
      <c r="C6582" s="2" t="s">
        <v>134</v>
      </c>
      <c r="D6582" s="2">
        <v>7.2</v>
      </c>
      <c r="E6582" s="2">
        <v>1997.0</v>
      </c>
      <c r="F6582" s="2" t="s">
        <v>10</v>
      </c>
      <c r="G6582" s="2" t="s">
        <v>10</v>
      </c>
    </row>
    <row r="6583" ht="14.25" customHeight="1">
      <c r="A6583" s="1" t="s">
        <v>5609</v>
      </c>
      <c r="B6583" s="1" t="s">
        <v>20</v>
      </c>
      <c r="C6583" s="2" t="s">
        <v>118</v>
      </c>
      <c r="D6583" s="2">
        <v>7.2</v>
      </c>
      <c r="E6583" s="2">
        <v>1966.0</v>
      </c>
      <c r="F6583" s="2" t="s">
        <v>10</v>
      </c>
      <c r="G6583" s="2" t="s">
        <v>10</v>
      </c>
    </row>
    <row r="6584" ht="14.25" customHeight="1">
      <c r="A6584" s="1" t="s">
        <v>5610</v>
      </c>
      <c r="B6584" s="1" t="s">
        <v>20</v>
      </c>
      <c r="C6584" s="2" t="s">
        <v>80</v>
      </c>
      <c r="D6584" s="2">
        <v>7.2</v>
      </c>
      <c r="E6584" s="2">
        <v>1997.0</v>
      </c>
      <c r="F6584" s="2" t="s">
        <v>10</v>
      </c>
      <c r="G6584" s="2" t="s">
        <v>10</v>
      </c>
    </row>
    <row r="6585" ht="14.25" customHeight="1">
      <c r="A6585" s="1" t="s">
        <v>5611</v>
      </c>
      <c r="B6585" s="1" t="s">
        <v>8</v>
      </c>
      <c r="C6585" s="2" t="s">
        <v>34</v>
      </c>
      <c r="D6585" s="2">
        <v>7.2</v>
      </c>
      <c r="E6585" s="2">
        <v>2007.0</v>
      </c>
      <c r="F6585" s="2" t="s">
        <v>10</v>
      </c>
      <c r="G6585" s="2" t="s">
        <v>10</v>
      </c>
    </row>
    <row r="6586" ht="14.25" customHeight="1">
      <c r="A6586" s="1" t="s">
        <v>5612</v>
      </c>
      <c r="B6586" s="1" t="s">
        <v>8</v>
      </c>
      <c r="C6586" s="2" t="s">
        <v>639</v>
      </c>
      <c r="D6586" s="2">
        <v>7.2</v>
      </c>
      <c r="E6586" s="2">
        <v>2019.0</v>
      </c>
      <c r="F6586" s="2">
        <v>2020.0</v>
      </c>
      <c r="G6586" s="2" t="s">
        <v>10</v>
      </c>
    </row>
    <row r="6587" ht="14.25" customHeight="1">
      <c r="A6587" s="1" t="s">
        <v>5613</v>
      </c>
      <c r="B6587" s="1" t="s">
        <v>20</v>
      </c>
      <c r="C6587" s="2" t="s">
        <v>63</v>
      </c>
      <c r="D6587" s="2">
        <v>7.2</v>
      </c>
      <c r="E6587" s="2">
        <v>2019.0</v>
      </c>
      <c r="F6587" s="2">
        <v>2019.0</v>
      </c>
      <c r="G6587" s="2" t="s">
        <v>10</v>
      </c>
    </row>
    <row r="6588" ht="14.25" customHeight="1">
      <c r="A6588" s="1" t="s">
        <v>5614</v>
      </c>
      <c r="B6588" s="1" t="s">
        <v>20</v>
      </c>
      <c r="C6588" s="2" t="s">
        <v>105</v>
      </c>
      <c r="D6588" s="2">
        <v>7.2</v>
      </c>
      <c r="E6588" s="2">
        <v>1957.0</v>
      </c>
      <c r="F6588" s="2" t="s">
        <v>10</v>
      </c>
      <c r="G6588" s="2" t="s">
        <v>10</v>
      </c>
    </row>
    <row r="6589" ht="14.25" customHeight="1">
      <c r="A6589" s="1" t="s">
        <v>5615</v>
      </c>
      <c r="B6589" s="1" t="s">
        <v>8</v>
      </c>
      <c r="C6589" s="2" t="s">
        <v>125</v>
      </c>
      <c r="D6589" s="2">
        <v>7.2</v>
      </c>
      <c r="E6589" s="2">
        <v>2003.0</v>
      </c>
      <c r="F6589" s="2" t="s">
        <v>10</v>
      </c>
      <c r="G6589" s="2" t="s">
        <v>10</v>
      </c>
    </row>
    <row r="6590" ht="14.25" customHeight="1">
      <c r="A6590" s="1" t="s">
        <v>5616</v>
      </c>
      <c r="B6590" s="1" t="s">
        <v>20</v>
      </c>
      <c r="C6590" s="2" t="s">
        <v>497</v>
      </c>
      <c r="D6590" s="2">
        <v>7.2</v>
      </c>
      <c r="E6590" s="2">
        <v>2019.0</v>
      </c>
      <c r="F6590" s="2" t="s">
        <v>10</v>
      </c>
      <c r="G6590" s="2" t="s">
        <v>10</v>
      </c>
    </row>
    <row r="6591" ht="14.25" customHeight="1">
      <c r="A6591" s="1" t="s">
        <v>5617</v>
      </c>
      <c r="B6591" s="1" t="s">
        <v>20</v>
      </c>
      <c r="C6591" s="2" t="s">
        <v>361</v>
      </c>
      <c r="D6591" s="2">
        <v>7.2</v>
      </c>
      <c r="E6591" s="2">
        <v>2008.0</v>
      </c>
      <c r="F6591" s="2">
        <v>2008.0</v>
      </c>
      <c r="G6591" s="2" t="s">
        <v>10</v>
      </c>
    </row>
    <row r="6592" ht="14.25" customHeight="1">
      <c r="A6592" s="1" t="s">
        <v>5618</v>
      </c>
      <c r="B6592" s="1" t="s">
        <v>20</v>
      </c>
      <c r="C6592" s="2" t="s">
        <v>18</v>
      </c>
      <c r="D6592" s="2">
        <v>7.2</v>
      </c>
      <c r="E6592" s="2">
        <v>1988.0</v>
      </c>
      <c r="F6592" s="2" t="s">
        <v>10</v>
      </c>
      <c r="G6592" s="2" t="s">
        <v>10</v>
      </c>
    </row>
    <row r="6593" ht="14.25" customHeight="1">
      <c r="A6593" s="1" t="s">
        <v>5619</v>
      </c>
      <c r="B6593" s="1" t="s">
        <v>20</v>
      </c>
      <c r="C6593" s="2" t="s">
        <v>18</v>
      </c>
      <c r="D6593" s="2">
        <v>7.2</v>
      </c>
      <c r="E6593" s="2">
        <v>2015.0</v>
      </c>
      <c r="F6593" s="2" t="s">
        <v>10</v>
      </c>
      <c r="G6593" s="2" t="s">
        <v>10</v>
      </c>
    </row>
    <row r="6594" ht="14.25" customHeight="1">
      <c r="A6594" s="1" t="s">
        <v>5620</v>
      </c>
      <c r="B6594" s="1" t="s">
        <v>20</v>
      </c>
      <c r="C6594" s="2" t="s">
        <v>154</v>
      </c>
      <c r="D6594" s="2">
        <v>7.2</v>
      </c>
      <c r="E6594" s="2">
        <v>2012.0</v>
      </c>
      <c r="F6594" s="2">
        <v>2019.0</v>
      </c>
      <c r="G6594" s="2" t="s">
        <v>10</v>
      </c>
    </row>
    <row r="6595" ht="14.25" customHeight="1">
      <c r="A6595" s="1" t="s">
        <v>5621</v>
      </c>
      <c r="B6595" s="1" t="s">
        <v>8</v>
      </c>
      <c r="C6595" s="2" t="s">
        <v>400</v>
      </c>
      <c r="D6595" s="2">
        <v>7.2</v>
      </c>
      <c r="E6595" s="2">
        <v>2015.0</v>
      </c>
      <c r="F6595" s="2" t="s">
        <v>10</v>
      </c>
      <c r="G6595" s="2" t="s">
        <v>10</v>
      </c>
    </row>
    <row r="6596" ht="14.25" customHeight="1">
      <c r="A6596" s="1" t="s">
        <v>5622</v>
      </c>
      <c r="B6596" s="1" t="s">
        <v>20</v>
      </c>
      <c r="C6596" s="2" t="s">
        <v>40</v>
      </c>
      <c r="D6596" s="2">
        <v>7.2</v>
      </c>
      <c r="E6596" s="2">
        <v>2002.0</v>
      </c>
      <c r="F6596" s="2" t="s">
        <v>10</v>
      </c>
      <c r="G6596" s="2" t="s">
        <v>10</v>
      </c>
    </row>
    <row r="6597" ht="14.25" customHeight="1">
      <c r="A6597" s="1" t="s">
        <v>5623</v>
      </c>
      <c r="B6597" s="1" t="s">
        <v>20</v>
      </c>
      <c r="C6597" s="2" t="s">
        <v>63</v>
      </c>
      <c r="D6597" s="2">
        <v>7.2</v>
      </c>
      <c r="E6597" s="2">
        <v>1983.0</v>
      </c>
      <c r="F6597" s="2" t="s">
        <v>10</v>
      </c>
      <c r="G6597" s="2" t="s">
        <v>10</v>
      </c>
    </row>
    <row r="6598" ht="14.25" customHeight="1">
      <c r="A6598" s="1" t="s">
        <v>5624</v>
      </c>
      <c r="B6598" s="1" t="s">
        <v>20</v>
      </c>
      <c r="C6598" s="2" t="s">
        <v>18</v>
      </c>
      <c r="D6598" s="2">
        <v>7.2</v>
      </c>
      <c r="E6598" s="2">
        <v>1997.0</v>
      </c>
      <c r="F6598" s="2" t="s">
        <v>10</v>
      </c>
      <c r="G6598" s="2" t="s">
        <v>10</v>
      </c>
    </row>
    <row r="6599" ht="14.25" customHeight="1">
      <c r="A6599" s="1" t="s">
        <v>5625</v>
      </c>
      <c r="B6599" s="1" t="s">
        <v>8</v>
      </c>
      <c r="C6599" s="2" t="s">
        <v>53</v>
      </c>
      <c r="D6599" s="2">
        <v>7.2</v>
      </c>
      <c r="E6599" s="2">
        <v>2022.0</v>
      </c>
      <c r="F6599" s="2" t="s">
        <v>10</v>
      </c>
      <c r="G6599" s="2" t="s">
        <v>10</v>
      </c>
    </row>
    <row r="6600" ht="14.25" customHeight="1">
      <c r="A6600" s="1" t="s">
        <v>5626</v>
      </c>
      <c r="B6600" s="1" t="s">
        <v>20</v>
      </c>
      <c r="C6600" s="2" t="s">
        <v>63</v>
      </c>
      <c r="D6600" s="2">
        <v>7.2</v>
      </c>
      <c r="E6600" s="2">
        <v>1930.0</v>
      </c>
      <c r="F6600" s="2" t="s">
        <v>10</v>
      </c>
      <c r="G6600" s="2" t="s">
        <v>10</v>
      </c>
    </row>
    <row r="6601" ht="14.25" customHeight="1">
      <c r="A6601" s="1" t="s">
        <v>5627</v>
      </c>
      <c r="B6601" s="1" t="s">
        <v>20</v>
      </c>
      <c r="C6601" s="2" t="s">
        <v>616</v>
      </c>
      <c r="D6601" s="2">
        <v>7.2</v>
      </c>
      <c r="E6601" s="2">
        <v>2017.0</v>
      </c>
      <c r="F6601" s="2">
        <v>2017.0</v>
      </c>
      <c r="G6601" s="2" t="s">
        <v>10</v>
      </c>
    </row>
    <row r="6602" ht="14.25" customHeight="1">
      <c r="A6602" s="1" t="s">
        <v>5628</v>
      </c>
      <c r="B6602" s="1" t="s">
        <v>20</v>
      </c>
      <c r="C6602" s="2" t="s">
        <v>299</v>
      </c>
      <c r="D6602" s="2">
        <v>7.2</v>
      </c>
      <c r="E6602" s="2">
        <v>1988.0</v>
      </c>
      <c r="F6602" s="2" t="s">
        <v>10</v>
      </c>
      <c r="G6602" s="2" t="s">
        <v>10</v>
      </c>
    </row>
    <row r="6603" ht="14.25" customHeight="1">
      <c r="A6603" s="1" t="s">
        <v>5629</v>
      </c>
      <c r="B6603" s="1" t="s">
        <v>20</v>
      </c>
      <c r="C6603" s="2" t="s">
        <v>69</v>
      </c>
      <c r="D6603" s="2">
        <v>7.2</v>
      </c>
      <c r="E6603" s="2">
        <v>1931.0</v>
      </c>
      <c r="F6603" s="2" t="s">
        <v>10</v>
      </c>
      <c r="G6603" s="2" t="s">
        <v>10</v>
      </c>
    </row>
    <row r="6604" ht="14.25" customHeight="1">
      <c r="A6604" s="1" t="s">
        <v>5630</v>
      </c>
      <c r="B6604" s="1" t="s">
        <v>8</v>
      </c>
      <c r="C6604" s="2" t="s">
        <v>25</v>
      </c>
      <c r="D6604" s="2">
        <v>7.2</v>
      </c>
      <c r="E6604" s="2">
        <v>2012.0</v>
      </c>
      <c r="F6604" s="2" t="s">
        <v>10</v>
      </c>
      <c r="G6604" s="2" t="s">
        <v>10</v>
      </c>
    </row>
    <row r="6605" ht="14.25" customHeight="1">
      <c r="A6605" s="1" t="s">
        <v>5631</v>
      </c>
      <c r="B6605" s="1" t="s">
        <v>20</v>
      </c>
      <c r="C6605" s="2" t="s">
        <v>55</v>
      </c>
      <c r="D6605" s="2">
        <v>7.2</v>
      </c>
      <c r="E6605" s="2">
        <v>1968.0</v>
      </c>
      <c r="F6605" s="2" t="s">
        <v>10</v>
      </c>
      <c r="G6605" s="2" t="s">
        <v>10</v>
      </c>
    </row>
    <row r="6606" ht="14.25" customHeight="1">
      <c r="A6606" s="1" t="s">
        <v>5632</v>
      </c>
      <c r="B6606" s="1" t="s">
        <v>20</v>
      </c>
      <c r="C6606" s="2" t="s">
        <v>530</v>
      </c>
      <c r="D6606" s="2">
        <v>7.2</v>
      </c>
      <c r="E6606" s="2">
        <v>2011.0</v>
      </c>
      <c r="F6606" s="2" t="s">
        <v>10</v>
      </c>
      <c r="G6606" s="2" t="s">
        <v>10</v>
      </c>
    </row>
    <row r="6607" ht="14.25" customHeight="1">
      <c r="A6607" s="1" t="s">
        <v>5633</v>
      </c>
      <c r="B6607" s="1" t="s">
        <v>20</v>
      </c>
      <c r="C6607" s="2" t="s">
        <v>1058</v>
      </c>
      <c r="D6607" s="2">
        <v>7.2</v>
      </c>
      <c r="E6607" s="2">
        <v>2013.0</v>
      </c>
      <c r="F6607" s="2" t="s">
        <v>10</v>
      </c>
      <c r="G6607" s="2" t="s">
        <v>10</v>
      </c>
    </row>
    <row r="6608" ht="14.25" customHeight="1">
      <c r="A6608" s="1" t="s">
        <v>5634</v>
      </c>
      <c r="B6608" s="1" t="s">
        <v>8</v>
      </c>
      <c r="C6608" s="2" t="s">
        <v>32</v>
      </c>
      <c r="D6608" s="2">
        <v>7.2</v>
      </c>
      <c r="E6608" s="2">
        <v>2006.0</v>
      </c>
      <c r="F6608" s="2" t="s">
        <v>10</v>
      </c>
      <c r="G6608" s="2" t="s">
        <v>10</v>
      </c>
    </row>
    <row r="6609" ht="14.25" customHeight="1">
      <c r="A6609" s="1" t="s">
        <v>5231</v>
      </c>
      <c r="B6609" s="1" t="s">
        <v>8</v>
      </c>
      <c r="C6609" s="2" t="s">
        <v>53</v>
      </c>
      <c r="D6609" s="2">
        <v>7.2</v>
      </c>
      <c r="E6609" s="2">
        <v>1987.0</v>
      </c>
      <c r="F6609" s="2" t="s">
        <v>10</v>
      </c>
      <c r="G6609" s="2">
        <v>1.169E7</v>
      </c>
    </row>
    <row r="6610" ht="14.25" customHeight="1">
      <c r="A6610" s="1" t="s">
        <v>5635</v>
      </c>
      <c r="B6610" s="1" t="s">
        <v>20</v>
      </c>
      <c r="C6610" s="2" t="s">
        <v>154</v>
      </c>
      <c r="D6610" s="2">
        <v>7.2</v>
      </c>
      <c r="E6610" s="2">
        <v>2020.0</v>
      </c>
      <c r="F6610" s="2" t="s">
        <v>10</v>
      </c>
      <c r="G6610" s="2" t="s">
        <v>10</v>
      </c>
    </row>
    <row r="6611" ht="14.25" customHeight="1">
      <c r="A6611" s="1" t="s">
        <v>5636</v>
      </c>
      <c r="B6611" s="1" t="s">
        <v>20</v>
      </c>
      <c r="C6611" s="2" t="s">
        <v>1271</v>
      </c>
      <c r="D6611" s="2">
        <v>7.2</v>
      </c>
      <c r="E6611" s="2">
        <v>1983.0</v>
      </c>
      <c r="F6611" s="2" t="s">
        <v>10</v>
      </c>
      <c r="G6611" s="2" t="s">
        <v>10</v>
      </c>
    </row>
    <row r="6612" ht="14.25" customHeight="1">
      <c r="A6612" s="1" t="s">
        <v>5637</v>
      </c>
      <c r="B6612" s="1" t="s">
        <v>20</v>
      </c>
      <c r="C6612" s="2" t="s">
        <v>69</v>
      </c>
      <c r="D6612" s="2">
        <v>7.2</v>
      </c>
      <c r="E6612" s="2">
        <v>2015.0</v>
      </c>
      <c r="F6612" s="2" t="s">
        <v>10</v>
      </c>
      <c r="G6612" s="2" t="s">
        <v>10</v>
      </c>
    </row>
    <row r="6613" ht="14.25" customHeight="1">
      <c r="A6613" s="1" t="s">
        <v>2976</v>
      </c>
      <c r="B6613" s="1" t="s">
        <v>20</v>
      </c>
      <c r="C6613" s="2" t="s">
        <v>291</v>
      </c>
      <c r="D6613" s="2">
        <v>7.2</v>
      </c>
      <c r="E6613" s="2">
        <v>2017.0</v>
      </c>
      <c r="F6613" s="2" t="s">
        <v>10</v>
      </c>
      <c r="G6613" s="2" t="s">
        <v>10</v>
      </c>
    </row>
    <row r="6614" ht="14.25" customHeight="1">
      <c r="A6614" s="1" t="s">
        <v>5638</v>
      </c>
      <c r="B6614" s="1" t="s">
        <v>8</v>
      </c>
      <c r="C6614" s="2" t="s">
        <v>63</v>
      </c>
      <c r="D6614" s="2">
        <v>7.2</v>
      </c>
      <c r="E6614" s="2">
        <v>2021.0</v>
      </c>
      <c r="F6614" s="2" t="s">
        <v>10</v>
      </c>
      <c r="G6614" s="2" t="s">
        <v>10</v>
      </c>
    </row>
    <row r="6615" ht="14.25" customHeight="1">
      <c r="A6615" s="1" t="s">
        <v>5639</v>
      </c>
      <c r="B6615" s="1" t="s">
        <v>20</v>
      </c>
      <c r="C6615" s="2" t="s">
        <v>63</v>
      </c>
      <c r="D6615" s="2">
        <v>7.2</v>
      </c>
      <c r="E6615" s="2">
        <v>1998.0</v>
      </c>
      <c r="F6615" s="2" t="s">
        <v>10</v>
      </c>
      <c r="G6615" s="2" t="s">
        <v>10</v>
      </c>
    </row>
    <row r="6616" ht="14.25" customHeight="1">
      <c r="A6616" s="1" t="s">
        <v>5640</v>
      </c>
      <c r="B6616" s="1" t="s">
        <v>20</v>
      </c>
      <c r="C6616" s="2" t="s">
        <v>63</v>
      </c>
      <c r="D6616" s="2">
        <v>7.2</v>
      </c>
      <c r="E6616" s="2">
        <v>2017.0</v>
      </c>
      <c r="F6616" s="2" t="s">
        <v>10</v>
      </c>
      <c r="G6616" s="2" t="s">
        <v>10</v>
      </c>
    </row>
    <row r="6617" ht="14.25" customHeight="1">
      <c r="A6617" s="1" t="s">
        <v>5641</v>
      </c>
      <c r="B6617" s="1" t="s">
        <v>20</v>
      </c>
      <c r="C6617" s="2" t="s">
        <v>187</v>
      </c>
      <c r="D6617" s="2">
        <v>7.2</v>
      </c>
      <c r="E6617" s="2">
        <v>2023.0</v>
      </c>
      <c r="F6617" s="2" t="s">
        <v>10</v>
      </c>
      <c r="G6617" s="2" t="s">
        <v>10</v>
      </c>
    </row>
    <row r="6618" ht="14.25" customHeight="1">
      <c r="A6618" s="1" t="s">
        <v>5642</v>
      </c>
      <c r="B6618" s="1" t="s">
        <v>20</v>
      </c>
      <c r="C6618" s="2" t="s">
        <v>53</v>
      </c>
      <c r="D6618" s="2">
        <v>7.2</v>
      </c>
      <c r="E6618" s="2">
        <v>2016.0</v>
      </c>
      <c r="F6618" s="2">
        <v>2016.0</v>
      </c>
      <c r="G6618" s="2" t="s">
        <v>10</v>
      </c>
    </row>
    <row r="6619" ht="14.25" customHeight="1">
      <c r="A6619" s="1" t="s">
        <v>5643</v>
      </c>
      <c r="B6619" s="1" t="s">
        <v>8</v>
      </c>
      <c r="C6619" s="2" t="s">
        <v>756</v>
      </c>
      <c r="D6619" s="2">
        <v>7.2</v>
      </c>
      <c r="E6619" s="2">
        <v>1988.0</v>
      </c>
      <c r="F6619" s="2" t="s">
        <v>10</v>
      </c>
      <c r="G6619" s="2" t="s">
        <v>10</v>
      </c>
    </row>
    <row r="6620" ht="14.25" customHeight="1">
      <c r="A6620" s="1" t="s">
        <v>5644</v>
      </c>
      <c r="B6620" s="1" t="s">
        <v>20</v>
      </c>
      <c r="C6620" s="2" t="s">
        <v>18</v>
      </c>
      <c r="D6620" s="2">
        <v>7.2</v>
      </c>
      <c r="E6620" s="2">
        <v>1971.0</v>
      </c>
      <c r="F6620" s="2" t="s">
        <v>10</v>
      </c>
      <c r="G6620" s="2" t="s">
        <v>10</v>
      </c>
    </row>
    <row r="6621" ht="14.25" customHeight="1">
      <c r="A6621" s="1" t="s">
        <v>5645</v>
      </c>
      <c r="B6621" s="1" t="s">
        <v>20</v>
      </c>
      <c r="C6621" s="2" t="s">
        <v>187</v>
      </c>
      <c r="D6621" s="2">
        <v>7.2</v>
      </c>
      <c r="E6621" s="2">
        <v>2010.0</v>
      </c>
      <c r="F6621" s="2" t="s">
        <v>10</v>
      </c>
      <c r="G6621" s="2" t="s">
        <v>10</v>
      </c>
    </row>
    <row r="6622" ht="14.25" customHeight="1">
      <c r="A6622" s="1" t="s">
        <v>5646</v>
      </c>
      <c r="B6622" s="1" t="s">
        <v>20</v>
      </c>
      <c r="C6622" s="2" t="s">
        <v>36</v>
      </c>
      <c r="D6622" s="2">
        <v>7.2</v>
      </c>
      <c r="E6622" s="2">
        <v>2013.0</v>
      </c>
      <c r="F6622" s="2" t="s">
        <v>10</v>
      </c>
      <c r="G6622" s="2" t="s">
        <v>10</v>
      </c>
    </row>
    <row r="6623" ht="14.25" customHeight="1">
      <c r="A6623" s="1" t="s">
        <v>5647</v>
      </c>
      <c r="B6623" s="1" t="s">
        <v>8</v>
      </c>
      <c r="C6623" s="2" t="s">
        <v>36</v>
      </c>
      <c r="D6623" s="2">
        <v>7.2</v>
      </c>
      <c r="E6623" s="2">
        <v>2017.0</v>
      </c>
      <c r="F6623" s="2">
        <v>2016.0</v>
      </c>
      <c r="G6623" s="2" t="s">
        <v>10</v>
      </c>
    </row>
    <row r="6624" ht="14.25" customHeight="1">
      <c r="A6624" s="1" t="s">
        <v>5648</v>
      </c>
      <c r="B6624" s="1" t="s">
        <v>20</v>
      </c>
      <c r="C6624" s="2" t="s">
        <v>18</v>
      </c>
      <c r="D6624" s="2">
        <v>7.2</v>
      </c>
      <c r="E6624" s="2">
        <v>2023.0</v>
      </c>
      <c r="F6624" s="2" t="s">
        <v>10</v>
      </c>
      <c r="G6624" s="2" t="s">
        <v>10</v>
      </c>
    </row>
    <row r="6625" ht="14.25" customHeight="1">
      <c r="A6625" s="1" t="s">
        <v>5649</v>
      </c>
      <c r="B6625" s="1" t="s">
        <v>20</v>
      </c>
      <c r="C6625" s="2" t="s">
        <v>428</v>
      </c>
      <c r="D6625" s="2">
        <v>7.2</v>
      </c>
      <c r="E6625" s="2">
        <v>2017.0</v>
      </c>
      <c r="F6625" s="2">
        <v>2017.0</v>
      </c>
      <c r="G6625" s="2" t="s">
        <v>10</v>
      </c>
    </row>
    <row r="6626" ht="14.25" customHeight="1">
      <c r="A6626" s="1" t="s">
        <v>5650</v>
      </c>
      <c r="B6626" s="1" t="s">
        <v>20</v>
      </c>
      <c r="C6626" s="2" t="s">
        <v>844</v>
      </c>
      <c r="D6626" s="2">
        <v>7.2</v>
      </c>
      <c r="E6626" s="2">
        <v>1949.0</v>
      </c>
      <c r="F6626" s="2" t="s">
        <v>10</v>
      </c>
      <c r="G6626" s="2" t="s">
        <v>10</v>
      </c>
    </row>
    <row r="6627" ht="14.25" customHeight="1">
      <c r="A6627" s="1" t="s">
        <v>5651</v>
      </c>
      <c r="B6627" s="1" t="s">
        <v>20</v>
      </c>
      <c r="C6627" s="2" t="s">
        <v>44</v>
      </c>
      <c r="D6627" s="2">
        <v>7.2</v>
      </c>
      <c r="E6627" s="2">
        <v>1953.0</v>
      </c>
      <c r="F6627" s="2" t="s">
        <v>10</v>
      </c>
      <c r="G6627" s="2" t="s">
        <v>10</v>
      </c>
    </row>
    <row r="6628" ht="14.25" customHeight="1">
      <c r="A6628" s="1" t="s">
        <v>5652</v>
      </c>
      <c r="B6628" s="1" t="s">
        <v>20</v>
      </c>
      <c r="C6628" s="2" t="s">
        <v>963</v>
      </c>
      <c r="D6628" s="2">
        <v>7.2</v>
      </c>
      <c r="E6628" s="2">
        <v>2019.0</v>
      </c>
      <c r="F6628" s="2" t="s">
        <v>10</v>
      </c>
      <c r="G6628" s="2" t="s">
        <v>10</v>
      </c>
    </row>
    <row r="6629" ht="14.25" customHeight="1">
      <c r="A6629" s="1" t="s">
        <v>5653</v>
      </c>
      <c r="B6629" s="1" t="s">
        <v>20</v>
      </c>
      <c r="C6629" s="2" t="s">
        <v>584</v>
      </c>
      <c r="D6629" s="2">
        <v>7.2</v>
      </c>
      <c r="E6629" s="2">
        <v>2023.0</v>
      </c>
      <c r="F6629" s="2" t="s">
        <v>10</v>
      </c>
      <c r="G6629" s="2" t="s">
        <v>10</v>
      </c>
    </row>
    <row r="6630" ht="14.25" customHeight="1">
      <c r="A6630" s="1" t="s">
        <v>5654</v>
      </c>
      <c r="B6630" s="1" t="s">
        <v>8</v>
      </c>
      <c r="C6630" s="2" t="s">
        <v>2437</v>
      </c>
      <c r="D6630" s="2">
        <v>7.2</v>
      </c>
      <c r="E6630" s="2">
        <v>1978.0</v>
      </c>
      <c r="F6630" s="2" t="s">
        <v>10</v>
      </c>
      <c r="G6630" s="2" t="s">
        <v>10</v>
      </c>
    </row>
    <row r="6631" ht="14.25" customHeight="1">
      <c r="A6631" s="1" t="s">
        <v>5655</v>
      </c>
      <c r="B6631" s="1" t="s">
        <v>20</v>
      </c>
      <c r="C6631" s="2" t="s">
        <v>663</v>
      </c>
      <c r="D6631" s="2">
        <v>7.2</v>
      </c>
      <c r="E6631" s="2">
        <v>2000.0</v>
      </c>
      <c r="F6631" s="2" t="s">
        <v>10</v>
      </c>
      <c r="G6631" s="2" t="s">
        <v>10</v>
      </c>
    </row>
    <row r="6632" ht="14.25" customHeight="1">
      <c r="A6632" s="1" t="s">
        <v>5656</v>
      </c>
      <c r="B6632" s="1" t="s">
        <v>20</v>
      </c>
      <c r="C6632" s="2" t="s">
        <v>2161</v>
      </c>
      <c r="D6632" s="2">
        <v>7.2</v>
      </c>
      <c r="E6632" s="2">
        <v>1939.0</v>
      </c>
      <c r="F6632" s="2" t="s">
        <v>10</v>
      </c>
      <c r="G6632" s="2" t="s">
        <v>10</v>
      </c>
    </row>
    <row r="6633" ht="14.25" customHeight="1">
      <c r="A6633" s="1" t="s">
        <v>5657</v>
      </c>
      <c r="B6633" s="1" t="s">
        <v>20</v>
      </c>
      <c r="C6633" s="2" t="s">
        <v>118</v>
      </c>
      <c r="D6633" s="2">
        <v>7.2</v>
      </c>
      <c r="E6633" s="2">
        <v>1948.0</v>
      </c>
      <c r="F6633" s="2" t="s">
        <v>10</v>
      </c>
      <c r="G6633" s="2" t="s">
        <v>10</v>
      </c>
    </row>
    <row r="6634" ht="14.25" customHeight="1">
      <c r="A6634" s="1" t="s">
        <v>5658</v>
      </c>
      <c r="B6634" s="1" t="s">
        <v>8</v>
      </c>
      <c r="C6634" s="2" t="s">
        <v>118</v>
      </c>
      <c r="D6634" s="2">
        <v>7.2</v>
      </c>
      <c r="E6634" s="2">
        <v>2014.0</v>
      </c>
      <c r="F6634" s="2" t="s">
        <v>10</v>
      </c>
      <c r="G6634" s="2" t="s">
        <v>10</v>
      </c>
    </row>
    <row r="6635" ht="14.25" customHeight="1">
      <c r="A6635" s="1" t="s">
        <v>5659</v>
      </c>
      <c r="B6635" s="1" t="s">
        <v>20</v>
      </c>
      <c r="C6635" s="2" t="s">
        <v>154</v>
      </c>
      <c r="D6635" s="2">
        <v>7.2</v>
      </c>
      <c r="E6635" s="2">
        <v>2009.0</v>
      </c>
      <c r="F6635" s="2" t="s">
        <v>10</v>
      </c>
      <c r="G6635" s="2" t="s">
        <v>10</v>
      </c>
    </row>
    <row r="6636" ht="14.25" customHeight="1">
      <c r="A6636" s="1" t="s">
        <v>5660</v>
      </c>
      <c r="B6636" s="1" t="s">
        <v>20</v>
      </c>
      <c r="C6636" s="2" t="s">
        <v>4509</v>
      </c>
      <c r="D6636" s="2">
        <v>7.2</v>
      </c>
      <c r="E6636" s="2">
        <v>1944.0</v>
      </c>
      <c r="F6636" s="2" t="s">
        <v>10</v>
      </c>
      <c r="G6636" s="2" t="s">
        <v>10</v>
      </c>
    </row>
    <row r="6637" ht="14.25" customHeight="1">
      <c r="A6637" s="1" t="s">
        <v>5661</v>
      </c>
      <c r="B6637" s="1" t="s">
        <v>20</v>
      </c>
      <c r="C6637" s="2" t="s">
        <v>411</v>
      </c>
      <c r="D6637" s="2">
        <v>7.2</v>
      </c>
      <c r="E6637" s="2">
        <v>1958.0</v>
      </c>
      <c r="F6637" s="2" t="s">
        <v>10</v>
      </c>
      <c r="G6637" s="2" t="s">
        <v>10</v>
      </c>
    </row>
    <row r="6638" ht="14.25" customHeight="1">
      <c r="A6638" s="1" t="s">
        <v>5662</v>
      </c>
      <c r="B6638" s="1" t="s">
        <v>20</v>
      </c>
      <c r="C6638" s="2" t="s">
        <v>63</v>
      </c>
      <c r="D6638" s="2">
        <v>7.2</v>
      </c>
      <c r="E6638" s="2">
        <v>1998.0</v>
      </c>
      <c r="F6638" s="2" t="s">
        <v>10</v>
      </c>
      <c r="G6638" s="2" t="s">
        <v>10</v>
      </c>
    </row>
    <row r="6639" ht="14.25" customHeight="1">
      <c r="A6639" s="1" t="s">
        <v>5663</v>
      </c>
      <c r="B6639" s="1" t="s">
        <v>8</v>
      </c>
      <c r="C6639" s="2" t="s">
        <v>756</v>
      </c>
      <c r="D6639" s="2">
        <v>7.2</v>
      </c>
      <c r="E6639" s="2">
        <v>1994.0</v>
      </c>
      <c r="F6639" s="2" t="s">
        <v>10</v>
      </c>
      <c r="G6639" s="2" t="s">
        <v>10</v>
      </c>
    </row>
    <row r="6640" ht="14.25" customHeight="1">
      <c r="A6640" s="1" t="s">
        <v>5664</v>
      </c>
      <c r="B6640" s="1" t="s">
        <v>20</v>
      </c>
      <c r="C6640" s="2" t="s">
        <v>80</v>
      </c>
      <c r="D6640" s="2">
        <v>7.2</v>
      </c>
      <c r="E6640" s="2">
        <v>1952.0</v>
      </c>
      <c r="F6640" s="2" t="s">
        <v>10</v>
      </c>
      <c r="G6640" s="2" t="s">
        <v>10</v>
      </c>
    </row>
    <row r="6641" ht="14.25" customHeight="1">
      <c r="A6641" s="1" t="s">
        <v>5665</v>
      </c>
      <c r="B6641" s="1" t="s">
        <v>8</v>
      </c>
      <c r="C6641" s="2" t="s">
        <v>476</v>
      </c>
      <c r="D6641" s="2">
        <v>7.2</v>
      </c>
      <c r="E6641" s="2">
        <v>2021.0</v>
      </c>
      <c r="F6641" s="2" t="s">
        <v>10</v>
      </c>
      <c r="G6641" s="2" t="s">
        <v>10</v>
      </c>
    </row>
    <row r="6642" ht="14.25" customHeight="1">
      <c r="A6642" s="1" t="s">
        <v>5666</v>
      </c>
      <c r="B6642" s="1" t="s">
        <v>20</v>
      </c>
      <c r="C6642" s="2" t="s">
        <v>69</v>
      </c>
      <c r="D6642" s="2">
        <v>7.2</v>
      </c>
      <c r="E6642" s="2">
        <v>2019.0</v>
      </c>
      <c r="F6642" s="2" t="s">
        <v>10</v>
      </c>
      <c r="G6642" s="2" t="s">
        <v>10</v>
      </c>
    </row>
    <row r="6643" ht="14.25" customHeight="1">
      <c r="A6643" s="1" t="s">
        <v>5667</v>
      </c>
      <c r="B6643" s="1" t="s">
        <v>8</v>
      </c>
      <c r="C6643" s="2" t="s">
        <v>34</v>
      </c>
      <c r="D6643" s="2">
        <v>7.2</v>
      </c>
      <c r="E6643" s="2">
        <v>2019.0</v>
      </c>
      <c r="F6643" s="2" t="s">
        <v>10</v>
      </c>
      <c r="G6643" s="2" t="s">
        <v>10</v>
      </c>
    </row>
    <row r="6644" ht="14.25" customHeight="1">
      <c r="A6644" s="1" t="s">
        <v>5668</v>
      </c>
      <c r="B6644" s="1" t="s">
        <v>8</v>
      </c>
      <c r="C6644" s="2" t="s">
        <v>187</v>
      </c>
      <c r="D6644" s="2">
        <v>7.2</v>
      </c>
      <c r="E6644" s="2">
        <v>2016.0</v>
      </c>
      <c r="F6644" s="2">
        <v>2017.0</v>
      </c>
      <c r="G6644" s="2" t="s">
        <v>10</v>
      </c>
    </row>
    <row r="6645" ht="14.25" customHeight="1">
      <c r="A6645" s="1" t="s">
        <v>5669</v>
      </c>
      <c r="B6645" s="1" t="s">
        <v>20</v>
      </c>
      <c r="C6645" s="2" t="s">
        <v>18</v>
      </c>
      <c r="D6645" s="2">
        <v>7.2</v>
      </c>
      <c r="E6645" s="2">
        <v>2024.0</v>
      </c>
      <c r="F6645" s="2" t="s">
        <v>10</v>
      </c>
      <c r="G6645" s="2" t="s">
        <v>10</v>
      </c>
    </row>
    <row r="6646" ht="14.25" customHeight="1">
      <c r="A6646" s="1" t="s">
        <v>5670</v>
      </c>
      <c r="B6646" s="1" t="s">
        <v>20</v>
      </c>
      <c r="C6646" s="2" t="s">
        <v>169</v>
      </c>
      <c r="D6646" s="2">
        <v>7.2</v>
      </c>
      <c r="E6646" s="2">
        <v>2004.0</v>
      </c>
      <c r="F6646" s="2" t="s">
        <v>10</v>
      </c>
      <c r="G6646" s="2" t="s">
        <v>10</v>
      </c>
    </row>
    <row r="6647" ht="14.25" customHeight="1">
      <c r="A6647" s="1" t="s">
        <v>5671</v>
      </c>
      <c r="B6647" s="1" t="s">
        <v>20</v>
      </c>
      <c r="C6647" s="2" t="s">
        <v>305</v>
      </c>
      <c r="D6647" s="2">
        <v>7.2</v>
      </c>
      <c r="E6647" s="2">
        <v>1976.0</v>
      </c>
      <c r="F6647" s="2" t="s">
        <v>10</v>
      </c>
      <c r="G6647" s="2" t="s">
        <v>10</v>
      </c>
    </row>
    <row r="6648" ht="14.25" customHeight="1">
      <c r="A6648" s="1" t="s">
        <v>5672</v>
      </c>
      <c r="B6648" s="1" t="s">
        <v>8</v>
      </c>
      <c r="C6648" s="2" t="s">
        <v>935</v>
      </c>
      <c r="D6648" s="2">
        <v>7.2</v>
      </c>
      <c r="E6648" s="2">
        <v>2024.0</v>
      </c>
      <c r="F6648" s="2" t="s">
        <v>10</v>
      </c>
      <c r="G6648" s="2" t="s">
        <v>10</v>
      </c>
    </row>
    <row r="6649" ht="14.25" customHeight="1">
      <c r="A6649" s="1" t="s">
        <v>5673</v>
      </c>
      <c r="B6649" s="1" t="s">
        <v>20</v>
      </c>
      <c r="C6649" s="2" t="s">
        <v>262</v>
      </c>
      <c r="D6649" s="2">
        <v>7.2</v>
      </c>
      <c r="E6649" s="2">
        <v>2021.0</v>
      </c>
      <c r="F6649" s="2" t="s">
        <v>10</v>
      </c>
      <c r="G6649" s="2" t="s">
        <v>10</v>
      </c>
    </row>
    <row r="6650" ht="14.25" customHeight="1">
      <c r="A6650" s="1" t="s">
        <v>5674</v>
      </c>
      <c r="B6650" s="1" t="s">
        <v>8</v>
      </c>
      <c r="C6650" s="2" t="s">
        <v>5675</v>
      </c>
      <c r="D6650" s="2">
        <v>7.2</v>
      </c>
      <c r="E6650" s="2">
        <v>2021.0</v>
      </c>
      <c r="F6650" s="2" t="s">
        <v>10</v>
      </c>
      <c r="G6650" s="2" t="s">
        <v>10</v>
      </c>
    </row>
    <row r="6651" ht="14.25" customHeight="1">
      <c r="A6651" s="1" t="s">
        <v>5676</v>
      </c>
      <c r="B6651" s="1" t="s">
        <v>20</v>
      </c>
      <c r="C6651" s="2" t="s">
        <v>40</v>
      </c>
      <c r="D6651" s="2">
        <v>7.2</v>
      </c>
      <c r="E6651" s="2">
        <v>2011.0</v>
      </c>
      <c r="F6651" s="2">
        <v>2011.0</v>
      </c>
      <c r="G6651" s="2" t="s">
        <v>10</v>
      </c>
    </row>
    <row r="6652" ht="14.25" customHeight="1">
      <c r="A6652" s="1" t="s">
        <v>5677</v>
      </c>
      <c r="B6652" s="1" t="s">
        <v>20</v>
      </c>
      <c r="C6652" s="2" t="s">
        <v>184</v>
      </c>
      <c r="D6652" s="2">
        <v>7.2</v>
      </c>
      <c r="E6652" s="2">
        <v>2019.0</v>
      </c>
      <c r="F6652" s="2" t="s">
        <v>10</v>
      </c>
      <c r="G6652" s="2" t="s">
        <v>10</v>
      </c>
    </row>
    <row r="6653" ht="14.25" customHeight="1">
      <c r="A6653" s="1" t="s">
        <v>5678</v>
      </c>
      <c r="B6653" s="1" t="s">
        <v>20</v>
      </c>
      <c r="C6653" s="2" t="s">
        <v>1179</v>
      </c>
      <c r="D6653" s="2">
        <v>7.2</v>
      </c>
      <c r="E6653" s="2">
        <v>1975.0</v>
      </c>
      <c r="F6653" s="2" t="s">
        <v>10</v>
      </c>
      <c r="G6653" s="2" t="s">
        <v>10</v>
      </c>
    </row>
    <row r="6654" ht="14.25" customHeight="1">
      <c r="A6654" s="1" t="s">
        <v>5679</v>
      </c>
      <c r="B6654" s="1" t="s">
        <v>8</v>
      </c>
      <c r="C6654" s="2" t="s">
        <v>53</v>
      </c>
      <c r="D6654" s="2">
        <v>7.2</v>
      </c>
      <c r="E6654" s="2">
        <v>2019.0</v>
      </c>
      <c r="F6654" s="2" t="s">
        <v>10</v>
      </c>
      <c r="G6654" s="2" t="s">
        <v>10</v>
      </c>
    </row>
    <row r="6655" ht="14.25" customHeight="1">
      <c r="A6655" s="1" t="s">
        <v>5680</v>
      </c>
      <c r="B6655" s="1" t="s">
        <v>20</v>
      </c>
      <c r="C6655" s="2" t="s">
        <v>14</v>
      </c>
      <c r="D6655" s="2">
        <v>7.2</v>
      </c>
      <c r="E6655" s="2">
        <v>2017.0</v>
      </c>
      <c r="F6655" s="2" t="s">
        <v>10</v>
      </c>
      <c r="G6655" s="2" t="s">
        <v>10</v>
      </c>
    </row>
    <row r="6656" ht="14.25" customHeight="1">
      <c r="A6656" s="1" t="s">
        <v>5681</v>
      </c>
      <c r="B6656" s="1" t="s">
        <v>20</v>
      </c>
      <c r="C6656" s="2" t="s">
        <v>395</v>
      </c>
      <c r="D6656" s="2">
        <v>7.2</v>
      </c>
      <c r="E6656" s="2">
        <v>2022.0</v>
      </c>
      <c r="F6656" s="2" t="s">
        <v>10</v>
      </c>
      <c r="G6656" s="2" t="s">
        <v>10</v>
      </c>
    </row>
    <row r="6657" ht="14.25" customHeight="1">
      <c r="A6657" s="1" t="s">
        <v>5682</v>
      </c>
      <c r="B6657" s="1" t="s">
        <v>8</v>
      </c>
      <c r="C6657" s="2" t="s">
        <v>325</v>
      </c>
      <c r="D6657" s="2">
        <v>7.2</v>
      </c>
      <c r="E6657" s="2">
        <v>2015.0</v>
      </c>
      <c r="F6657" s="2">
        <v>2017.0</v>
      </c>
      <c r="G6657" s="2" t="s">
        <v>10</v>
      </c>
    </row>
    <row r="6658" ht="14.25" customHeight="1">
      <c r="A6658" s="1" t="s">
        <v>363</v>
      </c>
      <c r="B6658" s="1" t="s">
        <v>20</v>
      </c>
      <c r="C6658" s="2" t="s">
        <v>1401</v>
      </c>
      <c r="D6658" s="2">
        <v>7.2</v>
      </c>
      <c r="E6658" s="2">
        <v>2006.0</v>
      </c>
      <c r="F6658" s="2">
        <v>2017.0</v>
      </c>
      <c r="G6658" s="2" t="s">
        <v>10</v>
      </c>
    </row>
    <row r="6659" ht="14.25" customHeight="1">
      <c r="A6659" s="1" t="s">
        <v>5683</v>
      </c>
      <c r="B6659" s="1" t="s">
        <v>8</v>
      </c>
      <c r="C6659" s="2" t="s">
        <v>92</v>
      </c>
      <c r="D6659" s="2">
        <v>7.2</v>
      </c>
      <c r="E6659" s="2">
        <v>2016.0</v>
      </c>
      <c r="F6659" s="2" t="s">
        <v>10</v>
      </c>
      <c r="G6659" s="2" t="s">
        <v>10</v>
      </c>
    </row>
    <row r="6660" ht="14.25" customHeight="1">
      <c r="A6660" s="1" t="s">
        <v>5684</v>
      </c>
      <c r="B6660" s="1" t="s">
        <v>20</v>
      </c>
      <c r="C6660" s="2" t="s">
        <v>69</v>
      </c>
      <c r="D6660" s="2">
        <v>7.2</v>
      </c>
      <c r="E6660" s="2">
        <v>1998.0</v>
      </c>
      <c r="F6660" s="2" t="s">
        <v>10</v>
      </c>
      <c r="G6660" s="2" t="s">
        <v>10</v>
      </c>
    </row>
    <row r="6661" ht="14.25" customHeight="1">
      <c r="A6661" s="1" t="s">
        <v>5685</v>
      </c>
      <c r="B6661" s="1" t="s">
        <v>8</v>
      </c>
      <c r="C6661" s="2" t="s">
        <v>18</v>
      </c>
      <c r="D6661" s="2">
        <v>7.2</v>
      </c>
      <c r="E6661" s="2">
        <v>2007.0</v>
      </c>
      <c r="F6661" s="2" t="s">
        <v>10</v>
      </c>
      <c r="G6661" s="2" t="s">
        <v>10</v>
      </c>
    </row>
    <row r="6662" ht="14.25" customHeight="1">
      <c r="A6662" s="1" t="s">
        <v>5686</v>
      </c>
      <c r="B6662" s="1" t="s">
        <v>20</v>
      </c>
      <c r="C6662" s="2" t="s">
        <v>80</v>
      </c>
      <c r="D6662" s="2">
        <v>7.2</v>
      </c>
      <c r="E6662" s="2">
        <v>2015.0</v>
      </c>
      <c r="F6662" s="2" t="s">
        <v>10</v>
      </c>
      <c r="G6662" s="2" t="s">
        <v>10</v>
      </c>
    </row>
    <row r="6663" ht="14.25" customHeight="1">
      <c r="A6663" s="1" t="s">
        <v>4330</v>
      </c>
      <c r="B6663" s="1" t="s">
        <v>20</v>
      </c>
      <c r="C6663" s="2" t="s">
        <v>9</v>
      </c>
      <c r="D6663" s="2">
        <v>7.2</v>
      </c>
      <c r="E6663" s="2">
        <v>2017.0</v>
      </c>
      <c r="F6663" s="2">
        <v>2017.0</v>
      </c>
      <c r="G6663" s="2" t="s">
        <v>10</v>
      </c>
    </row>
    <row r="6664" ht="14.25" customHeight="1">
      <c r="A6664" s="1" t="s">
        <v>5687</v>
      </c>
      <c r="B6664" s="1" t="s">
        <v>20</v>
      </c>
      <c r="C6664" s="2" t="s">
        <v>118</v>
      </c>
      <c r="D6664" s="2">
        <v>7.2</v>
      </c>
      <c r="E6664" s="2">
        <v>1969.0</v>
      </c>
      <c r="F6664" s="2" t="s">
        <v>10</v>
      </c>
      <c r="G6664" s="2" t="s">
        <v>10</v>
      </c>
    </row>
    <row r="6665" ht="14.25" customHeight="1">
      <c r="A6665" s="1" t="s">
        <v>2645</v>
      </c>
      <c r="B6665" s="1" t="s">
        <v>20</v>
      </c>
      <c r="C6665" s="2" t="s">
        <v>468</v>
      </c>
      <c r="D6665" s="2">
        <v>7.2</v>
      </c>
      <c r="E6665" s="2">
        <v>2015.0</v>
      </c>
      <c r="F6665" s="2">
        <v>2019.0</v>
      </c>
      <c r="G6665" s="2">
        <v>7860000.0</v>
      </c>
    </row>
    <row r="6666" ht="14.25" customHeight="1">
      <c r="A6666" s="1" t="s">
        <v>5688</v>
      </c>
      <c r="B6666" s="1" t="s">
        <v>8</v>
      </c>
      <c r="C6666" s="2" t="s">
        <v>32</v>
      </c>
      <c r="D6666" s="2">
        <v>7.2</v>
      </c>
      <c r="E6666" s="2">
        <v>1995.0</v>
      </c>
      <c r="F6666" s="2" t="s">
        <v>10</v>
      </c>
      <c r="G6666" s="2" t="s">
        <v>10</v>
      </c>
    </row>
    <row r="6667" ht="14.25" customHeight="1">
      <c r="A6667" s="1" t="s">
        <v>5689</v>
      </c>
      <c r="B6667" s="1" t="s">
        <v>20</v>
      </c>
      <c r="C6667" s="2" t="s">
        <v>32</v>
      </c>
      <c r="D6667" s="2">
        <v>7.2</v>
      </c>
      <c r="E6667" s="2">
        <v>1978.0</v>
      </c>
      <c r="F6667" s="2" t="s">
        <v>10</v>
      </c>
      <c r="G6667" s="2" t="s">
        <v>10</v>
      </c>
    </row>
    <row r="6668" ht="14.25" customHeight="1">
      <c r="A6668" s="1" t="s">
        <v>5690</v>
      </c>
      <c r="B6668" s="1" t="s">
        <v>8</v>
      </c>
      <c r="C6668" s="2" t="s">
        <v>53</v>
      </c>
      <c r="D6668" s="2">
        <v>7.2</v>
      </c>
      <c r="E6668" s="2">
        <v>2018.0</v>
      </c>
      <c r="F6668" s="2" t="s">
        <v>10</v>
      </c>
      <c r="G6668" s="2" t="s">
        <v>10</v>
      </c>
    </row>
    <row r="6669" ht="14.25" customHeight="1">
      <c r="A6669" s="1" t="s">
        <v>5691</v>
      </c>
      <c r="B6669" s="1" t="s">
        <v>20</v>
      </c>
      <c r="C6669" s="2" t="s">
        <v>67</v>
      </c>
      <c r="D6669" s="2">
        <v>7.2</v>
      </c>
      <c r="E6669" s="2">
        <v>2018.0</v>
      </c>
      <c r="F6669" s="2">
        <v>2018.0</v>
      </c>
      <c r="G6669" s="2" t="s">
        <v>10</v>
      </c>
    </row>
    <row r="6670" ht="14.25" customHeight="1">
      <c r="A6670" s="1" t="s">
        <v>5692</v>
      </c>
      <c r="B6670" s="1" t="s">
        <v>20</v>
      </c>
      <c r="C6670" s="2" t="s">
        <v>80</v>
      </c>
      <c r="D6670" s="2">
        <v>7.2</v>
      </c>
      <c r="E6670" s="2">
        <v>2015.0</v>
      </c>
      <c r="F6670" s="2" t="s">
        <v>10</v>
      </c>
      <c r="G6670" s="2" t="s">
        <v>10</v>
      </c>
    </row>
    <row r="6671" ht="14.25" customHeight="1">
      <c r="A6671" s="1" t="s">
        <v>5693</v>
      </c>
      <c r="B6671" s="1" t="s">
        <v>20</v>
      </c>
      <c r="C6671" s="2" t="s">
        <v>118</v>
      </c>
      <c r="D6671" s="2">
        <v>7.2</v>
      </c>
      <c r="E6671" s="2">
        <v>1972.0</v>
      </c>
      <c r="F6671" s="2" t="s">
        <v>10</v>
      </c>
      <c r="G6671" s="2" t="s">
        <v>10</v>
      </c>
    </row>
    <row r="6672" ht="14.25" customHeight="1">
      <c r="A6672" s="1" t="s">
        <v>5694</v>
      </c>
      <c r="B6672" s="1" t="s">
        <v>20</v>
      </c>
      <c r="C6672" s="2" t="s">
        <v>527</v>
      </c>
      <c r="D6672" s="2">
        <v>7.2</v>
      </c>
      <c r="E6672" s="2">
        <v>2001.0</v>
      </c>
      <c r="F6672" s="2" t="s">
        <v>10</v>
      </c>
      <c r="G6672" s="2" t="s">
        <v>10</v>
      </c>
    </row>
    <row r="6673" ht="14.25" customHeight="1">
      <c r="A6673" s="1" t="s">
        <v>5695</v>
      </c>
      <c r="B6673" s="1" t="s">
        <v>20</v>
      </c>
      <c r="C6673" s="2" t="s">
        <v>18</v>
      </c>
      <c r="D6673" s="2">
        <v>7.2</v>
      </c>
      <c r="E6673" s="2">
        <v>1997.0</v>
      </c>
      <c r="F6673" s="2" t="s">
        <v>10</v>
      </c>
      <c r="G6673" s="2" t="s">
        <v>10</v>
      </c>
    </row>
    <row r="6674" ht="14.25" customHeight="1">
      <c r="A6674" s="1" t="s">
        <v>5696</v>
      </c>
      <c r="B6674" s="1" t="s">
        <v>20</v>
      </c>
      <c r="C6674" s="2" t="s">
        <v>154</v>
      </c>
      <c r="D6674" s="2">
        <v>7.2</v>
      </c>
      <c r="E6674" s="2">
        <v>2003.0</v>
      </c>
      <c r="F6674" s="2" t="s">
        <v>10</v>
      </c>
      <c r="G6674" s="2" t="s">
        <v>10</v>
      </c>
    </row>
    <row r="6675" ht="14.25" customHeight="1">
      <c r="A6675" s="1" t="s">
        <v>5697</v>
      </c>
      <c r="B6675" s="1" t="s">
        <v>20</v>
      </c>
      <c r="C6675" s="2" t="s">
        <v>69</v>
      </c>
      <c r="D6675" s="2">
        <v>7.2</v>
      </c>
      <c r="E6675" s="2">
        <v>2012.0</v>
      </c>
      <c r="F6675" s="2" t="s">
        <v>10</v>
      </c>
      <c r="G6675" s="2" t="s">
        <v>10</v>
      </c>
    </row>
    <row r="6676" ht="14.25" customHeight="1">
      <c r="A6676" s="1" t="s">
        <v>5698</v>
      </c>
      <c r="B6676" s="1" t="s">
        <v>20</v>
      </c>
      <c r="C6676" s="2" t="s">
        <v>1749</v>
      </c>
      <c r="D6676" s="2">
        <v>7.2</v>
      </c>
      <c r="E6676" s="2">
        <v>1991.0</v>
      </c>
      <c r="F6676" s="2" t="s">
        <v>10</v>
      </c>
      <c r="G6676" s="2" t="s">
        <v>10</v>
      </c>
    </row>
    <row r="6677" ht="14.25" customHeight="1">
      <c r="A6677" s="1" t="s">
        <v>5699</v>
      </c>
      <c r="B6677" s="1" t="s">
        <v>20</v>
      </c>
      <c r="C6677" s="2" t="s">
        <v>53</v>
      </c>
      <c r="D6677" s="2">
        <v>7.2</v>
      </c>
      <c r="E6677" s="2">
        <v>1984.0</v>
      </c>
      <c r="F6677" s="2" t="s">
        <v>10</v>
      </c>
      <c r="G6677" s="2" t="s">
        <v>10</v>
      </c>
    </row>
    <row r="6678" ht="14.25" customHeight="1">
      <c r="A6678" s="1" t="s">
        <v>5700</v>
      </c>
      <c r="B6678" s="1" t="s">
        <v>20</v>
      </c>
      <c r="C6678" s="2" t="s">
        <v>184</v>
      </c>
      <c r="D6678" s="2">
        <v>7.2</v>
      </c>
      <c r="E6678" s="2">
        <v>1998.0</v>
      </c>
      <c r="F6678" s="2" t="s">
        <v>10</v>
      </c>
      <c r="G6678" s="2" t="s">
        <v>10</v>
      </c>
    </row>
    <row r="6679" ht="14.25" customHeight="1">
      <c r="A6679" s="1" t="s">
        <v>5701</v>
      </c>
      <c r="B6679" s="1" t="s">
        <v>20</v>
      </c>
      <c r="C6679" s="2" t="s">
        <v>1058</v>
      </c>
      <c r="D6679" s="2">
        <v>7.2</v>
      </c>
      <c r="E6679" s="2">
        <v>2014.0</v>
      </c>
      <c r="F6679" s="2" t="s">
        <v>10</v>
      </c>
      <c r="G6679" s="2" t="s">
        <v>10</v>
      </c>
    </row>
    <row r="6680" ht="14.25" customHeight="1">
      <c r="A6680" s="1" t="s">
        <v>5702</v>
      </c>
      <c r="B6680" s="1" t="s">
        <v>20</v>
      </c>
      <c r="C6680" s="2" t="s">
        <v>69</v>
      </c>
      <c r="D6680" s="2">
        <v>7.2</v>
      </c>
      <c r="E6680" s="2">
        <v>1987.0</v>
      </c>
      <c r="F6680" s="2" t="s">
        <v>10</v>
      </c>
      <c r="G6680" s="2" t="s">
        <v>10</v>
      </c>
    </row>
    <row r="6681" ht="14.25" customHeight="1">
      <c r="A6681" s="1" t="s">
        <v>5703</v>
      </c>
      <c r="B6681" s="1" t="s">
        <v>8</v>
      </c>
      <c r="C6681" s="2" t="s">
        <v>530</v>
      </c>
      <c r="D6681" s="2">
        <v>7.2</v>
      </c>
      <c r="E6681" s="2">
        <v>2022.0</v>
      </c>
      <c r="F6681" s="2" t="s">
        <v>10</v>
      </c>
      <c r="G6681" s="2" t="s">
        <v>10</v>
      </c>
    </row>
    <row r="6682" ht="14.25" customHeight="1">
      <c r="A6682" s="1" t="s">
        <v>5704</v>
      </c>
      <c r="B6682" s="1" t="s">
        <v>20</v>
      </c>
      <c r="C6682" s="2" t="s">
        <v>299</v>
      </c>
      <c r="D6682" s="2">
        <v>7.2</v>
      </c>
      <c r="E6682" s="2">
        <v>1999.0</v>
      </c>
      <c r="F6682" s="2" t="s">
        <v>10</v>
      </c>
      <c r="G6682" s="2" t="s">
        <v>10</v>
      </c>
    </row>
    <row r="6683" ht="14.25" customHeight="1">
      <c r="A6683" s="1" t="s">
        <v>5705</v>
      </c>
      <c r="B6683" s="1" t="s">
        <v>20</v>
      </c>
      <c r="C6683" s="2" t="s">
        <v>1316</v>
      </c>
      <c r="D6683" s="2">
        <v>7.2</v>
      </c>
      <c r="E6683" s="2">
        <v>2022.0</v>
      </c>
      <c r="F6683" s="2" t="s">
        <v>10</v>
      </c>
      <c r="G6683" s="2">
        <v>6380000.0</v>
      </c>
    </row>
    <row r="6684" ht="14.25" customHeight="1">
      <c r="A6684" s="1" t="s">
        <v>5705</v>
      </c>
      <c r="B6684" s="1" t="s">
        <v>20</v>
      </c>
      <c r="C6684" s="2" t="s">
        <v>1316</v>
      </c>
      <c r="D6684" s="2">
        <v>7.2</v>
      </c>
      <c r="E6684" s="2">
        <v>2022.0</v>
      </c>
      <c r="F6684" s="2" t="s">
        <v>10</v>
      </c>
      <c r="G6684" s="2">
        <v>1.703E7</v>
      </c>
    </row>
    <row r="6685" ht="14.25" customHeight="1">
      <c r="A6685" s="1" t="s">
        <v>5705</v>
      </c>
      <c r="B6685" s="1" t="s">
        <v>20</v>
      </c>
      <c r="C6685" s="2" t="s">
        <v>1316</v>
      </c>
      <c r="D6685" s="2">
        <v>7.2</v>
      </c>
      <c r="E6685" s="2">
        <v>2022.0</v>
      </c>
      <c r="F6685" s="2" t="s">
        <v>10</v>
      </c>
      <c r="G6685" s="2">
        <v>1.994E7</v>
      </c>
    </row>
    <row r="6686" ht="14.25" customHeight="1">
      <c r="A6686" s="1" t="s">
        <v>2814</v>
      </c>
      <c r="B6686" s="1" t="s">
        <v>8</v>
      </c>
      <c r="C6686" s="2" t="s">
        <v>305</v>
      </c>
      <c r="D6686" s="2">
        <v>7.2</v>
      </c>
      <c r="E6686" s="2">
        <v>1986.0</v>
      </c>
      <c r="F6686" s="2" t="s">
        <v>10</v>
      </c>
      <c r="G6686" s="2" t="s">
        <v>10</v>
      </c>
    </row>
    <row r="6687" ht="14.25" customHeight="1">
      <c r="A6687" s="1" t="s">
        <v>5706</v>
      </c>
      <c r="B6687" s="1" t="s">
        <v>20</v>
      </c>
      <c r="C6687" s="2" t="s">
        <v>1395</v>
      </c>
      <c r="D6687" s="2">
        <v>7.2</v>
      </c>
      <c r="E6687" s="2">
        <v>1982.0</v>
      </c>
      <c r="F6687" s="2" t="s">
        <v>10</v>
      </c>
      <c r="G6687" s="2" t="s">
        <v>10</v>
      </c>
    </row>
    <row r="6688" ht="14.25" customHeight="1">
      <c r="A6688" s="1" t="s">
        <v>5707</v>
      </c>
      <c r="B6688" s="1" t="s">
        <v>20</v>
      </c>
      <c r="C6688" s="2" t="s">
        <v>14</v>
      </c>
      <c r="D6688" s="2">
        <v>7.2</v>
      </c>
      <c r="E6688" s="2">
        <v>2001.0</v>
      </c>
      <c r="F6688" s="2" t="s">
        <v>10</v>
      </c>
      <c r="G6688" s="2" t="s">
        <v>10</v>
      </c>
    </row>
    <row r="6689" ht="14.25" customHeight="1">
      <c r="A6689" s="1" t="s">
        <v>5708</v>
      </c>
      <c r="B6689" s="1" t="s">
        <v>20</v>
      </c>
      <c r="C6689" s="2" t="s">
        <v>154</v>
      </c>
      <c r="D6689" s="2">
        <v>7.2</v>
      </c>
      <c r="E6689" s="2">
        <v>1919.0</v>
      </c>
      <c r="F6689" s="2" t="s">
        <v>10</v>
      </c>
      <c r="G6689" s="2" t="s">
        <v>10</v>
      </c>
    </row>
    <row r="6690" ht="14.25" customHeight="1">
      <c r="A6690" s="1" t="s">
        <v>5709</v>
      </c>
      <c r="B6690" s="1" t="s">
        <v>20</v>
      </c>
      <c r="C6690" s="2" t="s">
        <v>4945</v>
      </c>
      <c r="D6690" s="2">
        <v>7.2</v>
      </c>
      <c r="E6690" s="2">
        <v>1953.0</v>
      </c>
      <c r="F6690" s="2" t="s">
        <v>10</v>
      </c>
      <c r="G6690" s="2" t="s">
        <v>10</v>
      </c>
    </row>
    <row r="6691" ht="14.25" customHeight="1">
      <c r="A6691" s="1" t="s">
        <v>5710</v>
      </c>
      <c r="B6691" s="1" t="s">
        <v>20</v>
      </c>
      <c r="C6691" s="2" t="s">
        <v>34</v>
      </c>
      <c r="D6691" s="2">
        <v>7.2</v>
      </c>
      <c r="E6691" s="2">
        <v>2021.0</v>
      </c>
      <c r="F6691" s="2" t="s">
        <v>10</v>
      </c>
      <c r="G6691" s="2" t="s">
        <v>10</v>
      </c>
    </row>
    <row r="6692" ht="14.25" customHeight="1">
      <c r="A6692" s="1" t="s">
        <v>5711</v>
      </c>
      <c r="B6692" s="1" t="s">
        <v>20</v>
      </c>
      <c r="C6692" s="2" t="s">
        <v>253</v>
      </c>
      <c r="D6692" s="2">
        <v>7.2</v>
      </c>
      <c r="E6692" s="2">
        <v>1993.0</v>
      </c>
      <c r="F6692" s="2" t="s">
        <v>10</v>
      </c>
      <c r="G6692" s="2" t="s">
        <v>10</v>
      </c>
    </row>
    <row r="6693" ht="14.25" customHeight="1">
      <c r="A6693" s="1" t="s">
        <v>5712</v>
      </c>
      <c r="B6693" s="1" t="s">
        <v>20</v>
      </c>
      <c r="C6693" s="2" t="s">
        <v>1326</v>
      </c>
      <c r="D6693" s="2">
        <v>7.2</v>
      </c>
      <c r="E6693" s="2">
        <v>1951.0</v>
      </c>
      <c r="F6693" s="2" t="s">
        <v>10</v>
      </c>
      <c r="G6693" s="2" t="s">
        <v>10</v>
      </c>
    </row>
    <row r="6694" ht="14.25" customHeight="1">
      <c r="A6694" s="1" t="s">
        <v>5713</v>
      </c>
      <c r="B6694" s="1" t="s">
        <v>8</v>
      </c>
      <c r="C6694" s="2" t="s">
        <v>154</v>
      </c>
      <c r="D6694" s="2">
        <v>7.2</v>
      </c>
      <c r="E6694" s="2">
        <v>2012.0</v>
      </c>
      <c r="F6694" s="2" t="s">
        <v>10</v>
      </c>
      <c r="G6694" s="2" t="s">
        <v>10</v>
      </c>
    </row>
    <row r="6695" ht="14.25" customHeight="1">
      <c r="A6695" s="1" t="s">
        <v>5714</v>
      </c>
      <c r="B6695" s="1" t="s">
        <v>20</v>
      </c>
      <c r="C6695" s="2" t="s">
        <v>262</v>
      </c>
      <c r="D6695" s="2">
        <v>7.2</v>
      </c>
      <c r="E6695" s="2">
        <v>1966.0</v>
      </c>
      <c r="F6695" s="2" t="s">
        <v>10</v>
      </c>
      <c r="G6695" s="2" t="s">
        <v>10</v>
      </c>
    </row>
    <row r="6696" ht="14.25" customHeight="1">
      <c r="A6696" s="1" t="s">
        <v>5715</v>
      </c>
      <c r="B6696" s="1" t="s">
        <v>20</v>
      </c>
      <c r="C6696" s="2" t="s">
        <v>63</v>
      </c>
      <c r="D6696" s="2">
        <v>7.2</v>
      </c>
      <c r="E6696" s="2">
        <v>2010.0</v>
      </c>
      <c r="F6696" s="2" t="s">
        <v>10</v>
      </c>
      <c r="G6696" s="2" t="s">
        <v>10</v>
      </c>
    </row>
    <row r="6697" ht="14.25" customHeight="1">
      <c r="A6697" s="1" t="s">
        <v>5716</v>
      </c>
      <c r="B6697" s="1" t="s">
        <v>8</v>
      </c>
      <c r="C6697" s="2" t="s">
        <v>32</v>
      </c>
      <c r="D6697" s="2">
        <v>7.2</v>
      </c>
      <c r="E6697" s="2">
        <v>2012.0</v>
      </c>
      <c r="F6697" s="2">
        <v>2019.0</v>
      </c>
      <c r="G6697" s="2" t="s">
        <v>10</v>
      </c>
    </row>
    <row r="6698" ht="14.25" customHeight="1">
      <c r="A6698" s="1" t="s">
        <v>5717</v>
      </c>
      <c r="B6698" s="1" t="s">
        <v>8</v>
      </c>
      <c r="C6698" s="2" t="s">
        <v>34</v>
      </c>
      <c r="D6698" s="2">
        <v>7.2</v>
      </c>
      <c r="E6698" s="2">
        <v>2014.0</v>
      </c>
      <c r="F6698" s="2" t="s">
        <v>10</v>
      </c>
      <c r="G6698" s="2" t="s">
        <v>10</v>
      </c>
    </row>
    <row r="6699" ht="14.25" customHeight="1">
      <c r="A6699" s="1" t="s">
        <v>5718</v>
      </c>
      <c r="B6699" s="1" t="s">
        <v>20</v>
      </c>
      <c r="C6699" s="2" t="s">
        <v>187</v>
      </c>
      <c r="D6699" s="2">
        <v>7.2</v>
      </c>
      <c r="E6699" s="2">
        <v>1970.0</v>
      </c>
      <c r="F6699" s="2" t="s">
        <v>10</v>
      </c>
      <c r="G6699" s="2" t="s">
        <v>10</v>
      </c>
    </row>
    <row r="6700" ht="14.25" customHeight="1">
      <c r="A6700" s="1" t="s">
        <v>5719</v>
      </c>
      <c r="B6700" s="1" t="s">
        <v>20</v>
      </c>
      <c r="C6700" s="2" t="s">
        <v>63</v>
      </c>
      <c r="D6700" s="2">
        <v>7.2</v>
      </c>
      <c r="E6700" s="2">
        <v>2013.0</v>
      </c>
      <c r="F6700" s="2" t="s">
        <v>10</v>
      </c>
      <c r="G6700" s="2" t="s">
        <v>10</v>
      </c>
    </row>
    <row r="6701" ht="14.25" customHeight="1">
      <c r="A6701" s="1" t="s">
        <v>5720</v>
      </c>
      <c r="B6701" s="1" t="s">
        <v>20</v>
      </c>
      <c r="C6701" s="2" t="s">
        <v>69</v>
      </c>
      <c r="D6701" s="2">
        <v>7.2</v>
      </c>
      <c r="E6701" s="2">
        <v>1974.0</v>
      </c>
      <c r="F6701" s="2" t="s">
        <v>10</v>
      </c>
      <c r="G6701" s="2" t="s">
        <v>10</v>
      </c>
    </row>
    <row r="6702" ht="14.25" customHeight="1">
      <c r="A6702" s="1" t="s">
        <v>5721</v>
      </c>
      <c r="B6702" s="1" t="s">
        <v>20</v>
      </c>
      <c r="C6702" s="2" t="s">
        <v>69</v>
      </c>
      <c r="D6702" s="2">
        <v>7.2</v>
      </c>
      <c r="E6702" s="2">
        <v>2003.0</v>
      </c>
      <c r="F6702" s="2" t="s">
        <v>10</v>
      </c>
      <c r="G6702" s="2" t="s">
        <v>10</v>
      </c>
    </row>
    <row r="6703" ht="14.25" customHeight="1">
      <c r="A6703" s="1" t="s">
        <v>5722</v>
      </c>
      <c r="B6703" s="1" t="s">
        <v>20</v>
      </c>
      <c r="C6703" s="2" t="s">
        <v>262</v>
      </c>
      <c r="D6703" s="2">
        <v>7.2</v>
      </c>
      <c r="E6703" s="2">
        <v>1972.0</v>
      </c>
      <c r="F6703" s="2" t="s">
        <v>10</v>
      </c>
      <c r="G6703" s="2" t="s">
        <v>10</v>
      </c>
    </row>
    <row r="6704" ht="14.25" customHeight="1">
      <c r="A6704" s="1" t="s">
        <v>5723</v>
      </c>
      <c r="B6704" s="1" t="s">
        <v>20</v>
      </c>
      <c r="C6704" s="2" t="s">
        <v>53</v>
      </c>
      <c r="D6704" s="2">
        <v>7.2</v>
      </c>
      <c r="E6704" s="2">
        <v>2012.0</v>
      </c>
      <c r="F6704" s="2">
        <v>2012.0</v>
      </c>
      <c r="G6704" s="2" t="s">
        <v>10</v>
      </c>
    </row>
    <row r="6705" ht="14.25" customHeight="1">
      <c r="A6705" s="1" t="s">
        <v>5724</v>
      </c>
      <c r="B6705" s="1" t="s">
        <v>8</v>
      </c>
      <c r="C6705" s="2" t="s">
        <v>5725</v>
      </c>
      <c r="D6705" s="2">
        <v>7.2</v>
      </c>
      <c r="E6705" s="2">
        <v>2008.0</v>
      </c>
      <c r="F6705" s="2" t="s">
        <v>10</v>
      </c>
      <c r="G6705" s="2" t="s">
        <v>10</v>
      </c>
    </row>
    <row r="6706" ht="14.25" customHeight="1">
      <c r="A6706" s="1" t="s">
        <v>5726</v>
      </c>
      <c r="B6706" s="1" t="s">
        <v>20</v>
      </c>
      <c r="C6706" s="2" t="s">
        <v>53</v>
      </c>
      <c r="D6706" s="2">
        <v>7.2</v>
      </c>
      <c r="E6706" s="2">
        <v>1968.0</v>
      </c>
      <c r="F6706" s="2" t="s">
        <v>10</v>
      </c>
      <c r="G6706" s="2" t="s">
        <v>10</v>
      </c>
    </row>
    <row r="6707" ht="14.25" customHeight="1">
      <c r="A6707" s="1" t="s">
        <v>5727</v>
      </c>
      <c r="B6707" s="1" t="s">
        <v>8</v>
      </c>
      <c r="C6707" s="2" t="s">
        <v>63</v>
      </c>
      <c r="D6707" s="2">
        <v>7.2</v>
      </c>
      <c r="E6707" s="2">
        <v>2024.0</v>
      </c>
      <c r="F6707" s="2" t="s">
        <v>10</v>
      </c>
      <c r="G6707" s="2" t="s">
        <v>10</v>
      </c>
    </row>
    <row r="6708" ht="14.25" customHeight="1">
      <c r="A6708" s="1" t="s">
        <v>5728</v>
      </c>
      <c r="B6708" s="1" t="s">
        <v>20</v>
      </c>
      <c r="C6708" s="2" t="s">
        <v>187</v>
      </c>
      <c r="D6708" s="2">
        <v>7.2</v>
      </c>
      <c r="E6708" s="2">
        <v>2000.0</v>
      </c>
      <c r="F6708" s="2" t="s">
        <v>10</v>
      </c>
      <c r="G6708" s="2" t="s">
        <v>10</v>
      </c>
    </row>
    <row r="6709" ht="14.25" customHeight="1">
      <c r="A6709" s="1" t="s">
        <v>5729</v>
      </c>
      <c r="B6709" s="1" t="s">
        <v>20</v>
      </c>
      <c r="C6709" s="2" t="s">
        <v>69</v>
      </c>
      <c r="D6709" s="2">
        <v>7.2</v>
      </c>
      <c r="E6709" s="2">
        <v>1967.0</v>
      </c>
      <c r="F6709" s="2" t="s">
        <v>10</v>
      </c>
      <c r="G6709" s="2" t="s">
        <v>10</v>
      </c>
    </row>
    <row r="6710" ht="14.25" customHeight="1">
      <c r="A6710" s="1" t="s">
        <v>5730</v>
      </c>
      <c r="B6710" s="1" t="s">
        <v>20</v>
      </c>
      <c r="C6710" s="2" t="s">
        <v>118</v>
      </c>
      <c r="D6710" s="2">
        <v>7.2</v>
      </c>
      <c r="E6710" s="2">
        <v>1963.0</v>
      </c>
      <c r="F6710" s="2" t="s">
        <v>10</v>
      </c>
      <c r="G6710" s="2" t="s">
        <v>10</v>
      </c>
    </row>
    <row r="6711" ht="14.25" customHeight="1">
      <c r="A6711" s="1" t="s">
        <v>5731</v>
      </c>
      <c r="B6711" s="1" t="s">
        <v>8</v>
      </c>
      <c r="C6711" s="2" t="s">
        <v>822</v>
      </c>
      <c r="D6711" s="2">
        <v>7.2</v>
      </c>
      <c r="E6711" s="2">
        <v>2005.0</v>
      </c>
      <c r="F6711" s="2" t="s">
        <v>10</v>
      </c>
      <c r="G6711" s="2" t="s">
        <v>10</v>
      </c>
    </row>
    <row r="6712" ht="14.25" customHeight="1">
      <c r="A6712" s="1" t="s">
        <v>5732</v>
      </c>
      <c r="B6712" s="1" t="s">
        <v>20</v>
      </c>
      <c r="C6712" s="2" t="s">
        <v>12</v>
      </c>
      <c r="D6712" s="2">
        <v>7.2</v>
      </c>
      <c r="E6712" s="2">
        <v>2012.0</v>
      </c>
      <c r="F6712" s="2" t="s">
        <v>10</v>
      </c>
      <c r="G6712" s="2" t="s">
        <v>10</v>
      </c>
    </row>
    <row r="6713" ht="14.25" customHeight="1">
      <c r="A6713" s="1" t="s">
        <v>5733</v>
      </c>
      <c r="B6713" s="1" t="s">
        <v>20</v>
      </c>
      <c r="C6713" s="2" t="s">
        <v>1025</v>
      </c>
      <c r="D6713" s="2">
        <v>7.2</v>
      </c>
      <c r="E6713" s="2">
        <v>2013.0</v>
      </c>
      <c r="F6713" s="2" t="s">
        <v>10</v>
      </c>
      <c r="G6713" s="2" t="s">
        <v>10</v>
      </c>
    </row>
    <row r="6714" ht="14.25" customHeight="1">
      <c r="A6714" s="1" t="s">
        <v>5734</v>
      </c>
      <c r="B6714" s="1" t="s">
        <v>20</v>
      </c>
      <c r="C6714" s="2" t="s">
        <v>1897</v>
      </c>
      <c r="D6714" s="2">
        <v>7.2</v>
      </c>
      <c r="E6714" s="2">
        <v>1982.0</v>
      </c>
      <c r="F6714" s="2" t="s">
        <v>10</v>
      </c>
      <c r="G6714" s="2" t="s">
        <v>10</v>
      </c>
    </row>
    <row r="6715" ht="14.25" customHeight="1">
      <c r="A6715" s="1" t="s">
        <v>5735</v>
      </c>
      <c r="B6715" s="1" t="s">
        <v>8</v>
      </c>
      <c r="C6715" s="2" t="s">
        <v>468</v>
      </c>
      <c r="D6715" s="2">
        <v>7.2</v>
      </c>
      <c r="E6715" s="2">
        <v>2013.0</v>
      </c>
      <c r="F6715" s="2" t="s">
        <v>10</v>
      </c>
      <c r="G6715" s="2" t="s">
        <v>10</v>
      </c>
    </row>
    <row r="6716" ht="14.25" customHeight="1">
      <c r="A6716" s="1" t="s">
        <v>5736</v>
      </c>
      <c r="B6716" s="1" t="s">
        <v>20</v>
      </c>
      <c r="C6716" s="2" t="s">
        <v>34</v>
      </c>
      <c r="D6716" s="2">
        <v>7.2</v>
      </c>
      <c r="E6716" s="2">
        <v>1952.0</v>
      </c>
      <c r="F6716" s="2" t="s">
        <v>10</v>
      </c>
      <c r="G6716" s="2" t="s">
        <v>10</v>
      </c>
    </row>
    <row r="6717" ht="14.25" customHeight="1">
      <c r="A6717" s="1" t="s">
        <v>5737</v>
      </c>
      <c r="B6717" s="1" t="s">
        <v>20</v>
      </c>
      <c r="C6717" s="2" t="s">
        <v>25</v>
      </c>
      <c r="D6717" s="2">
        <v>7.2</v>
      </c>
      <c r="E6717" s="2">
        <v>1994.0</v>
      </c>
      <c r="F6717" s="2" t="s">
        <v>10</v>
      </c>
      <c r="G6717" s="2" t="s">
        <v>10</v>
      </c>
    </row>
    <row r="6718" ht="14.25" customHeight="1">
      <c r="A6718" s="1" t="s">
        <v>5738</v>
      </c>
      <c r="B6718" s="1" t="s">
        <v>20</v>
      </c>
      <c r="C6718" s="2" t="s">
        <v>307</v>
      </c>
      <c r="D6718" s="2">
        <v>7.2</v>
      </c>
      <c r="E6718" s="2">
        <v>2014.0</v>
      </c>
      <c r="F6718" s="2" t="s">
        <v>10</v>
      </c>
      <c r="G6718" s="2" t="s">
        <v>10</v>
      </c>
    </row>
    <row r="6719" ht="14.25" customHeight="1">
      <c r="A6719" s="1" t="s">
        <v>5739</v>
      </c>
      <c r="B6719" s="1" t="s">
        <v>20</v>
      </c>
      <c r="C6719" s="2" t="s">
        <v>12</v>
      </c>
      <c r="D6719" s="2">
        <v>7.2</v>
      </c>
      <c r="E6719" s="2">
        <v>2016.0</v>
      </c>
      <c r="F6719" s="2">
        <v>2016.0</v>
      </c>
      <c r="G6719" s="2" t="s">
        <v>10</v>
      </c>
    </row>
    <row r="6720" ht="14.25" customHeight="1">
      <c r="A6720" s="1" t="s">
        <v>5740</v>
      </c>
      <c r="B6720" s="1" t="s">
        <v>20</v>
      </c>
      <c r="C6720" s="2" t="s">
        <v>284</v>
      </c>
      <c r="D6720" s="2">
        <v>7.2</v>
      </c>
      <c r="E6720" s="2">
        <v>1990.0</v>
      </c>
      <c r="F6720" s="2" t="s">
        <v>10</v>
      </c>
      <c r="G6720" s="2" t="s">
        <v>10</v>
      </c>
    </row>
    <row r="6721" ht="14.25" customHeight="1">
      <c r="A6721" s="1" t="s">
        <v>5741</v>
      </c>
      <c r="B6721" s="1" t="s">
        <v>20</v>
      </c>
      <c r="C6721" s="2" t="s">
        <v>311</v>
      </c>
      <c r="D6721" s="2">
        <v>7.2</v>
      </c>
      <c r="E6721" s="2">
        <v>1978.0</v>
      </c>
      <c r="F6721" s="2" t="s">
        <v>10</v>
      </c>
      <c r="G6721" s="2" t="s">
        <v>10</v>
      </c>
    </row>
    <row r="6722" ht="14.25" customHeight="1">
      <c r="A6722" s="1" t="s">
        <v>5742</v>
      </c>
      <c r="B6722" s="1" t="s">
        <v>8</v>
      </c>
      <c r="C6722" s="2" t="s">
        <v>425</v>
      </c>
      <c r="D6722" s="2">
        <v>7.2</v>
      </c>
      <c r="E6722" s="2">
        <v>2010.0</v>
      </c>
      <c r="F6722" s="2" t="s">
        <v>10</v>
      </c>
      <c r="G6722" s="2" t="s">
        <v>10</v>
      </c>
    </row>
    <row r="6723" ht="14.25" customHeight="1">
      <c r="A6723" s="1" t="s">
        <v>5743</v>
      </c>
      <c r="B6723" s="1" t="s">
        <v>20</v>
      </c>
      <c r="C6723" s="2" t="s">
        <v>18</v>
      </c>
      <c r="D6723" s="2">
        <v>7.2</v>
      </c>
      <c r="E6723" s="2">
        <v>2018.0</v>
      </c>
      <c r="F6723" s="2" t="s">
        <v>10</v>
      </c>
      <c r="G6723" s="2" t="s">
        <v>10</v>
      </c>
    </row>
    <row r="6724" ht="14.25" customHeight="1">
      <c r="A6724" s="1" t="s">
        <v>5744</v>
      </c>
      <c r="B6724" s="1" t="s">
        <v>20</v>
      </c>
      <c r="C6724" s="2" t="s">
        <v>588</v>
      </c>
      <c r="D6724" s="2">
        <v>7.2</v>
      </c>
      <c r="E6724" s="2">
        <v>1996.0</v>
      </c>
      <c r="F6724" s="2" t="s">
        <v>10</v>
      </c>
      <c r="G6724" s="2" t="s">
        <v>10</v>
      </c>
    </row>
    <row r="6725" ht="14.25" customHeight="1">
      <c r="A6725" s="1" t="s">
        <v>5745</v>
      </c>
      <c r="B6725" s="1" t="s">
        <v>8</v>
      </c>
      <c r="C6725" s="2" t="s">
        <v>53</v>
      </c>
      <c r="D6725" s="2">
        <v>7.2</v>
      </c>
      <c r="E6725" s="2">
        <v>2021.0</v>
      </c>
      <c r="F6725" s="2" t="s">
        <v>10</v>
      </c>
      <c r="G6725" s="2" t="s">
        <v>10</v>
      </c>
    </row>
    <row r="6726" ht="14.25" customHeight="1">
      <c r="A6726" s="1" t="s">
        <v>5746</v>
      </c>
      <c r="B6726" s="1" t="s">
        <v>20</v>
      </c>
      <c r="C6726" s="2" t="s">
        <v>92</v>
      </c>
      <c r="D6726" s="2">
        <v>7.2</v>
      </c>
      <c r="E6726" s="2">
        <v>1967.0</v>
      </c>
      <c r="F6726" s="2" t="s">
        <v>10</v>
      </c>
      <c r="G6726" s="2" t="s">
        <v>10</v>
      </c>
    </row>
    <row r="6727" ht="14.25" customHeight="1">
      <c r="A6727" s="1" t="s">
        <v>5747</v>
      </c>
      <c r="B6727" s="1" t="s">
        <v>20</v>
      </c>
      <c r="C6727" s="2" t="s">
        <v>910</v>
      </c>
      <c r="D6727" s="2">
        <v>7.2</v>
      </c>
      <c r="E6727" s="2">
        <v>2018.0</v>
      </c>
      <c r="F6727" s="2" t="s">
        <v>10</v>
      </c>
      <c r="G6727" s="2" t="s">
        <v>10</v>
      </c>
    </row>
    <row r="6728" ht="14.25" customHeight="1">
      <c r="A6728" s="1" t="s">
        <v>5748</v>
      </c>
      <c r="B6728" s="1" t="s">
        <v>20</v>
      </c>
      <c r="C6728" s="2" t="s">
        <v>151</v>
      </c>
      <c r="D6728" s="2">
        <v>7.1</v>
      </c>
      <c r="E6728" s="2">
        <v>2013.0</v>
      </c>
      <c r="F6728" s="2" t="s">
        <v>10</v>
      </c>
      <c r="G6728" s="2" t="s">
        <v>10</v>
      </c>
    </row>
    <row r="6729" ht="14.25" customHeight="1">
      <c r="A6729" s="1" t="s">
        <v>5749</v>
      </c>
      <c r="B6729" s="1" t="s">
        <v>20</v>
      </c>
      <c r="C6729" s="2" t="s">
        <v>151</v>
      </c>
      <c r="D6729" s="2">
        <v>7.1</v>
      </c>
      <c r="E6729" s="2">
        <v>2013.0</v>
      </c>
      <c r="F6729" s="2" t="s">
        <v>10</v>
      </c>
      <c r="G6729" s="2" t="s">
        <v>10</v>
      </c>
    </row>
    <row r="6730" ht="14.25" customHeight="1">
      <c r="A6730" s="1" t="s">
        <v>5750</v>
      </c>
      <c r="B6730" s="1" t="s">
        <v>20</v>
      </c>
      <c r="C6730" s="2" t="s">
        <v>212</v>
      </c>
      <c r="D6730" s="2">
        <v>7.1</v>
      </c>
      <c r="E6730" s="2">
        <v>2007.0</v>
      </c>
      <c r="F6730" s="2" t="s">
        <v>10</v>
      </c>
      <c r="G6730" s="2" t="s">
        <v>10</v>
      </c>
    </row>
    <row r="6731" ht="14.25" customHeight="1">
      <c r="A6731" s="1" t="s">
        <v>5751</v>
      </c>
      <c r="B6731" s="1" t="s">
        <v>20</v>
      </c>
      <c r="C6731" s="2" t="s">
        <v>151</v>
      </c>
      <c r="D6731" s="2">
        <v>7.1</v>
      </c>
      <c r="E6731" s="2">
        <v>2007.0</v>
      </c>
      <c r="F6731" s="2" t="s">
        <v>10</v>
      </c>
      <c r="G6731" s="2" t="s">
        <v>10</v>
      </c>
    </row>
    <row r="6732" ht="14.25" customHeight="1">
      <c r="A6732" s="1" t="s">
        <v>5752</v>
      </c>
      <c r="B6732" s="1" t="s">
        <v>20</v>
      </c>
      <c r="C6732" s="2" t="s">
        <v>5753</v>
      </c>
      <c r="D6732" s="2">
        <v>7.1</v>
      </c>
      <c r="E6732" s="2">
        <v>2004.0</v>
      </c>
      <c r="F6732" s="2" t="s">
        <v>10</v>
      </c>
      <c r="G6732" s="2" t="s">
        <v>10</v>
      </c>
    </row>
    <row r="6733" ht="14.25" customHeight="1">
      <c r="A6733" s="1" t="s">
        <v>5754</v>
      </c>
      <c r="B6733" s="1" t="s">
        <v>20</v>
      </c>
      <c r="C6733" s="2" t="s">
        <v>118</v>
      </c>
      <c r="D6733" s="2">
        <v>7.1</v>
      </c>
      <c r="E6733" s="2">
        <v>2005.0</v>
      </c>
      <c r="F6733" s="2" t="s">
        <v>10</v>
      </c>
      <c r="G6733" s="2" t="s">
        <v>10</v>
      </c>
    </row>
    <row r="6734" ht="14.25" customHeight="1">
      <c r="A6734" s="1" t="s">
        <v>5755</v>
      </c>
      <c r="B6734" s="1" t="s">
        <v>20</v>
      </c>
      <c r="C6734" s="2" t="s">
        <v>212</v>
      </c>
      <c r="D6734" s="2">
        <v>7.1</v>
      </c>
      <c r="E6734" s="2">
        <v>1999.0</v>
      </c>
      <c r="F6734" s="2" t="s">
        <v>10</v>
      </c>
      <c r="G6734" s="2">
        <v>1.154E7</v>
      </c>
    </row>
    <row r="6735" ht="14.25" customHeight="1">
      <c r="A6735" s="1" t="s">
        <v>5756</v>
      </c>
      <c r="B6735" s="1" t="s">
        <v>20</v>
      </c>
      <c r="C6735" s="2" t="s">
        <v>530</v>
      </c>
      <c r="D6735" s="2">
        <v>7.1</v>
      </c>
      <c r="E6735" s="2">
        <v>2022.0</v>
      </c>
      <c r="F6735" s="2" t="s">
        <v>10</v>
      </c>
      <c r="G6735" s="2" t="s">
        <v>10</v>
      </c>
    </row>
    <row r="6736" ht="14.25" customHeight="1">
      <c r="A6736" s="1" t="s">
        <v>5757</v>
      </c>
      <c r="B6736" s="1" t="s">
        <v>20</v>
      </c>
      <c r="C6736" s="2" t="s">
        <v>5758</v>
      </c>
      <c r="D6736" s="2">
        <v>7.1</v>
      </c>
      <c r="E6736" s="2">
        <v>2008.0</v>
      </c>
      <c r="F6736" s="2" t="s">
        <v>10</v>
      </c>
      <c r="G6736" s="2" t="s">
        <v>10</v>
      </c>
    </row>
    <row r="6737" ht="14.25" customHeight="1">
      <c r="A6737" s="1" t="s">
        <v>5759</v>
      </c>
      <c r="B6737" s="1" t="s">
        <v>20</v>
      </c>
      <c r="C6737" s="2" t="s">
        <v>25</v>
      </c>
      <c r="D6737" s="2">
        <v>7.1</v>
      </c>
      <c r="E6737" s="2">
        <v>2012.0</v>
      </c>
      <c r="F6737" s="2" t="s">
        <v>10</v>
      </c>
      <c r="G6737" s="2" t="s">
        <v>10</v>
      </c>
    </row>
    <row r="6738" ht="14.25" customHeight="1">
      <c r="A6738" s="1" t="s">
        <v>5760</v>
      </c>
      <c r="B6738" s="1" t="s">
        <v>20</v>
      </c>
      <c r="C6738" s="2" t="s">
        <v>32</v>
      </c>
      <c r="D6738" s="2">
        <v>7.1</v>
      </c>
      <c r="E6738" s="2">
        <v>2004.0</v>
      </c>
      <c r="F6738" s="2" t="s">
        <v>10</v>
      </c>
      <c r="G6738" s="2">
        <v>6300000.0</v>
      </c>
    </row>
    <row r="6739" ht="14.25" customHeight="1">
      <c r="A6739" s="1" t="s">
        <v>5760</v>
      </c>
      <c r="B6739" s="1" t="s">
        <v>20</v>
      </c>
      <c r="C6739" s="2" t="s">
        <v>32</v>
      </c>
      <c r="D6739" s="2">
        <v>7.1</v>
      </c>
      <c r="E6739" s="2">
        <v>2004.0</v>
      </c>
      <c r="F6739" s="2" t="s">
        <v>10</v>
      </c>
      <c r="G6739" s="2">
        <v>7300000.0</v>
      </c>
    </row>
    <row r="6740" ht="14.25" customHeight="1">
      <c r="A6740" s="1" t="s">
        <v>5760</v>
      </c>
      <c r="B6740" s="1" t="s">
        <v>20</v>
      </c>
      <c r="C6740" s="2" t="s">
        <v>32</v>
      </c>
      <c r="D6740" s="2">
        <v>7.1</v>
      </c>
      <c r="E6740" s="2">
        <v>2004.0</v>
      </c>
      <c r="F6740" s="2" t="s">
        <v>10</v>
      </c>
      <c r="G6740" s="2">
        <v>8110000.0</v>
      </c>
    </row>
    <row r="6741" ht="14.25" customHeight="1">
      <c r="A6741" s="1" t="s">
        <v>5761</v>
      </c>
      <c r="B6741" s="1" t="s">
        <v>20</v>
      </c>
      <c r="C6741" s="2" t="s">
        <v>845</v>
      </c>
      <c r="D6741" s="2">
        <v>7.1</v>
      </c>
      <c r="E6741" s="2">
        <v>2021.0</v>
      </c>
      <c r="F6741" s="2" t="s">
        <v>10</v>
      </c>
      <c r="G6741" s="2" t="s">
        <v>10</v>
      </c>
    </row>
    <row r="6742" ht="14.25" customHeight="1">
      <c r="A6742" s="1" t="s">
        <v>5762</v>
      </c>
      <c r="B6742" s="1" t="s">
        <v>20</v>
      </c>
      <c r="C6742" s="2" t="s">
        <v>476</v>
      </c>
      <c r="D6742" s="2">
        <v>7.1</v>
      </c>
      <c r="E6742" s="2">
        <v>2019.0</v>
      </c>
      <c r="F6742" s="2" t="s">
        <v>10</v>
      </c>
      <c r="G6742" s="2" t="s">
        <v>10</v>
      </c>
    </row>
    <row r="6743" ht="14.25" customHeight="1">
      <c r="A6743" s="1" t="s">
        <v>5763</v>
      </c>
      <c r="B6743" s="1" t="s">
        <v>20</v>
      </c>
      <c r="C6743" s="2" t="s">
        <v>1025</v>
      </c>
      <c r="D6743" s="2">
        <v>7.1</v>
      </c>
      <c r="E6743" s="2">
        <v>2007.0</v>
      </c>
      <c r="F6743" s="2" t="s">
        <v>10</v>
      </c>
      <c r="G6743" s="2" t="s">
        <v>10</v>
      </c>
    </row>
    <row r="6744" ht="14.25" customHeight="1">
      <c r="A6744" s="1" t="s">
        <v>5764</v>
      </c>
      <c r="B6744" s="1" t="s">
        <v>20</v>
      </c>
      <c r="C6744" s="2" t="s">
        <v>1025</v>
      </c>
      <c r="D6744" s="2">
        <v>7.1</v>
      </c>
      <c r="E6744" s="2">
        <v>2015.0</v>
      </c>
      <c r="F6744" s="2" t="s">
        <v>10</v>
      </c>
      <c r="G6744" s="2" t="s">
        <v>10</v>
      </c>
    </row>
    <row r="6745" ht="14.25" customHeight="1">
      <c r="A6745" s="1" t="s">
        <v>5765</v>
      </c>
      <c r="B6745" s="1" t="s">
        <v>20</v>
      </c>
      <c r="C6745" s="2" t="s">
        <v>639</v>
      </c>
      <c r="D6745" s="2">
        <v>7.1</v>
      </c>
      <c r="E6745" s="2">
        <v>2013.0</v>
      </c>
      <c r="F6745" s="2">
        <v>2013.0</v>
      </c>
      <c r="G6745" s="2" t="s">
        <v>10</v>
      </c>
    </row>
    <row r="6746" ht="14.25" customHeight="1">
      <c r="A6746" s="1" t="s">
        <v>5766</v>
      </c>
      <c r="B6746" s="1" t="s">
        <v>20</v>
      </c>
      <c r="C6746" s="2" t="s">
        <v>1025</v>
      </c>
      <c r="D6746" s="2">
        <v>7.1</v>
      </c>
      <c r="E6746" s="2">
        <v>1990.0</v>
      </c>
      <c r="F6746" s="2" t="s">
        <v>10</v>
      </c>
      <c r="G6746" s="2" t="s">
        <v>10</v>
      </c>
    </row>
    <row r="6747" ht="14.25" customHeight="1">
      <c r="A6747" s="1" t="s">
        <v>5767</v>
      </c>
      <c r="B6747" s="1" t="s">
        <v>20</v>
      </c>
      <c r="C6747" s="2" t="s">
        <v>1187</v>
      </c>
      <c r="D6747" s="2">
        <v>7.1</v>
      </c>
      <c r="E6747" s="2">
        <v>1995.0</v>
      </c>
      <c r="F6747" s="2" t="s">
        <v>10</v>
      </c>
      <c r="G6747" s="2" t="s">
        <v>10</v>
      </c>
    </row>
    <row r="6748" ht="14.25" customHeight="1">
      <c r="A6748" s="1" t="s">
        <v>5768</v>
      </c>
      <c r="B6748" s="1" t="s">
        <v>20</v>
      </c>
      <c r="C6748" s="2" t="s">
        <v>32</v>
      </c>
      <c r="D6748" s="2">
        <v>7.1</v>
      </c>
      <c r="E6748" s="2">
        <v>2004.0</v>
      </c>
      <c r="F6748" s="2" t="s">
        <v>10</v>
      </c>
      <c r="G6748" s="2" t="s">
        <v>10</v>
      </c>
    </row>
    <row r="6749" ht="14.25" customHeight="1">
      <c r="A6749" s="1" t="s">
        <v>5769</v>
      </c>
      <c r="B6749" s="1" t="s">
        <v>20</v>
      </c>
      <c r="C6749" s="2" t="s">
        <v>3696</v>
      </c>
      <c r="D6749" s="2">
        <v>7.1</v>
      </c>
      <c r="E6749" s="2">
        <v>2002.0</v>
      </c>
      <c r="F6749" s="2">
        <v>2002.0</v>
      </c>
      <c r="G6749" s="2" t="s">
        <v>10</v>
      </c>
    </row>
    <row r="6750" ht="14.25" customHeight="1">
      <c r="A6750" s="1" t="s">
        <v>5770</v>
      </c>
      <c r="B6750" s="1" t="s">
        <v>20</v>
      </c>
      <c r="C6750" s="2" t="s">
        <v>118</v>
      </c>
      <c r="D6750" s="2">
        <v>7.1</v>
      </c>
      <c r="E6750" s="2">
        <v>1990.0</v>
      </c>
      <c r="F6750" s="2" t="s">
        <v>10</v>
      </c>
      <c r="G6750" s="2" t="s">
        <v>10</v>
      </c>
    </row>
    <row r="6751" ht="14.25" customHeight="1">
      <c r="A6751" s="1" t="s">
        <v>5771</v>
      </c>
      <c r="B6751" s="1" t="s">
        <v>20</v>
      </c>
      <c r="C6751" s="2" t="s">
        <v>1267</v>
      </c>
      <c r="D6751" s="2">
        <v>7.1</v>
      </c>
      <c r="E6751" s="2">
        <v>2011.0</v>
      </c>
      <c r="F6751" s="2">
        <v>2011.0</v>
      </c>
      <c r="G6751" s="2" t="s">
        <v>10</v>
      </c>
    </row>
    <row r="6752" ht="14.25" customHeight="1">
      <c r="A6752" s="1" t="s">
        <v>3826</v>
      </c>
      <c r="B6752" s="1" t="s">
        <v>20</v>
      </c>
      <c r="C6752" s="2" t="s">
        <v>611</v>
      </c>
      <c r="D6752" s="2">
        <v>7.1</v>
      </c>
      <c r="E6752" s="2">
        <v>2007.0</v>
      </c>
      <c r="F6752" s="2">
        <v>2018.0</v>
      </c>
      <c r="G6752" s="2">
        <v>4700000.0</v>
      </c>
    </row>
    <row r="6753" ht="14.25" customHeight="1">
      <c r="A6753" s="1" t="s">
        <v>3826</v>
      </c>
      <c r="B6753" s="1" t="s">
        <v>20</v>
      </c>
      <c r="C6753" s="2" t="s">
        <v>611</v>
      </c>
      <c r="D6753" s="2">
        <v>7.1</v>
      </c>
      <c r="E6753" s="2">
        <v>2007.0</v>
      </c>
      <c r="F6753" s="2">
        <v>2018.0</v>
      </c>
      <c r="G6753" s="2">
        <v>1.277E7</v>
      </c>
    </row>
    <row r="6754" ht="14.25" customHeight="1">
      <c r="A6754" s="1" t="s">
        <v>3826</v>
      </c>
      <c r="B6754" s="1" t="s">
        <v>20</v>
      </c>
      <c r="C6754" s="2" t="s">
        <v>611</v>
      </c>
      <c r="D6754" s="2">
        <v>7.1</v>
      </c>
      <c r="E6754" s="2">
        <v>2007.0</v>
      </c>
      <c r="F6754" s="2">
        <v>2018.0</v>
      </c>
      <c r="G6754" s="2">
        <v>7480000.0</v>
      </c>
    </row>
    <row r="6755" ht="14.25" customHeight="1">
      <c r="A6755" s="1" t="s">
        <v>3826</v>
      </c>
      <c r="B6755" s="1" t="s">
        <v>20</v>
      </c>
      <c r="C6755" s="2" t="s">
        <v>611</v>
      </c>
      <c r="D6755" s="2">
        <v>7.1</v>
      </c>
      <c r="E6755" s="2">
        <v>2007.0</v>
      </c>
      <c r="F6755" s="2">
        <v>2018.0</v>
      </c>
      <c r="G6755" s="2">
        <v>7390000.0</v>
      </c>
    </row>
    <row r="6756" ht="14.25" customHeight="1">
      <c r="A6756" s="1" t="s">
        <v>5772</v>
      </c>
      <c r="B6756" s="1" t="s">
        <v>20</v>
      </c>
      <c r="C6756" s="2" t="s">
        <v>5773</v>
      </c>
      <c r="D6756" s="2">
        <v>7.1</v>
      </c>
      <c r="E6756" s="2">
        <v>2007.0</v>
      </c>
      <c r="F6756" s="2">
        <v>2017.0</v>
      </c>
      <c r="G6756" s="2">
        <v>6230000.0</v>
      </c>
    </row>
    <row r="6757" ht="14.25" customHeight="1">
      <c r="A6757" s="1" t="s">
        <v>5772</v>
      </c>
      <c r="B6757" s="1" t="s">
        <v>20</v>
      </c>
      <c r="C6757" s="2" t="s">
        <v>5773</v>
      </c>
      <c r="D6757" s="2">
        <v>7.1</v>
      </c>
      <c r="E6757" s="2">
        <v>2007.0</v>
      </c>
      <c r="F6757" s="2">
        <v>2017.0</v>
      </c>
      <c r="G6757" s="2">
        <v>8400000.0</v>
      </c>
    </row>
    <row r="6758" ht="14.25" customHeight="1">
      <c r="A6758" s="1" t="s">
        <v>1636</v>
      </c>
      <c r="B6758" s="1" t="s">
        <v>20</v>
      </c>
      <c r="C6758" s="2" t="s">
        <v>719</v>
      </c>
      <c r="D6758" s="2">
        <v>7.1</v>
      </c>
      <c r="E6758" s="2">
        <v>2017.0</v>
      </c>
      <c r="F6758" s="2" t="s">
        <v>10</v>
      </c>
      <c r="G6758" s="2">
        <v>1150000.0</v>
      </c>
    </row>
    <row r="6759" ht="14.25" customHeight="1">
      <c r="A6759" s="1" t="s">
        <v>1636</v>
      </c>
      <c r="B6759" s="1" t="s">
        <v>20</v>
      </c>
      <c r="C6759" s="2" t="s">
        <v>719</v>
      </c>
      <c r="D6759" s="2">
        <v>7.1</v>
      </c>
      <c r="E6759" s="2">
        <v>2017.0</v>
      </c>
      <c r="F6759" s="2" t="s">
        <v>10</v>
      </c>
      <c r="G6759" s="2">
        <v>1800000.0</v>
      </c>
    </row>
    <row r="6760" ht="14.25" customHeight="1">
      <c r="A6760" s="1" t="s">
        <v>1636</v>
      </c>
      <c r="B6760" s="1" t="s">
        <v>20</v>
      </c>
      <c r="C6760" s="2" t="s">
        <v>719</v>
      </c>
      <c r="D6760" s="2">
        <v>7.1</v>
      </c>
      <c r="E6760" s="2">
        <v>2017.0</v>
      </c>
      <c r="F6760" s="2" t="s">
        <v>10</v>
      </c>
      <c r="G6760" s="2">
        <v>1790000.0</v>
      </c>
    </row>
    <row r="6761" ht="14.25" customHeight="1">
      <c r="A6761" s="1" t="s">
        <v>1636</v>
      </c>
      <c r="B6761" s="1" t="s">
        <v>20</v>
      </c>
      <c r="C6761" s="2" t="s">
        <v>719</v>
      </c>
      <c r="D6761" s="2">
        <v>7.1</v>
      </c>
      <c r="E6761" s="2">
        <v>2017.0</v>
      </c>
      <c r="F6761" s="2" t="s">
        <v>10</v>
      </c>
      <c r="G6761" s="2">
        <v>2740000.0</v>
      </c>
    </row>
    <row r="6762" ht="14.25" customHeight="1">
      <c r="A6762" s="1" t="s">
        <v>5774</v>
      </c>
      <c r="B6762" s="1" t="s">
        <v>20</v>
      </c>
      <c r="C6762" s="2" t="s">
        <v>1054</v>
      </c>
      <c r="D6762" s="2">
        <v>7.1</v>
      </c>
      <c r="E6762" s="2">
        <v>2012.0</v>
      </c>
      <c r="F6762" s="2" t="s">
        <v>10</v>
      </c>
      <c r="G6762" s="2">
        <v>4580000.0</v>
      </c>
    </row>
    <row r="6763" ht="14.25" customHeight="1">
      <c r="A6763" s="1" t="s">
        <v>5774</v>
      </c>
      <c r="B6763" s="1" t="s">
        <v>20</v>
      </c>
      <c r="C6763" s="2" t="s">
        <v>1054</v>
      </c>
      <c r="D6763" s="2">
        <v>7.1</v>
      </c>
      <c r="E6763" s="2">
        <v>2012.0</v>
      </c>
      <c r="F6763" s="2" t="s">
        <v>10</v>
      </c>
      <c r="G6763" s="2">
        <v>1.144E7</v>
      </c>
    </row>
    <row r="6764" ht="14.25" customHeight="1">
      <c r="A6764" s="1" t="s">
        <v>5775</v>
      </c>
      <c r="B6764" s="1" t="s">
        <v>20</v>
      </c>
      <c r="C6764" s="2" t="s">
        <v>3896</v>
      </c>
      <c r="D6764" s="2">
        <v>7.1</v>
      </c>
      <c r="E6764" s="2">
        <v>1992.0</v>
      </c>
      <c r="F6764" s="2" t="s">
        <v>10</v>
      </c>
      <c r="G6764" s="2" t="s">
        <v>10</v>
      </c>
    </row>
    <row r="6765" ht="14.25" customHeight="1">
      <c r="A6765" s="1" t="s">
        <v>5776</v>
      </c>
      <c r="B6765" s="1" t="s">
        <v>20</v>
      </c>
      <c r="C6765" s="2" t="s">
        <v>118</v>
      </c>
      <c r="D6765" s="2">
        <v>7.1</v>
      </c>
      <c r="E6765" s="2">
        <v>1998.0</v>
      </c>
      <c r="F6765" s="2" t="s">
        <v>10</v>
      </c>
      <c r="G6765" s="2" t="s">
        <v>10</v>
      </c>
    </row>
    <row r="6766" ht="14.25" customHeight="1">
      <c r="A6766" s="1" t="s">
        <v>5777</v>
      </c>
      <c r="B6766" s="1" t="s">
        <v>20</v>
      </c>
      <c r="C6766" s="2" t="s">
        <v>3155</v>
      </c>
      <c r="D6766" s="2">
        <v>7.1</v>
      </c>
      <c r="E6766" s="2">
        <v>2006.0</v>
      </c>
      <c r="F6766" s="2" t="s">
        <v>10</v>
      </c>
      <c r="G6766" s="2" t="s">
        <v>10</v>
      </c>
    </row>
    <row r="6767" ht="14.25" customHeight="1">
      <c r="A6767" s="1" t="s">
        <v>5778</v>
      </c>
      <c r="B6767" s="1" t="s">
        <v>20</v>
      </c>
      <c r="C6767" s="2" t="s">
        <v>1187</v>
      </c>
      <c r="D6767" s="2">
        <v>7.1</v>
      </c>
      <c r="E6767" s="2">
        <v>2003.0</v>
      </c>
      <c r="F6767" s="2" t="s">
        <v>10</v>
      </c>
      <c r="G6767" s="2" t="s">
        <v>10</v>
      </c>
    </row>
    <row r="6768" ht="14.25" customHeight="1">
      <c r="A6768" s="1" t="s">
        <v>5779</v>
      </c>
      <c r="B6768" s="1" t="s">
        <v>20</v>
      </c>
      <c r="C6768" s="2" t="s">
        <v>5780</v>
      </c>
      <c r="D6768" s="2">
        <v>7.1</v>
      </c>
      <c r="E6768" s="2">
        <v>2016.0</v>
      </c>
      <c r="F6768" s="2" t="s">
        <v>10</v>
      </c>
      <c r="G6768" s="2" t="s">
        <v>10</v>
      </c>
    </row>
    <row r="6769" ht="14.25" customHeight="1">
      <c r="A6769" s="1" t="s">
        <v>5781</v>
      </c>
      <c r="B6769" s="1" t="s">
        <v>20</v>
      </c>
      <c r="C6769" s="2" t="s">
        <v>5302</v>
      </c>
      <c r="D6769" s="2">
        <v>7.1</v>
      </c>
      <c r="E6769" s="2">
        <v>1998.0</v>
      </c>
      <c r="F6769" s="2" t="s">
        <v>10</v>
      </c>
      <c r="G6769" s="2" t="s">
        <v>10</v>
      </c>
    </row>
    <row r="6770" ht="14.25" customHeight="1">
      <c r="A6770" s="1" t="s">
        <v>5782</v>
      </c>
      <c r="B6770" s="1" t="s">
        <v>20</v>
      </c>
      <c r="C6770" s="2" t="s">
        <v>796</v>
      </c>
      <c r="D6770" s="2">
        <v>7.1</v>
      </c>
      <c r="E6770" s="2">
        <v>2015.0</v>
      </c>
      <c r="F6770" s="2">
        <v>2015.0</v>
      </c>
      <c r="G6770" s="2" t="s">
        <v>10</v>
      </c>
    </row>
    <row r="6771" ht="14.25" customHeight="1">
      <c r="A6771" s="1" t="s">
        <v>5783</v>
      </c>
      <c r="B6771" s="1" t="s">
        <v>20</v>
      </c>
      <c r="C6771" s="2" t="s">
        <v>187</v>
      </c>
      <c r="D6771" s="2">
        <v>7.1</v>
      </c>
      <c r="E6771" s="2">
        <v>2008.0</v>
      </c>
      <c r="F6771" s="2" t="s">
        <v>10</v>
      </c>
      <c r="G6771" s="2" t="s">
        <v>10</v>
      </c>
    </row>
    <row r="6772" ht="14.25" customHeight="1">
      <c r="A6772" s="1" t="s">
        <v>5784</v>
      </c>
      <c r="B6772" s="1" t="s">
        <v>20</v>
      </c>
      <c r="C6772" s="2" t="s">
        <v>3155</v>
      </c>
      <c r="D6772" s="2">
        <v>7.1</v>
      </c>
      <c r="E6772" s="2">
        <v>2012.0</v>
      </c>
      <c r="F6772" s="2" t="s">
        <v>10</v>
      </c>
      <c r="G6772" s="2" t="s">
        <v>10</v>
      </c>
    </row>
    <row r="6773" ht="14.25" customHeight="1">
      <c r="A6773" s="1" t="s">
        <v>5785</v>
      </c>
      <c r="B6773" s="1" t="s">
        <v>20</v>
      </c>
      <c r="C6773" s="2" t="s">
        <v>63</v>
      </c>
      <c r="D6773" s="2">
        <v>7.1</v>
      </c>
      <c r="E6773" s="2">
        <v>1993.0</v>
      </c>
      <c r="F6773" s="2" t="s">
        <v>10</v>
      </c>
      <c r="G6773" s="2" t="s">
        <v>10</v>
      </c>
    </row>
    <row r="6774" ht="14.25" customHeight="1">
      <c r="A6774" s="1" t="s">
        <v>5786</v>
      </c>
      <c r="B6774" s="1" t="s">
        <v>20</v>
      </c>
      <c r="C6774" s="2" t="s">
        <v>792</v>
      </c>
      <c r="D6774" s="2">
        <v>7.1</v>
      </c>
      <c r="E6774" s="2">
        <v>2002.0</v>
      </c>
      <c r="F6774" s="2" t="s">
        <v>10</v>
      </c>
      <c r="G6774" s="2" t="s">
        <v>10</v>
      </c>
    </row>
    <row r="6775" ht="14.25" customHeight="1">
      <c r="A6775" s="1" t="s">
        <v>5787</v>
      </c>
      <c r="B6775" s="1" t="s">
        <v>20</v>
      </c>
      <c r="C6775" s="2" t="s">
        <v>63</v>
      </c>
      <c r="D6775" s="2">
        <v>7.1</v>
      </c>
      <c r="E6775" s="2">
        <v>2015.0</v>
      </c>
      <c r="F6775" s="2" t="s">
        <v>10</v>
      </c>
      <c r="G6775" s="2" t="s">
        <v>10</v>
      </c>
    </row>
    <row r="6776" ht="14.25" customHeight="1">
      <c r="A6776" s="1" t="s">
        <v>5788</v>
      </c>
      <c r="B6776" s="1" t="s">
        <v>8</v>
      </c>
      <c r="C6776" s="2" t="s">
        <v>118</v>
      </c>
      <c r="D6776" s="2">
        <v>7.1</v>
      </c>
      <c r="E6776" s="2">
        <v>2003.0</v>
      </c>
      <c r="F6776" s="2" t="s">
        <v>10</v>
      </c>
      <c r="G6776" s="2" t="s">
        <v>10</v>
      </c>
    </row>
    <row r="6777" ht="14.25" customHeight="1">
      <c r="A6777" s="1" t="s">
        <v>5789</v>
      </c>
      <c r="B6777" s="1" t="s">
        <v>20</v>
      </c>
      <c r="C6777" s="2" t="s">
        <v>527</v>
      </c>
      <c r="D6777" s="2">
        <v>7.1</v>
      </c>
      <c r="E6777" s="2">
        <v>2012.0</v>
      </c>
      <c r="F6777" s="2" t="s">
        <v>10</v>
      </c>
      <c r="G6777" s="2" t="s">
        <v>10</v>
      </c>
    </row>
    <row r="6778" ht="14.25" customHeight="1">
      <c r="A6778" s="1" t="s">
        <v>5790</v>
      </c>
      <c r="B6778" s="1" t="s">
        <v>20</v>
      </c>
      <c r="C6778" s="2" t="s">
        <v>187</v>
      </c>
      <c r="D6778" s="2">
        <v>7.1</v>
      </c>
      <c r="E6778" s="2">
        <v>2008.0</v>
      </c>
      <c r="F6778" s="2" t="s">
        <v>10</v>
      </c>
      <c r="G6778" s="2" t="s">
        <v>10</v>
      </c>
    </row>
    <row r="6779" ht="14.25" customHeight="1">
      <c r="A6779" s="1" t="s">
        <v>5791</v>
      </c>
      <c r="B6779" s="1" t="s">
        <v>20</v>
      </c>
      <c r="C6779" s="2" t="s">
        <v>1013</v>
      </c>
      <c r="D6779" s="2">
        <v>7.1</v>
      </c>
      <c r="E6779" s="2">
        <v>2016.0</v>
      </c>
      <c r="F6779" s="2">
        <v>2016.0</v>
      </c>
      <c r="G6779" s="2" t="s">
        <v>10</v>
      </c>
    </row>
    <row r="6780" ht="14.25" customHeight="1">
      <c r="A6780" s="1" t="s">
        <v>3298</v>
      </c>
      <c r="B6780" s="1" t="s">
        <v>20</v>
      </c>
      <c r="C6780" s="2" t="s">
        <v>476</v>
      </c>
      <c r="D6780" s="2">
        <v>7.1</v>
      </c>
      <c r="E6780" s="2">
        <v>2020.0</v>
      </c>
      <c r="F6780" s="2" t="s">
        <v>10</v>
      </c>
      <c r="G6780" s="2">
        <v>6530000.0</v>
      </c>
    </row>
    <row r="6781" ht="14.25" customHeight="1">
      <c r="A6781" s="1" t="s">
        <v>5792</v>
      </c>
      <c r="B6781" s="1" t="s">
        <v>20</v>
      </c>
      <c r="C6781" s="2" t="s">
        <v>411</v>
      </c>
      <c r="D6781" s="2">
        <v>7.1</v>
      </c>
      <c r="E6781" s="2">
        <v>1987.0</v>
      </c>
      <c r="F6781" s="2" t="s">
        <v>10</v>
      </c>
      <c r="G6781" s="2" t="s">
        <v>10</v>
      </c>
    </row>
    <row r="6782" ht="14.25" customHeight="1">
      <c r="A6782" s="1" t="s">
        <v>5793</v>
      </c>
      <c r="B6782" s="1" t="s">
        <v>20</v>
      </c>
      <c r="C6782" s="2" t="s">
        <v>22</v>
      </c>
      <c r="D6782" s="2">
        <v>7.1</v>
      </c>
      <c r="E6782" s="2">
        <v>2008.0</v>
      </c>
      <c r="F6782" s="2" t="s">
        <v>10</v>
      </c>
      <c r="G6782" s="2" t="s">
        <v>10</v>
      </c>
    </row>
    <row r="6783" ht="14.25" customHeight="1">
      <c r="A6783" s="1" t="s">
        <v>5794</v>
      </c>
      <c r="B6783" s="1" t="s">
        <v>8</v>
      </c>
      <c r="C6783" s="2" t="s">
        <v>34</v>
      </c>
      <c r="D6783" s="2">
        <v>7.1</v>
      </c>
      <c r="E6783" s="2">
        <v>2021.0</v>
      </c>
      <c r="F6783" s="2" t="s">
        <v>10</v>
      </c>
      <c r="G6783" s="2" t="s">
        <v>10</v>
      </c>
    </row>
    <row r="6784" ht="14.25" customHeight="1">
      <c r="A6784" s="1" t="s">
        <v>5795</v>
      </c>
      <c r="B6784" s="1" t="s">
        <v>20</v>
      </c>
      <c r="C6784" s="2" t="s">
        <v>1046</v>
      </c>
      <c r="D6784" s="2">
        <v>7.1</v>
      </c>
      <c r="E6784" s="2">
        <v>1997.0</v>
      </c>
      <c r="F6784" s="2" t="s">
        <v>10</v>
      </c>
      <c r="G6784" s="2" t="s">
        <v>10</v>
      </c>
    </row>
    <row r="6785" ht="14.25" customHeight="1">
      <c r="A6785" s="1" t="s">
        <v>5796</v>
      </c>
      <c r="B6785" s="1" t="s">
        <v>20</v>
      </c>
      <c r="C6785" s="2" t="s">
        <v>1474</v>
      </c>
      <c r="D6785" s="2">
        <v>7.1</v>
      </c>
      <c r="E6785" s="2">
        <v>1990.0</v>
      </c>
      <c r="F6785" s="2" t="s">
        <v>10</v>
      </c>
      <c r="G6785" s="2" t="s">
        <v>10</v>
      </c>
    </row>
    <row r="6786" ht="14.25" customHeight="1">
      <c r="A6786" s="1" t="s">
        <v>5797</v>
      </c>
      <c r="B6786" s="1" t="s">
        <v>20</v>
      </c>
      <c r="C6786" s="2" t="s">
        <v>2301</v>
      </c>
      <c r="D6786" s="2">
        <v>7.1</v>
      </c>
      <c r="E6786" s="2">
        <v>2022.0</v>
      </c>
      <c r="F6786" s="2">
        <v>2021.0</v>
      </c>
      <c r="G6786" s="2">
        <v>2330000.0</v>
      </c>
    </row>
    <row r="6787" ht="14.25" customHeight="1">
      <c r="A6787" s="1" t="s">
        <v>5797</v>
      </c>
      <c r="B6787" s="1" t="s">
        <v>20</v>
      </c>
      <c r="C6787" s="2" t="s">
        <v>2301</v>
      </c>
      <c r="D6787" s="2">
        <v>7.1</v>
      </c>
      <c r="E6787" s="2">
        <v>2022.0</v>
      </c>
      <c r="F6787" s="2">
        <v>2021.0</v>
      </c>
      <c r="G6787" s="2">
        <v>1.427E7</v>
      </c>
    </row>
    <row r="6788" ht="14.25" customHeight="1">
      <c r="A6788" s="1" t="s">
        <v>5797</v>
      </c>
      <c r="B6788" s="1" t="s">
        <v>20</v>
      </c>
      <c r="C6788" s="2" t="s">
        <v>2301</v>
      </c>
      <c r="D6788" s="2">
        <v>7.1</v>
      </c>
      <c r="E6788" s="2">
        <v>2022.0</v>
      </c>
      <c r="F6788" s="2">
        <v>2021.0</v>
      </c>
      <c r="G6788" s="2">
        <v>1.344E7</v>
      </c>
    </row>
    <row r="6789" ht="14.25" customHeight="1">
      <c r="A6789" s="1" t="s">
        <v>5798</v>
      </c>
      <c r="B6789" s="1" t="s">
        <v>20</v>
      </c>
      <c r="C6789" s="2" t="s">
        <v>55</v>
      </c>
      <c r="D6789" s="2">
        <v>7.1</v>
      </c>
      <c r="E6789" s="2">
        <v>2013.0</v>
      </c>
      <c r="F6789" s="2">
        <v>2013.0</v>
      </c>
      <c r="G6789" s="2">
        <v>5200000.0</v>
      </c>
    </row>
    <row r="6790" ht="14.25" customHeight="1">
      <c r="A6790" s="1" t="s">
        <v>5798</v>
      </c>
      <c r="B6790" s="1" t="s">
        <v>20</v>
      </c>
      <c r="C6790" s="2" t="s">
        <v>55</v>
      </c>
      <c r="D6790" s="2">
        <v>7.1</v>
      </c>
      <c r="E6790" s="2">
        <v>2013.0</v>
      </c>
      <c r="F6790" s="2">
        <v>2013.0</v>
      </c>
      <c r="G6790" s="2">
        <v>6800000.0</v>
      </c>
    </row>
    <row r="6791" ht="14.25" customHeight="1">
      <c r="A6791" s="1" t="s">
        <v>5798</v>
      </c>
      <c r="B6791" s="1" t="s">
        <v>20</v>
      </c>
      <c r="C6791" s="2" t="s">
        <v>55</v>
      </c>
      <c r="D6791" s="2">
        <v>7.1</v>
      </c>
      <c r="E6791" s="2">
        <v>2013.0</v>
      </c>
      <c r="F6791" s="2">
        <v>2013.0</v>
      </c>
      <c r="G6791" s="2">
        <v>4280000.0</v>
      </c>
    </row>
    <row r="6792" ht="14.25" customHeight="1">
      <c r="A6792" s="1" t="s">
        <v>5798</v>
      </c>
      <c r="B6792" s="1" t="s">
        <v>20</v>
      </c>
      <c r="C6792" s="2" t="s">
        <v>55</v>
      </c>
      <c r="D6792" s="2">
        <v>7.1</v>
      </c>
      <c r="E6792" s="2">
        <v>2013.0</v>
      </c>
      <c r="F6792" s="2">
        <v>2013.0</v>
      </c>
      <c r="G6792" s="2">
        <v>8700000.0</v>
      </c>
    </row>
    <row r="6793" ht="14.25" customHeight="1">
      <c r="A6793" s="1" t="s">
        <v>5798</v>
      </c>
      <c r="B6793" s="1" t="s">
        <v>20</v>
      </c>
      <c r="C6793" s="2" t="s">
        <v>55</v>
      </c>
      <c r="D6793" s="2">
        <v>7.1</v>
      </c>
      <c r="E6793" s="2">
        <v>2013.0</v>
      </c>
      <c r="F6793" s="2">
        <v>2013.0</v>
      </c>
      <c r="G6793" s="2">
        <v>6560000.0</v>
      </c>
    </row>
    <row r="6794" ht="14.25" customHeight="1">
      <c r="A6794" s="1" t="s">
        <v>5798</v>
      </c>
      <c r="B6794" s="1" t="s">
        <v>20</v>
      </c>
      <c r="C6794" s="2" t="s">
        <v>55</v>
      </c>
      <c r="D6794" s="2">
        <v>7.1</v>
      </c>
      <c r="E6794" s="2">
        <v>2013.0</v>
      </c>
      <c r="F6794" s="2">
        <v>2013.0</v>
      </c>
      <c r="G6794" s="2">
        <v>1.586E7</v>
      </c>
    </row>
    <row r="6795" ht="14.25" customHeight="1">
      <c r="A6795" s="1" t="s">
        <v>5798</v>
      </c>
      <c r="B6795" s="1" t="s">
        <v>20</v>
      </c>
      <c r="C6795" s="2" t="s">
        <v>55</v>
      </c>
      <c r="D6795" s="2">
        <v>7.1</v>
      </c>
      <c r="E6795" s="2">
        <v>2013.0</v>
      </c>
      <c r="F6795" s="2">
        <v>2013.0</v>
      </c>
      <c r="G6795" s="2">
        <v>1.344E7</v>
      </c>
    </row>
    <row r="6796" ht="14.25" customHeight="1">
      <c r="A6796" s="1" t="s">
        <v>5799</v>
      </c>
      <c r="B6796" s="1" t="s">
        <v>20</v>
      </c>
      <c r="C6796" s="2" t="s">
        <v>1784</v>
      </c>
      <c r="D6796" s="2">
        <v>7.1</v>
      </c>
      <c r="E6796" s="2">
        <v>1998.0</v>
      </c>
      <c r="F6796" s="2" t="s">
        <v>10</v>
      </c>
      <c r="G6796" s="2" t="s">
        <v>10</v>
      </c>
    </row>
    <row r="6797" ht="14.25" customHeight="1">
      <c r="A6797" s="1" t="s">
        <v>5800</v>
      </c>
      <c r="B6797" s="1" t="s">
        <v>20</v>
      </c>
      <c r="C6797" s="2" t="s">
        <v>825</v>
      </c>
      <c r="D6797" s="2">
        <v>7.1</v>
      </c>
      <c r="E6797" s="2">
        <v>2015.0</v>
      </c>
      <c r="F6797" s="2" t="s">
        <v>10</v>
      </c>
      <c r="G6797" s="2" t="s">
        <v>10</v>
      </c>
    </row>
    <row r="6798" ht="14.25" customHeight="1">
      <c r="A6798" s="1" t="s">
        <v>5801</v>
      </c>
      <c r="B6798" s="1" t="s">
        <v>20</v>
      </c>
      <c r="C6798" s="2" t="s">
        <v>262</v>
      </c>
      <c r="D6798" s="2">
        <v>7.1</v>
      </c>
      <c r="E6798" s="2">
        <v>2006.0</v>
      </c>
      <c r="F6798" s="2" t="s">
        <v>10</v>
      </c>
      <c r="G6798" s="2" t="s">
        <v>10</v>
      </c>
    </row>
    <row r="6799" ht="14.25" customHeight="1">
      <c r="A6799" s="1" t="s">
        <v>5802</v>
      </c>
      <c r="B6799" s="1" t="s">
        <v>20</v>
      </c>
      <c r="C6799" s="2" t="s">
        <v>299</v>
      </c>
      <c r="D6799" s="2">
        <v>7.1</v>
      </c>
      <c r="E6799" s="2">
        <v>2011.0</v>
      </c>
      <c r="F6799" s="2" t="s">
        <v>10</v>
      </c>
      <c r="G6799" s="2" t="s">
        <v>10</v>
      </c>
    </row>
    <row r="6800" ht="14.25" customHeight="1">
      <c r="A6800" s="1" t="s">
        <v>5803</v>
      </c>
      <c r="B6800" s="1" t="s">
        <v>20</v>
      </c>
      <c r="C6800" s="2" t="s">
        <v>118</v>
      </c>
      <c r="D6800" s="2">
        <v>7.1</v>
      </c>
      <c r="E6800" s="2">
        <v>1988.0</v>
      </c>
      <c r="F6800" s="2" t="s">
        <v>10</v>
      </c>
      <c r="G6800" s="2" t="s">
        <v>10</v>
      </c>
    </row>
    <row r="6801" ht="14.25" customHeight="1">
      <c r="A6801" s="1" t="s">
        <v>5804</v>
      </c>
      <c r="B6801" s="1" t="s">
        <v>20</v>
      </c>
      <c r="C6801" s="2" t="s">
        <v>468</v>
      </c>
      <c r="D6801" s="2">
        <v>7.1</v>
      </c>
      <c r="E6801" s="2">
        <v>1992.0</v>
      </c>
      <c r="F6801" s="2">
        <v>1992.0</v>
      </c>
      <c r="G6801" s="2" t="s">
        <v>10</v>
      </c>
    </row>
    <row r="6802" ht="14.25" customHeight="1">
      <c r="A6802" s="1" t="s">
        <v>5805</v>
      </c>
      <c r="B6802" s="1" t="s">
        <v>20</v>
      </c>
      <c r="C6802" s="2" t="s">
        <v>55</v>
      </c>
      <c r="D6802" s="2">
        <v>7.1</v>
      </c>
      <c r="E6802" s="2">
        <v>2007.0</v>
      </c>
      <c r="F6802" s="2" t="s">
        <v>10</v>
      </c>
      <c r="G6802" s="2" t="s">
        <v>10</v>
      </c>
    </row>
    <row r="6803" ht="14.25" customHeight="1">
      <c r="A6803" s="1" t="s">
        <v>5806</v>
      </c>
      <c r="B6803" s="1" t="s">
        <v>20</v>
      </c>
      <c r="C6803" s="2" t="s">
        <v>291</v>
      </c>
      <c r="D6803" s="2">
        <v>7.1</v>
      </c>
      <c r="E6803" s="2">
        <v>2021.0</v>
      </c>
      <c r="F6803" s="2" t="s">
        <v>10</v>
      </c>
      <c r="G6803" s="2" t="s">
        <v>10</v>
      </c>
    </row>
    <row r="6804" ht="14.25" customHeight="1">
      <c r="A6804" s="1" t="s">
        <v>5807</v>
      </c>
      <c r="B6804" s="1" t="s">
        <v>20</v>
      </c>
      <c r="C6804" s="2" t="s">
        <v>55</v>
      </c>
      <c r="D6804" s="2">
        <v>7.1</v>
      </c>
      <c r="E6804" s="2">
        <v>2000.0</v>
      </c>
      <c r="F6804" s="2" t="s">
        <v>10</v>
      </c>
      <c r="G6804" s="2" t="s">
        <v>10</v>
      </c>
    </row>
    <row r="6805" ht="14.25" customHeight="1">
      <c r="A6805" s="1" t="s">
        <v>5808</v>
      </c>
      <c r="B6805" s="1" t="s">
        <v>20</v>
      </c>
      <c r="C6805" s="2" t="s">
        <v>217</v>
      </c>
      <c r="D6805" s="2">
        <v>7.1</v>
      </c>
      <c r="E6805" s="2">
        <v>2017.0</v>
      </c>
      <c r="F6805" s="2" t="s">
        <v>10</v>
      </c>
      <c r="G6805" s="2">
        <v>9300000.0</v>
      </c>
    </row>
    <row r="6806" ht="14.25" customHeight="1">
      <c r="A6806" s="1" t="s">
        <v>5809</v>
      </c>
      <c r="B6806" s="1" t="s">
        <v>20</v>
      </c>
      <c r="C6806" s="2" t="s">
        <v>446</v>
      </c>
      <c r="D6806" s="2">
        <v>7.1</v>
      </c>
      <c r="E6806" s="2">
        <v>1987.0</v>
      </c>
      <c r="F6806" s="2" t="s">
        <v>10</v>
      </c>
      <c r="G6806" s="2" t="s">
        <v>10</v>
      </c>
    </row>
    <row r="6807" ht="14.25" customHeight="1">
      <c r="A6807" s="1" t="s">
        <v>5810</v>
      </c>
      <c r="B6807" s="1" t="s">
        <v>20</v>
      </c>
      <c r="C6807" s="2" t="s">
        <v>169</v>
      </c>
      <c r="D6807" s="2">
        <v>7.1</v>
      </c>
      <c r="E6807" s="2">
        <v>2015.0</v>
      </c>
      <c r="F6807" s="2">
        <v>2015.0</v>
      </c>
      <c r="G6807" s="2" t="s">
        <v>10</v>
      </c>
    </row>
    <row r="6808" ht="14.25" customHeight="1">
      <c r="A6808" s="1" t="s">
        <v>5811</v>
      </c>
      <c r="B6808" s="1" t="s">
        <v>20</v>
      </c>
      <c r="C6808" s="2" t="s">
        <v>69</v>
      </c>
      <c r="D6808" s="2">
        <v>7.1</v>
      </c>
      <c r="E6808" s="2">
        <v>1995.0</v>
      </c>
      <c r="F6808" s="2" t="s">
        <v>10</v>
      </c>
      <c r="G6808" s="2" t="s">
        <v>10</v>
      </c>
    </row>
    <row r="6809" ht="14.25" customHeight="1">
      <c r="A6809" s="1" t="s">
        <v>5812</v>
      </c>
      <c r="B6809" s="1" t="s">
        <v>20</v>
      </c>
      <c r="C6809" s="2" t="s">
        <v>838</v>
      </c>
      <c r="D6809" s="2">
        <v>7.1</v>
      </c>
      <c r="E6809" s="2">
        <v>2011.0</v>
      </c>
      <c r="F6809" s="2" t="s">
        <v>10</v>
      </c>
      <c r="G6809" s="2" t="s">
        <v>10</v>
      </c>
    </row>
    <row r="6810" ht="14.25" customHeight="1">
      <c r="A6810" s="1" t="s">
        <v>5813</v>
      </c>
      <c r="B6810" s="1" t="s">
        <v>20</v>
      </c>
      <c r="C6810" s="2" t="s">
        <v>53</v>
      </c>
      <c r="D6810" s="2">
        <v>7.1</v>
      </c>
      <c r="E6810" s="2">
        <v>2013.0</v>
      </c>
      <c r="F6810" s="2" t="s">
        <v>10</v>
      </c>
      <c r="G6810" s="2" t="s">
        <v>10</v>
      </c>
    </row>
    <row r="6811" ht="14.25" customHeight="1">
      <c r="A6811" s="1" t="s">
        <v>5814</v>
      </c>
      <c r="B6811" s="1" t="s">
        <v>20</v>
      </c>
      <c r="C6811" s="2" t="s">
        <v>25</v>
      </c>
      <c r="D6811" s="2">
        <v>7.1</v>
      </c>
      <c r="E6811" s="2">
        <v>2016.0</v>
      </c>
      <c r="F6811" s="2" t="s">
        <v>10</v>
      </c>
      <c r="G6811" s="2">
        <v>5750000.0</v>
      </c>
    </row>
    <row r="6812" ht="14.25" customHeight="1">
      <c r="A6812" s="1" t="s">
        <v>5814</v>
      </c>
      <c r="B6812" s="1" t="s">
        <v>20</v>
      </c>
      <c r="C6812" s="2" t="s">
        <v>25</v>
      </c>
      <c r="D6812" s="2">
        <v>7.1</v>
      </c>
      <c r="E6812" s="2">
        <v>2016.0</v>
      </c>
      <c r="F6812" s="2" t="s">
        <v>10</v>
      </c>
      <c r="G6812" s="2">
        <v>8870000.0</v>
      </c>
    </row>
    <row r="6813" ht="14.25" customHeight="1">
      <c r="A6813" s="1" t="s">
        <v>5814</v>
      </c>
      <c r="B6813" s="1" t="s">
        <v>20</v>
      </c>
      <c r="C6813" s="2" t="s">
        <v>25</v>
      </c>
      <c r="D6813" s="2">
        <v>7.1</v>
      </c>
      <c r="E6813" s="2">
        <v>2016.0</v>
      </c>
      <c r="F6813" s="2" t="s">
        <v>10</v>
      </c>
      <c r="G6813" s="2">
        <v>7690000.0</v>
      </c>
    </row>
    <row r="6814" ht="14.25" customHeight="1">
      <c r="A6814" s="1" t="s">
        <v>5815</v>
      </c>
      <c r="B6814" s="1" t="s">
        <v>20</v>
      </c>
      <c r="C6814" s="2" t="s">
        <v>756</v>
      </c>
      <c r="D6814" s="2">
        <v>7.1</v>
      </c>
      <c r="E6814" s="2">
        <v>2016.0</v>
      </c>
      <c r="F6814" s="2" t="s">
        <v>10</v>
      </c>
      <c r="G6814" s="2">
        <v>6500000.0</v>
      </c>
    </row>
    <row r="6815" ht="14.25" customHeight="1">
      <c r="A6815" s="1" t="s">
        <v>5815</v>
      </c>
      <c r="B6815" s="1" t="s">
        <v>20</v>
      </c>
      <c r="C6815" s="2" t="s">
        <v>756</v>
      </c>
      <c r="D6815" s="2">
        <v>7.1</v>
      </c>
      <c r="E6815" s="2">
        <v>2016.0</v>
      </c>
      <c r="F6815" s="2" t="s">
        <v>10</v>
      </c>
      <c r="G6815" s="2">
        <v>5320000.0</v>
      </c>
    </row>
    <row r="6816" ht="14.25" customHeight="1">
      <c r="A6816" s="1" t="s">
        <v>5815</v>
      </c>
      <c r="B6816" s="1" t="s">
        <v>20</v>
      </c>
      <c r="C6816" s="2" t="s">
        <v>756</v>
      </c>
      <c r="D6816" s="2">
        <v>7.1</v>
      </c>
      <c r="E6816" s="2">
        <v>2016.0</v>
      </c>
      <c r="F6816" s="2" t="s">
        <v>10</v>
      </c>
      <c r="G6816" s="2">
        <v>7090000.0</v>
      </c>
    </row>
    <row r="6817" ht="14.25" customHeight="1">
      <c r="A6817" s="1" t="s">
        <v>5815</v>
      </c>
      <c r="B6817" s="1" t="s">
        <v>20</v>
      </c>
      <c r="C6817" s="2" t="s">
        <v>756</v>
      </c>
      <c r="D6817" s="2">
        <v>7.1</v>
      </c>
      <c r="E6817" s="2">
        <v>2016.0</v>
      </c>
      <c r="F6817" s="2" t="s">
        <v>10</v>
      </c>
      <c r="G6817" s="2">
        <v>1.04E7</v>
      </c>
    </row>
    <row r="6818" ht="14.25" customHeight="1">
      <c r="A6818" s="1" t="s">
        <v>5815</v>
      </c>
      <c r="B6818" s="1" t="s">
        <v>20</v>
      </c>
      <c r="C6818" s="2" t="s">
        <v>756</v>
      </c>
      <c r="D6818" s="2">
        <v>7.1</v>
      </c>
      <c r="E6818" s="2">
        <v>2016.0</v>
      </c>
      <c r="F6818" s="2" t="s">
        <v>10</v>
      </c>
      <c r="G6818" s="2">
        <v>9560000.0</v>
      </c>
    </row>
    <row r="6819" ht="14.25" customHeight="1">
      <c r="A6819" s="1" t="s">
        <v>5815</v>
      </c>
      <c r="B6819" s="1" t="s">
        <v>20</v>
      </c>
      <c r="C6819" s="2" t="s">
        <v>756</v>
      </c>
      <c r="D6819" s="2">
        <v>7.1</v>
      </c>
      <c r="E6819" s="2">
        <v>2016.0</v>
      </c>
      <c r="F6819" s="2" t="s">
        <v>10</v>
      </c>
      <c r="G6819" s="2">
        <v>5420000.0</v>
      </c>
    </row>
    <row r="6820" ht="14.25" customHeight="1">
      <c r="A6820" s="1" t="s">
        <v>5815</v>
      </c>
      <c r="B6820" s="1" t="s">
        <v>20</v>
      </c>
      <c r="C6820" s="2" t="s">
        <v>756</v>
      </c>
      <c r="D6820" s="2">
        <v>7.1</v>
      </c>
      <c r="E6820" s="2">
        <v>2016.0</v>
      </c>
      <c r="F6820" s="2" t="s">
        <v>10</v>
      </c>
      <c r="G6820" s="2">
        <v>7300000.0</v>
      </c>
    </row>
    <row r="6821" ht="14.25" customHeight="1">
      <c r="A6821" s="1" t="s">
        <v>5815</v>
      </c>
      <c r="B6821" s="1" t="s">
        <v>20</v>
      </c>
      <c r="C6821" s="2" t="s">
        <v>756</v>
      </c>
      <c r="D6821" s="2">
        <v>7.1</v>
      </c>
      <c r="E6821" s="2">
        <v>2016.0</v>
      </c>
      <c r="F6821" s="2" t="s">
        <v>10</v>
      </c>
      <c r="G6821" s="2">
        <v>1.231E7</v>
      </c>
    </row>
    <row r="6822" ht="14.25" customHeight="1">
      <c r="A6822" s="1" t="s">
        <v>5815</v>
      </c>
      <c r="B6822" s="1" t="s">
        <v>20</v>
      </c>
      <c r="C6822" s="2" t="s">
        <v>756</v>
      </c>
      <c r="D6822" s="2">
        <v>7.1</v>
      </c>
      <c r="E6822" s="2">
        <v>2016.0</v>
      </c>
      <c r="F6822" s="2" t="s">
        <v>10</v>
      </c>
      <c r="G6822" s="2">
        <v>8420000.0</v>
      </c>
    </row>
    <row r="6823" ht="14.25" customHeight="1">
      <c r="A6823" s="1" t="s">
        <v>5816</v>
      </c>
      <c r="B6823" s="1" t="s">
        <v>20</v>
      </c>
      <c r="C6823" s="2" t="s">
        <v>187</v>
      </c>
      <c r="D6823" s="2">
        <v>7.1</v>
      </c>
      <c r="E6823" s="2">
        <v>2002.0</v>
      </c>
      <c r="F6823" s="2">
        <v>2002.0</v>
      </c>
      <c r="G6823" s="2" t="s">
        <v>10</v>
      </c>
    </row>
    <row r="6824" ht="14.25" customHeight="1">
      <c r="A6824" s="1" t="s">
        <v>5817</v>
      </c>
      <c r="B6824" s="1" t="s">
        <v>20</v>
      </c>
      <c r="C6824" s="2" t="s">
        <v>44</v>
      </c>
      <c r="D6824" s="2">
        <v>7.1</v>
      </c>
      <c r="E6824" s="2">
        <v>2012.0</v>
      </c>
      <c r="F6824" s="2">
        <v>2012.0</v>
      </c>
      <c r="G6824" s="2" t="s">
        <v>10</v>
      </c>
    </row>
    <row r="6825" ht="14.25" customHeight="1">
      <c r="A6825" s="1" t="s">
        <v>5818</v>
      </c>
      <c r="B6825" s="1" t="s">
        <v>20</v>
      </c>
      <c r="C6825" s="2" t="s">
        <v>5773</v>
      </c>
      <c r="D6825" s="2">
        <v>7.1</v>
      </c>
      <c r="E6825" s="2">
        <v>2024.0</v>
      </c>
      <c r="F6825" s="2" t="s">
        <v>10</v>
      </c>
      <c r="G6825" s="2" t="s">
        <v>10</v>
      </c>
    </row>
    <row r="6826" ht="14.25" customHeight="1">
      <c r="A6826" s="1" t="s">
        <v>5819</v>
      </c>
      <c r="B6826" s="1" t="s">
        <v>20</v>
      </c>
      <c r="C6826" s="2" t="s">
        <v>14</v>
      </c>
      <c r="D6826" s="2">
        <v>7.1</v>
      </c>
      <c r="E6826" s="2">
        <v>2016.0</v>
      </c>
      <c r="F6826" s="2" t="s">
        <v>10</v>
      </c>
      <c r="G6826" s="2" t="s">
        <v>10</v>
      </c>
    </row>
    <row r="6827" ht="14.25" customHeight="1">
      <c r="A6827" s="1" t="s">
        <v>5820</v>
      </c>
      <c r="B6827" s="1" t="s">
        <v>20</v>
      </c>
      <c r="C6827" s="2" t="s">
        <v>1784</v>
      </c>
      <c r="D6827" s="2">
        <v>7.1</v>
      </c>
      <c r="E6827" s="2">
        <v>2022.0</v>
      </c>
      <c r="F6827" s="2" t="s">
        <v>10</v>
      </c>
      <c r="G6827" s="2" t="s">
        <v>10</v>
      </c>
    </row>
    <row r="6828" ht="14.25" customHeight="1">
      <c r="A6828" s="1" t="s">
        <v>5821</v>
      </c>
      <c r="B6828" s="1" t="s">
        <v>20</v>
      </c>
      <c r="C6828" s="2" t="s">
        <v>845</v>
      </c>
      <c r="D6828" s="2">
        <v>7.1</v>
      </c>
      <c r="E6828" s="2">
        <v>1999.0</v>
      </c>
      <c r="F6828" s="2" t="s">
        <v>10</v>
      </c>
      <c r="G6828" s="2" t="s">
        <v>10</v>
      </c>
    </row>
    <row r="6829" ht="14.25" customHeight="1">
      <c r="A6829" s="1" t="s">
        <v>5822</v>
      </c>
      <c r="B6829" s="1" t="s">
        <v>20</v>
      </c>
      <c r="C6829" s="2" t="s">
        <v>187</v>
      </c>
      <c r="D6829" s="2">
        <v>7.1</v>
      </c>
      <c r="E6829" s="2">
        <v>2008.0</v>
      </c>
      <c r="F6829" s="2" t="s">
        <v>10</v>
      </c>
      <c r="G6829" s="2" t="s">
        <v>10</v>
      </c>
    </row>
    <row r="6830" ht="14.25" customHeight="1">
      <c r="A6830" s="1" t="s">
        <v>5823</v>
      </c>
      <c r="B6830" s="1" t="s">
        <v>20</v>
      </c>
      <c r="C6830" s="2" t="s">
        <v>69</v>
      </c>
      <c r="D6830" s="2">
        <v>7.1</v>
      </c>
      <c r="E6830" s="2">
        <v>2018.0</v>
      </c>
      <c r="F6830" s="2" t="s">
        <v>10</v>
      </c>
      <c r="G6830" s="2" t="s">
        <v>10</v>
      </c>
    </row>
    <row r="6831" ht="14.25" customHeight="1">
      <c r="A6831" s="1" t="s">
        <v>5824</v>
      </c>
      <c r="B6831" s="1" t="s">
        <v>20</v>
      </c>
      <c r="C6831" s="2" t="s">
        <v>239</v>
      </c>
      <c r="D6831" s="2">
        <v>7.1</v>
      </c>
      <c r="E6831" s="2">
        <v>2016.0</v>
      </c>
      <c r="F6831" s="2" t="s">
        <v>10</v>
      </c>
      <c r="G6831" s="2" t="s">
        <v>10</v>
      </c>
    </row>
    <row r="6832" ht="14.25" customHeight="1">
      <c r="A6832" s="1" t="s">
        <v>5212</v>
      </c>
      <c r="B6832" s="1" t="s">
        <v>20</v>
      </c>
      <c r="C6832" s="2" t="s">
        <v>2363</v>
      </c>
      <c r="D6832" s="2">
        <v>7.1</v>
      </c>
      <c r="E6832" s="2">
        <v>2022.0</v>
      </c>
      <c r="F6832" s="2" t="s">
        <v>10</v>
      </c>
      <c r="G6832" s="2" t="s">
        <v>10</v>
      </c>
    </row>
    <row r="6833" ht="14.25" customHeight="1">
      <c r="A6833" s="1" t="s">
        <v>5825</v>
      </c>
      <c r="B6833" s="1" t="s">
        <v>20</v>
      </c>
      <c r="C6833" s="2" t="s">
        <v>291</v>
      </c>
      <c r="D6833" s="2">
        <v>7.1</v>
      </c>
      <c r="E6833" s="2">
        <v>2001.0</v>
      </c>
      <c r="F6833" s="2" t="s">
        <v>10</v>
      </c>
      <c r="G6833" s="2" t="s">
        <v>10</v>
      </c>
    </row>
    <row r="6834" ht="14.25" customHeight="1">
      <c r="A6834" s="1" t="s">
        <v>5826</v>
      </c>
      <c r="B6834" s="1" t="s">
        <v>20</v>
      </c>
      <c r="C6834" s="2" t="s">
        <v>187</v>
      </c>
      <c r="D6834" s="2">
        <v>7.1</v>
      </c>
      <c r="E6834" s="2">
        <v>1994.0</v>
      </c>
      <c r="F6834" s="2">
        <v>1994.0</v>
      </c>
      <c r="G6834" s="2" t="s">
        <v>10</v>
      </c>
    </row>
    <row r="6835" ht="14.25" customHeight="1">
      <c r="A6835" s="1" t="s">
        <v>5827</v>
      </c>
      <c r="B6835" s="1" t="s">
        <v>20</v>
      </c>
      <c r="C6835" s="2" t="s">
        <v>53</v>
      </c>
      <c r="D6835" s="2">
        <v>7.1</v>
      </c>
      <c r="E6835" s="2">
        <v>2018.0</v>
      </c>
      <c r="F6835" s="2" t="s">
        <v>10</v>
      </c>
      <c r="G6835" s="2" t="s">
        <v>10</v>
      </c>
    </row>
    <row r="6836" ht="14.25" customHeight="1">
      <c r="A6836" s="1" t="s">
        <v>1005</v>
      </c>
      <c r="B6836" s="1" t="s">
        <v>20</v>
      </c>
      <c r="C6836" s="2" t="s">
        <v>53</v>
      </c>
      <c r="D6836" s="2">
        <v>7.1</v>
      </c>
      <c r="E6836" s="2">
        <v>2009.0</v>
      </c>
      <c r="F6836" s="2">
        <v>2009.0</v>
      </c>
      <c r="G6836" s="2" t="s">
        <v>10</v>
      </c>
    </row>
    <row r="6837" ht="14.25" customHeight="1">
      <c r="A6837" s="1" t="s">
        <v>5828</v>
      </c>
      <c r="B6837" s="1" t="s">
        <v>20</v>
      </c>
      <c r="C6837" s="2" t="s">
        <v>18</v>
      </c>
      <c r="D6837" s="2">
        <v>7.1</v>
      </c>
      <c r="E6837" s="2">
        <v>2013.0</v>
      </c>
      <c r="F6837" s="2">
        <v>2013.0</v>
      </c>
      <c r="G6837" s="2" t="s">
        <v>10</v>
      </c>
    </row>
    <row r="6838" ht="14.25" customHeight="1">
      <c r="A6838" s="1" t="s">
        <v>5829</v>
      </c>
      <c r="B6838" s="1" t="s">
        <v>20</v>
      </c>
      <c r="C6838" s="2" t="s">
        <v>151</v>
      </c>
      <c r="D6838" s="2">
        <v>7.1</v>
      </c>
      <c r="E6838" s="2">
        <v>1981.0</v>
      </c>
      <c r="F6838" s="2" t="s">
        <v>10</v>
      </c>
      <c r="G6838" s="2" t="s">
        <v>10</v>
      </c>
    </row>
    <row r="6839" ht="14.25" customHeight="1">
      <c r="A6839" s="1" t="s">
        <v>2972</v>
      </c>
      <c r="B6839" s="1" t="s">
        <v>20</v>
      </c>
      <c r="C6839" s="2" t="s">
        <v>284</v>
      </c>
      <c r="D6839" s="2">
        <v>7.1</v>
      </c>
      <c r="E6839" s="2">
        <v>2009.0</v>
      </c>
      <c r="F6839" s="2">
        <v>2009.0</v>
      </c>
      <c r="G6839" s="2" t="s">
        <v>10</v>
      </c>
    </row>
    <row r="6840" ht="14.25" customHeight="1">
      <c r="A6840" s="1" t="s">
        <v>5830</v>
      </c>
      <c r="B6840" s="1" t="s">
        <v>20</v>
      </c>
      <c r="C6840" s="2" t="s">
        <v>118</v>
      </c>
      <c r="D6840" s="2">
        <v>7.1</v>
      </c>
      <c r="E6840" s="2">
        <v>2014.0</v>
      </c>
      <c r="F6840" s="2">
        <v>2014.0</v>
      </c>
      <c r="G6840" s="2" t="s">
        <v>10</v>
      </c>
    </row>
    <row r="6841" ht="14.25" customHeight="1">
      <c r="A6841" s="1" t="s">
        <v>5831</v>
      </c>
      <c r="B6841" s="1" t="s">
        <v>20</v>
      </c>
      <c r="C6841" s="2" t="s">
        <v>546</v>
      </c>
      <c r="D6841" s="2">
        <v>7.1</v>
      </c>
      <c r="E6841" s="2">
        <v>2018.0</v>
      </c>
      <c r="F6841" s="2" t="s">
        <v>10</v>
      </c>
      <c r="G6841" s="2" t="s">
        <v>10</v>
      </c>
    </row>
    <row r="6842" ht="14.25" customHeight="1">
      <c r="A6842" s="1" t="s">
        <v>5832</v>
      </c>
      <c r="B6842" s="1" t="s">
        <v>20</v>
      </c>
      <c r="C6842" s="2" t="s">
        <v>825</v>
      </c>
      <c r="D6842" s="2">
        <v>7.1</v>
      </c>
      <c r="E6842" s="2">
        <v>1997.0</v>
      </c>
      <c r="F6842" s="2" t="s">
        <v>10</v>
      </c>
      <c r="G6842" s="2" t="s">
        <v>10</v>
      </c>
    </row>
    <row r="6843" ht="14.25" customHeight="1">
      <c r="A6843" s="1" t="s">
        <v>5833</v>
      </c>
      <c r="B6843" s="1" t="s">
        <v>20</v>
      </c>
      <c r="C6843" s="2" t="s">
        <v>154</v>
      </c>
      <c r="D6843" s="2">
        <v>7.1</v>
      </c>
      <c r="E6843" s="2">
        <v>2010.0</v>
      </c>
      <c r="F6843" s="2">
        <v>2010.0</v>
      </c>
      <c r="G6843" s="2" t="s">
        <v>10</v>
      </c>
    </row>
    <row r="6844" ht="14.25" customHeight="1">
      <c r="A6844" s="1" t="s">
        <v>5834</v>
      </c>
      <c r="B6844" s="1" t="s">
        <v>20</v>
      </c>
      <c r="C6844" s="2" t="s">
        <v>9</v>
      </c>
      <c r="D6844" s="2">
        <v>7.1</v>
      </c>
      <c r="E6844" s="2">
        <v>2020.0</v>
      </c>
      <c r="F6844" s="2">
        <v>2020.0</v>
      </c>
      <c r="G6844" s="2" t="s">
        <v>10</v>
      </c>
    </row>
    <row r="6845" ht="14.25" customHeight="1">
      <c r="A6845" s="1" t="s">
        <v>5835</v>
      </c>
      <c r="B6845" s="1" t="s">
        <v>20</v>
      </c>
      <c r="C6845" s="2" t="s">
        <v>14</v>
      </c>
      <c r="D6845" s="2">
        <v>7.1</v>
      </c>
      <c r="E6845" s="2">
        <v>2008.0</v>
      </c>
      <c r="F6845" s="2">
        <v>2008.0</v>
      </c>
      <c r="G6845" s="2" t="s">
        <v>10</v>
      </c>
    </row>
    <row r="6846" ht="14.25" customHeight="1">
      <c r="A6846" s="1" t="s">
        <v>4075</v>
      </c>
      <c r="B6846" s="1" t="s">
        <v>20</v>
      </c>
      <c r="C6846" s="2" t="s">
        <v>863</v>
      </c>
      <c r="D6846" s="2">
        <v>7.1</v>
      </c>
      <c r="E6846" s="2">
        <v>2009.0</v>
      </c>
      <c r="F6846" s="2">
        <v>2015.0</v>
      </c>
      <c r="G6846" s="2" t="s">
        <v>10</v>
      </c>
    </row>
    <row r="6847" ht="14.25" customHeight="1">
      <c r="A6847" s="1" t="s">
        <v>5836</v>
      </c>
      <c r="B6847" s="1" t="s">
        <v>20</v>
      </c>
      <c r="C6847" s="2" t="s">
        <v>187</v>
      </c>
      <c r="D6847" s="2">
        <v>7.1</v>
      </c>
      <c r="E6847" s="2">
        <v>2021.0</v>
      </c>
      <c r="F6847" s="2" t="s">
        <v>10</v>
      </c>
      <c r="G6847" s="2" t="s">
        <v>10</v>
      </c>
    </row>
    <row r="6848" ht="14.25" customHeight="1">
      <c r="A6848" s="1" t="s">
        <v>5837</v>
      </c>
      <c r="B6848" s="1" t="s">
        <v>20</v>
      </c>
      <c r="C6848" s="2" t="s">
        <v>154</v>
      </c>
      <c r="D6848" s="2">
        <v>7.1</v>
      </c>
      <c r="E6848" s="2">
        <v>2010.0</v>
      </c>
      <c r="F6848" s="2" t="s">
        <v>10</v>
      </c>
      <c r="G6848" s="2" t="s">
        <v>10</v>
      </c>
    </row>
    <row r="6849" ht="14.25" customHeight="1">
      <c r="A6849" s="1" t="s">
        <v>5838</v>
      </c>
      <c r="B6849" s="1" t="s">
        <v>20</v>
      </c>
      <c r="C6849" s="2" t="s">
        <v>53</v>
      </c>
      <c r="D6849" s="2">
        <v>7.1</v>
      </c>
      <c r="E6849" s="2">
        <v>2010.0</v>
      </c>
      <c r="F6849" s="2">
        <v>2010.0</v>
      </c>
      <c r="G6849" s="2" t="s">
        <v>10</v>
      </c>
    </row>
    <row r="6850" ht="14.25" customHeight="1">
      <c r="A6850" s="1" t="s">
        <v>5839</v>
      </c>
      <c r="B6850" s="1" t="s">
        <v>20</v>
      </c>
      <c r="C6850" s="2" t="s">
        <v>187</v>
      </c>
      <c r="D6850" s="2">
        <v>7.1</v>
      </c>
      <c r="E6850" s="2">
        <v>2010.0</v>
      </c>
      <c r="F6850" s="2" t="s">
        <v>10</v>
      </c>
      <c r="G6850" s="2" t="s">
        <v>10</v>
      </c>
    </row>
    <row r="6851" ht="14.25" customHeight="1">
      <c r="A6851" s="1" t="s">
        <v>5840</v>
      </c>
      <c r="B6851" s="1" t="s">
        <v>20</v>
      </c>
      <c r="C6851" s="2" t="s">
        <v>299</v>
      </c>
      <c r="D6851" s="2">
        <v>7.1</v>
      </c>
      <c r="E6851" s="2">
        <v>2011.0</v>
      </c>
      <c r="F6851" s="2" t="s">
        <v>10</v>
      </c>
      <c r="G6851" s="2" t="s">
        <v>10</v>
      </c>
    </row>
    <row r="6852" ht="14.25" customHeight="1">
      <c r="A6852" s="1" t="s">
        <v>5841</v>
      </c>
      <c r="B6852" s="1" t="s">
        <v>20</v>
      </c>
      <c r="C6852" s="2" t="s">
        <v>69</v>
      </c>
      <c r="D6852" s="2">
        <v>7.1</v>
      </c>
      <c r="E6852" s="2">
        <v>1999.0</v>
      </c>
      <c r="F6852" s="2" t="s">
        <v>10</v>
      </c>
      <c r="G6852" s="2" t="s">
        <v>10</v>
      </c>
    </row>
    <row r="6853" ht="14.25" customHeight="1">
      <c r="A6853" s="1" t="s">
        <v>5842</v>
      </c>
      <c r="B6853" s="1" t="s">
        <v>20</v>
      </c>
      <c r="C6853" s="2" t="s">
        <v>9</v>
      </c>
      <c r="D6853" s="2">
        <v>7.1</v>
      </c>
      <c r="E6853" s="2">
        <v>2002.0</v>
      </c>
      <c r="F6853" s="2" t="s">
        <v>10</v>
      </c>
      <c r="G6853" s="2" t="s">
        <v>10</v>
      </c>
    </row>
    <row r="6854" ht="14.25" customHeight="1">
      <c r="A6854" s="1" t="s">
        <v>5843</v>
      </c>
      <c r="B6854" s="1" t="s">
        <v>20</v>
      </c>
      <c r="C6854" s="2" t="s">
        <v>187</v>
      </c>
      <c r="D6854" s="2">
        <v>7.1</v>
      </c>
      <c r="E6854" s="2">
        <v>2021.0</v>
      </c>
      <c r="F6854" s="2" t="s">
        <v>10</v>
      </c>
      <c r="G6854" s="2" t="s">
        <v>10</v>
      </c>
    </row>
    <row r="6855" ht="14.25" customHeight="1">
      <c r="A6855" s="1" t="s">
        <v>5844</v>
      </c>
      <c r="B6855" s="1" t="s">
        <v>20</v>
      </c>
      <c r="C6855" s="2" t="s">
        <v>825</v>
      </c>
      <c r="D6855" s="2">
        <v>7.1</v>
      </c>
      <c r="E6855" s="2">
        <v>2014.0</v>
      </c>
      <c r="F6855" s="2" t="s">
        <v>10</v>
      </c>
      <c r="G6855" s="2" t="s">
        <v>10</v>
      </c>
    </row>
    <row r="6856" ht="14.25" customHeight="1">
      <c r="A6856" s="1" t="s">
        <v>5845</v>
      </c>
      <c r="B6856" s="1" t="s">
        <v>20</v>
      </c>
      <c r="C6856" s="2" t="s">
        <v>395</v>
      </c>
      <c r="D6856" s="2">
        <v>7.1</v>
      </c>
      <c r="E6856" s="2">
        <v>1997.0</v>
      </c>
      <c r="F6856" s="2" t="s">
        <v>10</v>
      </c>
      <c r="G6856" s="2" t="s">
        <v>10</v>
      </c>
    </row>
    <row r="6857" ht="14.25" customHeight="1">
      <c r="A6857" s="1" t="s">
        <v>5846</v>
      </c>
      <c r="B6857" s="1" t="s">
        <v>20</v>
      </c>
      <c r="C6857" s="2" t="s">
        <v>686</v>
      </c>
      <c r="D6857" s="2">
        <v>7.1</v>
      </c>
      <c r="E6857" s="2">
        <v>2018.0</v>
      </c>
      <c r="F6857" s="2">
        <v>2018.0</v>
      </c>
      <c r="G6857" s="2" t="s">
        <v>10</v>
      </c>
    </row>
    <row r="6858" ht="14.25" customHeight="1">
      <c r="A6858" s="1" t="s">
        <v>5847</v>
      </c>
      <c r="B6858" s="1" t="s">
        <v>20</v>
      </c>
      <c r="C6858" s="2" t="s">
        <v>1982</v>
      </c>
      <c r="D6858" s="2">
        <v>7.1</v>
      </c>
      <c r="E6858" s="2">
        <v>2006.0</v>
      </c>
      <c r="F6858" s="2" t="s">
        <v>10</v>
      </c>
      <c r="G6858" s="2" t="s">
        <v>10</v>
      </c>
    </row>
    <row r="6859" ht="14.25" customHeight="1">
      <c r="A6859" s="1" t="s">
        <v>5848</v>
      </c>
      <c r="B6859" s="1" t="s">
        <v>20</v>
      </c>
      <c r="C6859" s="2" t="s">
        <v>530</v>
      </c>
      <c r="D6859" s="2">
        <v>7.1</v>
      </c>
      <c r="E6859" s="2">
        <v>2017.0</v>
      </c>
      <c r="F6859" s="2" t="s">
        <v>10</v>
      </c>
      <c r="G6859" s="2" t="s">
        <v>10</v>
      </c>
    </row>
    <row r="6860" ht="14.25" customHeight="1">
      <c r="A6860" s="1" t="s">
        <v>5849</v>
      </c>
      <c r="B6860" s="1" t="s">
        <v>20</v>
      </c>
      <c r="C6860" s="2" t="s">
        <v>154</v>
      </c>
      <c r="D6860" s="2">
        <v>7.1</v>
      </c>
      <c r="E6860" s="2">
        <v>2003.0</v>
      </c>
      <c r="F6860" s="2" t="s">
        <v>10</v>
      </c>
      <c r="G6860" s="2" t="s">
        <v>10</v>
      </c>
    </row>
    <row r="6861" ht="14.25" customHeight="1">
      <c r="A6861" s="1" t="s">
        <v>5850</v>
      </c>
      <c r="B6861" s="1" t="s">
        <v>20</v>
      </c>
      <c r="C6861" s="2" t="s">
        <v>32</v>
      </c>
      <c r="D6861" s="2">
        <v>7.1</v>
      </c>
      <c r="E6861" s="2">
        <v>2019.0</v>
      </c>
      <c r="F6861" s="2" t="s">
        <v>10</v>
      </c>
      <c r="G6861" s="2" t="s">
        <v>10</v>
      </c>
    </row>
    <row r="6862" ht="14.25" customHeight="1">
      <c r="A6862" s="1" t="s">
        <v>5851</v>
      </c>
      <c r="B6862" s="1" t="s">
        <v>20</v>
      </c>
      <c r="C6862" s="2" t="s">
        <v>63</v>
      </c>
      <c r="D6862" s="2">
        <v>7.1</v>
      </c>
      <c r="E6862" s="2">
        <v>2011.0</v>
      </c>
      <c r="F6862" s="2" t="s">
        <v>10</v>
      </c>
      <c r="G6862" s="2" t="s">
        <v>10</v>
      </c>
    </row>
    <row r="6863" ht="14.25" customHeight="1">
      <c r="A6863" s="1" t="s">
        <v>5852</v>
      </c>
      <c r="B6863" s="1" t="s">
        <v>20</v>
      </c>
      <c r="C6863" s="2" t="s">
        <v>34</v>
      </c>
      <c r="D6863" s="2">
        <v>7.1</v>
      </c>
      <c r="E6863" s="2">
        <v>2006.0</v>
      </c>
      <c r="F6863" s="2" t="s">
        <v>10</v>
      </c>
      <c r="G6863" s="2" t="s">
        <v>10</v>
      </c>
    </row>
    <row r="6864" ht="14.25" customHeight="1">
      <c r="A6864" s="1" t="s">
        <v>5853</v>
      </c>
      <c r="B6864" s="1" t="s">
        <v>20</v>
      </c>
      <c r="C6864" s="2" t="s">
        <v>92</v>
      </c>
      <c r="D6864" s="2">
        <v>7.1</v>
      </c>
      <c r="E6864" s="2">
        <v>2010.0</v>
      </c>
      <c r="F6864" s="2" t="s">
        <v>10</v>
      </c>
      <c r="G6864" s="2" t="s">
        <v>10</v>
      </c>
    </row>
    <row r="6865" ht="14.25" customHeight="1">
      <c r="A6865" s="1" t="s">
        <v>5854</v>
      </c>
      <c r="B6865" s="1" t="s">
        <v>20</v>
      </c>
      <c r="C6865" s="2" t="s">
        <v>5855</v>
      </c>
      <c r="D6865" s="2">
        <v>7.1</v>
      </c>
      <c r="E6865" s="2">
        <v>2015.0</v>
      </c>
      <c r="F6865" s="2" t="s">
        <v>10</v>
      </c>
      <c r="G6865" s="2" t="s">
        <v>10</v>
      </c>
    </row>
    <row r="6866" ht="14.25" customHeight="1">
      <c r="A6866" s="1" t="s">
        <v>5856</v>
      </c>
      <c r="B6866" s="1" t="s">
        <v>20</v>
      </c>
      <c r="C6866" s="2" t="s">
        <v>187</v>
      </c>
      <c r="D6866" s="2">
        <v>7.1</v>
      </c>
      <c r="E6866" s="2">
        <v>2024.0</v>
      </c>
      <c r="F6866" s="2" t="s">
        <v>10</v>
      </c>
      <c r="G6866" s="2" t="s">
        <v>10</v>
      </c>
    </row>
    <row r="6867" ht="14.25" customHeight="1">
      <c r="A6867" s="1" t="s">
        <v>5857</v>
      </c>
      <c r="B6867" s="1" t="s">
        <v>20</v>
      </c>
      <c r="C6867" s="2" t="s">
        <v>53</v>
      </c>
      <c r="D6867" s="2">
        <v>7.1</v>
      </c>
      <c r="E6867" s="2">
        <v>2021.0</v>
      </c>
      <c r="F6867" s="2" t="s">
        <v>10</v>
      </c>
      <c r="G6867" s="2">
        <v>1.134E7</v>
      </c>
    </row>
    <row r="6868" ht="14.25" customHeight="1">
      <c r="A6868" s="1" t="s">
        <v>5857</v>
      </c>
      <c r="B6868" s="1" t="s">
        <v>20</v>
      </c>
      <c r="C6868" s="2" t="s">
        <v>53</v>
      </c>
      <c r="D6868" s="2">
        <v>7.1</v>
      </c>
      <c r="E6868" s="2">
        <v>2021.0</v>
      </c>
      <c r="F6868" s="2" t="s">
        <v>10</v>
      </c>
      <c r="G6868" s="2">
        <v>2.131E7</v>
      </c>
    </row>
    <row r="6869" ht="14.25" customHeight="1">
      <c r="A6869" s="1" t="s">
        <v>5857</v>
      </c>
      <c r="B6869" s="1" t="s">
        <v>20</v>
      </c>
      <c r="C6869" s="2" t="s">
        <v>53</v>
      </c>
      <c r="D6869" s="2">
        <v>7.1</v>
      </c>
      <c r="E6869" s="2">
        <v>2021.0</v>
      </c>
      <c r="F6869" s="2" t="s">
        <v>10</v>
      </c>
      <c r="G6869" s="2">
        <v>2.66E7</v>
      </c>
    </row>
    <row r="6870" ht="14.25" customHeight="1">
      <c r="A6870" s="1" t="s">
        <v>5857</v>
      </c>
      <c r="B6870" s="1" t="s">
        <v>20</v>
      </c>
      <c r="C6870" s="2" t="s">
        <v>53</v>
      </c>
      <c r="D6870" s="2">
        <v>7.1</v>
      </c>
      <c r="E6870" s="2">
        <v>2021.0</v>
      </c>
      <c r="F6870" s="2" t="s">
        <v>10</v>
      </c>
      <c r="G6870" s="2">
        <v>7.444E7</v>
      </c>
    </row>
    <row r="6871" ht="14.25" customHeight="1">
      <c r="A6871" s="1" t="s">
        <v>5857</v>
      </c>
      <c r="B6871" s="1" t="s">
        <v>20</v>
      </c>
      <c r="C6871" s="2" t="s">
        <v>53</v>
      </c>
      <c r="D6871" s="2">
        <v>7.1</v>
      </c>
      <c r="E6871" s="2">
        <v>2021.0</v>
      </c>
      <c r="F6871" s="2" t="s">
        <v>10</v>
      </c>
      <c r="G6871" s="2">
        <v>8.586E7</v>
      </c>
    </row>
    <row r="6872" ht="14.25" customHeight="1">
      <c r="A6872" s="1" t="s">
        <v>5858</v>
      </c>
      <c r="B6872" s="1" t="s">
        <v>20</v>
      </c>
      <c r="C6872" s="2" t="s">
        <v>686</v>
      </c>
      <c r="D6872" s="2">
        <v>7.1</v>
      </c>
      <c r="E6872" s="2">
        <v>2005.0</v>
      </c>
      <c r="F6872" s="2" t="s">
        <v>10</v>
      </c>
      <c r="G6872" s="2" t="s">
        <v>10</v>
      </c>
    </row>
    <row r="6873" ht="14.25" customHeight="1">
      <c r="A6873" s="1" t="s">
        <v>5859</v>
      </c>
      <c r="B6873" s="1" t="s">
        <v>20</v>
      </c>
      <c r="C6873" s="2" t="s">
        <v>527</v>
      </c>
      <c r="D6873" s="2">
        <v>7.1</v>
      </c>
      <c r="E6873" s="2">
        <v>1988.0</v>
      </c>
      <c r="F6873" s="2" t="s">
        <v>10</v>
      </c>
      <c r="G6873" s="2" t="s">
        <v>10</v>
      </c>
    </row>
    <row r="6874" ht="14.25" customHeight="1">
      <c r="A6874" s="1" t="s">
        <v>5860</v>
      </c>
      <c r="B6874" s="1" t="s">
        <v>20</v>
      </c>
      <c r="C6874" s="2" t="s">
        <v>63</v>
      </c>
      <c r="D6874" s="2">
        <v>7.1</v>
      </c>
      <c r="E6874" s="2">
        <v>1982.0</v>
      </c>
      <c r="F6874" s="2" t="s">
        <v>10</v>
      </c>
      <c r="G6874" s="2" t="s">
        <v>10</v>
      </c>
    </row>
    <row r="6875" ht="14.25" customHeight="1">
      <c r="A6875" s="1" t="s">
        <v>5861</v>
      </c>
      <c r="B6875" s="1" t="s">
        <v>20</v>
      </c>
      <c r="C6875" s="2" t="s">
        <v>55</v>
      </c>
      <c r="D6875" s="2">
        <v>7.1</v>
      </c>
      <c r="E6875" s="2">
        <v>1970.0</v>
      </c>
      <c r="F6875" s="2" t="s">
        <v>10</v>
      </c>
      <c r="G6875" s="2" t="s">
        <v>10</v>
      </c>
    </row>
    <row r="6876" ht="14.25" customHeight="1">
      <c r="A6876" s="1" t="s">
        <v>5862</v>
      </c>
      <c r="B6876" s="1" t="s">
        <v>20</v>
      </c>
      <c r="C6876" s="2" t="s">
        <v>299</v>
      </c>
      <c r="D6876" s="2">
        <v>7.1</v>
      </c>
      <c r="E6876" s="2">
        <v>2009.0</v>
      </c>
      <c r="F6876" s="2" t="s">
        <v>10</v>
      </c>
      <c r="G6876" s="2" t="s">
        <v>10</v>
      </c>
    </row>
    <row r="6877" ht="14.25" customHeight="1">
      <c r="A6877" s="1" t="s">
        <v>5863</v>
      </c>
      <c r="B6877" s="1" t="s">
        <v>20</v>
      </c>
      <c r="C6877" s="2" t="s">
        <v>1267</v>
      </c>
      <c r="D6877" s="2">
        <v>7.1</v>
      </c>
      <c r="E6877" s="2">
        <v>1983.0</v>
      </c>
      <c r="F6877" s="2" t="s">
        <v>10</v>
      </c>
      <c r="G6877" s="2" t="s">
        <v>10</v>
      </c>
    </row>
    <row r="6878" ht="14.25" customHeight="1">
      <c r="A6878" s="1" t="s">
        <v>5864</v>
      </c>
      <c r="B6878" s="1" t="s">
        <v>20</v>
      </c>
      <c r="C6878" s="2" t="s">
        <v>34</v>
      </c>
      <c r="D6878" s="2">
        <v>7.1</v>
      </c>
      <c r="E6878" s="2">
        <v>2023.0</v>
      </c>
      <c r="F6878" s="2" t="s">
        <v>10</v>
      </c>
      <c r="G6878" s="2" t="s">
        <v>10</v>
      </c>
    </row>
    <row r="6879" ht="14.25" customHeight="1">
      <c r="A6879" s="1" t="s">
        <v>5865</v>
      </c>
      <c r="B6879" s="1" t="s">
        <v>20</v>
      </c>
      <c r="C6879" s="2" t="s">
        <v>32</v>
      </c>
      <c r="D6879" s="2">
        <v>7.1</v>
      </c>
      <c r="E6879" s="2">
        <v>1989.0</v>
      </c>
      <c r="F6879" s="2" t="s">
        <v>10</v>
      </c>
      <c r="G6879" s="2" t="s">
        <v>10</v>
      </c>
    </row>
    <row r="6880" ht="14.25" customHeight="1">
      <c r="A6880" s="1" t="s">
        <v>5866</v>
      </c>
      <c r="B6880" s="1" t="s">
        <v>20</v>
      </c>
      <c r="C6880" s="2" t="s">
        <v>53</v>
      </c>
      <c r="D6880" s="2">
        <v>7.1</v>
      </c>
      <c r="E6880" s="2">
        <v>2005.0</v>
      </c>
      <c r="F6880" s="2">
        <v>2005.0</v>
      </c>
      <c r="G6880" s="2" t="s">
        <v>10</v>
      </c>
    </row>
    <row r="6881" ht="14.25" customHeight="1">
      <c r="A6881" s="1" t="s">
        <v>5867</v>
      </c>
      <c r="B6881" s="1" t="s">
        <v>20</v>
      </c>
      <c r="C6881" s="2" t="s">
        <v>55</v>
      </c>
      <c r="D6881" s="2">
        <v>7.1</v>
      </c>
      <c r="E6881" s="2">
        <v>1963.0</v>
      </c>
      <c r="F6881" s="2" t="s">
        <v>10</v>
      </c>
      <c r="G6881" s="2" t="s">
        <v>10</v>
      </c>
    </row>
    <row r="6882" ht="14.25" customHeight="1">
      <c r="A6882" s="1" t="s">
        <v>5868</v>
      </c>
      <c r="B6882" s="1" t="s">
        <v>20</v>
      </c>
      <c r="C6882" s="2" t="s">
        <v>1395</v>
      </c>
      <c r="D6882" s="2">
        <v>7.1</v>
      </c>
      <c r="E6882" s="2">
        <v>2005.0</v>
      </c>
      <c r="F6882" s="2" t="s">
        <v>10</v>
      </c>
      <c r="G6882" s="2" t="s">
        <v>10</v>
      </c>
    </row>
    <row r="6883" ht="14.25" customHeight="1">
      <c r="A6883" s="1" t="s">
        <v>5869</v>
      </c>
      <c r="B6883" s="1" t="s">
        <v>20</v>
      </c>
      <c r="C6883" s="2" t="s">
        <v>9</v>
      </c>
      <c r="D6883" s="2">
        <v>7.1</v>
      </c>
      <c r="E6883" s="2">
        <v>2003.0</v>
      </c>
      <c r="F6883" s="2" t="s">
        <v>10</v>
      </c>
      <c r="G6883" s="2" t="s">
        <v>10</v>
      </c>
    </row>
    <row r="6884" ht="14.25" customHeight="1">
      <c r="A6884" s="1" t="s">
        <v>5870</v>
      </c>
      <c r="B6884" s="1" t="s">
        <v>20</v>
      </c>
      <c r="C6884" s="2" t="s">
        <v>910</v>
      </c>
      <c r="D6884" s="2">
        <v>7.1</v>
      </c>
      <c r="E6884" s="2">
        <v>2015.0</v>
      </c>
      <c r="F6884" s="2">
        <v>2013.0</v>
      </c>
      <c r="G6884" s="2" t="s">
        <v>10</v>
      </c>
    </row>
    <row r="6885" ht="14.25" customHeight="1">
      <c r="A6885" s="1" t="s">
        <v>5871</v>
      </c>
      <c r="B6885" s="1" t="s">
        <v>20</v>
      </c>
      <c r="C6885" s="2" t="s">
        <v>4525</v>
      </c>
      <c r="D6885" s="2">
        <v>7.1</v>
      </c>
      <c r="E6885" s="2">
        <v>1995.0</v>
      </c>
      <c r="F6885" s="2" t="s">
        <v>10</v>
      </c>
      <c r="G6885" s="2" t="s">
        <v>10</v>
      </c>
    </row>
    <row r="6886" ht="14.25" customHeight="1">
      <c r="A6886" s="1" t="s">
        <v>5872</v>
      </c>
      <c r="B6886" s="1" t="s">
        <v>20</v>
      </c>
      <c r="C6886" s="2" t="s">
        <v>69</v>
      </c>
      <c r="D6886" s="2">
        <v>7.1</v>
      </c>
      <c r="E6886" s="2">
        <v>2009.0</v>
      </c>
      <c r="F6886" s="2" t="s">
        <v>10</v>
      </c>
      <c r="G6886" s="2" t="s">
        <v>10</v>
      </c>
    </row>
    <row r="6887" ht="14.25" customHeight="1">
      <c r="A6887" s="1" t="s">
        <v>5873</v>
      </c>
      <c r="B6887" s="1" t="s">
        <v>20</v>
      </c>
      <c r="C6887" s="2" t="s">
        <v>9</v>
      </c>
      <c r="D6887" s="2">
        <v>7.1</v>
      </c>
      <c r="E6887" s="2">
        <v>2003.0</v>
      </c>
      <c r="F6887" s="2" t="s">
        <v>10</v>
      </c>
      <c r="G6887" s="2" t="s">
        <v>10</v>
      </c>
    </row>
    <row r="6888" ht="14.25" customHeight="1">
      <c r="A6888" s="1" t="s">
        <v>3207</v>
      </c>
      <c r="B6888" s="1" t="s">
        <v>20</v>
      </c>
      <c r="C6888" s="2" t="s">
        <v>2013</v>
      </c>
      <c r="D6888" s="2">
        <v>7.1</v>
      </c>
      <c r="E6888" s="2">
        <v>2021.0</v>
      </c>
      <c r="F6888" s="2" t="s">
        <v>10</v>
      </c>
      <c r="G6888" s="2" t="s">
        <v>10</v>
      </c>
    </row>
    <row r="6889" ht="14.25" customHeight="1">
      <c r="A6889" s="1" t="s">
        <v>5874</v>
      </c>
      <c r="B6889" s="1" t="s">
        <v>20</v>
      </c>
      <c r="C6889" s="2" t="s">
        <v>1187</v>
      </c>
      <c r="D6889" s="2">
        <v>7.1</v>
      </c>
      <c r="E6889" s="2">
        <v>2011.0</v>
      </c>
      <c r="F6889" s="2">
        <v>2011.0</v>
      </c>
      <c r="G6889" s="2" t="s">
        <v>10</v>
      </c>
    </row>
    <row r="6890" ht="14.25" customHeight="1">
      <c r="A6890" s="1" t="s">
        <v>5875</v>
      </c>
      <c r="B6890" s="1" t="s">
        <v>20</v>
      </c>
      <c r="C6890" s="2" t="s">
        <v>359</v>
      </c>
      <c r="D6890" s="2">
        <v>7.1</v>
      </c>
      <c r="E6890" s="2">
        <v>1996.0</v>
      </c>
      <c r="F6890" s="2" t="s">
        <v>10</v>
      </c>
      <c r="G6890" s="2" t="s">
        <v>10</v>
      </c>
    </row>
    <row r="6891" ht="14.25" customHeight="1">
      <c r="A6891" s="1" t="s">
        <v>5876</v>
      </c>
      <c r="B6891" s="1" t="s">
        <v>8</v>
      </c>
      <c r="C6891" s="2" t="s">
        <v>34</v>
      </c>
      <c r="D6891" s="2">
        <v>7.1</v>
      </c>
      <c r="E6891" s="2">
        <v>2011.0</v>
      </c>
      <c r="F6891" s="2" t="s">
        <v>10</v>
      </c>
      <c r="G6891" s="2" t="s">
        <v>10</v>
      </c>
    </row>
    <row r="6892" ht="14.25" customHeight="1">
      <c r="A6892" s="1" t="s">
        <v>5877</v>
      </c>
      <c r="B6892" s="1" t="s">
        <v>20</v>
      </c>
      <c r="C6892" s="2" t="s">
        <v>18</v>
      </c>
      <c r="D6892" s="2">
        <v>7.1</v>
      </c>
      <c r="E6892" s="2">
        <v>2006.0</v>
      </c>
      <c r="F6892" s="2" t="s">
        <v>10</v>
      </c>
      <c r="G6892" s="2" t="s">
        <v>10</v>
      </c>
    </row>
    <row r="6893" ht="14.25" customHeight="1">
      <c r="A6893" s="1" t="s">
        <v>5878</v>
      </c>
      <c r="B6893" s="1" t="s">
        <v>20</v>
      </c>
      <c r="C6893" s="2" t="s">
        <v>476</v>
      </c>
      <c r="D6893" s="2">
        <v>7.1</v>
      </c>
      <c r="E6893" s="2">
        <v>1999.0</v>
      </c>
      <c r="F6893" s="2" t="s">
        <v>10</v>
      </c>
      <c r="G6893" s="2" t="s">
        <v>10</v>
      </c>
    </row>
    <row r="6894" ht="14.25" customHeight="1">
      <c r="A6894" s="1" t="s">
        <v>5879</v>
      </c>
      <c r="B6894" s="1" t="s">
        <v>20</v>
      </c>
      <c r="C6894" s="2" t="s">
        <v>187</v>
      </c>
      <c r="D6894" s="2">
        <v>7.1</v>
      </c>
      <c r="E6894" s="2">
        <v>2006.0</v>
      </c>
      <c r="F6894" s="2" t="s">
        <v>10</v>
      </c>
      <c r="G6894" s="2" t="s">
        <v>10</v>
      </c>
    </row>
    <row r="6895" ht="14.25" customHeight="1">
      <c r="A6895" s="1" t="s">
        <v>5880</v>
      </c>
      <c r="B6895" s="1" t="s">
        <v>20</v>
      </c>
      <c r="C6895" s="2" t="s">
        <v>63</v>
      </c>
      <c r="D6895" s="2">
        <v>7.1</v>
      </c>
      <c r="E6895" s="2">
        <v>1997.0</v>
      </c>
      <c r="F6895" s="2" t="s">
        <v>10</v>
      </c>
      <c r="G6895" s="2" t="s">
        <v>10</v>
      </c>
    </row>
    <row r="6896" ht="14.25" customHeight="1">
      <c r="A6896" s="1" t="s">
        <v>5881</v>
      </c>
      <c r="B6896" s="1" t="s">
        <v>20</v>
      </c>
      <c r="C6896" s="2" t="s">
        <v>4198</v>
      </c>
      <c r="D6896" s="2">
        <v>7.1</v>
      </c>
      <c r="E6896" s="2">
        <v>1986.0</v>
      </c>
      <c r="F6896" s="2" t="s">
        <v>10</v>
      </c>
      <c r="G6896" s="2" t="s">
        <v>10</v>
      </c>
    </row>
    <row r="6897" ht="14.25" customHeight="1">
      <c r="A6897" s="1" t="s">
        <v>5882</v>
      </c>
      <c r="B6897" s="1" t="s">
        <v>20</v>
      </c>
      <c r="C6897" s="2" t="s">
        <v>1240</v>
      </c>
      <c r="D6897" s="2">
        <v>7.1</v>
      </c>
      <c r="E6897" s="2">
        <v>1985.0</v>
      </c>
      <c r="F6897" s="2" t="s">
        <v>10</v>
      </c>
      <c r="G6897" s="2" t="s">
        <v>10</v>
      </c>
    </row>
    <row r="6898" ht="14.25" customHeight="1">
      <c r="A6898" s="1" t="s">
        <v>5883</v>
      </c>
      <c r="B6898" s="1" t="s">
        <v>20</v>
      </c>
      <c r="C6898" s="2" t="s">
        <v>60</v>
      </c>
      <c r="D6898" s="2">
        <v>7.1</v>
      </c>
      <c r="E6898" s="2">
        <v>2013.0</v>
      </c>
      <c r="F6898" s="2" t="s">
        <v>10</v>
      </c>
      <c r="G6898" s="2" t="s">
        <v>10</v>
      </c>
    </row>
    <row r="6899" ht="14.25" customHeight="1">
      <c r="A6899" s="1" t="s">
        <v>5884</v>
      </c>
      <c r="B6899" s="1" t="s">
        <v>20</v>
      </c>
      <c r="C6899" s="2" t="s">
        <v>80</v>
      </c>
      <c r="D6899" s="2">
        <v>7.1</v>
      </c>
      <c r="E6899" s="2">
        <v>2021.0</v>
      </c>
      <c r="F6899" s="2">
        <v>2021.0</v>
      </c>
      <c r="G6899" s="2" t="s">
        <v>10</v>
      </c>
    </row>
    <row r="6900" ht="14.25" customHeight="1">
      <c r="A6900" s="1" t="s">
        <v>5885</v>
      </c>
      <c r="B6900" s="1" t="s">
        <v>20</v>
      </c>
      <c r="C6900" s="2" t="s">
        <v>154</v>
      </c>
      <c r="D6900" s="2">
        <v>7.1</v>
      </c>
      <c r="E6900" s="2">
        <v>1998.0</v>
      </c>
      <c r="F6900" s="2" t="s">
        <v>10</v>
      </c>
      <c r="G6900" s="2" t="s">
        <v>10</v>
      </c>
    </row>
    <row r="6901" ht="14.25" customHeight="1">
      <c r="A6901" s="1" t="s">
        <v>5886</v>
      </c>
      <c r="B6901" s="1" t="s">
        <v>20</v>
      </c>
      <c r="C6901" s="2" t="s">
        <v>92</v>
      </c>
      <c r="D6901" s="2">
        <v>7.1</v>
      </c>
      <c r="E6901" s="2">
        <v>1994.0</v>
      </c>
      <c r="F6901" s="2" t="s">
        <v>10</v>
      </c>
      <c r="G6901" s="2" t="s">
        <v>10</v>
      </c>
    </row>
    <row r="6902" ht="14.25" customHeight="1">
      <c r="A6902" s="1">
        <v>1984.0</v>
      </c>
      <c r="B6902" s="1" t="s">
        <v>20</v>
      </c>
      <c r="C6902" s="2" t="s">
        <v>838</v>
      </c>
      <c r="D6902" s="2">
        <v>7.1</v>
      </c>
      <c r="E6902" s="2">
        <v>1984.0</v>
      </c>
      <c r="F6902" s="2" t="s">
        <v>10</v>
      </c>
      <c r="G6902" s="2" t="s">
        <v>10</v>
      </c>
    </row>
    <row r="6903" ht="14.25" customHeight="1">
      <c r="A6903" s="1" t="s">
        <v>5887</v>
      </c>
      <c r="B6903" s="1" t="s">
        <v>20</v>
      </c>
      <c r="C6903" s="2" t="s">
        <v>40</v>
      </c>
      <c r="D6903" s="2">
        <v>7.1</v>
      </c>
      <c r="E6903" s="2">
        <v>2006.0</v>
      </c>
      <c r="F6903" s="2" t="s">
        <v>10</v>
      </c>
      <c r="G6903" s="2" t="s">
        <v>10</v>
      </c>
    </row>
    <row r="6904" ht="14.25" customHeight="1">
      <c r="A6904" s="1" t="s">
        <v>5888</v>
      </c>
      <c r="B6904" s="1" t="s">
        <v>20</v>
      </c>
      <c r="C6904" s="2" t="s">
        <v>9</v>
      </c>
      <c r="D6904" s="2">
        <v>7.1</v>
      </c>
      <c r="E6904" s="2">
        <v>2013.0</v>
      </c>
      <c r="F6904" s="2">
        <v>2013.0</v>
      </c>
      <c r="G6904" s="2" t="s">
        <v>10</v>
      </c>
    </row>
    <row r="6905" ht="14.25" customHeight="1">
      <c r="A6905" s="1" t="s">
        <v>5889</v>
      </c>
      <c r="B6905" s="1" t="s">
        <v>20</v>
      </c>
      <c r="C6905" s="2" t="s">
        <v>63</v>
      </c>
      <c r="D6905" s="2">
        <v>7.1</v>
      </c>
      <c r="E6905" s="2">
        <v>2017.0</v>
      </c>
      <c r="F6905" s="2">
        <v>2013.0</v>
      </c>
      <c r="G6905" s="2" t="s">
        <v>10</v>
      </c>
    </row>
    <row r="6906" ht="14.25" customHeight="1">
      <c r="A6906" s="1" t="s">
        <v>5890</v>
      </c>
      <c r="B6906" s="1" t="s">
        <v>20</v>
      </c>
      <c r="C6906" s="2" t="s">
        <v>291</v>
      </c>
      <c r="D6906" s="2">
        <v>7.1</v>
      </c>
      <c r="E6906" s="2">
        <v>2003.0</v>
      </c>
      <c r="F6906" s="2" t="s">
        <v>10</v>
      </c>
      <c r="G6906" s="2" t="s">
        <v>10</v>
      </c>
    </row>
    <row r="6907" ht="14.25" customHeight="1">
      <c r="A6907" s="1" t="s">
        <v>5891</v>
      </c>
      <c r="B6907" s="1" t="s">
        <v>20</v>
      </c>
      <c r="C6907" s="2" t="s">
        <v>9</v>
      </c>
      <c r="D6907" s="2">
        <v>7.1</v>
      </c>
      <c r="E6907" s="2">
        <v>2017.0</v>
      </c>
      <c r="F6907" s="2" t="s">
        <v>10</v>
      </c>
      <c r="G6907" s="2" t="s">
        <v>10</v>
      </c>
    </row>
    <row r="6908" ht="14.25" customHeight="1">
      <c r="A6908" s="1" t="s">
        <v>5892</v>
      </c>
      <c r="B6908" s="1" t="s">
        <v>20</v>
      </c>
      <c r="C6908" s="2" t="s">
        <v>63</v>
      </c>
      <c r="D6908" s="2">
        <v>7.1</v>
      </c>
      <c r="E6908" s="2">
        <v>2020.0</v>
      </c>
      <c r="F6908" s="2" t="s">
        <v>10</v>
      </c>
      <c r="G6908" s="2" t="s">
        <v>10</v>
      </c>
    </row>
    <row r="6909" ht="14.25" customHeight="1">
      <c r="A6909" s="1" t="s">
        <v>5893</v>
      </c>
      <c r="B6909" s="1" t="s">
        <v>20</v>
      </c>
      <c r="C6909" s="2" t="s">
        <v>25</v>
      </c>
      <c r="D6909" s="2">
        <v>7.1</v>
      </c>
      <c r="E6909" s="2">
        <v>2022.0</v>
      </c>
      <c r="F6909" s="2" t="s">
        <v>10</v>
      </c>
      <c r="G6909" s="2" t="s">
        <v>10</v>
      </c>
    </row>
    <row r="6910" ht="14.25" customHeight="1">
      <c r="A6910" s="1" t="s">
        <v>5894</v>
      </c>
      <c r="B6910" s="1" t="s">
        <v>20</v>
      </c>
      <c r="C6910" s="2" t="s">
        <v>118</v>
      </c>
      <c r="D6910" s="2">
        <v>7.1</v>
      </c>
      <c r="E6910" s="2">
        <v>2009.0</v>
      </c>
      <c r="F6910" s="2" t="s">
        <v>10</v>
      </c>
      <c r="G6910" s="2" t="s">
        <v>10</v>
      </c>
    </row>
    <row r="6911" ht="14.25" customHeight="1">
      <c r="A6911" s="1" t="s">
        <v>5895</v>
      </c>
      <c r="B6911" s="1" t="s">
        <v>20</v>
      </c>
      <c r="C6911" s="2" t="s">
        <v>2363</v>
      </c>
      <c r="D6911" s="2">
        <v>7.1</v>
      </c>
      <c r="E6911" s="2">
        <v>1985.0</v>
      </c>
      <c r="F6911" s="2" t="s">
        <v>10</v>
      </c>
      <c r="G6911" s="2" t="s">
        <v>10</v>
      </c>
    </row>
    <row r="6912" ht="14.25" customHeight="1">
      <c r="A6912" s="1" t="s">
        <v>5896</v>
      </c>
      <c r="B6912" s="1" t="s">
        <v>20</v>
      </c>
      <c r="C6912" s="2" t="s">
        <v>3155</v>
      </c>
      <c r="D6912" s="2">
        <v>7.1</v>
      </c>
      <c r="E6912" s="2">
        <v>2004.0</v>
      </c>
      <c r="F6912" s="2" t="s">
        <v>10</v>
      </c>
      <c r="G6912" s="2" t="s">
        <v>10</v>
      </c>
    </row>
    <row r="6913" ht="14.25" customHeight="1">
      <c r="A6913" s="1" t="s">
        <v>5897</v>
      </c>
      <c r="B6913" s="1" t="s">
        <v>20</v>
      </c>
      <c r="C6913" s="2" t="s">
        <v>497</v>
      </c>
      <c r="D6913" s="2">
        <v>7.1</v>
      </c>
      <c r="E6913" s="2">
        <v>2022.0</v>
      </c>
      <c r="F6913" s="2" t="s">
        <v>10</v>
      </c>
      <c r="G6913" s="2">
        <v>9510000.0</v>
      </c>
    </row>
    <row r="6914" ht="14.25" customHeight="1">
      <c r="A6914" s="1" t="s">
        <v>5897</v>
      </c>
      <c r="B6914" s="1" t="s">
        <v>20</v>
      </c>
      <c r="C6914" s="2" t="s">
        <v>497</v>
      </c>
      <c r="D6914" s="2">
        <v>7.1</v>
      </c>
      <c r="E6914" s="2">
        <v>2022.0</v>
      </c>
      <c r="F6914" s="2" t="s">
        <v>10</v>
      </c>
      <c r="G6914" s="2">
        <v>1.767E7</v>
      </c>
    </row>
    <row r="6915" ht="14.25" customHeight="1">
      <c r="A6915" s="1" t="s">
        <v>5897</v>
      </c>
      <c r="B6915" s="1" t="s">
        <v>20</v>
      </c>
      <c r="C6915" s="2" t="s">
        <v>497</v>
      </c>
      <c r="D6915" s="2">
        <v>7.1</v>
      </c>
      <c r="E6915" s="2">
        <v>2022.0</v>
      </c>
      <c r="F6915" s="2" t="s">
        <v>10</v>
      </c>
      <c r="G6915" s="2">
        <v>3.445E7</v>
      </c>
    </row>
    <row r="6916" ht="14.25" customHeight="1">
      <c r="A6916" s="1" t="s">
        <v>5897</v>
      </c>
      <c r="B6916" s="1" t="s">
        <v>20</v>
      </c>
      <c r="C6916" s="2" t="s">
        <v>497</v>
      </c>
      <c r="D6916" s="2">
        <v>7.1</v>
      </c>
      <c r="E6916" s="2">
        <v>2022.0</v>
      </c>
      <c r="F6916" s="2" t="s">
        <v>10</v>
      </c>
      <c r="G6916" s="2">
        <v>6.47E7</v>
      </c>
    </row>
    <row r="6917" ht="14.25" customHeight="1">
      <c r="A6917" s="1" t="s">
        <v>5897</v>
      </c>
      <c r="B6917" s="1" t="s">
        <v>20</v>
      </c>
      <c r="C6917" s="2" t="s">
        <v>497</v>
      </c>
      <c r="D6917" s="2">
        <v>7.1</v>
      </c>
      <c r="E6917" s="2">
        <v>2022.0</v>
      </c>
      <c r="F6917" s="2" t="s">
        <v>10</v>
      </c>
      <c r="G6917" s="2">
        <v>4.58E7</v>
      </c>
    </row>
    <row r="6918" ht="14.25" customHeight="1">
      <c r="A6918" s="1" t="s">
        <v>5898</v>
      </c>
      <c r="B6918" s="1" t="s">
        <v>20</v>
      </c>
      <c r="C6918" s="2" t="s">
        <v>825</v>
      </c>
      <c r="D6918" s="2">
        <v>7.1</v>
      </c>
      <c r="E6918" s="2">
        <v>2009.0</v>
      </c>
      <c r="F6918" s="2" t="s">
        <v>10</v>
      </c>
      <c r="G6918" s="2" t="s">
        <v>10</v>
      </c>
    </row>
    <row r="6919" ht="14.25" customHeight="1">
      <c r="A6919" s="1" t="s">
        <v>5899</v>
      </c>
      <c r="B6919" s="1" t="s">
        <v>20</v>
      </c>
      <c r="C6919" s="2" t="s">
        <v>719</v>
      </c>
      <c r="D6919" s="2">
        <v>7.1</v>
      </c>
      <c r="E6919" s="2">
        <v>1982.0</v>
      </c>
      <c r="F6919" s="2">
        <v>1982.0</v>
      </c>
      <c r="G6919" s="2" t="s">
        <v>10</v>
      </c>
    </row>
    <row r="6920" ht="14.25" customHeight="1">
      <c r="A6920" s="1" t="s">
        <v>5900</v>
      </c>
      <c r="B6920" s="1" t="s">
        <v>20</v>
      </c>
      <c r="C6920" s="2" t="s">
        <v>530</v>
      </c>
      <c r="D6920" s="2">
        <v>7.1</v>
      </c>
      <c r="E6920" s="2">
        <v>2011.0</v>
      </c>
      <c r="F6920" s="2" t="s">
        <v>10</v>
      </c>
      <c r="G6920" s="2" t="s">
        <v>10</v>
      </c>
    </row>
    <row r="6921" ht="14.25" customHeight="1">
      <c r="A6921" s="1" t="s">
        <v>5901</v>
      </c>
      <c r="B6921" s="1" t="s">
        <v>20</v>
      </c>
      <c r="C6921" s="2" t="s">
        <v>9</v>
      </c>
      <c r="D6921" s="2">
        <v>7.1</v>
      </c>
      <c r="E6921" s="2">
        <v>2016.0</v>
      </c>
      <c r="F6921" s="2" t="s">
        <v>10</v>
      </c>
      <c r="G6921" s="2" t="s">
        <v>10</v>
      </c>
    </row>
    <row r="6922" ht="14.25" customHeight="1">
      <c r="A6922" s="1" t="s">
        <v>5902</v>
      </c>
      <c r="B6922" s="1" t="s">
        <v>20</v>
      </c>
      <c r="C6922" s="2" t="s">
        <v>1046</v>
      </c>
      <c r="D6922" s="2">
        <v>7.1</v>
      </c>
      <c r="E6922" s="2">
        <v>2007.0</v>
      </c>
      <c r="F6922" s="2" t="s">
        <v>10</v>
      </c>
      <c r="G6922" s="2" t="s">
        <v>10</v>
      </c>
    </row>
    <row r="6923" ht="14.25" customHeight="1">
      <c r="A6923" s="1" t="s">
        <v>5903</v>
      </c>
      <c r="B6923" s="1" t="s">
        <v>20</v>
      </c>
      <c r="C6923" s="2" t="s">
        <v>476</v>
      </c>
      <c r="D6923" s="2">
        <v>7.1</v>
      </c>
      <c r="E6923" s="2">
        <v>2003.0</v>
      </c>
      <c r="F6923" s="2" t="s">
        <v>10</v>
      </c>
      <c r="G6923" s="2" t="s">
        <v>10</v>
      </c>
    </row>
    <row r="6924" ht="14.25" customHeight="1">
      <c r="A6924" s="1" t="s">
        <v>5904</v>
      </c>
      <c r="B6924" s="1" t="s">
        <v>20</v>
      </c>
      <c r="C6924" s="2" t="s">
        <v>55</v>
      </c>
      <c r="D6924" s="2">
        <v>7.1</v>
      </c>
      <c r="E6924" s="2">
        <v>2011.0</v>
      </c>
      <c r="F6924" s="2">
        <v>2011.0</v>
      </c>
      <c r="G6924" s="2" t="s">
        <v>10</v>
      </c>
    </row>
    <row r="6925" ht="14.25" customHeight="1">
      <c r="A6925" s="1" t="s">
        <v>5905</v>
      </c>
      <c r="B6925" s="1" t="s">
        <v>20</v>
      </c>
      <c r="C6925" s="2" t="s">
        <v>910</v>
      </c>
      <c r="D6925" s="2">
        <v>7.1</v>
      </c>
      <c r="E6925" s="2">
        <v>1981.0</v>
      </c>
      <c r="F6925" s="2" t="s">
        <v>10</v>
      </c>
      <c r="G6925" s="2" t="s">
        <v>10</v>
      </c>
    </row>
    <row r="6926" ht="14.25" customHeight="1">
      <c r="A6926" s="1" t="s">
        <v>5906</v>
      </c>
      <c r="B6926" s="1" t="s">
        <v>20</v>
      </c>
      <c r="C6926" s="2" t="s">
        <v>55</v>
      </c>
      <c r="D6926" s="2">
        <v>7.1</v>
      </c>
      <c r="E6926" s="2">
        <v>2002.0</v>
      </c>
      <c r="F6926" s="2" t="s">
        <v>10</v>
      </c>
      <c r="G6926" s="2" t="s">
        <v>10</v>
      </c>
    </row>
    <row r="6927" ht="14.25" customHeight="1">
      <c r="A6927" s="1" t="s">
        <v>5907</v>
      </c>
      <c r="B6927" s="1" t="s">
        <v>20</v>
      </c>
      <c r="C6927" s="2" t="s">
        <v>307</v>
      </c>
      <c r="D6927" s="2">
        <v>7.1</v>
      </c>
      <c r="E6927" s="2">
        <v>2018.0</v>
      </c>
      <c r="F6927" s="2" t="s">
        <v>10</v>
      </c>
      <c r="G6927" s="2" t="s">
        <v>10</v>
      </c>
    </row>
    <row r="6928" ht="14.25" customHeight="1">
      <c r="A6928" s="1" t="s">
        <v>5908</v>
      </c>
      <c r="B6928" s="1" t="s">
        <v>20</v>
      </c>
      <c r="C6928" s="2" t="s">
        <v>36</v>
      </c>
      <c r="D6928" s="2">
        <v>7.1</v>
      </c>
      <c r="E6928" s="2">
        <v>2021.0</v>
      </c>
      <c r="F6928" s="2">
        <v>2021.0</v>
      </c>
      <c r="G6928" s="2" t="s">
        <v>10</v>
      </c>
    </row>
    <row r="6929" ht="14.25" customHeight="1">
      <c r="A6929" s="1" t="s">
        <v>5909</v>
      </c>
      <c r="B6929" s="1" t="s">
        <v>20</v>
      </c>
      <c r="C6929" s="2" t="s">
        <v>1616</v>
      </c>
      <c r="D6929" s="2">
        <v>7.1</v>
      </c>
      <c r="E6929" s="2">
        <v>1993.0</v>
      </c>
      <c r="F6929" s="2" t="s">
        <v>10</v>
      </c>
      <c r="G6929" s="2" t="s">
        <v>10</v>
      </c>
    </row>
    <row r="6930" ht="14.25" customHeight="1">
      <c r="A6930" s="1" t="s">
        <v>5910</v>
      </c>
      <c r="B6930" s="1" t="s">
        <v>20</v>
      </c>
      <c r="C6930" s="2" t="s">
        <v>32</v>
      </c>
      <c r="D6930" s="2">
        <v>7.1</v>
      </c>
      <c r="E6930" s="2">
        <v>1979.0</v>
      </c>
      <c r="F6930" s="2" t="s">
        <v>10</v>
      </c>
      <c r="G6930" s="2" t="s">
        <v>10</v>
      </c>
    </row>
    <row r="6931" ht="14.25" customHeight="1">
      <c r="A6931" s="1" t="s">
        <v>5911</v>
      </c>
      <c r="B6931" s="1" t="s">
        <v>20</v>
      </c>
      <c r="C6931" s="2" t="s">
        <v>476</v>
      </c>
      <c r="D6931" s="2">
        <v>7.1</v>
      </c>
      <c r="E6931" s="2">
        <v>1973.0</v>
      </c>
      <c r="F6931" s="2" t="s">
        <v>10</v>
      </c>
      <c r="G6931" s="2" t="s">
        <v>10</v>
      </c>
    </row>
    <row r="6932" ht="14.25" customHeight="1">
      <c r="A6932" s="1" t="s">
        <v>5912</v>
      </c>
      <c r="B6932" s="1" t="s">
        <v>20</v>
      </c>
      <c r="C6932" s="2" t="s">
        <v>307</v>
      </c>
      <c r="D6932" s="2">
        <v>7.1</v>
      </c>
      <c r="E6932" s="2">
        <v>2009.0</v>
      </c>
      <c r="F6932" s="2" t="s">
        <v>10</v>
      </c>
      <c r="G6932" s="2" t="s">
        <v>10</v>
      </c>
    </row>
    <row r="6933" ht="14.25" customHeight="1">
      <c r="A6933" s="1" t="s">
        <v>2926</v>
      </c>
      <c r="B6933" s="1" t="s">
        <v>20</v>
      </c>
      <c r="C6933" s="2" t="s">
        <v>468</v>
      </c>
      <c r="D6933" s="2">
        <v>7.1</v>
      </c>
      <c r="E6933" s="2">
        <v>2023.0</v>
      </c>
      <c r="F6933" s="2" t="s">
        <v>10</v>
      </c>
      <c r="G6933" s="2">
        <v>8080000.0</v>
      </c>
    </row>
    <row r="6934" ht="14.25" customHeight="1">
      <c r="A6934" s="1" t="s">
        <v>2926</v>
      </c>
      <c r="B6934" s="1" t="s">
        <v>20</v>
      </c>
      <c r="C6934" s="2" t="s">
        <v>468</v>
      </c>
      <c r="D6934" s="2">
        <v>7.1</v>
      </c>
      <c r="E6934" s="2">
        <v>2023.0</v>
      </c>
      <c r="F6934" s="2" t="s">
        <v>10</v>
      </c>
      <c r="G6934" s="2">
        <v>1.593E7</v>
      </c>
    </row>
    <row r="6935" ht="14.25" customHeight="1">
      <c r="A6935" s="1" t="s">
        <v>2926</v>
      </c>
      <c r="B6935" s="1" t="s">
        <v>20</v>
      </c>
      <c r="C6935" s="2" t="s">
        <v>468</v>
      </c>
      <c r="D6935" s="2">
        <v>7.1</v>
      </c>
      <c r="E6935" s="2">
        <v>2023.0</v>
      </c>
      <c r="F6935" s="2" t="s">
        <v>10</v>
      </c>
      <c r="G6935" s="2">
        <v>5220000.0</v>
      </c>
    </row>
    <row r="6936" ht="14.25" customHeight="1">
      <c r="A6936" s="1" t="s">
        <v>5913</v>
      </c>
      <c r="B6936" s="1" t="s">
        <v>8</v>
      </c>
      <c r="C6936" s="2" t="s">
        <v>78</v>
      </c>
      <c r="D6936" s="2">
        <v>7.1</v>
      </c>
      <c r="E6936" s="2">
        <v>2016.0</v>
      </c>
      <c r="F6936" s="2">
        <v>2018.0</v>
      </c>
      <c r="G6936" s="2" t="s">
        <v>10</v>
      </c>
    </row>
    <row r="6937" ht="14.25" customHeight="1">
      <c r="A6937" s="1" t="s">
        <v>5914</v>
      </c>
      <c r="B6937" s="1" t="s">
        <v>20</v>
      </c>
      <c r="C6937" s="2" t="s">
        <v>154</v>
      </c>
      <c r="D6937" s="2">
        <v>7.1</v>
      </c>
      <c r="E6937" s="2">
        <v>1982.0</v>
      </c>
      <c r="F6937" s="2" t="s">
        <v>10</v>
      </c>
      <c r="G6937" s="2" t="s">
        <v>10</v>
      </c>
    </row>
    <row r="6938" ht="14.25" customHeight="1">
      <c r="A6938" s="1" t="s">
        <v>5915</v>
      </c>
      <c r="B6938" s="1" t="s">
        <v>8</v>
      </c>
      <c r="C6938" s="2" t="s">
        <v>1395</v>
      </c>
      <c r="D6938" s="2">
        <v>7.1</v>
      </c>
      <c r="E6938" s="2">
        <v>2020.0</v>
      </c>
      <c r="F6938" s="2" t="s">
        <v>10</v>
      </c>
      <c r="G6938" s="2" t="s">
        <v>10</v>
      </c>
    </row>
    <row r="6939" ht="14.25" customHeight="1">
      <c r="A6939" s="1" t="s">
        <v>5916</v>
      </c>
      <c r="B6939" s="1" t="s">
        <v>20</v>
      </c>
      <c r="C6939" s="2" t="s">
        <v>468</v>
      </c>
      <c r="D6939" s="2">
        <v>7.1</v>
      </c>
      <c r="E6939" s="2">
        <v>2017.0</v>
      </c>
      <c r="F6939" s="2" t="s">
        <v>10</v>
      </c>
      <c r="G6939" s="2" t="s">
        <v>10</v>
      </c>
    </row>
    <row r="6940" ht="14.25" customHeight="1">
      <c r="A6940" s="1" t="s">
        <v>5917</v>
      </c>
      <c r="B6940" s="1" t="s">
        <v>20</v>
      </c>
      <c r="C6940" s="2" t="s">
        <v>530</v>
      </c>
      <c r="D6940" s="2">
        <v>7.1</v>
      </c>
      <c r="E6940" s="2">
        <v>1992.0</v>
      </c>
      <c r="F6940" s="2" t="s">
        <v>10</v>
      </c>
      <c r="G6940" s="2" t="s">
        <v>10</v>
      </c>
    </row>
    <row r="6941" ht="14.25" customHeight="1">
      <c r="A6941" s="1" t="s">
        <v>5918</v>
      </c>
      <c r="B6941" s="1" t="s">
        <v>20</v>
      </c>
      <c r="C6941" s="2" t="s">
        <v>187</v>
      </c>
      <c r="D6941" s="2">
        <v>7.1</v>
      </c>
      <c r="E6941" s="2">
        <v>1993.0</v>
      </c>
      <c r="F6941" s="2" t="s">
        <v>10</v>
      </c>
      <c r="G6941" s="2" t="s">
        <v>10</v>
      </c>
    </row>
    <row r="6942" ht="14.25" customHeight="1">
      <c r="A6942" s="1" t="s">
        <v>5919</v>
      </c>
      <c r="B6942" s="1" t="s">
        <v>20</v>
      </c>
      <c r="C6942" s="2" t="s">
        <v>291</v>
      </c>
      <c r="D6942" s="2">
        <v>7.1</v>
      </c>
      <c r="E6942" s="2">
        <v>2011.0</v>
      </c>
      <c r="F6942" s="2">
        <v>2011.0</v>
      </c>
      <c r="G6942" s="2" t="s">
        <v>10</v>
      </c>
    </row>
    <row r="6943" ht="14.25" customHeight="1">
      <c r="A6943" s="1" t="s">
        <v>5920</v>
      </c>
      <c r="B6943" s="1" t="s">
        <v>20</v>
      </c>
      <c r="C6943" s="2" t="s">
        <v>910</v>
      </c>
      <c r="D6943" s="2">
        <v>7.1</v>
      </c>
      <c r="E6943" s="2">
        <v>2005.0</v>
      </c>
      <c r="F6943" s="2" t="s">
        <v>10</v>
      </c>
      <c r="G6943" s="2" t="s">
        <v>10</v>
      </c>
    </row>
    <row r="6944" ht="14.25" customHeight="1">
      <c r="A6944" s="1" t="s">
        <v>5921</v>
      </c>
      <c r="B6944" s="1" t="s">
        <v>20</v>
      </c>
      <c r="C6944" s="2" t="s">
        <v>25</v>
      </c>
      <c r="D6944" s="2">
        <v>7.1</v>
      </c>
      <c r="E6944" s="2">
        <v>2005.0</v>
      </c>
      <c r="F6944" s="2" t="s">
        <v>10</v>
      </c>
      <c r="G6944" s="2" t="s">
        <v>10</v>
      </c>
    </row>
    <row r="6945" ht="14.25" customHeight="1">
      <c r="A6945" s="1" t="s">
        <v>5922</v>
      </c>
      <c r="B6945" s="1" t="s">
        <v>20</v>
      </c>
      <c r="C6945" s="2" t="s">
        <v>1042</v>
      </c>
      <c r="D6945" s="2">
        <v>7.1</v>
      </c>
      <c r="E6945" s="2">
        <v>1988.0</v>
      </c>
      <c r="F6945" s="2" t="s">
        <v>10</v>
      </c>
      <c r="G6945" s="2" t="s">
        <v>10</v>
      </c>
    </row>
    <row r="6946" ht="14.25" customHeight="1">
      <c r="A6946" s="1" t="s">
        <v>5923</v>
      </c>
      <c r="B6946" s="1" t="s">
        <v>20</v>
      </c>
      <c r="C6946" s="2" t="s">
        <v>1013</v>
      </c>
      <c r="D6946" s="2">
        <v>7.1</v>
      </c>
      <c r="E6946" s="2">
        <v>2018.0</v>
      </c>
      <c r="F6946" s="2" t="s">
        <v>10</v>
      </c>
      <c r="G6946" s="2" t="s">
        <v>10</v>
      </c>
    </row>
    <row r="6947" ht="14.25" customHeight="1">
      <c r="A6947" s="1" t="s">
        <v>5924</v>
      </c>
      <c r="B6947" s="1" t="s">
        <v>20</v>
      </c>
      <c r="C6947" s="2" t="s">
        <v>14</v>
      </c>
      <c r="D6947" s="2">
        <v>7.1</v>
      </c>
      <c r="E6947" s="2">
        <v>2019.0</v>
      </c>
      <c r="F6947" s="2" t="s">
        <v>10</v>
      </c>
      <c r="G6947" s="2" t="s">
        <v>10</v>
      </c>
    </row>
    <row r="6948" ht="14.25" customHeight="1">
      <c r="A6948" s="1" t="s">
        <v>900</v>
      </c>
      <c r="B6948" s="1" t="s">
        <v>20</v>
      </c>
      <c r="C6948" s="2" t="s">
        <v>63</v>
      </c>
      <c r="D6948" s="2">
        <v>7.1</v>
      </c>
      <c r="E6948" s="2">
        <v>1989.0</v>
      </c>
      <c r="F6948" s="2" t="s">
        <v>10</v>
      </c>
      <c r="G6948" s="2" t="s">
        <v>10</v>
      </c>
    </row>
    <row r="6949" ht="14.25" customHeight="1">
      <c r="A6949" s="1" t="s">
        <v>5925</v>
      </c>
      <c r="B6949" s="1" t="s">
        <v>20</v>
      </c>
      <c r="C6949" s="2" t="s">
        <v>36</v>
      </c>
      <c r="D6949" s="2">
        <v>7.1</v>
      </c>
      <c r="E6949" s="2">
        <v>1996.0</v>
      </c>
      <c r="F6949" s="2" t="s">
        <v>10</v>
      </c>
      <c r="G6949" s="2" t="s">
        <v>10</v>
      </c>
    </row>
    <row r="6950" ht="14.25" customHeight="1">
      <c r="A6950" s="1" t="s">
        <v>5926</v>
      </c>
      <c r="B6950" s="1" t="s">
        <v>20</v>
      </c>
      <c r="C6950" s="2" t="s">
        <v>328</v>
      </c>
      <c r="D6950" s="2">
        <v>7.1</v>
      </c>
      <c r="E6950" s="2">
        <v>1986.0</v>
      </c>
      <c r="F6950" s="2" t="s">
        <v>10</v>
      </c>
      <c r="G6950" s="2" t="s">
        <v>10</v>
      </c>
    </row>
    <row r="6951" ht="14.25" customHeight="1">
      <c r="A6951" s="1" t="s">
        <v>5927</v>
      </c>
      <c r="B6951" s="1" t="s">
        <v>20</v>
      </c>
      <c r="C6951" s="2" t="s">
        <v>159</v>
      </c>
      <c r="D6951" s="2">
        <v>7.1</v>
      </c>
      <c r="E6951" s="2">
        <v>2011.0</v>
      </c>
      <c r="F6951" s="2" t="s">
        <v>10</v>
      </c>
      <c r="G6951" s="2" t="s">
        <v>10</v>
      </c>
    </row>
    <row r="6952" ht="14.25" customHeight="1">
      <c r="A6952" s="1" t="s">
        <v>5928</v>
      </c>
      <c r="B6952" s="1" t="s">
        <v>20</v>
      </c>
      <c r="C6952" s="2" t="s">
        <v>53</v>
      </c>
      <c r="D6952" s="2">
        <v>7.1</v>
      </c>
      <c r="E6952" s="2">
        <v>1964.0</v>
      </c>
      <c r="F6952" s="2" t="s">
        <v>10</v>
      </c>
      <c r="G6952" s="2" t="s">
        <v>10</v>
      </c>
    </row>
    <row r="6953" ht="14.25" customHeight="1">
      <c r="A6953" s="1" t="s">
        <v>5929</v>
      </c>
      <c r="B6953" s="1" t="s">
        <v>20</v>
      </c>
      <c r="C6953" s="2" t="s">
        <v>154</v>
      </c>
      <c r="D6953" s="2">
        <v>7.1</v>
      </c>
      <c r="E6953" s="2">
        <v>2015.0</v>
      </c>
      <c r="F6953" s="2" t="s">
        <v>10</v>
      </c>
      <c r="G6953" s="2" t="s">
        <v>10</v>
      </c>
    </row>
    <row r="6954" ht="14.25" customHeight="1">
      <c r="A6954" s="1" t="s">
        <v>5930</v>
      </c>
      <c r="B6954" s="1" t="s">
        <v>20</v>
      </c>
      <c r="C6954" s="2" t="s">
        <v>239</v>
      </c>
      <c r="D6954" s="2">
        <v>7.1</v>
      </c>
      <c r="E6954" s="2">
        <v>2016.0</v>
      </c>
      <c r="F6954" s="2" t="s">
        <v>10</v>
      </c>
      <c r="G6954" s="2" t="s">
        <v>10</v>
      </c>
    </row>
    <row r="6955" ht="14.25" customHeight="1">
      <c r="A6955" s="1" t="s">
        <v>5931</v>
      </c>
      <c r="B6955" s="1" t="s">
        <v>20</v>
      </c>
      <c r="C6955" s="2" t="s">
        <v>154</v>
      </c>
      <c r="D6955" s="2">
        <v>7.1</v>
      </c>
      <c r="E6955" s="2">
        <v>2018.0</v>
      </c>
      <c r="F6955" s="2" t="s">
        <v>10</v>
      </c>
      <c r="G6955" s="2" t="s">
        <v>10</v>
      </c>
    </row>
    <row r="6956" ht="14.25" customHeight="1">
      <c r="A6956" s="1" t="s">
        <v>5932</v>
      </c>
      <c r="B6956" s="1" t="s">
        <v>20</v>
      </c>
      <c r="C6956" s="2" t="s">
        <v>825</v>
      </c>
      <c r="D6956" s="2">
        <v>7.1</v>
      </c>
      <c r="E6956" s="2">
        <v>2012.0</v>
      </c>
      <c r="F6956" s="2">
        <v>2012.0</v>
      </c>
      <c r="G6956" s="2" t="s">
        <v>10</v>
      </c>
    </row>
    <row r="6957" ht="14.25" customHeight="1">
      <c r="A6957" s="1" t="s">
        <v>5933</v>
      </c>
      <c r="B6957" s="1" t="s">
        <v>20</v>
      </c>
      <c r="C6957" s="2" t="s">
        <v>92</v>
      </c>
      <c r="D6957" s="2">
        <v>7.1</v>
      </c>
      <c r="E6957" s="2">
        <v>2009.0</v>
      </c>
      <c r="F6957" s="2" t="s">
        <v>10</v>
      </c>
      <c r="G6957" s="2" t="s">
        <v>10</v>
      </c>
    </row>
    <row r="6958" ht="14.25" customHeight="1">
      <c r="A6958" s="1" t="s">
        <v>5934</v>
      </c>
      <c r="B6958" s="1" t="s">
        <v>20</v>
      </c>
      <c r="C6958" s="2" t="s">
        <v>1240</v>
      </c>
      <c r="D6958" s="2">
        <v>7.1</v>
      </c>
      <c r="E6958" s="2">
        <v>2004.0</v>
      </c>
      <c r="F6958" s="2" t="s">
        <v>10</v>
      </c>
      <c r="G6958" s="2" t="s">
        <v>10</v>
      </c>
    </row>
    <row r="6959" ht="14.25" customHeight="1">
      <c r="A6959" s="1" t="s">
        <v>5935</v>
      </c>
      <c r="B6959" s="1" t="s">
        <v>20</v>
      </c>
      <c r="C6959" s="2" t="s">
        <v>53</v>
      </c>
      <c r="D6959" s="2">
        <v>7.1</v>
      </c>
      <c r="E6959" s="2">
        <v>1980.0</v>
      </c>
      <c r="F6959" s="2" t="s">
        <v>10</v>
      </c>
      <c r="G6959" s="2" t="s">
        <v>10</v>
      </c>
    </row>
    <row r="6960" ht="14.25" customHeight="1">
      <c r="A6960" s="1" t="s">
        <v>5936</v>
      </c>
      <c r="B6960" s="1" t="s">
        <v>8</v>
      </c>
      <c r="C6960" s="2" t="s">
        <v>1444</v>
      </c>
      <c r="D6960" s="2">
        <v>7.1</v>
      </c>
      <c r="E6960" s="2">
        <v>1993.0</v>
      </c>
      <c r="F6960" s="2" t="s">
        <v>10</v>
      </c>
      <c r="G6960" s="2" t="s">
        <v>10</v>
      </c>
    </row>
    <row r="6961" ht="14.25" customHeight="1">
      <c r="A6961" s="1">
        <v>0.468055556</v>
      </c>
      <c r="B6961" s="1" t="s">
        <v>20</v>
      </c>
      <c r="C6961" s="2" t="s">
        <v>530</v>
      </c>
      <c r="D6961" s="2">
        <v>7.1</v>
      </c>
      <c r="E6961" s="2">
        <v>2003.0</v>
      </c>
      <c r="F6961" s="2" t="s">
        <v>10</v>
      </c>
      <c r="G6961" s="2" t="s">
        <v>10</v>
      </c>
    </row>
    <row r="6962" ht="14.25" customHeight="1">
      <c r="A6962" s="1" t="s">
        <v>5937</v>
      </c>
      <c r="B6962" s="1" t="s">
        <v>20</v>
      </c>
      <c r="C6962" s="2" t="s">
        <v>459</v>
      </c>
      <c r="D6962" s="2">
        <v>7.1</v>
      </c>
      <c r="E6962" s="2">
        <v>1974.0</v>
      </c>
      <c r="F6962" s="2" t="s">
        <v>10</v>
      </c>
      <c r="G6962" s="2" t="s">
        <v>10</v>
      </c>
    </row>
    <row r="6963" ht="14.25" customHeight="1">
      <c r="A6963" s="1" t="s">
        <v>5938</v>
      </c>
      <c r="B6963" s="1" t="s">
        <v>20</v>
      </c>
      <c r="C6963" s="2" t="s">
        <v>118</v>
      </c>
      <c r="D6963" s="2">
        <v>7.1</v>
      </c>
      <c r="E6963" s="2">
        <v>1985.0</v>
      </c>
      <c r="F6963" s="2" t="s">
        <v>10</v>
      </c>
      <c r="G6963" s="2" t="s">
        <v>10</v>
      </c>
    </row>
    <row r="6964" ht="14.25" customHeight="1">
      <c r="A6964" s="1" t="s">
        <v>5939</v>
      </c>
      <c r="B6964" s="1" t="s">
        <v>20</v>
      </c>
      <c r="C6964" s="2" t="s">
        <v>34</v>
      </c>
      <c r="D6964" s="2">
        <v>7.1</v>
      </c>
      <c r="E6964" s="2">
        <v>1972.0</v>
      </c>
      <c r="F6964" s="2" t="s">
        <v>10</v>
      </c>
      <c r="G6964" s="2" t="s">
        <v>10</v>
      </c>
    </row>
    <row r="6965" ht="14.25" customHeight="1">
      <c r="A6965" s="1" t="s">
        <v>5940</v>
      </c>
      <c r="B6965" s="1" t="s">
        <v>20</v>
      </c>
      <c r="C6965" s="2" t="s">
        <v>395</v>
      </c>
      <c r="D6965" s="2">
        <v>7.1</v>
      </c>
      <c r="E6965" s="2">
        <v>1995.0</v>
      </c>
      <c r="F6965" s="2">
        <v>1995.0</v>
      </c>
      <c r="G6965" s="2" t="s">
        <v>10</v>
      </c>
    </row>
    <row r="6966" ht="14.25" customHeight="1">
      <c r="A6966" s="1" t="s">
        <v>5941</v>
      </c>
      <c r="B6966" s="1" t="s">
        <v>20</v>
      </c>
      <c r="C6966" s="2" t="s">
        <v>69</v>
      </c>
      <c r="D6966" s="2">
        <v>7.1</v>
      </c>
      <c r="E6966" s="2">
        <v>1989.0</v>
      </c>
      <c r="F6966" s="2" t="s">
        <v>10</v>
      </c>
      <c r="G6966" s="2" t="s">
        <v>10</v>
      </c>
    </row>
    <row r="6967" ht="14.25" customHeight="1">
      <c r="A6967" s="1" t="s">
        <v>5942</v>
      </c>
      <c r="B6967" s="1" t="s">
        <v>20</v>
      </c>
      <c r="C6967" s="2" t="s">
        <v>69</v>
      </c>
      <c r="D6967" s="2">
        <v>7.1</v>
      </c>
      <c r="E6967" s="2">
        <v>1987.0</v>
      </c>
      <c r="F6967" s="2" t="s">
        <v>10</v>
      </c>
      <c r="G6967" s="2" t="s">
        <v>10</v>
      </c>
    </row>
    <row r="6968" ht="14.25" customHeight="1">
      <c r="A6968" s="1" t="s">
        <v>5943</v>
      </c>
      <c r="B6968" s="1" t="s">
        <v>20</v>
      </c>
      <c r="C6968" s="2" t="s">
        <v>80</v>
      </c>
      <c r="D6968" s="2">
        <v>7.1</v>
      </c>
      <c r="E6968" s="2">
        <v>2008.0</v>
      </c>
      <c r="F6968" s="2" t="s">
        <v>10</v>
      </c>
      <c r="G6968" s="2" t="s">
        <v>10</v>
      </c>
    </row>
    <row r="6969" ht="14.25" customHeight="1">
      <c r="A6969" s="1" t="s">
        <v>5944</v>
      </c>
      <c r="B6969" s="1" t="s">
        <v>8</v>
      </c>
      <c r="C6969" s="2" t="s">
        <v>92</v>
      </c>
      <c r="D6969" s="2">
        <v>7.1</v>
      </c>
      <c r="E6969" s="2">
        <v>2020.0</v>
      </c>
      <c r="F6969" s="2" t="s">
        <v>10</v>
      </c>
      <c r="G6969" s="2" t="s">
        <v>10</v>
      </c>
    </row>
    <row r="6970" ht="14.25" customHeight="1">
      <c r="A6970" s="1" t="s">
        <v>5945</v>
      </c>
      <c r="B6970" s="1" t="s">
        <v>8</v>
      </c>
      <c r="C6970" s="2" t="s">
        <v>309</v>
      </c>
      <c r="D6970" s="2">
        <v>7.1</v>
      </c>
      <c r="E6970" s="2">
        <v>2015.0</v>
      </c>
      <c r="F6970" s="2" t="s">
        <v>10</v>
      </c>
      <c r="G6970" s="2" t="s">
        <v>10</v>
      </c>
    </row>
    <row r="6971" ht="14.25" customHeight="1">
      <c r="A6971" s="1" t="s">
        <v>5946</v>
      </c>
      <c r="B6971" s="1" t="s">
        <v>20</v>
      </c>
      <c r="C6971" s="2" t="s">
        <v>5947</v>
      </c>
      <c r="D6971" s="2">
        <v>7.1</v>
      </c>
      <c r="E6971" s="2">
        <v>2020.0</v>
      </c>
      <c r="F6971" s="2">
        <v>2020.0</v>
      </c>
      <c r="G6971" s="2">
        <v>7710000.0</v>
      </c>
    </row>
    <row r="6972" ht="14.25" customHeight="1">
      <c r="A6972" s="1" t="s">
        <v>5948</v>
      </c>
      <c r="B6972" s="1" t="s">
        <v>20</v>
      </c>
      <c r="C6972" s="2" t="s">
        <v>118</v>
      </c>
      <c r="D6972" s="2">
        <v>7.1</v>
      </c>
      <c r="E6972" s="2">
        <v>2008.0</v>
      </c>
      <c r="F6972" s="2" t="s">
        <v>10</v>
      </c>
      <c r="G6972" s="2" t="s">
        <v>10</v>
      </c>
    </row>
    <row r="6973" ht="14.25" customHeight="1">
      <c r="A6973" s="1" t="s">
        <v>5949</v>
      </c>
      <c r="B6973" s="1" t="s">
        <v>20</v>
      </c>
      <c r="C6973" s="2" t="s">
        <v>391</v>
      </c>
      <c r="D6973" s="2">
        <v>7.1</v>
      </c>
      <c r="E6973" s="2">
        <v>1973.0</v>
      </c>
      <c r="F6973" s="2" t="s">
        <v>10</v>
      </c>
      <c r="G6973" s="2" t="s">
        <v>10</v>
      </c>
    </row>
    <row r="6974" ht="14.25" customHeight="1">
      <c r="A6974" s="1" t="s">
        <v>5950</v>
      </c>
      <c r="B6974" s="1" t="s">
        <v>20</v>
      </c>
      <c r="C6974" s="2" t="s">
        <v>307</v>
      </c>
      <c r="D6974" s="2">
        <v>7.1</v>
      </c>
      <c r="E6974" s="2">
        <v>2024.0</v>
      </c>
      <c r="F6974" s="2" t="s">
        <v>10</v>
      </c>
      <c r="G6974" s="2" t="s">
        <v>10</v>
      </c>
    </row>
    <row r="6975" ht="14.25" customHeight="1">
      <c r="A6975" s="1" t="s">
        <v>4277</v>
      </c>
      <c r="B6975" s="1" t="s">
        <v>20</v>
      </c>
      <c r="C6975" s="2" t="s">
        <v>1013</v>
      </c>
      <c r="D6975" s="2">
        <v>7.1</v>
      </c>
      <c r="E6975" s="2">
        <v>2019.0</v>
      </c>
      <c r="F6975" s="2">
        <v>2014.0</v>
      </c>
      <c r="G6975" s="2" t="s">
        <v>10</v>
      </c>
    </row>
    <row r="6976" ht="14.25" customHeight="1">
      <c r="A6976" s="1" t="s">
        <v>5951</v>
      </c>
      <c r="B6976" s="1" t="s">
        <v>20</v>
      </c>
      <c r="C6976" s="2" t="s">
        <v>829</v>
      </c>
      <c r="D6976" s="2">
        <v>7.1</v>
      </c>
      <c r="E6976" s="2">
        <v>1953.0</v>
      </c>
      <c r="F6976" s="2" t="s">
        <v>10</v>
      </c>
      <c r="G6976" s="2" t="s">
        <v>10</v>
      </c>
    </row>
    <row r="6977" ht="14.25" customHeight="1">
      <c r="A6977" s="1" t="s">
        <v>5952</v>
      </c>
      <c r="B6977" s="1" t="s">
        <v>20</v>
      </c>
      <c r="C6977" s="2" t="s">
        <v>3462</v>
      </c>
      <c r="D6977" s="2">
        <v>7.1</v>
      </c>
      <c r="E6977" s="2">
        <v>2010.0</v>
      </c>
      <c r="F6977" s="2" t="s">
        <v>10</v>
      </c>
      <c r="G6977" s="2" t="s">
        <v>10</v>
      </c>
    </row>
    <row r="6978" ht="14.25" customHeight="1">
      <c r="A6978" s="1" t="s">
        <v>5953</v>
      </c>
      <c r="B6978" s="1" t="s">
        <v>20</v>
      </c>
      <c r="C6978" s="2" t="s">
        <v>53</v>
      </c>
      <c r="D6978" s="2">
        <v>7.1</v>
      </c>
      <c r="E6978" s="2">
        <v>2002.0</v>
      </c>
      <c r="F6978" s="2" t="s">
        <v>10</v>
      </c>
      <c r="G6978" s="2" t="s">
        <v>10</v>
      </c>
    </row>
    <row r="6979" ht="14.25" customHeight="1">
      <c r="A6979" s="1" t="s">
        <v>5954</v>
      </c>
      <c r="B6979" s="1" t="s">
        <v>20</v>
      </c>
      <c r="C6979" s="2" t="s">
        <v>118</v>
      </c>
      <c r="D6979" s="2">
        <v>7.1</v>
      </c>
      <c r="E6979" s="2">
        <v>1955.0</v>
      </c>
      <c r="F6979" s="2" t="s">
        <v>10</v>
      </c>
      <c r="G6979" s="2" t="s">
        <v>10</v>
      </c>
    </row>
    <row r="6980" ht="14.25" customHeight="1">
      <c r="A6980" s="1" t="s">
        <v>5955</v>
      </c>
      <c r="B6980" s="1" t="s">
        <v>8</v>
      </c>
      <c r="C6980" s="2" t="s">
        <v>468</v>
      </c>
      <c r="D6980" s="2">
        <v>7.1</v>
      </c>
      <c r="E6980" s="2">
        <v>2022.0</v>
      </c>
      <c r="F6980" s="2" t="s">
        <v>10</v>
      </c>
      <c r="G6980" s="2" t="s">
        <v>10</v>
      </c>
    </row>
    <row r="6981" ht="14.25" customHeight="1">
      <c r="A6981" s="1" t="s">
        <v>5956</v>
      </c>
      <c r="B6981" s="1" t="s">
        <v>20</v>
      </c>
      <c r="C6981" s="2" t="s">
        <v>63</v>
      </c>
      <c r="D6981" s="2">
        <v>7.1</v>
      </c>
      <c r="E6981" s="2">
        <v>1983.0</v>
      </c>
      <c r="F6981" s="2" t="s">
        <v>10</v>
      </c>
      <c r="G6981" s="2" t="s">
        <v>10</v>
      </c>
    </row>
    <row r="6982" ht="14.25" customHeight="1">
      <c r="A6982" s="1" t="s">
        <v>5957</v>
      </c>
      <c r="B6982" s="1" t="s">
        <v>20</v>
      </c>
      <c r="C6982" s="2" t="s">
        <v>1240</v>
      </c>
      <c r="D6982" s="2">
        <v>7.1</v>
      </c>
      <c r="E6982" s="2">
        <v>2013.0</v>
      </c>
      <c r="F6982" s="2">
        <v>2013.0</v>
      </c>
      <c r="G6982" s="2" t="s">
        <v>10</v>
      </c>
    </row>
    <row r="6983" ht="14.25" customHeight="1">
      <c r="A6983" s="1" t="s">
        <v>5958</v>
      </c>
      <c r="B6983" s="1" t="s">
        <v>20</v>
      </c>
      <c r="C6983" s="2" t="s">
        <v>40</v>
      </c>
      <c r="D6983" s="2">
        <v>7.1</v>
      </c>
      <c r="E6983" s="2">
        <v>2000.0</v>
      </c>
      <c r="F6983" s="2" t="s">
        <v>10</v>
      </c>
      <c r="G6983" s="2" t="s">
        <v>10</v>
      </c>
    </row>
    <row r="6984" ht="14.25" customHeight="1">
      <c r="A6984" s="1" t="s">
        <v>5959</v>
      </c>
      <c r="B6984" s="1" t="s">
        <v>20</v>
      </c>
      <c r="C6984" s="2" t="s">
        <v>910</v>
      </c>
      <c r="D6984" s="2">
        <v>7.1</v>
      </c>
      <c r="E6984" s="2">
        <v>2016.0</v>
      </c>
      <c r="F6984" s="2">
        <v>2008.0</v>
      </c>
      <c r="G6984" s="2" t="s">
        <v>10</v>
      </c>
    </row>
    <row r="6985" ht="14.25" customHeight="1">
      <c r="A6985" s="1" t="s">
        <v>5960</v>
      </c>
      <c r="B6985" s="1" t="s">
        <v>20</v>
      </c>
      <c r="C6985" s="2" t="s">
        <v>1637</v>
      </c>
      <c r="D6985" s="2">
        <v>7.1</v>
      </c>
      <c r="E6985" s="2">
        <v>1999.0</v>
      </c>
      <c r="F6985" s="2" t="s">
        <v>10</v>
      </c>
      <c r="G6985" s="2" t="s">
        <v>10</v>
      </c>
    </row>
    <row r="6986" ht="14.25" customHeight="1">
      <c r="A6986" s="1" t="s">
        <v>5961</v>
      </c>
      <c r="B6986" s="1" t="s">
        <v>20</v>
      </c>
      <c r="C6986" s="2" t="s">
        <v>2363</v>
      </c>
      <c r="D6986" s="2">
        <v>7.1</v>
      </c>
      <c r="E6986" s="2">
        <v>2024.0</v>
      </c>
      <c r="F6986" s="2" t="s">
        <v>10</v>
      </c>
      <c r="G6986" s="2" t="s">
        <v>10</v>
      </c>
    </row>
    <row r="6987" ht="14.25" customHeight="1">
      <c r="A6987" s="1" t="s">
        <v>5962</v>
      </c>
      <c r="B6987" s="1" t="s">
        <v>20</v>
      </c>
      <c r="C6987" s="2" t="s">
        <v>55</v>
      </c>
      <c r="D6987" s="2">
        <v>7.1</v>
      </c>
      <c r="E6987" s="2">
        <v>2021.0</v>
      </c>
      <c r="F6987" s="2" t="s">
        <v>10</v>
      </c>
      <c r="G6987" s="2" t="s">
        <v>10</v>
      </c>
    </row>
    <row r="6988" ht="14.25" customHeight="1">
      <c r="A6988" s="1" t="s">
        <v>3039</v>
      </c>
      <c r="B6988" s="1" t="s">
        <v>20</v>
      </c>
      <c r="C6988" s="2" t="s">
        <v>291</v>
      </c>
      <c r="D6988" s="2">
        <v>7.1</v>
      </c>
      <c r="E6988" s="2">
        <v>2006.0</v>
      </c>
      <c r="F6988" s="2">
        <v>2006.0</v>
      </c>
      <c r="G6988" s="2">
        <v>2740000.0</v>
      </c>
    </row>
    <row r="6989" ht="14.25" customHeight="1">
      <c r="A6989" s="1" t="s">
        <v>3039</v>
      </c>
      <c r="B6989" s="1" t="s">
        <v>20</v>
      </c>
      <c r="C6989" s="2" t="s">
        <v>291</v>
      </c>
      <c r="D6989" s="2">
        <v>7.1</v>
      </c>
      <c r="E6989" s="2">
        <v>2006.0</v>
      </c>
      <c r="F6989" s="2">
        <v>2006.0</v>
      </c>
      <c r="G6989" s="2">
        <v>3640000.0</v>
      </c>
    </row>
    <row r="6990" ht="14.25" customHeight="1">
      <c r="A6990" s="1" t="s">
        <v>5963</v>
      </c>
      <c r="B6990" s="1" t="s">
        <v>20</v>
      </c>
      <c r="C6990" s="2" t="s">
        <v>18</v>
      </c>
      <c r="D6990" s="2">
        <v>7.1</v>
      </c>
      <c r="E6990" s="2">
        <v>2001.0</v>
      </c>
      <c r="F6990" s="2" t="s">
        <v>10</v>
      </c>
      <c r="G6990" s="2" t="s">
        <v>10</v>
      </c>
    </row>
    <row r="6991" ht="14.25" customHeight="1">
      <c r="A6991" s="1" t="s">
        <v>5964</v>
      </c>
      <c r="B6991" s="1" t="s">
        <v>20</v>
      </c>
      <c r="C6991" s="2" t="s">
        <v>3696</v>
      </c>
      <c r="D6991" s="2">
        <v>7.1</v>
      </c>
      <c r="E6991" s="2">
        <v>1980.0</v>
      </c>
      <c r="F6991" s="2" t="s">
        <v>10</v>
      </c>
      <c r="G6991" s="2" t="s">
        <v>10</v>
      </c>
    </row>
    <row r="6992" ht="14.25" customHeight="1">
      <c r="A6992" s="1" t="s">
        <v>5965</v>
      </c>
      <c r="B6992" s="1" t="s">
        <v>20</v>
      </c>
      <c r="C6992" s="2" t="s">
        <v>55</v>
      </c>
      <c r="D6992" s="2">
        <v>7.1</v>
      </c>
      <c r="E6992" s="2">
        <v>1971.0</v>
      </c>
      <c r="F6992" s="2" t="s">
        <v>10</v>
      </c>
      <c r="G6992" s="2" t="s">
        <v>10</v>
      </c>
    </row>
    <row r="6993" ht="14.25" customHeight="1">
      <c r="A6993" s="1" t="s">
        <v>5966</v>
      </c>
      <c r="B6993" s="1" t="s">
        <v>20</v>
      </c>
      <c r="C6993" s="2" t="s">
        <v>253</v>
      </c>
      <c r="D6993" s="2">
        <v>7.1</v>
      </c>
      <c r="E6993" s="2">
        <v>2004.0</v>
      </c>
      <c r="F6993" s="2">
        <v>2004.0</v>
      </c>
      <c r="G6993" s="2" t="s">
        <v>10</v>
      </c>
    </row>
    <row r="6994" ht="14.25" customHeight="1">
      <c r="A6994" s="1" t="s">
        <v>5967</v>
      </c>
      <c r="B6994" s="1" t="s">
        <v>20</v>
      </c>
      <c r="C6994" s="2" t="s">
        <v>910</v>
      </c>
      <c r="D6994" s="2">
        <v>7.1</v>
      </c>
      <c r="E6994" s="2">
        <v>2023.0</v>
      </c>
      <c r="F6994" s="2" t="s">
        <v>10</v>
      </c>
      <c r="G6994" s="2">
        <v>1.17E7</v>
      </c>
    </row>
    <row r="6995" ht="14.25" customHeight="1">
      <c r="A6995" s="1" t="s">
        <v>5967</v>
      </c>
      <c r="B6995" s="1" t="s">
        <v>20</v>
      </c>
      <c r="C6995" s="2" t="s">
        <v>910</v>
      </c>
      <c r="D6995" s="2">
        <v>7.1</v>
      </c>
      <c r="E6995" s="2">
        <v>2023.0</v>
      </c>
      <c r="F6995" s="2" t="s">
        <v>10</v>
      </c>
      <c r="G6995" s="2">
        <v>9500000.0</v>
      </c>
    </row>
    <row r="6996" ht="14.25" customHeight="1">
      <c r="A6996" s="1" t="s">
        <v>5968</v>
      </c>
      <c r="B6996" s="1" t="s">
        <v>20</v>
      </c>
      <c r="C6996" s="2" t="s">
        <v>468</v>
      </c>
      <c r="D6996" s="2">
        <v>7.1</v>
      </c>
      <c r="E6996" s="2">
        <v>2021.0</v>
      </c>
      <c r="F6996" s="2" t="s">
        <v>10</v>
      </c>
      <c r="G6996" s="2" t="s">
        <v>10</v>
      </c>
    </row>
    <row r="6997" ht="14.25" customHeight="1">
      <c r="A6997" s="1" t="s">
        <v>5969</v>
      </c>
      <c r="B6997" s="1" t="s">
        <v>20</v>
      </c>
      <c r="C6997" s="2" t="s">
        <v>36</v>
      </c>
      <c r="D6997" s="2">
        <v>7.1</v>
      </c>
      <c r="E6997" s="2">
        <v>1988.0</v>
      </c>
      <c r="F6997" s="2" t="s">
        <v>10</v>
      </c>
      <c r="G6997" s="2" t="s">
        <v>10</v>
      </c>
    </row>
    <row r="6998" ht="14.25" customHeight="1">
      <c r="A6998" s="1" t="s">
        <v>5970</v>
      </c>
      <c r="B6998" s="1" t="s">
        <v>20</v>
      </c>
      <c r="C6998" s="2" t="s">
        <v>53</v>
      </c>
      <c r="D6998" s="2">
        <v>7.1</v>
      </c>
      <c r="E6998" s="2">
        <v>2008.0</v>
      </c>
      <c r="F6998" s="2" t="s">
        <v>10</v>
      </c>
      <c r="G6998" s="2" t="s">
        <v>10</v>
      </c>
    </row>
    <row r="6999" ht="14.25" customHeight="1">
      <c r="A6999" s="1" t="s">
        <v>5971</v>
      </c>
      <c r="B6999" s="1" t="s">
        <v>20</v>
      </c>
      <c r="C6999" s="2" t="s">
        <v>80</v>
      </c>
      <c r="D6999" s="2">
        <v>7.1</v>
      </c>
      <c r="E6999" s="2">
        <v>2018.0</v>
      </c>
      <c r="F6999" s="2" t="s">
        <v>10</v>
      </c>
      <c r="G6999" s="2" t="s">
        <v>10</v>
      </c>
    </row>
    <row r="7000" ht="14.25" customHeight="1">
      <c r="A7000" s="1" t="s">
        <v>5972</v>
      </c>
      <c r="B7000" s="1" t="s">
        <v>20</v>
      </c>
      <c r="C7000" s="2" t="s">
        <v>311</v>
      </c>
      <c r="D7000" s="2">
        <v>7.1</v>
      </c>
      <c r="E7000" s="2">
        <v>2009.0</v>
      </c>
      <c r="F7000" s="2">
        <v>2009.0</v>
      </c>
      <c r="G7000" s="2" t="s">
        <v>10</v>
      </c>
    </row>
    <row r="7001" ht="14.25" customHeight="1">
      <c r="A7001" s="1" t="s">
        <v>5973</v>
      </c>
      <c r="B7001" s="1" t="s">
        <v>8</v>
      </c>
      <c r="C7001" s="2" t="s">
        <v>78</v>
      </c>
      <c r="D7001" s="2">
        <v>7.1</v>
      </c>
      <c r="E7001" s="2">
        <v>1994.0</v>
      </c>
      <c r="F7001" s="2" t="s">
        <v>10</v>
      </c>
      <c r="G7001" s="2" t="s">
        <v>10</v>
      </c>
    </row>
    <row r="7002" ht="14.25" customHeight="1">
      <c r="A7002" s="1" t="s">
        <v>5974</v>
      </c>
      <c r="B7002" s="1" t="s">
        <v>20</v>
      </c>
      <c r="C7002" s="2" t="s">
        <v>169</v>
      </c>
      <c r="D7002" s="2">
        <v>7.1</v>
      </c>
      <c r="E7002" s="2">
        <v>2017.0</v>
      </c>
      <c r="F7002" s="2" t="s">
        <v>10</v>
      </c>
      <c r="G7002" s="2" t="s">
        <v>10</v>
      </c>
    </row>
    <row r="7003" ht="14.25" customHeight="1">
      <c r="A7003" s="1" t="s">
        <v>5975</v>
      </c>
      <c r="B7003" s="1" t="s">
        <v>20</v>
      </c>
      <c r="C7003" s="2" t="s">
        <v>36</v>
      </c>
      <c r="D7003" s="2">
        <v>7.1</v>
      </c>
      <c r="E7003" s="2">
        <v>2014.0</v>
      </c>
      <c r="F7003" s="2" t="s">
        <v>10</v>
      </c>
      <c r="G7003" s="2" t="s">
        <v>10</v>
      </c>
    </row>
    <row r="7004" ht="14.25" customHeight="1">
      <c r="A7004" s="1" t="s">
        <v>5976</v>
      </c>
      <c r="B7004" s="1" t="s">
        <v>20</v>
      </c>
      <c r="C7004" s="2" t="s">
        <v>63</v>
      </c>
      <c r="D7004" s="2">
        <v>7.1</v>
      </c>
      <c r="E7004" s="2">
        <v>2007.0</v>
      </c>
      <c r="F7004" s="2" t="s">
        <v>10</v>
      </c>
      <c r="G7004" s="2" t="s">
        <v>10</v>
      </c>
    </row>
    <row r="7005" ht="14.25" customHeight="1">
      <c r="A7005" s="1" t="s">
        <v>5977</v>
      </c>
      <c r="B7005" s="1" t="s">
        <v>20</v>
      </c>
      <c r="C7005" s="2" t="s">
        <v>192</v>
      </c>
      <c r="D7005" s="2">
        <v>7.1</v>
      </c>
      <c r="E7005" s="2">
        <v>1983.0</v>
      </c>
      <c r="F7005" s="2" t="s">
        <v>10</v>
      </c>
      <c r="G7005" s="2" t="s">
        <v>10</v>
      </c>
    </row>
    <row r="7006" ht="14.25" customHeight="1">
      <c r="A7006" s="1" t="s">
        <v>5978</v>
      </c>
      <c r="B7006" s="1" t="s">
        <v>20</v>
      </c>
      <c r="C7006" s="2" t="s">
        <v>217</v>
      </c>
      <c r="D7006" s="2">
        <v>7.1</v>
      </c>
      <c r="E7006" s="2">
        <v>2023.0</v>
      </c>
      <c r="F7006" s="2" t="s">
        <v>10</v>
      </c>
      <c r="G7006" s="2" t="s">
        <v>10</v>
      </c>
    </row>
    <row r="7007" ht="14.25" customHeight="1">
      <c r="A7007" s="1" t="s">
        <v>5979</v>
      </c>
      <c r="B7007" s="1" t="s">
        <v>8</v>
      </c>
      <c r="C7007" s="2" t="s">
        <v>231</v>
      </c>
      <c r="D7007" s="2">
        <v>7.1</v>
      </c>
      <c r="E7007" s="2">
        <v>2019.0</v>
      </c>
      <c r="F7007" s="2">
        <v>2019.0</v>
      </c>
      <c r="G7007" s="2" t="s">
        <v>10</v>
      </c>
    </row>
    <row r="7008" ht="14.25" customHeight="1">
      <c r="A7008" s="1" t="s">
        <v>5980</v>
      </c>
      <c r="B7008" s="1" t="s">
        <v>20</v>
      </c>
      <c r="C7008" s="2" t="s">
        <v>44</v>
      </c>
      <c r="D7008" s="2">
        <v>7.1</v>
      </c>
      <c r="E7008" s="2">
        <v>2003.0</v>
      </c>
      <c r="F7008" s="2" t="s">
        <v>10</v>
      </c>
      <c r="G7008" s="2" t="s">
        <v>10</v>
      </c>
    </row>
    <row r="7009" ht="14.25" customHeight="1">
      <c r="A7009" s="1" t="s">
        <v>5981</v>
      </c>
      <c r="B7009" s="1" t="s">
        <v>20</v>
      </c>
      <c r="C7009" s="2" t="s">
        <v>2808</v>
      </c>
      <c r="D7009" s="2">
        <v>7.1</v>
      </c>
      <c r="E7009" s="2">
        <v>2020.0</v>
      </c>
      <c r="F7009" s="2" t="s">
        <v>10</v>
      </c>
      <c r="G7009" s="2">
        <v>1940000.0</v>
      </c>
    </row>
    <row r="7010" ht="14.25" customHeight="1">
      <c r="A7010" s="1" t="s">
        <v>5981</v>
      </c>
      <c r="B7010" s="1" t="s">
        <v>20</v>
      </c>
      <c r="C7010" s="2" t="s">
        <v>2808</v>
      </c>
      <c r="D7010" s="2">
        <v>7.1</v>
      </c>
      <c r="E7010" s="2">
        <v>2020.0</v>
      </c>
      <c r="F7010" s="2" t="s">
        <v>10</v>
      </c>
      <c r="G7010" s="2">
        <v>2630000.0</v>
      </c>
    </row>
    <row r="7011" ht="14.25" customHeight="1">
      <c r="A7011" s="1" t="s">
        <v>5981</v>
      </c>
      <c r="B7011" s="1" t="s">
        <v>20</v>
      </c>
      <c r="C7011" s="2" t="s">
        <v>2808</v>
      </c>
      <c r="D7011" s="2">
        <v>7.1</v>
      </c>
      <c r="E7011" s="2">
        <v>2020.0</v>
      </c>
      <c r="F7011" s="2" t="s">
        <v>10</v>
      </c>
      <c r="G7011" s="2">
        <v>3860000.0</v>
      </c>
    </row>
    <row r="7012" ht="14.25" customHeight="1">
      <c r="A7012" s="1" t="s">
        <v>5981</v>
      </c>
      <c r="B7012" s="1" t="s">
        <v>20</v>
      </c>
      <c r="C7012" s="2" t="s">
        <v>2808</v>
      </c>
      <c r="D7012" s="2">
        <v>7.1</v>
      </c>
      <c r="E7012" s="2">
        <v>2020.0</v>
      </c>
      <c r="F7012" s="2" t="s">
        <v>10</v>
      </c>
      <c r="G7012" s="2">
        <v>8410000.0</v>
      </c>
    </row>
    <row r="7013" ht="14.25" customHeight="1">
      <c r="A7013" s="1" t="s">
        <v>5981</v>
      </c>
      <c r="B7013" s="1" t="s">
        <v>20</v>
      </c>
      <c r="C7013" s="2" t="s">
        <v>2808</v>
      </c>
      <c r="D7013" s="2">
        <v>7.1</v>
      </c>
      <c r="E7013" s="2">
        <v>2020.0</v>
      </c>
      <c r="F7013" s="2" t="s">
        <v>10</v>
      </c>
      <c r="G7013" s="2">
        <v>2.58E7</v>
      </c>
    </row>
    <row r="7014" ht="14.25" customHeight="1">
      <c r="A7014" s="1" t="s">
        <v>5981</v>
      </c>
      <c r="B7014" s="1" t="s">
        <v>20</v>
      </c>
      <c r="C7014" s="2" t="s">
        <v>2808</v>
      </c>
      <c r="D7014" s="2">
        <v>7.1</v>
      </c>
      <c r="E7014" s="2">
        <v>2020.0</v>
      </c>
      <c r="F7014" s="2" t="s">
        <v>10</v>
      </c>
      <c r="G7014" s="2">
        <v>2.146E7</v>
      </c>
    </row>
    <row r="7015" ht="14.25" customHeight="1">
      <c r="A7015" s="1" t="s">
        <v>5982</v>
      </c>
      <c r="B7015" s="1" t="s">
        <v>8</v>
      </c>
      <c r="C7015" s="2" t="s">
        <v>1444</v>
      </c>
      <c r="D7015" s="2">
        <v>7.1</v>
      </c>
      <c r="E7015" s="2">
        <v>1989.0</v>
      </c>
      <c r="F7015" s="2">
        <v>1994.0</v>
      </c>
      <c r="G7015" s="2" t="s">
        <v>10</v>
      </c>
    </row>
    <row r="7016" ht="14.25" customHeight="1">
      <c r="A7016" s="1" t="s">
        <v>5983</v>
      </c>
      <c r="B7016" s="1" t="s">
        <v>20</v>
      </c>
      <c r="C7016" s="2" t="s">
        <v>18</v>
      </c>
      <c r="D7016" s="2">
        <v>7.1</v>
      </c>
      <c r="E7016" s="2">
        <v>2023.0</v>
      </c>
      <c r="F7016" s="2" t="s">
        <v>10</v>
      </c>
      <c r="G7016" s="2" t="s">
        <v>10</v>
      </c>
    </row>
    <row r="7017" ht="14.25" customHeight="1">
      <c r="A7017" s="1" t="s">
        <v>5984</v>
      </c>
      <c r="B7017" s="1" t="s">
        <v>20</v>
      </c>
      <c r="C7017" s="2" t="s">
        <v>1375</v>
      </c>
      <c r="D7017" s="2">
        <v>7.1</v>
      </c>
      <c r="E7017" s="2">
        <v>2018.0</v>
      </c>
      <c r="F7017" s="2" t="s">
        <v>10</v>
      </c>
      <c r="G7017" s="2" t="s">
        <v>10</v>
      </c>
    </row>
    <row r="7018" ht="14.25" customHeight="1">
      <c r="A7018" s="1" t="s">
        <v>5985</v>
      </c>
      <c r="B7018" s="1" t="s">
        <v>20</v>
      </c>
      <c r="C7018" s="2" t="s">
        <v>530</v>
      </c>
      <c r="D7018" s="2">
        <v>7.1</v>
      </c>
      <c r="E7018" s="2">
        <v>2015.0</v>
      </c>
      <c r="F7018" s="2" t="s">
        <v>10</v>
      </c>
      <c r="G7018" s="2" t="s">
        <v>10</v>
      </c>
    </row>
    <row r="7019" ht="14.25" customHeight="1">
      <c r="A7019" s="1" t="s">
        <v>5986</v>
      </c>
      <c r="B7019" s="1" t="s">
        <v>20</v>
      </c>
      <c r="C7019" s="2" t="s">
        <v>69</v>
      </c>
      <c r="D7019" s="2">
        <v>7.1</v>
      </c>
      <c r="E7019" s="2">
        <v>2024.0</v>
      </c>
      <c r="F7019" s="2" t="s">
        <v>10</v>
      </c>
      <c r="G7019" s="2" t="s">
        <v>10</v>
      </c>
    </row>
    <row r="7020" ht="14.25" customHeight="1">
      <c r="A7020" s="1" t="s">
        <v>5987</v>
      </c>
      <c r="B7020" s="1" t="s">
        <v>20</v>
      </c>
      <c r="C7020" s="2" t="s">
        <v>207</v>
      </c>
      <c r="D7020" s="2">
        <v>7.1</v>
      </c>
      <c r="E7020" s="2">
        <v>1951.0</v>
      </c>
      <c r="F7020" s="2" t="s">
        <v>10</v>
      </c>
      <c r="G7020" s="2" t="s">
        <v>10</v>
      </c>
    </row>
    <row r="7021" ht="14.25" customHeight="1">
      <c r="A7021" s="1" t="s">
        <v>5988</v>
      </c>
      <c r="B7021" s="1" t="s">
        <v>20</v>
      </c>
      <c r="C7021" s="2" t="s">
        <v>18</v>
      </c>
      <c r="D7021" s="2">
        <v>7.1</v>
      </c>
      <c r="E7021" s="2">
        <v>2021.0</v>
      </c>
      <c r="F7021" s="2" t="s">
        <v>10</v>
      </c>
      <c r="G7021" s="2">
        <v>4820000.0</v>
      </c>
    </row>
    <row r="7022" ht="14.25" customHeight="1">
      <c r="A7022" s="1" t="s">
        <v>5988</v>
      </c>
      <c r="B7022" s="1" t="s">
        <v>20</v>
      </c>
      <c r="C7022" s="2" t="s">
        <v>18</v>
      </c>
      <c r="D7022" s="2">
        <v>7.1</v>
      </c>
      <c r="E7022" s="2">
        <v>2021.0</v>
      </c>
      <c r="F7022" s="2" t="s">
        <v>10</v>
      </c>
      <c r="G7022" s="2">
        <v>6510000.0</v>
      </c>
    </row>
    <row r="7023" ht="14.25" customHeight="1">
      <c r="A7023" s="1" t="s">
        <v>5989</v>
      </c>
      <c r="B7023" s="1" t="s">
        <v>20</v>
      </c>
      <c r="C7023" s="2" t="s">
        <v>461</v>
      </c>
      <c r="D7023" s="2">
        <v>7.1</v>
      </c>
      <c r="E7023" s="2">
        <v>2009.0</v>
      </c>
      <c r="F7023" s="2" t="s">
        <v>10</v>
      </c>
      <c r="G7023" s="2" t="s">
        <v>10</v>
      </c>
    </row>
    <row r="7024" ht="14.25" customHeight="1">
      <c r="A7024" s="1" t="s">
        <v>5990</v>
      </c>
      <c r="B7024" s="1" t="s">
        <v>20</v>
      </c>
      <c r="C7024" s="2" t="s">
        <v>63</v>
      </c>
      <c r="D7024" s="2">
        <v>7.1</v>
      </c>
      <c r="E7024" s="2">
        <v>2021.0</v>
      </c>
      <c r="F7024" s="2" t="s">
        <v>10</v>
      </c>
      <c r="G7024" s="2" t="s">
        <v>10</v>
      </c>
    </row>
    <row r="7025" ht="14.25" customHeight="1">
      <c r="A7025" s="1" t="s">
        <v>5991</v>
      </c>
      <c r="B7025" s="1" t="s">
        <v>20</v>
      </c>
      <c r="C7025" s="2" t="s">
        <v>9</v>
      </c>
      <c r="D7025" s="2">
        <v>7.1</v>
      </c>
      <c r="E7025" s="2">
        <v>2017.0</v>
      </c>
      <c r="F7025" s="2" t="s">
        <v>10</v>
      </c>
      <c r="G7025" s="2" t="s">
        <v>10</v>
      </c>
    </row>
    <row r="7026" ht="14.25" customHeight="1">
      <c r="A7026" s="1" t="s">
        <v>5992</v>
      </c>
      <c r="B7026" s="1" t="s">
        <v>8</v>
      </c>
      <c r="C7026" s="2" t="s">
        <v>1326</v>
      </c>
      <c r="D7026" s="2">
        <v>7.1</v>
      </c>
      <c r="E7026" s="2">
        <v>2019.0</v>
      </c>
      <c r="F7026" s="2">
        <v>2019.0</v>
      </c>
      <c r="G7026" s="2" t="s">
        <v>10</v>
      </c>
    </row>
    <row r="7027" ht="14.25" customHeight="1">
      <c r="A7027" s="1" t="s">
        <v>5993</v>
      </c>
      <c r="B7027" s="1" t="s">
        <v>20</v>
      </c>
      <c r="C7027" s="2" t="s">
        <v>40</v>
      </c>
      <c r="D7027" s="2">
        <v>7.1</v>
      </c>
      <c r="E7027" s="2">
        <v>2010.0</v>
      </c>
      <c r="F7027" s="2" t="s">
        <v>10</v>
      </c>
      <c r="G7027" s="2" t="s">
        <v>10</v>
      </c>
    </row>
    <row r="7028" ht="14.25" customHeight="1">
      <c r="A7028" s="1" t="s">
        <v>5994</v>
      </c>
      <c r="B7028" s="1" t="s">
        <v>20</v>
      </c>
      <c r="C7028" s="2" t="s">
        <v>63</v>
      </c>
      <c r="D7028" s="2">
        <v>7.1</v>
      </c>
      <c r="E7028" s="2">
        <v>2020.0</v>
      </c>
      <c r="F7028" s="2" t="s">
        <v>10</v>
      </c>
      <c r="G7028" s="2" t="s">
        <v>10</v>
      </c>
    </row>
    <row r="7029" ht="14.25" customHeight="1">
      <c r="A7029" s="1" t="s">
        <v>5995</v>
      </c>
      <c r="B7029" s="1" t="s">
        <v>20</v>
      </c>
      <c r="C7029" s="2" t="s">
        <v>187</v>
      </c>
      <c r="D7029" s="2">
        <v>7.1</v>
      </c>
      <c r="E7029" s="2">
        <v>2009.0</v>
      </c>
      <c r="F7029" s="2" t="s">
        <v>10</v>
      </c>
      <c r="G7029" s="2" t="s">
        <v>10</v>
      </c>
    </row>
    <row r="7030" ht="14.25" customHeight="1">
      <c r="A7030" s="1" t="s">
        <v>2511</v>
      </c>
      <c r="B7030" s="1" t="s">
        <v>8</v>
      </c>
      <c r="C7030" s="2" t="s">
        <v>40</v>
      </c>
      <c r="D7030" s="2">
        <v>7.1</v>
      </c>
      <c r="E7030" s="2">
        <v>2022.0</v>
      </c>
      <c r="F7030" s="2">
        <v>2018.0</v>
      </c>
      <c r="G7030" s="2" t="s">
        <v>10</v>
      </c>
    </row>
    <row r="7031" ht="14.25" customHeight="1">
      <c r="A7031" s="1" t="s">
        <v>5996</v>
      </c>
      <c r="B7031" s="1" t="s">
        <v>20</v>
      </c>
      <c r="C7031" s="2" t="s">
        <v>18</v>
      </c>
      <c r="D7031" s="2">
        <v>7.1</v>
      </c>
      <c r="E7031" s="2">
        <v>2004.0</v>
      </c>
      <c r="F7031" s="2" t="s">
        <v>10</v>
      </c>
      <c r="G7031" s="2" t="s">
        <v>10</v>
      </c>
    </row>
    <row r="7032" ht="14.25" customHeight="1">
      <c r="A7032" s="1" t="s">
        <v>5997</v>
      </c>
      <c r="B7032" s="1" t="s">
        <v>20</v>
      </c>
      <c r="C7032" s="2" t="s">
        <v>284</v>
      </c>
      <c r="D7032" s="2">
        <v>7.1</v>
      </c>
      <c r="E7032" s="2">
        <v>2015.0</v>
      </c>
      <c r="F7032" s="2" t="s">
        <v>10</v>
      </c>
      <c r="G7032" s="2" t="s">
        <v>10</v>
      </c>
    </row>
    <row r="7033" ht="14.25" customHeight="1">
      <c r="A7033" s="1" t="s">
        <v>5998</v>
      </c>
      <c r="B7033" s="1" t="s">
        <v>20</v>
      </c>
      <c r="C7033" s="2" t="s">
        <v>239</v>
      </c>
      <c r="D7033" s="2">
        <v>7.1</v>
      </c>
      <c r="E7033" s="2">
        <v>2006.0</v>
      </c>
      <c r="F7033" s="2" t="s">
        <v>10</v>
      </c>
      <c r="G7033" s="2" t="s">
        <v>10</v>
      </c>
    </row>
    <row r="7034" ht="14.25" customHeight="1">
      <c r="A7034" s="1" t="s">
        <v>5999</v>
      </c>
      <c r="B7034" s="1" t="s">
        <v>20</v>
      </c>
      <c r="C7034" s="2" t="s">
        <v>154</v>
      </c>
      <c r="D7034" s="2">
        <v>7.1</v>
      </c>
      <c r="E7034" s="2">
        <v>2015.0</v>
      </c>
      <c r="F7034" s="2" t="s">
        <v>10</v>
      </c>
      <c r="G7034" s="2" t="s">
        <v>10</v>
      </c>
    </row>
    <row r="7035" ht="14.25" customHeight="1">
      <c r="A7035" s="1" t="s">
        <v>6000</v>
      </c>
      <c r="B7035" s="1" t="s">
        <v>20</v>
      </c>
      <c r="C7035" s="2" t="s">
        <v>192</v>
      </c>
      <c r="D7035" s="2">
        <v>7.1</v>
      </c>
      <c r="E7035" s="2">
        <v>2019.0</v>
      </c>
      <c r="F7035" s="2" t="s">
        <v>10</v>
      </c>
      <c r="G7035" s="2" t="s">
        <v>10</v>
      </c>
    </row>
    <row r="7036" ht="14.25" customHeight="1">
      <c r="A7036" s="1" t="s">
        <v>6001</v>
      </c>
      <c r="B7036" s="1" t="s">
        <v>20</v>
      </c>
      <c r="C7036" s="2" t="s">
        <v>187</v>
      </c>
      <c r="D7036" s="2">
        <v>7.1</v>
      </c>
      <c r="E7036" s="2">
        <v>1996.0</v>
      </c>
      <c r="F7036" s="2" t="s">
        <v>10</v>
      </c>
      <c r="G7036" s="2" t="s">
        <v>10</v>
      </c>
    </row>
    <row r="7037" ht="14.25" customHeight="1">
      <c r="A7037" s="1" t="s">
        <v>6002</v>
      </c>
      <c r="B7037" s="1" t="s">
        <v>20</v>
      </c>
      <c r="C7037" s="2" t="s">
        <v>910</v>
      </c>
      <c r="D7037" s="2">
        <v>7.1</v>
      </c>
      <c r="E7037" s="2">
        <v>2012.0</v>
      </c>
      <c r="F7037" s="2" t="s">
        <v>10</v>
      </c>
      <c r="G7037" s="2" t="s">
        <v>10</v>
      </c>
    </row>
    <row r="7038" ht="14.25" customHeight="1">
      <c r="A7038" s="1" t="s">
        <v>6003</v>
      </c>
      <c r="B7038" s="1" t="s">
        <v>20</v>
      </c>
      <c r="C7038" s="2" t="s">
        <v>18</v>
      </c>
      <c r="D7038" s="2">
        <v>7.1</v>
      </c>
      <c r="E7038" s="2">
        <v>2020.0</v>
      </c>
      <c r="F7038" s="2" t="s">
        <v>10</v>
      </c>
      <c r="G7038" s="2" t="s">
        <v>10</v>
      </c>
    </row>
    <row r="7039" ht="14.25" customHeight="1">
      <c r="A7039" s="1" t="s">
        <v>6004</v>
      </c>
      <c r="B7039" s="1" t="s">
        <v>20</v>
      </c>
      <c r="C7039" s="2" t="s">
        <v>18</v>
      </c>
      <c r="D7039" s="2">
        <v>7.1</v>
      </c>
      <c r="E7039" s="2">
        <v>2002.0</v>
      </c>
      <c r="F7039" s="2" t="s">
        <v>10</v>
      </c>
      <c r="G7039" s="2" t="s">
        <v>10</v>
      </c>
    </row>
    <row r="7040" ht="14.25" customHeight="1">
      <c r="A7040" s="1" t="s">
        <v>6005</v>
      </c>
      <c r="B7040" s="1" t="s">
        <v>20</v>
      </c>
      <c r="C7040" s="2" t="s">
        <v>455</v>
      </c>
      <c r="D7040" s="2">
        <v>7.1</v>
      </c>
      <c r="E7040" s="2">
        <v>1951.0</v>
      </c>
      <c r="F7040" s="2" t="s">
        <v>10</v>
      </c>
      <c r="G7040" s="2" t="s">
        <v>10</v>
      </c>
    </row>
    <row r="7041" ht="14.25" customHeight="1">
      <c r="A7041" s="1" t="s">
        <v>6006</v>
      </c>
      <c r="B7041" s="1" t="s">
        <v>20</v>
      </c>
      <c r="C7041" s="2" t="s">
        <v>80</v>
      </c>
      <c r="D7041" s="2">
        <v>7.1</v>
      </c>
      <c r="E7041" s="2">
        <v>1996.0</v>
      </c>
      <c r="F7041" s="2" t="s">
        <v>10</v>
      </c>
      <c r="G7041" s="2" t="s">
        <v>10</v>
      </c>
    </row>
    <row r="7042" ht="14.25" customHeight="1">
      <c r="A7042" s="1" t="s">
        <v>6007</v>
      </c>
      <c r="B7042" s="1" t="s">
        <v>20</v>
      </c>
      <c r="C7042" s="2" t="s">
        <v>1060</v>
      </c>
      <c r="D7042" s="2">
        <v>7.1</v>
      </c>
      <c r="E7042" s="2">
        <v>2016.0</v>
      </c>
      <c r="F7042" s="2" t="s">
        <v>10</v>
      </c>
      <c r="G7042" s="2" t="s">
        <v>10</v>
      </c>
    </row>
    <row r="7043" ht="14.25" customHeight="1">
      <c r="A7043" s="1" t="s">
        <v>6008</v>
      </c>
      <c r="B7043" s="1" t="s">
        <v>20</v>
      </c>
      <c r="C7043" s="2" t="s">
        <v>1170</v>
      </c>
      <c r="D7043" s="2">
        <v>7.1</v>
      </c>
      <c r="E7043" s="2">
        <v>2013.0</v>
      </c>
      <c r="F7043" s="2" t="s">
        <v>10</v>
      </c>
      <c r="G7043" s="2" t="s">
        <v>10</v>
      </c>
    </row>
    <row r="7044" ht="14.25" customHeight="1">
      <c r="A7044" s="1" t="s">
        <v>6009</v>
      </c>
      <c r="B7044" s="1" t="s">
        <v>20</v>
      </c>
      <c r="C7044" s="2" t="s">
        <v>36</v>
      </c>
      <c r="D7044" s="2">
        <v>7.1</v>
      </c>
      <c r="E7044" s="2">
        <v>2004.0</v>
      </c>
      <c r="F7044" s="2" t="s">
        <v>10</v>
      </c>
      <c r="G7044" s="2" t="s">
        <v>10</v>
      </c>
    </row>
    <row r="7045" ht="14.25" customHeight="1">
      <c r="A7045" s="1" t="s">
        <v>6010</v>
      </c>
      <c r="B7045" s="1" t="s">
        <v>20</v>
      </c>
      <c r="C7045" s="2" t="s">
        <v>2363</v>
      </c>
      <c r="D7045" s="2">
        <v>7.1</v>
      </c>
      <c r="E7045" s="2">
        <v>2023.0</v>
      </c>
      <c r="F7045" s="2" t="s">
        <v>10</v>
      </c>
      <c r="G7045" s="2" t="s">
        <v>10</v>
      </c>
    </row>
    <row r="7046" ht="14.25" customHeight="1">
      <c r="A7046" s="1" t="s">
        <v>6011</v>
      </c>
      <c r="B7046" s="1" t="s">
        <v>20</v>
      </c>
      <c r="C7046" s="2" t="s">
        <v>80</v>
      </c>
      <c r="D7046" s="2">
        <v>7.1</v>
      </c>
      <c r="E7046" s="2">
        <v>1995.0</v>
      </c>
      <c r="F7046" s="2" t="s">
        <v>10</v>
      </c>
      <c r="G7046" s="2" t="s">
        <v>10</v>
      </c>
    </row>
    <row r="7047" ht="14.25" customHeight="1">
      <c r="A7047" s="1" t="s">
        <v>6012</v>
      </c>
      <c r="B7047" s="1" t="s">
        <v>20</v>
      </c>
      <c r="C7047" s="2" t="s">
        <v>527</v>
      </c>
      <c r="D7047" s="2">
        <v>7.1</v>
      </c>
      <c r="E7047" s="2">
        <v>1976.0</v>
      </c>
      <c r="F7047" s="2" t="s">
        <v>10</v>
      </c>
      <c r="G7047" s="2" t="s">
        <v>10</v>
      </c>
    </row>
    <row r="7048" ht="14.25" customHeight="1">
      <c r="A7048" s="1" t="s">
        <v>6013</v>
      </c>
      <c r="B7048" s="1" t="s">
        <v>20</v>
      </c>
      <c r="C7048" s="2" t="s">
        <v>63</v>
      </c>
      <c r="D7048" s="2">
        <v>7.1</v>
      </c>
      <c r="E7048" s="2">
        <v>2022.0</v>
      </c>
      <c r="F7048" s="2" t="s">
        <v>10</v>
      </c>
      <c r="G7048" s="2" t="s">
        <v>10</v>
      </c>
    </row>
    <row r="7049" ht="14.25" customHeight="1">
      <c r="A7049" s="1" t="s">
        <v>6014</v>
      </c>
      <c r="B7049" s="1" t="s">
        <v>20</v>
      </c>
      <c r="C7049" s="2" t="s">
        <v>825</v>
      </c>
      <c r="D7049" s="2">
        <v>7.1</v>
      </c>
      <c r="E7049" s="2">
        <v>2013.0</v>
      </c>
      <c r="F7049" s="2" t="s">
        <v>10</v>
      </c>
      <c r="G7049" s="2" t="s">
        <v>10</v>
      </c>
    </row>
    <row r="7050" ht="14.25" customHeight="1">
      <c r="A7050" s="1" t="s">
        <v>6015</v>
      </c>
      <c r="B7050" s="1" t="s">
        <v>8</v>
      </c>
      <c r="C7050" s="2" t="s">
        <v>507</v>
      </c>
      <c r="D7050" s="2">
        <v>7.1</v>
      </c>
      <c r="E7050" s="2">
        <v>2022.0</v>
      </c>
      <c r="F7050" s="2">
        <v>2010.0</v>
      </c>
      <c r="G7050" s="2" t="s">
        <v>10</v>
      </c>
    </row>
    <row r="7051" ht="14.25" customHeight="1">
      <c r="A7051" s="1" t="s">
        <v>6016</v>
      </c>
      <c r="B7051" s="1" t="s">
        <v>8</v>
      </c>
      <c r="C7051" s="2" t="s">
        <v>325</v>
      </c>
      <c r="D7051" s="2">
        <v>7.1</v>
      </c>
      <c r="E7051" s="2">
        <v>2005.0</v>
      </c>
      <c r="F7051" s="2">
        <v>1985.0</v>
      </c>
      <c r="G7051" s="2" t="s">
        <v>10</v>
      </c>
    </row>
    <row r="7052" ht="14.25" customHeight="1">
      <c r="A7052" s="1" t="s">
        <v>6017</v>
      </c>
      <c r="B7052" s="1" t="s">
        <v>20</v>
      </c>
      <c r="C7052" s="2" t="s">
        <v>217</v>
      </c>
      <c r="D7052" s="2">
        <v>7.1</v>
      </c>
      <c r="E7052" s="2">
        <v>2009.0</v>
      </c>
      <c r="F7052" s="2" t="s">
        <v>10</v>
      </c>
      <c r="G7052" s="2" t="s">
        <v>10</v>
      </c>
    </row>
    <row r="7053" ht="14.25" customHeight="1">
      <c r="A7053" s="1" t="s">
        <v>6018</v>
      </c>
      <c r="B7053" s="1" t="s">
        <v>20</v>
      </c>
      <c r="C7053" s="2" t="s">
        <v>611</v>
      </c>
      <c r="D7053" s="2">
        <v>7.1</v>
      </c>
      <c r="E7053" s="2">
        <v>2019.0</v>
      </c>
      <c r="F7053" s="2">
        <v>2020.0</v>
      </c>
      <c r="G7053" s="2" t="s">
        <v>10</v>
      </c>
    </row>
    <row r="7054" ht="14.25" customHeight="1">
      <c r="A7054" s="1" t="s">
        <v>6019</v>
      </c>
      <c r="B7054" s="1" t="s">
        <v>20</v>
      </c>
      <c r="C7054" s="2" t="s">
        <v>527</v>
      </c>
      <c r="D7054" s="2">
        <v>7.1</v>
      </c>
      <c r="E7054" s="2">
        <v>2003.0</v>
      </c>
      <c r="F7054" s="2" t="s">
        <v>10</v>
      </c>
      <c r="G7054" s="2" t="s">
        <v>10</v>
      </c>
    </row>
    <row r="7055" ht="14.25" customHeight="1">
      <c r="A7055" s="1" t="s">
        <v>6020</v>
      </c>
      <c r="B7055" s="1" t="s">
        <v>20</v>
      </c>
      <c r="C7055" s="2" t="s">
        <v>134</v>
      </c>
      <c r="D7055" s="2">
        <v>7.1</v>
      </c>
      <c r="E7055" s="2">
        <v>1971.0</v>
      </c>
      <c r="F7055" s="2" t="s">
        <v>10</v>
      </c>
      <c r="G7055" s="2" t="s">
        <v>10</v>
      </c>
    </row>
    <row r="7056" ht="14.25" customHeight="1">
      <c r="A7056" s="1" t="s">
        <v>6021</v>
      </c>
      <c r="B7056" s="1" t="s">
        <v>20</v>
      </c>
      <c r="C7056" s="2" t="s">
        <v>1959</v>
      </c>
      <c r="D7056" s="2">
        <v>7.1</v>
      </c>
      <c r="E7056" s="2">
        <v>2010.0</v>
      </c>
      <c r="F7056" s="2" t="s">
        <v>10</v>
      </c>
      <c r="G7056" s="2" t="s">
        <v>10</v>
      </c>
    </row>
    <row r="7057" ht="14.25" customHeight="1">
      <c r="A7057" s="1" t="s">
        <v>6022</v>
      </c>
      <c r="B7057" s="1" t="s">
        <v>20</v>
      </c>
      <c r="C7057" s="2" t="s">
        <v>154</v>
      </c>
      <c r="D7057" s="2">
        <v>7.1</v>
      </c>
      <c r="E7057" s="2">
        <v>2014.0</v>
      </c>
      <c r="F7057" s="2" t="s">
        <v>10</v>
      </c>
      <c r="G7057" s="2" t="s">
        <v>10</v>
      </c>
    </row>
    <row r="7058" ht="14.25" customHeight="1">
      <c r="A7058" s="1" t="s">
        <v>6023</v>
      </c>
      <c r="B7058" s="1" t="s">
        <v>20</v>
      </c>
      <c r="C7058" s="2" t="s">
        <v>25</v>
      </c>
      <c r="D7058" s="2">
        <v>7.1</v>
      </c>
      <c r="E7058" s="2">
        <v>2013.0</v>
      </c>
      <c r="F7058" s="2" t="s">
        <v>10</v>
      </c>
      <c r="G7058" s="2" t="s">
        <v>10</v>
      </c>
    </row>
    <row r="7059" ht="14.25" customHeight="1">
      <c r="A7059" s="1" t="s">
        <v>6024</v>
      </c>
      <c r="B7059" s="1" t="s">
        <v>20</v>
      </c>
      <c r="C7059" s="2" t="s">
        <v>1316</v>
      </c>
      <c r="D7059" s="2">
        <v>7.1</v>
      </c>
      <c r="E7059" s="2">
        <v>2017.0</v>
      </c>
      <c r="F7059" s="2" t="s">
        <v>10</v>
      </c>
      <c r="G7059" s="2" t="s">
        <v>10</v>
      </c>
    </row>
    <row r="7060" ht="14.25" customHeight="1">
      <c r="A7060" s="1" t="s">
        <v>6025</v>
      </c>
      <c r="B7060" s="1" t="s">
        <v>8</v>
      </c>
      <c r="C7060" s="2" t="s">
        <v>497</v>
      </c>
      <c r="D7060" s="2">
        <v>7.1</v>
      </c>
      <c r="E7060" s="2">
        <v>2020.0</v>
      </c>
      <c r="F7060" s="2">
        <v>2020.0</v>
      </c>
      <c r="G7060" s="2" t="s">
        <v>10</v>
      </c>
    </row>
    <row r="7061" ht="14.25" customHeight="1">
      <c r="A7061" s="1" t="s">
        <v>6026</v>
      </c>
      <c r="B7061" s="1" t="s">
        <v>20</v>
      </c>
      <c r="C7061" s="2" t="s">
        <v>18</v>
      </c>
      <c r="D7061" s="2">
        <v>7.1</v>
      </c>
      <c r="E7061" s="2">
        <v>2007.0</v>
      </c>
      <c r="F7061" s="2" t="s">
        <v>10</v>
      </c>
      <c r="G7061" s="2" t="s">
        <v>10</v>
      </c>
    </row>
    <row r="7062" ht="14.25" customHeight="1">
      <c r="A7062" s="1" t="s">
        <v>6027</v>
      </c>
      <c r="B7062" s="1" t="s">
        <v>20</v>
      </c>
      <c r="C7062" s="2" t="s">
        <v>69</v>
      </c>
      <c r="D7062" s="2">
        <v>7.1</v>
      </c>
      <c r="E7062" s="2">
        <v>2017.0</v>
      </c>
      <c r="F7062" s="2">
        <v>2017.0</v>
      </c>
      <c r="G7062" s="2" t="s">
        <v>10</v>
      </c>
    </row>
    <row r="7063" ht="14.25" customHeight="1">
      <c r="A7063" s="1" t="s">
        <v>6028</v>
      </c>
      <c r="B7063" s="1" t="s">
        <v>20</v>
      </c>
      <c r="C7063" s="2" t="s">
        <v>69</v>
      </c>
      <c r="D7063" s="2">
        <v>7.1</v>
      </c>
      <c r="E7063" s="2">
        <v>2014.0</v>
      </c>
      <c r="F7063" s="2" t="s">
        <v>10</v>
      </c>
      <c r="G7063" s="2" t="s">
        <v>10</v>
      </c>
    </row>
    <row r="7064" ht="14.25" customHeight="1">
      <c r="A7064" s="1" t="s">
        <v>6029</v>
      </c>
      <c r="B7064" s="1" t="s">
        <v>20</v>
      </c>
      <c r="C7064" s="2" t="s">
        <v>63</v>
      </c>
      <c r="D7064" s="2">
        <v>7.1</v>
      </c>
      <c r="E7064" s="2">
        <v>1982.0</v>
      </c>
      <c r="F7064" s="2" t="s">
        <v>10</v>
      </c>
      <c r="G7064" s="2" t="s">
        <v>10</v>
      </c>
    </row>
    <row r="7065" ht="14.25" customHeight="1">
      <c r="A7065" s="1" t="s">
        <v>6030</v>
      </c>
      <c r="B7065" s="1" t="s">
        <v>20</v>
      </c>
      <c r="C7065" s="2" t="s">
        <v>80</v>
      </c>
      <c r="D7065" s="2">
        <v>7.1</v>
      </c>
      <c r="E7065" s="2">
        <v>2013.0</v>
      </c>
      <c r="F7065" s="2">
        <v>2013.0</v>
      </c>
      <c r="G7065" s="2" t="s">
        <v>10</v>
      </c>
    </row>
    <row r="7066" ht="14.25" customHeight="1">
      <c r="A7066" s="1" t="s">
        <v>6031</v>
      </c>
      <c r="B7066" s="1" t="s">
        <v>20</v>
      </c>
      <c r="C7066" s="2" t="s">
        <v>1316</v>
      </c>
      <c r="D7066" s="2">
        <v>7.1</v>
      </c>
      <c r="E7066" s="2">
        <v>2016.0</v>
      </c>
      <c r="F7066" s="2" t="s">
        <v>10</v>
      </c>
      <c r="G7066" s="2" t="s">
        <v>10</v>
      </c>
    </row>
    <row r="7067" ht="14.25" customHeight="1">
      <c r="A7067" s="1" t="s">
        <v>6032</v>
      </c>
      <c r="B7067" s="1" t="s">
        <v>20</v>
      </c>
      <c r="C7067" s="2" t="s">
        <v>55</v>
      </c>
      <c r="D7067" s="2">
        <v>7.1</v>
      </c>
      <c r="E7067" s="2">
        <v>2011.0</v>
      </c>
      <c r="F7067" s="2" t="s">
        <v>10</v>
      </c>
      <c r="G7067" s="2" t="s">
        <v>10</v>
      </c>
    </row>
    <row r="7068" ht="14.25" customHeight="1">
      <c r="A7068" s="1" t="s">
        <v>6033</v>
      </c>
      <c r="B7068" s="1" t="s">
        <v>20</v>
      </c>
      <c r="C7068" s="2" t="s">
        <v>833</v>
      </c>
      <c r="D7068" s="2">
        <v>7.1</v>
      </c>
      <c r="E7068" s="2">
        <v>2017.0</v>
      </c>
      <c r="F7068" s="2" t="s">
        <v>10</v>
      </c>
      <c r="G7068" s="2" t="s">
        <v>10</v>
      </c>
    </row>
    <row r="7069" ht="14.25" customHeight="1">
      <c r="A7069" s="1" t="s">
        <v>6034</v>
      </c>
      <c r="B7069" s="1" t="s">
        <v>20</v>
      </c>
      <c r="C7069" s="2" t="s">
        <v>287</v>
      </c>
      <c r="D7069" s="2">
        <v>7.1</v>
      </c>
      <c r="E7069" s="2">
        <v>2003.0</v>
      </c>
      <c r="F7069" s="2" t="s">
        <v>10</v>
      </c>
      <c r="G7069" s="2" t="s">
        <v>10</v>
      </c>
    </row>
    <row r="7070" ht="14.25" customHeight="1">
      <c r="A7070" s="1" t="s">
        <v>6035</v>
      </c>
      <c r="B7070" s="1" t="s">
        <v>20</v>
      </c>
      <c r="C7070" s="2" t="s">
        <v>2558</v>
      </c>
      <c r="D7070" s="2">
        <v>7.1</v>
      </c>
      <c r="E7070" s="2">
        <v>1942.0</v>
      </c>
      <c r="F7070" s="2" t="s">
        <v>10</v>
      </c>
      <c r="G7070" s="2" t="s">
        <v>10</v>
      </c>
    </row>
    <row r="7071" ht="14.25" customHeight="1">
      <c r="A7071" s="1" t="s">
        <v>6036</v>
      </c>
      <c r="B7071" s="1" t="s">
        <v>8</v>
      </c>
      <c r="C7071" s="2" t="s">
        <v>468</v>
      </c>
      <c r="D7071" s="2">
        <v>7.1</v>
      </c>
      <c r="E7071" s="2">
        <v>2023.0</v>
      </c>
      <c r="F7071" s="2" t="s">
        <v>10</v>
      </c>
      <c r="G7071" s="2" t="s">
        <v>10</v>
      </c>
    </row>
    <row r="7072" ht="14.25" customHeight="1">
      <c r="A7072" s="1" t="s">
        <v>6037</v>
      </c>
      <c r="B7072" s="1" t="s">
        <v>20</v>
      </c>
      <c r="C7072" s="2" t="s">
        <v>179</v>
      </c>
      <c r="D7072" s="2">
        <v>7.1</v>
      </c>
      <c r="E7072" s="2">
        <v>1999.0</v>
      </c>
      <c r="F7072" s="2" t="s">
        <v>10</v>
      </c>
      <c r="G7072" s="2" t="s">
        <v>10</v>
      </c>
    </row>
    <row r="7073" ht="14.25" customHeight="1">
      <c r="A7073" s="1" t="s">
        <v>6038</v>
      </c>
      <c r="B7073" s="1" t="s">
        <v>20</v>
      </c>
      <c r="C7073" s="2" t="s">
        <v>18</v>
      </c>
      <c r="D7073" s="2">
        <v>7.1</v>
      </c>
      <c r="E7073" s="2">
        <v>2004.0</v>
      </c>
      <c r="F7073" s="2" t="s">
        <v>10</v>
      </c>
      <c r="G7073" s="2" t="s">
        <v>10</v>
      </c>
    </row>
    <row r="7074" ht="14.25" customHeight="1">
      <c r="A7074" s="1" t="s">
        <v>6039</v>
      </c>
      <c r="B7074" s="1" t="s">
        <v>20</v>
      </c>
      <c r="C7074" s="2" t="s">
        <v>63</v>
      </c>
      <c r="D7074" s="2">
        <v>7.1</v>
      </c>
      <c r="E7074" s="2">
        <v>2010.0</v>
      </c>
      <c r="F7074" s="2" t="s">
        <v>10</v>
      </c>
      <c r="G7074" s="2" t="s">
        <v>10</v>
      </c>
    </row>
    <row r="7075" ht="14.25" customHeight="1">
      <c r="A7075" s="1" t="s">
        <v>2944</v>
      </c>
      <c r="B7075" s="1" t="s">
        <v>20</v>
      </c>
      <c r="C7075" s="2" t="s">
        <v>516</v>
      </c>
      <c r="D7075" s="2">
        <v>7.1</v>
      </c>
      <c r="E7075" s="2">
        <v>1970.0</v>
      </c>
      <c r="F7075" s="2" t="s">
        <v>10</v>
      </c>
      <c r="G7075" s="2" t="s">
        <v>10</v>
      </c>
    </row>
    <row r="7076" ht="14.25" customHeight="1">
      <c r="A7076" s="1" t="s">
        <v>6040</v>
      </c>
      <c r="B7076" s="1" t="s">
        <v>20</v>
      </c>
      <c r="C7076" s="2" t="s">
        <v>53</v>
      </c>
      <c r="D7076" s="2">
        <v>7.1</v>
      </c>
      <c r="E7076" s="2">
        <v>2014.0</v>
      </c>
      <c r="F7076" s="2" t="s">
        <v>10</v>
      </c>
      <c r="G7076" s="2" t="s">
        <v>10</v>
      </c>
    </row>
    <row r="7077" ht="14.25" customHeight="1">
      <c r="A7077" s="1" t="s">
        <v>6041</v>
      </c>
      <c r="B7077" s="1" t="s">
        <v>20</v>
      </c>
      <c r="C7077" s="2" t="s">
        <v>36</v>
      </c>
      <c r="D7077" s="2">
        <v>7.1</v>
      </c>
      <c r="E7077" s="2">
        <v>2008.0</v>
      </c>
      <c r="F7077" s="2">
        <v>2008.0</v>
      </c>
      <c r="G7077" s="2" t="s">
        <v>10</v>
      </c>
    </row>
    <row r="7078" ht="14.25" customHeight="1">
      <c r="A7078" s="1" t="s">
        <v>6042</v>
      </c>
      <c r="B7078" s="1" t="s">
        <v>20</v>
      </c>
      <c r="C7078" s="2" t="s">
        <v>530</v>
      </c>
      <c r="D7078" s="2">
        <v>7.1</v>
      </c>
      <c r="E7078" s="2">
        <v>2007.0</v>
      </c>
      <c r="F7078" s="2">
        <v>2007.0</v>
      </c>
      <c r="G7078" s="2" t="s">
        <v>10</v>
      </c>
    </row>
    <row r="7079" ht="14.25" customHeight="1">
      <c r="A7079" s="1" t="s">
        <v>6043</v>
      </c>
      <c r="B7079" s="1" t="s">
        <v>20</v>
      </c>
      <c r="C7079" s="2" t="s">
        <v>1240</v>
      </c>
      <c r="D7079" s="2">
        <v>7.1</v>
      </c>
      <c r="E7079" s="2">
        <v>2000.0</v>
      </c>
      <c r="F7079" s="2" t="s">
        <v>10</v>
      </c>
      <c r="G7079" s="2" t="s">
        <v>10</v>
      </c>
    </row>
    <row r="7080" ht="14.25" customHeight="1">
      <c r="A7080" s="1" t="s">
        <v>6044</v>
      </c>
      <c r="B7080" s="1" t="s">
        <v>8</v>
      </c>
      <c r="C7080" s="2" t="s">
        <v>1267</v>
      </c>
      <c r="D7080" s="2">
        <v>7.1</v>
      </c>
      <c r="E7080" s="2">
        <v>2009.0</v>
      </c>
      <c r="F7080" s="2" t="s">
        <v>10</v>
      </c>
      <c r="G7080" s="2" t="s">
        <v>10</v>
      </c>
    </row>
    <row r="7081" ht="14.25" customHeight="1">
      <c r="A7081" s="1" t="s">
        <v>3177</v>
      </c>
      <c r="B7081" s="1" t="s">
        <v>20</v>
      </c>
      <c r="C7081" s="2" t="s">
        <v>1982</v>
      </c>
      <c r="D7081" s="2">
        <v>7.1</v>
      </c>
      <c r="E7081" s="2">
        <v>1958.0</v>
      </c>
      <c r="F7081" s="2" t="s">
        <v>10</v>
      </c>
      <c r="G7081" s="2" t="s">
        <v>10</v>
      </c>
    </row>
    <row r="7082" ht="14.25" customHeight="1">
      <c r="A7082" s="1" t="s">
        <v>6045</v>
      </c>
      <c r="B7082" s="1" t="s">
        <v>20</v>
      </c>
      <c r="C7082" s="2" t="s">
        <v>80</v>
      </c>
      <c r="D7082" s="2">
        <v>7.1</v>
      </c>
      <c r="E7082" s="2">
        <v>2024.0</v>
      </c>
      <c r="F7082" s="2" t="s">
        <v>10</v>
      </c>
      <c r="G7082" s="2" t="s">
        <v>10</v>
      </c>
    </row>
    <row r="7083" ht="14.25" customHeight="1">
      <c r="A7083" s="1" t="s">
        <v>6046</v>
      </c>
      <c r="B7083" s="1" t="s">
        <v>8</v>
      </c>
      <c r="C7083" s="2" t="s">
        <v>92</v>
      </c>
      <c r="D7083" s="2">
        <v>7.1</v>
      </c>
      <c r="E7083" s="2">
        <v>2014.0</v>
      </c>
      <c r="F7083" s="2" t="s">
        <v>10</v>
      </c>
      <c r="G7083" s="2" t="s">
        <v>10</v>
      </c>
    </row>
    <row r="7084" ht="14.25" customHeight="1">
      <c r="A7084" s="1" t="s">
        <v>6047</v>
      </c>
      <c r="B7084" s="1" t="s">
        <v>8</v>
      </c>
      <c r="C7084" s="2" t="s">
        <v>1289</v>
      </c>
      <c r="D7084" s="2">
        <v>7.1</v>
      </c>
      <c r="E7084" s="2">
        <v>2023.0</v>
      </c>
      <c r="F7084" s="2" t="s">
        <v>10</v>
      </c>
      <c r="G7084" s="2" t="s">
        <v>10</v>
      </c>
    </row>
    <row r="7085" ht="14.25" customHeight="1">
      <c r="A7085" s="1" t="s">
        <v>1566</v>
      </c>
      <c r="B7085" s="1" t="s">
        <v>8</v>
      </c>
      <c r="C7085" s="2" t="s">
        <v>40</v>
      </c>
      <c r="D7085" s="2">
        <v>7.1</v>
      </c>
      <c r="E7085" s="2">
        <v>2022.0</v>
      </c>
      <c r="F7085" s="2" t="s">
        <v>10</v>
      </c>
      <c r="G7085" s="2" t="s">
        <v>10</v>
      </c>
    </row>
    <row r="7086" ht="14.25" customHeight="1">
      <c r="A7086" s="1" t="s">
        <v>6048</v>
      </c>
      <c r="B7086" s="1" t="s">
        <v>20</v>
      </c>
      <c r="C7086" s="2" t="s">
        <v>18</v>
      </c>
      <c r="D7086" s="2">
        <v>7.1</v>
      </c>
      <c r="E7086" s="2">
        <v>2023.0</v>
      </c>
      <c r="F7086" s="2" t="s">
        <v>10</v>
      </c>
      <c r="G7086" s="2" t="s">
        <v>10</v>
      </c>
    </row>
    <row r="7087" ht="14.25" customHeight="1">
      <c r="A7087" s="1" t="s">
        <v>6049</v>
      </c>
      <c r="B7087" s="1" t="s">
        <v>8</v>
      </c>
      <c r="C7087" s="2" t="s">
        <v>67</v>
      </c>
      <c r="D7087" s="2">
        <v>7.1</v>
      </c>
      <c r="E7087" s="2">
        <v>2010.0</v>
      </c>
      <c r="F7087" s="2" t="s">
        <v>10</v>
      </c>
      <c r="G7087" s="2" t="s">
        <v>10</v>
      </c>
    </row>
    <row r="7088" ht="14.25" customHeight="1">
      <c r="A7088" s="1" t="s">
        <v>6050</v>
      </c>
      <c r="B7088" s="1" t="s">
        <v>20</v>
      </c>
      <c r="C7088" s="2" t="s">
        <v>1240</v>
      </c>
      <c r="D7088" s="2">
        <v>7.1</v>
      </c>
      <c r="E7088" s="2">
        <v>2021.0</v>
      </c>
      <c r="F7088" s="2" t="s">
        <v>10</v>
      </c>
      <c r="G7088" s="2" t="s">
        <v>10</v>
      </c>
    </row>
    <row r="7089" ht="14.25" customHeight="1">
      <c r="A7089" s="1" t="s">
        <v>1182</v>
      </c>
      <c r="B7089" s="1" t="s">
        <v>20</v>
      </c>
      <c r="C7089" s="2" t="s">
        <v>1240</v>
      </c>
      <c r="D7089" s="2">
        <v>7.1</v>
      </c>
      <c r="E7089" s="2">
        <v>2017.0</v>
      </c>
      <c r="F7089" s="2" t="s">
        <v>10</v>
      </c>
      <c r="G7089" s="2" t="s">
        <v>10</v>
      </c>
    </row>
    <row r="7090" ht="14.25" customHeight="1">
      <c r="A7090" s="1" t="s">
        <v>6051</v>
      </c>
      <c r="B7090" s="1" t="s">
        <v>20</v>
      </c>
      <c r="C7090" s="2" t="s">
        <v>459</v>
      </c>
      <c r="D7090" s="2">
        <v>7.1</v>
      </c>
      <c r="E7090" s="2">
        <v>1970.0</v>
      </c>
      <c r="F7090" s="2" t="s">
        <v>10</v>
      </c>
      <c r="G7090" s="2" t="s">
        <v>10</v>
      </c>
    </row>
    <row r="7091" ht="14.25" customHeight="1">
      <c r="A7091" s="1" t="s">
        <v>6052</v>
      </c>
      <c r="B7091" s="1" t="s">
        <v>20</v>
      </c>
      <c r="C7091" s="2" t="s">
        <v>118</v>
      </c>
      <c r="D7091" s="2">
        <v>7.1</v>
      </c>
      <c r="E7091" s="2">
        <v>2018.0</v>
      </c>
      <c r="F7091" s="2" t="s">
        <v>10</v>
      </c>
      <c r="G7091" s="2" t="s">
        <v>10</v>
      </c>
    </row>
    <row r="7092" ht="14.25" customHeight="1">
      <c r="A7092" s="1" t="s">
        <v>6053</v>
      </c>
      <c r="B7092" s="1" t="s">
        <v>20</v>
      </c>
      <c r="C7092" s="2" t="s">
        <v>299</v>
      </c>
      <c r="D7092" s="2">
        <v>7.1</v>
      </c>
      <c r="E7092" s="2">
        <v>2023.0</v>
      </c>
      <c r="F7092" s="2" t="s">
        <v>10</v>
      </c>
      <c r="G7092" s="2" t="s">
        <v>10</v>
      </c>
    </row>
    <row r="7093" ht="14.25" customHeight="1">
      <c r="A7093" s="1" t="s">
        <v>3238</v>
      </c>
      <c r="B7093" s="1" t="s">
        <v>20</v>
      </c>
      <c r="C7093" s="2" t="s">
        <v>299</v>
      </c>
      <c r="D7093" s="2">
        <v>7.1</v>
      </c>
      <c r="E7093" s="2">
        <v>1993.0</v>
      </c>
      <c r="F7093" s="2">
        <v>2020.0</v>
      </c>
      <c r="G7093" s="2" t="s">
        <v>10</v>
      </c>
    </row>
    <row r="7094" ht="14.25" customHeight="1">
      <c r="A7094" s="1" t="s">
        <v>6054</v>
      </c>
      <c r="B7094" s="1" t="s">
        <v>20</v>
      </c>
      <c r="C7094" s="2" t="s">
        <v>468</v>
      </c>
      <c r="D7094" s="2">
        <v>7.1</v>
      </c>
      <c r="E7094" s="2">
        <v>2022.0</v>
      </c>
      <c r="F7094" s="2" t="s">
        <v>10</v>
      </c>
      <c r="G7094" s="2">
        <v>3450000.0</v>
      </c>
    </row>
    <row r="7095" ht="14.25" customHeight="1">
      <c r="A7095" s="1" t="s">
        <v>6054</v>
      </c>
      <c r="B7095" s="1" t="s">
        <v>20</v>
      </c>
      <c r="C7095" s="2" t="s">
        <v>468</v>
      </c>
      <c r="D7095" s="2">
        <v>7.1</v>
      </c>
      <c r="E7095" s="2">
        <v>2022.0</v>
      </c>
      <c r="F7095" s="2" t="s">
        <v>10</v>
      </c>
      <c r="G7095" s="2">
        <v>5600000.0</v>
      </c>
    </row>
    <row r="7096" ht="14.25" customHeight="1">
      <c r="A7096" s="1" t="s">
        <v>6054</v>
      </c>
      <c r="B7096" s="1" t="s">
        <v>20</v>
      </c>
      <c r="C7096" s="2" t="s">
        <v>468</v>
      </c>
      <c r="D7096" s="2">
        <v>7.1</v>
      </c>
      <c r="E7096" s="2">
        <v>2022.0</v>
      </c>
      <c r="F7096" s="2" t="s">
        <v>10</v>
      </c>
      <c r="G7096" s="2">
        <v>8270000.0</v>
      </c>
    </row>
    <row r="7097" ht="14.25" customHeight="1">
      <c r="A7097" s="1" t="s">
        <v>6054</v>
      </c>
      <c r="B7097" s="1" t="s">
        <v>20</v>
      </c>
      <c r="C7097" s="2" t="s">
        <v>468</v>
      </c>
      <c r="D7097" s="2">
        <v>7.1</v>
      </c>
      <c r="E7097" s="2">
        <v>2022.0</v>
      </c>
      <c r="F7097" s="2" t="s">
        <v>10</v>
      </c>
      <c r="G7097" s="2">
        <v>2.706E7</v>
      </c>
    </row>
    <row r="7098" ht="14.25" customHeight="1">
      <c r="A7098" s="1" t="s">
        <v>6054</v>
      </c>
      <c r="B7098" s="1" t="s">
        <v>20</v>
      </c>
      <c r="C7098" s="2" t="s">
        <v>468</v>
      </c>
      <c r="D7098" s="2">
        <v>7.1</v>
      </c>
      <c r="E7098" s="2">
        <v>2022.0</v>
      </c>
      <c r="F7098" s="2" t="s">
        <v>10</v>
      </c>
      <c r="G7098" s="2">
        <v>1.708E7</v>
      </c>
    </row>
    <row r="7099" ht="14.25" customHeight="1">
      <c r="A7099" s="1" t="s">
        <v>2522</v>
      </c>
      <c r="B7099" s="1" t="s">
        <v>20</v>
      </c>
      <c r="C7099" s="2" t="s">
        <v>9</v>
      </c>
      <c r="D7099" s="2">
        <v>7.1</v>
      </c>
      <c r="E7099" s="2">
        <v>2000.0</v>
      </c>
      <c r="F7099" s="2">
        <v>2019.0</v>
      </c>
      <c r="G7099" s="2" t="s">
        <v>10</v>
      </c>
    </row>
    <row r="7100" ht="14.25" customHeight="1">
      <c r="A7100" s="1" t="s">
        <v>1123</v>
      </c>
      <c r="B7100" s="1" t="s">
        <v>20</v>
      </c>
      <c r="C7100" s="2" t="s">
        <v>69</v>
      </c>
      <c r="D7100" s="2">
        <v>7.1</v>
      </c>
      <c r="E7100" s="2">
        <v>2022.0</v>
      </c>
      <c r="F7100" s="2" t="s">
        <v>10</v>
      </c>
      <c r="G7100" s="2" t="s">
        <v>10</v>
      </c>
    </row>
    <row r="7101" ht="14.25" customHeight="1">
      <c r="A7101" s="1" t="s">
        <v>6055</v>
      </c>
      <c r="B7101" s="1" t="s">
        <v>8</v>
      </c>
      <c r="C7101" s="2" t="s">
        <v>69</v>
      </c>
      <c r="D7101" s="2">
        <v>7.1</v>
      </c>
      <c r="E7101" s="2">
        <v>2018.0</v>
      </c>
      <c r="F7101" s="2" t="s">
        <v>10</v>
      </c>
      <c r="G7101" s="2" t="s">
        <v>10</v>
      </c>
    </row>
    <row r="7102" ht="14.25" customHeight="1">
      <c r="A7102" s="1" t="s">
        <v>6056</v>
      </c>
      <c r="B7102" s="1" t="s">
        <v>8</v>
      </c>
      <c r="C7102" s="2" t="s">
        <v>349</v>
      </c>
      <c r="D7102" s="2">
        <v>7.1</v>
      </c>
      <c r="E7102" s="2">
        <v>2016.0</v>
      </c>
      <c r="F7102" s="2">
        <v>2018.0</v>
      </c>
      <c r="G7102" s="2" t="s">
        <v>10</v>
      </c>
    </row>
    <row r="7103" ht="14.25" customHeight="1">
      <c r="A7103" s="1" t="s">
        <v>6057</v>
      </c>
      <c r="B7103" s="1" t="s">
        <v>20</v>
      </c>
      <c r="C7103" s="2" t="s">
        <v>25</v>
      </c>
      <c r="D7103" s="2">
        <v>7.1</v>
      </c>
      <c r="E7103" s="2">
        <v>2015.0</v>
      </c>
      <c r="F7103" s="2" t="s">
        <v>10</v>
      </c>
      <c r="G7103" s="2" t="s">
        <v>10</v>
      </c>
    </row>
    <row r="7104" ht="14.25" customHeight="1">
      <c r="A7104" s="1" t="s">
        <v>6058</v>
      </c>
      <c r="B7104" s="1" t="s">
        <v>20</v>
      </c>
      <c r="C7104" s="2" t="s">
        <v>6059</v>
      </c>
      <c r="D7104" s="2">
        <v>7.1</v>
      </c>
      <c r="E7104" s="2">
        <v>1962.0</v>
      </c>
      <c r="F7104" s="2" t="s">
        <v>10</v>
      </c>
      <c r="G7104" s="2" t="s">
        <v>10</v>
      </c>
    </row>
    <row r="7105" ht="14.25" customHeight="1">
      <c r="A7105" s="1" t="s">
        <v>6060</v>
      </c>
      <c r="B7105" s="1" t="s">
        <v>8</v>
      </c>
      <c r="C7105" s="2" t="s">
        <v>239</v>
      </c>
      <c r="D7105" s="2">
        <v>7.1</v>
      </c>
      <c r="E7105" s="2">
        <v>2018.0</v>
      </c>
      <c r="F7105" s="2" t="s">
        <v>10</v>
      </c>
      <c r="G7105" s="2" t="s">
        <v>10</v>
      </c>
    </row>
    <row r="7106" ht="14.25" customHeight="1">
      <c r="A7106" s="1" t="s">
        <v>6061</v>
      </c>
      <c r="B7106" s="1" t="s">
        <v>20</v>
      </c>
      <c r="C7106" s="2" t="s">
        <v>792</v>
      </c>
      <c r="D7106" s="2">
        <v>7.1</v>
      </c>
      <c r="E7106" s="2">
        <v>2024.0</v>
      </c>
      <c r="F7106" s="2" t="s">
        <v>10</v>
      </c>
      <c r="G7106" s="2" t="s">
        <v>10</v>
      </c>
    </row>
    <row r="7107" ht="14.25" customHeight="1">
      <c r="A7107" s="1" t="s">
        <v>6062</v>
      </c>
      <c r="B7107" s="1" t="s">
        <v>20</v>
      </c>
      <c r="C7107" s="2" t="s">
        <v>461</v>
      </c>
      <c r="D7107" s="2">
        <v>7.1</v>
      </c>
      <c r="E7107" s="2">
        <v>1982.0</v>
      </c>
      <c r="F7107" s="2" t="s">
        <v>10</v>
      </c>
      <c r="G7107" s="2" t="s">
        <v>10</v>
      </c>
    </row>
    <row r="7108" ht="14.25" customHeight="1">
      <c r="A7108" s="1" t="s">
        <v>6063</v>
      </c>
      <c r="B7108" s="1" t="s">
        <v>20</v>
      </c>
      <c r="C7108" s="2" t="s">
        <v>187</v>
      </c>
      <c r="D7108" s="2">
        <v>7.1</v>
      </c>
      <c r="E7108" s="2">
        <v>2007.0</v>
      </c>
      <c r="F7108" s="2">
        <v>2007.0</v>
      </c>
      <c r="G7108" s="2" t="s">
        <v>10</v>
      </c>
    </row>
    <row r="7109" ht="14.25" customHeight="1">
      <c r="A7109" s="1" t="s">
        <v>6064</v>
      </c>
      <c r="B7109" s="1" t="s">
        <v>20</v>
      </c>
      <c r="C7109" s="2" t="s">
        <v>217</v>
      </c>
      <c r="D7109" s="2">
        <v>7.1</v>
      </c>
      <c r="E7109" s="2">
        <v>1988.0</v>
      </c>
      <c r="F7109" s="2" t="s">
        <v>10</v>
      </c>
      <c r="G7109" s="2" t="s">
        <v>10</v>
      </c>
    </row>
    <row r="7110" ht="14.25" customHeight="1">
      <c r="A7110" s="1" t="s">
        <v>6065</v>
      </c>
      <c r="B7110" s="1" t="s">
        <v>8</v>
      </c>
      <c r="C7110" s="2" t="s">
        <v>530</v>
      </c>
      <c r="D7110" s="2">
        <v>7.1</v>
      </c>
      <c r="E7110" s="2">
        <v>2016.0</v>
      </c>
      <c r="F7110" s="2" t="s">
        <v>10</v>
      </c>
      <c r="G7110" s="2" t="s">
        <v>10</v>
      </c>
    </row>
    <row r="7111" ht="14.25" customHeight="1">
      <c r="A7111" s="1" t="s">
        <v>6066</v>
      </c>
      <c r="B7111" s="1" t="s">
        <v>20</v>
      </c>
      <c r="C7111" s="2" t="s">
        <v>345</v>
      </c>
      <c r="D7111" s="2">
        <v>7.1</v>
      </c>
      <c r="E7111" s="2">
        <v>2014.0</v>
      </c>
      <c r="F7111" s="2">
        <v>2014.0</v>
      </c>
      <c r="G7111" s="2" t="s">
        <v>10</v>
      </c>
    </row>
    <row r="7112" ht="14.25" customHeight="1">
      <c r="A7112" s="1" t="s">
        <v>6067</v>
      </c>
      <c r="B7112" s="1" t="s">
        <v>20</v>
      </c>
      <c r="C7112" s="2" t="s">
        <v>80</v>
      </c>
      <c r="D7112" s="2">
        <v>7.1</v>
      </c>
      <c r="E7112" s="2">
        <v>1983.0</v>
      </c>
      <c r="F7112" s="2" t="s">
        <v>10</v>
      </c>
      <c r="G7112" s="2" t="s">
        <v>10</v>
      </c>
    </row>
    <row r="7113" ht="14.25" customHeight="1">
      <c r="A7113" s="1" t="s">
        <v>2035</v>
      </c>
      <c r="B7113" s="1" t="s">
        <v>8</v>
      </c>
      <c r="C7113" s="2" t="s">
        <v>34</v>
      </c>
      <c r="D7113" s="2">
        <v>7.1</v>
      </c>
      <c r="E7113" s="2">
        <v>1998.0</v>
      </c>
      <c r="F7113" s="2">
        <v>2012.0</v>
      </c>
      <c r="G7113" s="2" t="s">
        <v>10</v>
      </c>
    </row>
    <row r="7114" ht="14.25" customHeight="1">
      <c r="A7114" s="1" t="s">
        <v>6068</v>
      </c>
      <c r="B7114" s="1" t="s">
        <v>20</v>
      </c>
      <c r="C7114" s="2" t="s">
        <v>1025</v>
      </c>
      <c r="D7114" s="2">
        <v>7.1</v>
      </c>
      <c r="E7114" s="2">
        <v>1981.0</v>
      </c>
      <c r="F7114" s="2" t="s">
        <v>10</v>
      </c>
      <c r="G7114" s="2" t="s">
        <v>10</v>
      </c>
    </row>
    <row r="7115" ht="14.25" customHeight="1">
      <c r="A7115" s="1" t="s">
        <v>6069</v>
      </c>
      <c r="B7115" s="1" t="s">
        <v>20</v>
      </c>
      <c r="C7115" s="2" t="s">
        <v>249</v>
      </c>
      <c r="D7115" s="2">
        <v>7.1</v>
      </c>
      <c r="E7115" s="2">
        <v>2019.0</v>
      </c>
      <c r="F7115" s="2" t="s">
        <v>10</v>
      </c>
      <c r="G7115" s="2" t="s">
        <v>10</v>
      </c>
    </row>
    <row r="7116" ht="14.25" customHeight="1">
      <c r="A7116" s="1" t="s">
        <v>6070</v>
      </c>
      <c r="B7116" s="1" t="s">
        <v>20</v>
      </c>
      <c r="C7116" s="2" t="s">
        <v>833</v>
      </c>
      <c r="D7116" s="2">
        <v>7.1</v>
      </c>
      <c r="E7116" s="2">
        <v>2012.0</v>
      </c>
      <c r="F7116" s="2" t="s">
        <v>10</v>
      </c>
      <c r="G7116" s="2" t="s">
        <v>10</v>
      </c>
    </row>
    <row r="7117" ht="14.25" customHeight="1">
      <c r="A7117" s="1" t="s">
        <v>6071</v>
      </c>
      <c r="B7117" s="1" t="s">
        <v>20</v>
      </c>
      <c r="C7117" s="2" t="s">
        <v>468</v>
      </c>
      <c r="D7117" s="2">
        <v>7.1</v>
      </c>
      <c r="E7117" s="2">
        <v>1974.0</v>
      </c>
      <c r="F7117" s="2" t="s">
        <v>10</v>
      </c>
      <c r="G7117" s="2" t="s">
        <v>10</v>
      </c>
    </row>
    <row r="7118" ht="14.25" customHeight="1">
      <c r="A7118" s="1" t="s">
        <v>6072</v>
      </c>
      <c r="B7118" s="1" t="s">
        <v>20</v>
      </c>
      <c r="C7118" s="2" t="s">
        <v>53</v>
      </c>
      <c r="D7118" s="2">
        <v>7.1</v>
      </c>
      <c r="E7118" s="2">
        <v>2024.0</v>
      </c>
      <c r="F7118" s="2" t="s">
        <v>10</v>
      </c>
      <c r="G7118" s="2" t="s">
        <v>10</v>
      </c>
    </row>
    <row r="7119" ht="14.25" customHeight="1">
      <c r="A7119" s="1" t="s">
        <v>6073</v>
      </c>
      <c r="B7119" s="1" t="s">
        <v>20</v>
      </c>
      <c r="C7119" s="2" t="s">
        <v>187</v>
      </c>
      <c r="D7119" s="2">
        <v>7.1</v>
      </c>
      <c r="E7119" s="2">
        <v>1987.0</v>
      </c>
      <c r="F7119" s="2" t="s">
        <v>10</v>
      </c>
      <c r="G7119" s="2" t="s">
        <v>10</v>
      </c>
    </row>
    <row r="7120" ht="14.25" customHeight="1">
      <c r="A7120" s="1" t="s">
        <v>6074</v>
      </c>
      <c r="B7120" s="1" t="s">
        <v>20</v>
      </c>
      <c r="C7120" s="2" t="s">
        <v>530</v>
      </c>
      <c r="D7120" s="2">
        <v>7.1</v>
      </c>
      <c r="E7120" s="2">
        <v>1974.0</v>
      </c>
      <c r="F7120" s="2">
        <v>1974.0</v>
      </c>
      <c r="G7120" s="2">
        <v>9960000.0</v>
      </c>
    </row>
    <row r="7121" ht="14.25" customHeight="1">
      <c r="A7121" s="1" t="s">
        <v>6075</v>
      </c>
      <c r="B7121" s="1" t="s">
        <v>20</v>
      </c>
      <c r="C7121" s="2" t="s">
        <v>14</v>
      </c>
      <c r="D7121" s="2">
        <v>7.1</v>
      </c>
      <c r="E7121" s="2">
        <v>2005.0</v>
      </c>
      <c r="F7121" s="2" t="s">
        <v>10</v>
      </c>
      <c r="G7121" s="2" t="s">
        <v>10</v>
      </c>
    </row>
    <row r="7122" ht="14.25" customHeight="1">
      <c r="A7122" s="1" t="s">
        <v>6076</v>
      </c>
      <c r="B7122" s="1" t="s">
        <v>8</v>
      </c>
      <c r="C7122" s="2" t="s">
        <v>226</v>
      </c>
      <c r="D7122" s="2">
        <v>7.1</v>
      </c>
      <c r="E7122" s="2">
        <v>2004.0</v>
      </c>
      <c r="F7122" s="2" t="s">
        <v>10</v>
      </c>
      <c r="G7122" s="2" t="s">
        <v>10</v>
      </c>
    </row>
    <row r="7123" ht="14.25" customHeight="1">
      <c r="A7123" s="1" t="s">
        <v>6077</v>
      </c>
      <c r="B7123" s="1" t="s">
        <v>20</v>
      </c>
      <c r="C7123" s="2" t="s">
        <v>611</v>
      </c>
      <c r="D7123" s="2">
        <v>7.1</v>
      </c>
      <c r="E7123" s="2">
        <v>2020.0</v>
      </c>
      <c r="F7123" s="2" t="s">
        <v>10</v>
      </c>
      <c r="G7123" s="2" t="s">
        <v>10</v>
      </c>
    </row>
    <row r="7124" ht="14.25" customHeight="1">
      <c r="A7124" s="1" t="s">
        <v>6078</v>
      </c>
      <c r="B7124" s="1" t="s">
        <v>20</v>
      </c>
      <c r="C7124" s="2" t="s">
        <v>361</v>
      </c>
      <c r="D7124" s="2">
        <v>7.1</v>
      </c>
      <c r="E7124" s="2">
        <v>2005.0</v>
      </c>
      <c r="F7124" s="2" t="s">
        <v>10</v>
      </c>
      <c r="G7124" s="2" t="s">
        <v>10</v>
      </c>
    </row>
    <row r="7125" ht="14.25" customHeight="1">
      <c r="A7125" s="1" t="s">
        <v>6079</v>
      </c>
      <c r="B7125" s="1" t="s">
        <v>20</v>
      </c>
      <c r="C7125" s="2" t="s">
        <v>184</v>
      </c>
      <c r="D7125" s="2">
        <v>7.1</v>
      </c>
      <c r="E7125" s="2">
        <v>1980.0</v>
      </c>
      <c r="F7125" s="2" t="s">
        <v>10</v>
      </c>
      <c r="G7125" s="2" t="s">
        <v>10</v>
      </c>
    </row>
    <row r="7126" ht="14.25" customHeight="1">
      <c r="A7126" s="1" t="s">
        <v>6080</v>
      </c>
      <c r="B7126" s="1" t="s">
        <v>20</v>
      </c>
      <c r="C7126" s="2" t="s">
        <v>22</v>
      </c>
      <c r="D7126" s="2">
        <v>7.1</v>
      </c>
      <c r="E7126" s="2">
        <v>1999.0</v>
      </c>
      <c r="F7126" s="2" t="s">
        <v>10</v>
      </c>
      <c r="G7126" s="2" t="s">
        <v>10</v>
      </c>
    </row>
    <row r="7127" ht="14.25" customHeight="1">
      <c r="A7127" s="1" t="s">
        <v>6081</v>
      </c>
      <c r="B7127" s="1" t="s">
        <v>20</v>
      </c>
      <c r="C7127" s="2" t="s">
        <v>187</v>
      </c>
      <c r="D7127" s="2">
        <v>7.1</v>
      </c>
      <c r="E7127" s="2">
        <v>2014.0</v>
      </c>
      <c r="F7127" s="2">
        <v>2014.0</v>
      </c>
      <c r="G7127" s="2" t="s">
        <v>10</v>
      </c>
    </row>
    <row r="7128" ht="14.25" customHeight="1">
      <c r="A7128" s="1" t="s">
        <v>6082</v>
      </c>
      <c r="B7128" s="1" t="s">
        <v>20</v>
      </c>
      <c r="C7128" s="2" t="s">
        <v>910</v>
      </c>
      <c r="D7128" s="2">
        <v>7.1</v>
      </c>
      <c r="E7128" s="2">
        <v>2016.0</v>
      </c>
      <c r="F7128" s="2" t="s">
        <v>10</v>
      </c>
      <c r="G7128" s="2" t="s">
        <v>10</v>
      </c>
    </row>
    <row r="7129" ht="14.25" customHeight="1">
      <c r="A7129" s="1" t="s">
        <v>6083</v>
      </c>
      <c r="B7129" s="1" t="s">
        <v>20</v>
      </c>
      <c r="C7129" s="2" t="s">
        <v>6084</v>
      </c>
      <c r="D7129" s="2">
        <v>7.1</v>
      </c>
      <c r="E7129" s="2">
        <v>1965.0</v>
      </c>
      <c r="F7129" s="2" t="s">
        <v>10</v>
      </c>
      <c r="G7129" s="2" t="s">
        <v>10</v>
      </c>
    </row>
    <row r="7130" ht="14.25" customHeight="1">
      <c r="A7130" s="1" t="s">
        <v>6085</v>
      </c>
      <c r="B7130" s="1" t="s">
        <v>20</v>
      </c>
      <c r="C7130" s="2" t="s">
        <v>18</v>
      </c>
      <c r="D7130" s="2">
        <v>7.1</v>
      </c>
      <c r="E7130" s="2">
        <v>2013.0</v>
      </c>
      <c r="F7130" s="2" t="s">
        <v>10</v>
      </c>
      <c r="G7130" s="2" t="s">
        <v>10</v>
      </c>
    </row>
    <row r="7131" ht="14.25" customHeight="1">
      <c r="A7131" s="1" t="s">
        <v>6086</v>
      </c>
      <c r="B7131" s="1" t="s">
        <v>8</v>
      </c>
      <c r="C7131" s="2" t="s">
        <v>2237</v>
      </c>
      <c r="D7131" s="2">
        <v>7.1</v>
      </c>
      <c r="E7131" s="2">
        <v>2020.0</v>
      </c>
      <c r="F7131" s="2" t="s">
        <v>10</v>
      </c>
      <c r="G7131" s="2" t="s">
        <v>10</v>
      </c>
    </row>
    <row r="7132" ht="14.25" customHeight="1">
      <c r="A7132" s="1" t="s">
        <v>6087</v>
      </c>
      <c r="B7132" s="1" t="s">
        <v>20</v>
      </c>
      <c r="C7132" s="2" t="s">
        <v>63</v>
      </c>
      <c r="D7132" s="2">
        <v>7.1</v>
      </c>
      <c r="E7132" s="2">
        <v>2007.0</v>
      </c>
      <c r="F7132" s="2" t="s">
        <v>10</v>
      </c>
      <c r="G7132" s="2" t="s">
        <v>10</v>
      </c>
    </row>
    <row r="7133" ht="14.25" customHeight="1">
      <c r="A7133" s="1" t="s">
        <v>6088</v>
      </c>
      <c r="B7133" s="1" t="s">
        <v>20</v>
      </c>
      <c r="C7133" s="2" t="s">
        <v>18</v>
      </c>
      <c r="D7133" s="2">
        <v>7.1</v>
      </c>
      <c r="E7133" s="2">
        <v>1971.0</v>
      </c>
      <c r="F7133" s="2" t="s">
        <v>10</v>
      </c>
      <c r="G7133" s="2" t="s">
        <v>10</v>
      </c>
    </row>
    <row r="7134" ht="14.25" customHeight="1">
      <c r="A7134" s="1" t="s">
        <v>6089</v>
      </c>
      <c r="B7134" s="1" t="s">
        <v>20</v>
      </c>
      <c r="C7134" s="2" t="s">
        <v>2075</v>
      </c>
      <c r="D7134" s="2">
        <v>7.1</v>
      </c>
      <c r="E7134" s="2">
        <v>1973.0</v>
      </c>
      <c r="F7134" s="2" t="s">
        <v>10</v>
      </c>
      <c r="G7134" s="2" t="s">
        <v>10</v>
      </c>
    </row>
    <row r="7135" ht="14.25" customHeight="1">
      <c r="A7135" s="1" t="s">
        <v>6090</v>
      </c>
      <c r="B7135" s="1" t="s">
        <v>20</v>
      </c>
      <c r="C7135" s="2" t="s">
        <v>217</v>
      </c>
      <c r="D7135" s="2">
        <v>7.1</v>
      </c>
      <c r="E7135" s="2">
        <v>1998.0</v>
      </c>
      <c r="F7135" s="2" t="s">
        <v>10</v>
      </c>
      <c r="G7135" s="2" t="s">
        <v>10</v>
      </c>
    </row>
    <row r="7136" ht="14.25" customHeight="1">
      <c r="A7136" s="1" t="s">
        <v>6091</v>
      </c>
      <c r="B7136" s="1" t="s">
        <v>8</v>
      </c>
      <c r="C7136" s="2" t="s">
        <v>530</v>
      </c>
      <c r="D7136" s="2">
        <v>7.1</v>
      </c>
      <c r="E7136" s="2">
        <v>2011.0</v>
      </c>
      <c r="F7136" s="2" t="s">
        <v>10</v>
      </c>
      <c r="G7136" s="2" t="s">
        <v>10</v>
      </c>
    </row>
    <row r="7137" ht="14.25" customHeight="1">
      <c r="A7137" s="1" t="s">
        <v>6092</v>
      </c>
      <c r="B7137" s="1" t="s">
        <v>20</v>
      </c>
      <c r="C7137" s="2" t="s">
        <v>53</v>
      </c>
      <c r="D7137" s="2">
        <v>7.1</v>
      </c>
      <c r="E7137" s="2">
        <v>2016.0</v>
      </c>
      <c r="F7137" s="2">
        <v>2016.0</v>
      </c>
      <c r="G7137" s="2" t="s">
        <v>10</v>
      </c>
    </row>
    <row r="7138" ht="14.25" customHeight="1">
      <c r="A7138" s="1" t="s">
        <v>6093</v>
      </c>
      <c r="B7138" s="1" t="s">
        <v>20</v>
      </c>
      <c r="C7138" s="2" t="s">
        <v>291</v>
      </c>
      <c r="D7138" s="2">
        <v>7.1</v>
      </c>
      <c r="E7138" s="2">
        <v>1978.0</v>
      </c>
      <c r="F7138" s="2" t="s">
        <v>10</v>
      </c>
      <c r="G7138" s="2" t="s">
        <v>10</v>
      </c>
    </row>
    <row r="7139" ht="14.25" customHeight="1">
      <c r="A7139" s="1" t="s">
        <v>6094</v>
      </c>
      <c r="B7139" s="1" t="s">
        <v>20</v>
      </c>
      <c r="C7139" s="2" t="s">
        <v>18</v>
      </c>
      <c r="D7139" s="2">
        <v>7.1</v>
      </c>
      <c r="E7139" s="2">
        <v>2008.0</v>
      </c>
      <c r="F7139" s="2" t="s">
        <v>10</v>
      </c>
      <c r="G7139" s="2" t="s">
        <v>10</v>
      </c>
    </row>
    <row r="7140" ht="14.25" customHeight="1">
      <c r="A7140" s="1" t="s">
        <v>6095</v>
      </c>
      <c r="B7140" s="1" t="s">
        <v>8</v>
      </c>
      <c r="C7140" s="2" t="s">
        <v>476</v>
      </c>
      <c r="D7140" s="2">
        <v>7.1</v>
      </c>
      <c r="E7140" s="2">
        <v>2021.0</v>
      </c>
      <c r="F7140" s="2">
        <v>2021.0</v>
      </c>
      <c r="G7140" s="2">
        <v>1.114E7</v>
      </c>
    </row>
    <row r="7141" ht="14.25" customHeight="1">
      <c r="A7141" s="1" t="s">
        <v>6096</v>
      </c>
      <c r="B7141" s="1" t="s">
        <v>20</v>
      </c>
      <c r="C7141" s="2" t="s">
        <v>1240</v>
      </c>
      <c r="D7141" s="2">
        <v>7.1</v>
      </c>
      <c r="E7141" s="2">
        <v>1998.0</v>
      </c>
      <c r="F7141" s="2" t="s">
        <v>10</v>
      </c>
      <c r="G7141" s="2" t="s">
        <v>10</v>
      </c>
    </row>
    <row r="7142" ht="14.25" customHeight="1">
      <c r="A7142" s="1" t="s">
        <v>6097</v>
      </c>
      <c r="B7142" s="1" t="s">
        <v>20</v>
      </c>
      <c r="C7142" s="2" t="s">
        <v>36</v>
      </c>
      <c r="D7142" s="2">
        <v>7.1</v>
      </c>
      <c r="E7142" s="2">
        <v>1980.0</v>
      </c>
      <c r="F7142" s="2" t="s">
        <v>10</v>
      </c>
      <c r="G7142" s="2" t="s">
        <v>10</v>
      </c>
    </row>
    <row r="7143" ht="14.25" customHeight="1">
      <c r="A7143" s="1" t="s">
        <v>6098</v>
      </c>
      <c r="B7143" s="1" t="s">
        <v>20</v>
      </c>
      <c r="C7143" s="2" t="s">
        <v>5269</v>
      </c>
      <c r="D7143" s="2">
        <v>7.1</v>
      </c>
      <c r="E7143" s="2">
        <v>1955.0</v>
      </c>
      <c r="F7143" s="2" t="s">
        <v>10</v>
      </c>
      <c r="G7143" s="2" t="s">
        <v>10</v>
      </c>
    </row>
    <row r="7144" ht="14.25" customHeight="1">
      <c r="A7144" s="1" t="s">
        <v>6099</v>
      </c>
      <c r="B7144" s="1" t="s">
        <v>20</v>
      </c>
      <c r="C7144" s="2" t="s">
        <v>249</v>
      </c>
      <c r="D7144" s="2">
        <v>7.1</v>
      </c>
      <c r="E7144" s="2">
        <v>1965.0</v>
      </c>
      <c r="F7144" s="2" t="s">
        <v>10</v>
      </c>
      <c r="G7144" s="2" t="s">
        <v>10</v>
      </c>
    </row>
    <row r="7145" ht="14.25" customHeight="1">
      <c r="A7145" s="1" t="s">
        <v>6100</v>
      </c>
      <c r="B7145" s="1" t="s">
        <v>20</v>
      </c>
      <c r="C7145" s="2" t="s">
        <v>6101</v>
      </c>
      <c r="D7145" s="2">
        <v>7.1</v>
      </c>
      <c r="E7145" s="2">
        <v>2002.0</v>
      </c>
      <c r="F7145" s="2" t="s">
        <v>10</v>
      </c>
      <c r="G7145" s="2" t="s">
        <v>10</v>
      </c>
    </row>
    <row r="7146" ht="14.25" customHeight="1">
      <c r="A7146" s="1" t="s">
        <v>6102</v>
      </c>
      <c r="B7146" s="1" t="s">
        <v>8</v>
      </c>
      <c r="C7146" s="2" t="s">
        <v>284</v>
      </c>
      <c r="D7146" s="2">
        <v>7.1</v>
      </c>
      <c r="E7146" s="2">
        <v>2019.0</v>
      </c>
      <c r="F7146" s="2" t="s">
        <v>10</v>
      </c>
      <c r="G7146" s="2" t="s">
        <v>10</v>
      </c>
    </row>
    <row r="7147" ht="14.25" customHeight="1">
      <c r="A7147" s="1" t="s">
        <v>6103</v>
      </c>
      <c r="B7147" s="1" t="s">
        <v>8</v>
      </c>
      <c r="C7147" s="2" t="s">
        <v>838</v>
      </c>
      <c r="D7147" s="2">
        <v>7.1</v>
      </c>
      <c r="E7147" s="2">
        <v>2014.0</v>
      </c>
      <c r="F7147" s="2" t="s">
        <v>10</v>
      </c>
      <c r="G7147" s="2" t="s">
        <v>10</v>
      </c>
    </row>
    <row r="7148" ht="14.25" customHeight="1">
      <c r="A7148" s="1" t="s">
        <v>6104</v>
      </c>
      <c r="B7148" s="1" t="s">
        <v>20</v>
      </c>
      <c r="C7148" s="2" t="s">
        <v>154</v>
      </c>
      <c r="D7148" s="2">
        <v>7.1</v>
      </c>
      <c r="E7148" s="2">
        <v>1992.0</v>
      </c>
      <c r="F7148" s="2">
        <v>1992.0</v>
      </c>
      <c r="G7148" s="2" t="s">
        <v>10</v>
      </c>
    </row>
    <row r="7149" ht="14.25" customHeight="1">
      <c r="A7149" s="1" t="s">
        <v>6105</v>
      </c>
      <c r="B7149" s="1" t="s">
        <v>20</v>
      </c>
      <c r="C7149" s="2" t="s">
        <v>36</v>
      </c>
      <c r="D7149" s="2">
        <v>7.1</v>
      </c>
      <c r="E7149" s="2">
        <v>1992.0</v>
      </c>
      <c r="F7149" s="2" t="s">
        <v>10</v>
      </c>
      <c r="G7149" s="2" t="s">
        <v>10</v>
      </c>
    </row>
    <row r="7150" ht="14.25" customHeight="1">
      <c r="A7150" s="1" t="s">
        <v>6106</v>
      </c>
      <c r="B7150" s="1" t="s">
        <v>20</v>
      </c>
      <c r="C7150" s="2" t="s">
        <v>6107</v>
      </c>
      <c r="D7150" s="2">
        <v>7.1</v>
      </c>
      <c r="E7150" s="2">
        <v>1992.0</v>
      </c>
      <c r="F7150" s="2" t="s">
        <v>10</v>
      </c>
      <c r="G7150" s="2" t="s">
        <v>10</v>
      </c>
    </row>
    <row r="7151" ht="14.25" customHeight="1">
      <c r="A7151" s="1" t="s">
        <v>6108</v>
      </c>
      <c r="B7151" s="1" t="s">
        <v>8</v>
      </c>
      <c r="C7151" s="2" t="s">
        <v>760</v>
      </c>
      <c r="D7151" s="2">
        <v>7.1</v>
      </c>
      <c r="E7151" s="2">
        <v>2014.0</v>
      </c>
      <c r="F7151" s="2" t="s">
        <v>10</v>
      </c>
      <c r="G7151" s="2" t="s">
        <v>10</v>
      </c>
    </row>
    <row r="7152" ht="14.25" customHeight="1">
      <c r="A7152" s="1" t="s">
        <v>6109</v>
      </c>
      <c r="B7152" s="1" t="s">
        <v>20</v>
      </c>
      <c r="C7152" s="2" t="s">
        <v>299</v>
      </c>
      <c r="D7152" s="2">
        <v>7.1</v>
      </c>
      <c r="E7152" s="2">
        <v>2010.0</v>
      </c>
      <c r="F7152" s="2">
        <v>2010.0</v>
      </c>
      <c r="G7152" s="2" t="s">
        <v>10</v>
      </c>
    </row>
    <row r="7153" ht="14.25" customHeight="1">
      <c r="A7153" s="1" t="s">
        <v>6110</v>
      </c>
      <c r="B7153" s="1" t="s">
        <v>20</v>
      </c>
      <c r="C7153" s="2" t="s">
        <v>5753</v>
      </c>
      <c r="D7153" s="2">
        <v>7.1</v>
      </c>
      <c r="E7153" s="2">
        <v>2018.0</v>
      </c>
      <c r="F7153" s="2">
        <v>2018.0</v>
      </c>
      <c r="G7153" s="2" t="s">
        <v>10</v>
      </c>
    </row>
    <row r="7154" ht="14.25" customHeight="1">
      <c r="A7154" s="1" t="s">
        <v>6111</v>
      </c>
      <c r="B7154" s="1" t="s">
        <v>20</v>
      </c>
      <c r="C7154" s="2" t="s">
        <v>833</v>
      </c>
      <c r="D7154" s="2">
        <v>7.1</v>
      </c>
      <c r="E7154" s="2">
        <v>2023.0</v>
      </c>
      <c r="F7154" s="2" t="s">
        <v>10</v>
      </c>
      <c r="G7154" s="2" t="s">
        <v>10</v>
      </c>
    </row>
    <row r="7155" ht="14.25" customHeight="1">
      <c r="A7155" s="1" t="s">
        <v>6112</v>
      </c>
      <c r="B7155" s="1" t="s">
        <v>20</v>
      </c>
      <c r="C7155" s="2" t="s">
        <v>75</v>
      </c>
      <c r="D7155" s="2">
        <v>7.1</v>
      </c>
      <c r="E7155" s="2">
        <v>1935.0</v>
      </c>
      <c r="F7155" s="2" t="s">
        <v>10</v>
      </c>
      <c r="G7155" s="2" t="s">
        <v>10</v>
      </c>
    </row>
    <row r="7156" ht="14.25" customHeight="1">
      <c r="A7156" s="1" t="s">
        <v>6113</v>
      </c>
      <c r="B7156" s="1" t="s">
        <v>20</v>
      </c>
      <c r="C7156" s="2" t="s">
        <v>6114</v>
      </c>
      <c r="D7156" s="2">
        <v>7.1</v>
      </c>
      <c r="E7156" s="2">
        <v>1960.0</v>
      </c>
      <c r="F7156" s="2" t="s">
        <v>10</v>
      </c>
      <c r="G7156" s="2" t="s">
        <v>10</v>
      </c>
    </row>
    <row r="7157" ht="14.25" customHeight="1">
      <c r="A7157" s="1" t="s">
        <v>6115</v>
      </c>
      <c r="B7157" s="1" t="s">
        <v>20</v>
      </c>
      <c r="C7157" s="2" t="s">
        <v>935</v>
      </c>
      <c r="D7157" s="2">
        <v>7.1</v>
      </c>
      <c r="E7157" s="2">
        <v>2022.0</v>
      </c>
      <c r="F7157" s="2" t="s">
        <v>10</v>
      </c>
      <c r="G7157" s="2" t="s">
        <v>10</v>
      </c>
    </row>
    <row r="7158" ht="14.25" customHeight="1">
      <c r="A7158" s="1" t="s">
        <v>6116</v>
      </c>
      <c r="B7158" s="1" t="s">
        <v>20</v>
      </c>
      <c r="C7158" s="2" t="s">
        <v>69</v>
      </c>
      <c r="D7158" s="2">
        <v>7.1</v>
      </c>
      <c r="E7158" s="2">
        <v>2004.0</v>
      </c>
      <c r="F7158" s="2" t="s">
        <v>10</v>
      </c>
      <c r="G7158" s="2" t="s">
        <v>10</v>
      </c>
    </row>
    <row r="7159" ht="14.25" customHeight="1">
      <c r="A7159" s="1" t="s">
        <v>6117</v>
      </c>
      <c r="B7159" s="1" t="s">
        <v>20</v>
      </c>
      <c r="C7159" s="2" t="s">
        <v>184</v>
      </c>
      <c r="D7159" s="2">
        <v>7.1</v>
      </c>
      <c r="E7159" s="2">
        <v>2014.0</v>
      </c>
      <c r="F7159" s="2" t="s">
        <v>10</v>
      </c>
      <c r="G7159" s="2" t="s">
        <v>10</v>
      </c>
    </row>
    <row r="7160" ht="14.25" customHeight="1">
      <c r="A7160" s="1" t="s">
        <v>6118</v>
      </c>
      <c r="B7160" s="1" t="s">
        <v>20</v>
      </c>
      <c r="C7160" s="2" t="s">
        <v>1301</v>
      </c>
      <c r="D7160" s="2">
        <v>7.1</v>
      </c>
      <c r="E7160" s="2">
        <v>1960.0</v>
      </c>
      <c r="F7160" s="2" t="s">
        <v>10</v>
      </c>
      <c r="G7160" s="2" t="s">
        <v>10</v>
      </c>
    </row>
    <row r="7161" ht="14.25" customHeight="1">
      <c r="A7161" s="1" t="s">
        <v>6119</v>
      </c>
      <c r="B7161" s="1" t="s">
        <v>20</v>
      </c>
      <c r="C7161" s="2" t="s">
        <v>53</v>
      </c>
      <c r="D7161" s="2">
        <v>7.1</v>
      </c>
      <c r="E7161" s="2">
        <v>1975.0</v>
      </c>
      <c r="F7161" s="2">
        <v>2013.0</v>
      </c>
      <c r="G7161" s="2" t="s">
        <v>10</v>
      </c>
    </row>
    <row r="7162" ht="14.25" customHeight="1">
      <c r="A7162" s="1" t="s">
        <v>6120</v>
      </c>
      <c r="B7162" s="1" t="s">
        <v>20</v>
      </c>
      <c r="C7162" s="2" t="s">
        <v>6121</v>
      </c>
      <c r="D7162" s="2">
        <v>7.1</v>
      </c>
      <c r="E7162" s="2">
        <v>2013.0</v>
      </c>
      <c r="F7162" s="2">
        <v>2013.0</v>
      </c>
      <c r="G7162" s="2" t="s">
        <v>10</v>
      </c>
    </row>
    <row r="7163" ht="14.25" customHeight="1">
      <c r="A7163" s="1" t="s">
        <v>6122</v>
      </c>
      <c r="B7163" s="1" t="s">
        <v>8</v>
      </c>
      <c r="C7163" s="2" t="s">
        <v>796</v>
      </c>
      <c r="D7163" s="2">
        <v>7.1</v>
      </c>
      <c r="E7163" s="2">
        <v>2014.0</v>
      </c>
      <c r="F7163" s="2">
        <v>2014.0</v>
      </c>
      <c r="G7163" s="2" t="s">
        <v>10</v>
      </c>
    </row>
    <row r="7164" ht="14.25" customHeight="1">
      <c r="A7164" s="1" t="s">
        <v>6123</v>
      </c>
      <c r="B7164" s="1" t="s">
        <v>20</v>
      </c>
      <c r="C7164" s="2" t="s">
        <v>18</v>
      </c>
      <c r="D7164" s="2">
        <v>7.1</v>
      </c>
      <c r="E7164" s="2">
        <v>2022.0</v>
      </c>
      <c r="F7164" s="2" t="s">
        <v>10</v>
      </c>
      <c r="G7164" s="2">
        <v>5370000.0</v>
      </c>
    </row>
    <row r="7165" ht="14.25" customHeight="1">
      <c r="A7165" s="1" t="s">
        <v>4916</v>
      </c>
      <c r="B7165" s="1" t="s">
        <v>20</v>
      </c>
      <c r="C7165" s="2" t="s">
        <v>395</v>
      </c>
      <c r="D7165" s="2">
        <v>7.1</v>
      </c>
      <c r="E7165" s="2">
        <v>2021.0</v>
      </c>
      <c r="F7165" s="2" t="s">
        <v>10</v>
      </c>
      <c r="G7165" s="2" t="s">
        <v>10</v>
      </c>
    </row>
    <row r="7166" ht="14.25" customHeight="1">
      <c r="A7166" s="1" t="s">
        <v>6124</v>
      </c>
      <c r="B7166" s="1" t="s">
        <v>20</v>
      </c>
      <c r="C7166" s="2" t="s">
        <v>284</v>
      </c>
      <c r="D7166" s="2">
        <v>7.1</v>
      </c>
      <c r="E7166" s="2">
        <v>2009.0</v>
      </c>
      <c r="F7166" s="2" t="s">
        <v>10</v>
      </c>
      <c r="G7166" s="2" t="s">
        <v>10</v>
      </c>
    </row>
    <row r="7167" ht="14.25" customHeight="1">
      <c r="A7167" s="1" t="s">
        <v>6125</v>
      </c>
      <c r="B7167" s="1" t="s">
        <v>8</v>
      </c>
      <c r="C7167" s="2" t="s">
        <v>6126</v>
      </c>
      <c r="D7167" s="2">
        <v>7.1</v>
      </c>
      <c r="E7167" s="2">
        <v>2018.0</v>
      </c>
      <c r="F7167" s="2">
        <v>2021.0</v>
      </c>
      <c r="G7167" s="2" t="s">
        <v>10</v>
      </c>
    </row>
    <row r="7168" ht="14.25" customHeight="1">
      <c r="A7168" s="1" t="s">
        <v>6127</v>
      </c>
      <c r="B7168" s="1" t="s">
        <v>20</v>
      </c>
      <c r="C7168" s="2" t="s">
        <v>2375</v>
      </c>
      <c r="D7168" s="2">
        <v>7.1</v>
      </c>
      <c r="E7168" s="2">
        <v>1986.0</v>
      </c>
      <c r="F7168" s="2" t="s">
        <v>10</v>
      </c>
      <c r="G7168" s="2" t="s">
        <v>10</v>
      </c>
    </row>
    <row r="7169" ht="14.25" customHeight="1">
      <c r="A7169" s="1" t="s">
        <v>6128</v>
      </c>
      <c r="B7169" s="1" t="s">
        <v>20</v>
      </c>
      <c r="C7169" s="2" t="s">
        <v>530</v>
      </c>
      <c r="D7169" s="2">
        <v>7.1</v>
      </c>
      <c r="E7169" s="2">
        <v>2022.0</v>
      </c>
      <c r="F7169" s="2" t="s">
        <v>10</v>
      </c>
      <c r="G7169" s="2" t="s">
        <v>10</v>
      </c>
    </row>
    <row r="7170" ht="14.25" customHeight="1">
      <c r="A7170" s="1" t="s">
        <v>6129</v>
      </c>
      <c r="B7170" s="1" t="s">
        <v>20</v>
      </c>
      <c r="C7170" s="2" t="s">
        <v>299</v>
      </c>
      <c r="D7170" s="2">
        <v>7.1</v>
      </c>
      <c r="E7170" s="2">
        <v>2020.0</v>
      </c>
      <c r="F7170" s="2">
        <v>2020.0</v>
      </c>
      <c r="G7170" s="2" t="s">
        <v>10</v>
      </c>
    </row>
    <row r="7171" ht="14.25" customHeight="1">
      <c r="A7171" s="1" t="s">
        <v>5402</v>
      </c>
      <c r="B7171" s="1" t="s">
        <v>20</v>
      </c>
      <c r="C7171" s="2" t="s">
        <v>18</v>
      </c>
      <c r="D7171" s="2">
        <v>7.1</v>
      </c>
      <c r="E7171" s="2">
        <v>1995.0</v>
      </c>
      <c r="F7171" s="2">
        <v>2018.0</v>
      </c>
      <c r="G7171" s="2" t="s">
        <v>10</v>
      </c>
    </row>
    <row r="7172" ht="14.25" customHeight="1">
      <c r="A7172" s="1" t="s">
        <v>6130</v>
      </c>
      <c r="B7172" s="1" t="s">
        <v>20</v>
      </c>
      <c r="C7172" s="2" t="s">
        <v>63</v>
      </c>
      <c r="D7172" s="2">
        <v>7.1</v>
      </c>
      <c r="E7172" s="2">
        <v>1996.0</v>
      </c>
      <c r="F7172" s="2" t="s">
        <v>10</v>
      </c>
      <c r="G7172" s="2" t="s">
        <v>10</v>
      </c>
    </row>
    <row r="7173" ht="14.25" customHeight="1">
      <c r="A7173" s="1" t="s">
        <v>6131</v>
      </c>
      <c r="B7173" s="1" t="s">
        <v>20</v>
      </c>
      <c r="C7173" s="2" t="s">
        <v>5529</v>
      </c>
      <c r="D7173" s="2">
        <v>7.1</v>
      </c>
      <c r="E7173" s="2">
        <v>1957.0</v>
      </c>
      <c r="F7173" s="2" t="s">
        <v>10</v>
      </c>
      <c r="G7173" s="2" t="s">
        <v>10</v>
      </c>
    </row>
    <row r="7174" ht="14.25" customHeight="1">
      <c r="A7174" s="1" t="s">
        <v>6132</v>
      </c>
      <c r="B7174" s="1" t="s">
        <v>20</v>
      </c>
      <c r="C7174" s="2" t="s">
        <v>299</v>
      </c>
      <c r="D7174" s="2">
        <v>7.1</v>
      </c>
      <c r="E7174" s="2">
        <v>2012.0</v>
      </c>
      <c r="F7174" s="2" t="s">
        <v>10</v>
      </c>
      <c r="G7174" s="2" t="s">
        <v>10</v>
      </c>
    </row>
    <row r="7175" ht="14.25" customHeight="1">
      <c r="A7175" s="1" t="s">
        <v>6133</v>
      </c>
      <c r="B7175" s="1" t="s">
        <v>8</v>
      </c>
      <c r="C7175" s="2" t="s">
        <v>53</v>
      </c>
      <c r="D7175" s="2">
        <v>7.1</v>
      </c>
      <c r="E7175" s="2">
        <v>2019.0</v>
      </c>
      <c r="F7175" s="2" t="s">
        <v>10</v>
      </c>
      <c r="G7175" s="2" t="s">
        <v>10</v>
      </c>
    </row>
    <row r="7176" ht="14.25" customHeight="1">
      <c r="A7176" s="1" t="s">
        <v>6134</v>
      </c>
      <c r="B7176" s="1" t="s">
        <v>20</v>
      </c>
      <c r="C7176" s="2" t="s">
        <v>530</v>
      </c>
      <c r="D7176" s="2">
        <v>7.1</v>
      </c>
      <c r="E7176" s="2">
        <v>1957.0</v>
      </c>
      <c r="F7176" s="2" t="s">
        <v>10</v>
      </c>
      <c r="G7176" s="2" t="s">
        <v>10</v>
      </c>
    </row>
    <row r="7177" ht="14.25" customHeight="1">
      <c r="A7177" s="1" t="s">
        <v>6135</v>
      </c>
      <c r="B7177" s="1" t="s">
        <v>20</v>
      </c>
      <c r="C7177" s="2" t="s">
        <v>395</v>
      </c>
      <c r="D7177" s="2">
        <v>7.1</v>
      </c>
      <c r="E7177" s="2">
        <v>2011.0</v>
      </c>
      <c r="F7177" s="2" t="s">
        <v>10</v>
      </c>
      <c r="G7177" s="2" t="s">
        <v>10</v>
      </c>
    </row>
    <row r="7178" ht="14.25" customHeight="1">
      <c r="A7178" s="1" t="s">
        <v>6136</v>
      </c>
      <c r="B7178" s="1" t="s">
        <v>20</v>
      </c>
      <c r="C7178" s="2" t="s">
        <v>1240</v>
      </c>
      <c r="D7178" s="2">
        <v>7.1</v>
      </c>
      <c r="E7178" s="2">
        <v>1951.0</v>
      </c>
      <c r="F7178" s="2" t="s">
        <v>10</v>
      </c>
      <c r="G7178" s="2" t="s">
        <v>10</v>
      </c>
    </row>
    <row r="7179" ht="14.25" customHeight="1">
      <c r="A7179" s="1" t="s">
        <v>6137</v>
      </c>
      <c r="B7179" s="1" t="s">
        <v>8</v>
      </c>
      <c r="C7179" s="2" t="s">
        <v>53</v>
      </c>
      <c r="D7179" s="2">
        <v>7.1</v>
      </c>
      <c r="E7179" s="2">
        <v>2019.0</v>
      </c>
      <c r="F7179" s="2">
        <v>2020.0</v>
      </c>
      <c r="G7179" s="2" t="s">
        <v>10</v>
      </c>
    </row>
    <row r="7180" ht="14.25" customHeight="1">
      <c r="A7180" s="1" t="s">
        <v>6138</v>
      </c>
      <c r="B7180" s="1" t="s">
        <v>20</v>
      </c>
      <c r="C7180" s="2" t="s">
        <v>963</v>
      </c>
      <c r="D7180" s="2">
        <v>7.1</v>
      </c>
      <c r="E7180" s="2">
        <v>1981.0</v>
      </c>
      <c r="F7180" s="2" t="s">
        <v>10</v>
      </c>
      <c r="G7180" s="2" t="s">
        <v>10</v>
      </c>
    </row>
    <row r="7181" ht="14.25" customHeight="1">
      <c r="A7181" s="1" t="s">
        <v>6139</v>
      </c>
      <c r="B7181" s="1" t="s">
        <v>20</v>
      </c>
      <c r="C7181" s="2" t="s">
        <v>2758</v>
      </c>
      <c r="D7181" s="2">
        <v>7.1</v>
      </c>
      <c r="E7181" s="2">
        <v>1963.0</v>
      </c>
      <c r="F7181" s="2" t="s">
        <v>10</v>
      </c>
      <c r="G7181" s="2" t="s">
        <v>10</v>
      </c>
    </row>
    <row r="7182" ht="14.25" customHeight="1">
      <c r="A7182" s="1" t="s">
        <v>6140</v>
      </c>
      <c r="B7182" s="1" t="s">
        <v>20</v>
      </c>
      <c r="C7182" s="2" t="s">
        <v>258</v>
      </c>
      <c r="D7182" s="2">
        <v>7.1</v>
      </c>
      <c r="E7182" s="2">
        <v>2016.0</v>
      </c>
      <c r="F7182" s="2" t="s">
        <v>10</v>
      </c>
      <c r="G7182" s="2" t="s">
        <v>10</v>
      </c>
    </row>
    <row r="7183" ht="14.25" customHeight="1">
      <c r="A7183" s="1" t="s">
        <v>5713</v>
      </c>
      <c r="B7183" s="1" t="s">
        <v>8</v>
      </c>
      <c r="C7183" s="2" t="s">
        <v>154</v>
      </c>
      <c r="D7183" s="2">
        <v>7.1</v>
      </c>
      <c r="E7183" s="2">
        <v>1978.0</v>
      </c>
      <c r="F7183" s="2" t="s">
        <v>10</v>
      </c>
      <c r="G7183" s="2" t="s">
        <v>10</v>
      </c>
    </row>
    <row r="7184" ht="14.25" customHeight="1">
      <c r="A7184" s="1" t="s">
        <v>6141</v>
      </c>
      <c r="B7184" s="1" t="s">
        <v>8</v>
      </c>
      <c r="C7184" s="2" t="s">
        <v>597</v>
      </c>
      <c r="D7184" s="2">
        <v>7.1</v>
      </c>
      <c r="E7184" s="2">
        <v>2021.0</v>
      </c>
      <c r="F7184" s="2" t="s">
        <v>10</v>
      </c>
      <c r="G7184" s="2" t="s">
        <v>10</v>
      </c>
    </row>
    <row r="7185" ht="14.25" customHeight="1">
      <c r="A7185" s="1" t="s">
        <v>6142</v>
      </c>
      <c r="B7185" s="1" t="s">
        <v>8</v>
      </c>
      <c r="C7185" s="2" t="s">
        <v>838</v>
      </c>
      <c r="D7185" s="2">
        <v>7.1</v>
      </c>
      <c r="E7185" s="2">
        <v>2019.0</v>
      </c>
      <c r="F7185" s="2">
        <v>2019.0</v>
      </c>
      <c r="G7185" s="2">
        <v>1.176E7</v>
      </c>
    </row>
    <row r="7186" ht="14.25" customHeight="1">
      <c r="A7186" s="1" t="s">
        <v>6142</v>
      </c>
      <c r="B7186" s="1" t="s">
        <v>8</v>
      </c>
      <c r="C7186" s="2" t="s">
        <v>838</v>
      </c>
      <c r="D7186" s="2">
        <v>7.1</v>
      </c>
      <c r="E7186" s="2">
        <v>2019.0</v>
      </c>
      <c r="F7186" s="2">
        <v>2019.0</v>
      </c>
      <c r="G7186" s="2">
        <v>1.755E7</v>
      </c>
    </row>
    <row r="7187" ht="14.25" customHeight="1">
      <c r="A7187" s="1" t="s">
        <v>6142</v>
      </c>
      <c r="B7187" s="1" t="s">
        <v>8</v>
      </c>
      <c r="C7187" s="2" t="s">
        <v>838</v>
      </c>
      <c r="D7187" s="2">
        <v>7.1</v>
      </c>
      <c r="E7187" s="2">
        <v>2019.0</v>
      </c>
      <c r="F7187" s="2">
        <v>2019.0</v>
      </c>
      <c r="G7187" s="2">
        <v>1.414E7</v>
      </c>
    </row>
    <row r="7188" ht="14.25" customHeight="1">
      <c r="A7188" s="1" t="s">
        <v>6142</v>
      </c>
      <c r="B7188" s="1" t="s">
        <v>8</v>
      </c>
      <c r="C7188" s="2" t="s">
        <v>838</v>
      </c>
      <c r="D7188" s="2">
        <v>7.1</v>
      </c>
      <c r="E7188" s="2">
        <v>2019.0</v>
      </c>
      <c r="F7188" s="2">
        <v>2019.0</v>
      </c>
      <c r="G7188" s="2">
        <v>3.035E7</v>
      </c>
    </row>
    <row r="7189" ht="14.25" customHeight="1">
      <c r="A7189" s="1" t="s">
        <v>6142</v>
      </c>
      <c r="B7189" s="1" t="s">
        <v>8</v>
      </c>
      <c r="C7189" s="2" t="s">
        <v>838</v>
      </c>
      <c r="D7189" s="2">
        <v>7.1</v>
      </c>
      <c r="E7189" s="2">
        <v>2019.0</v>
      </c>
      <c r="F7189" s="2">
        <v>2019.0</v>
      </c>
      <c r="G7189" s="2">
        <v>2.352E7</v>
      </c>
    </row>
    <row r="7190" ht="14.25" customHeight="1">
      <c r="A7190" s="1" t="s">
        <v>6142</v>
      </c>
      <c r="B7190" s="1" t="s">
        <v>8</v>
      </c>
      <c r="C7190" s="2" t="s">
        <v>838</v>
      </c>
      <c r="D7190" s="2">
        <v>7.1</v>
      </c>
      <c r="E7190" s="2">
        <v>2019.0</v>
      </c>
      <c r="F7190" s="2">
        <v>2019.0</v>
      </c>
      <c r="G7190" s="2">
        <v>4.909E7</v>
      </c>
    </row>
    <row r="7191" ht="14.25" customHeight="1">
      <c r="A7191" s="1" t="s">
        <v>6142</v>
      </c>
      <c r="B7191" s="1" t="s">
        <v>8</v>
      </c>
      <c r="C7191" s="2" t="s">
        <v>838</v>
      </c>
      <c r="D7191" s="2">
        <v>7.1</v>
      </c>
      <c r="E7191" s="2">
        <v>2019.0</v>
      </c>
      <c r="F7191" s="2">
        <v>2019.0</v>
      </c>
      <c r="G7191" s="2">
        <v>2.646E7</v>
      </c>
    </row>
    <row r="7192" ht="14.25" customHeight="1">
      <c r="A7192" s="1" t="s">
        <v>6143</v>
      </c>
      <c r="B7192" s="1" t="s">
        <v>20</v>
      </c>
      <c r="C7192" s="2" t="s">
        <v>756</v>
      </c>
      <c r="D7192" s="2">
        <v>7.1</v>
      </c>
      <c r="E7192" s="2">
        <v>1999.0</v>
      </c>
      <c r="F7192" s="2" t="s">
        <v>10</v>
      </c>
      <c r="G7192" s="2" t="s">
        <v>10</v>
      </c>
    </row>
    <row r="7193" ht="14.25" customHeight="1">
      <c r="A7193" s="1" t="s">
        <v>6144</v>
      </c>
      <c r="B7193" s="1" t="s">
        <v>8</v>
      </c>
      <c r="C7193" s="2" t="s">
        <v>945</v>
      </c>
      <c r="D7193" s="2">
        <v>7.1</v>
      </c>
      <c r="E7193" s="2">
        <v>1979.0</v>
      </c>
      <c r="F7193" s="2">
        <v>2005.0</v>
      </c>
      <c r="G7193" s="2" t="s">
        <v>10</v>
      </c>
    </row>
    <row r="7194" ht="14.25" customHeight="1">
      <c r="A7194" s="1" t="s">
        <v>6145</v>
      </c>
      <c r="B7194" s="1" t="s">
        <v>8</v>
      </c>
      <c r="C7194" s="2" t="s">
        <v>258</v>
      </c>
      <c r="D7194" s="2">
        <v>7.1</v>
      </c>
      <c r="E7194" s="2">
        <v>2010.0</v>
      </c>
      <c r="F7194" s="2" t="s">
        <v>10</v>
      </c>
      <c r="G7194" s="2" t="s">
        <v>10</v>
      </c>
    </row>
    <row r="7195" ht="14.25" customHeight="1">
      <c r="A7195" s="1" t="s">
        <v>6146</v>
      </c>
      <c r="B7195" s="1" t="s">
        <v>8</v>
      </c>
      <c r="C7195" s="2" t="s">
        <v>530</v>
      </c>
      <c r="D7195" s="2">
        <v>7.1</v>
      </c>
      <c r="E7195" s="2">
        <v>2023.0</v>
      </c>
      <c r="F7195" s="2" t="s">
        <v>10</v>
      </c>
      <c r="G7195" s="2" t="s">
        <v>10</v>
      </c>
    </row>
    <row r="7196" ht="14.25" customHeight="1">
      <c r="A7196" s="1" t="s">
        <v>6147</v>
      </c>
      <c r="B7196" s="1" t="s">
        <v>8</v>
      </c>
      <c r="C7196" s="2" t="s">
        <v>742</v>
      </c>
      <c r="D7196" s="2">
        <v>7.1</v>
      </c>
      <c r="E7196" s="2">
        <v>2021.0</v>
      </c>
      <c r="F7196" s="2" t="s">
        <v>10</v>
      </c>
      <c r="G7196" s="2" t="s">
        <v>10</v>
      </c>
    </row>
    <row r="7197" ht="14.25" customHeight="1">
      <c r="A7197" s="1" t="s">
        <v>6148</v>
      </c>
      <c r="B7197" s="1" t="s">
        <v>8</v>
      </c>
      <c r="C7197" s="2" t="s">
        <v>36</v>
      </c>
      <c r="D7197" s="2">
        <v>7.1</v>
      </c>
      <c r="E7197" s="2">
        <v>2024.0</v>
      </c>
      <c r="F7197" s="2" t="s">
        <v>10</v>
      </c>
      <c r="G7197" s="2" t="s">
        <v>10</v>
      </c>
    </row>
    <row r="7198" ht="14.25" customHeight="1">
      <c r="A7198" s="1" t="s">
        <v>6149</v>
      </c>
      <c r="B7198" s="1" t="s">
        <v>20</v>
      </c>
      <c r="C7198" s="2" t="s">
        <v>1784</v>
      </c>
      <c r="D7198" s="2">
        <v>7.1</v>
      </c>
      <c r="E7198" s="2">
        <v>2010.0</v>
      </c>
      <c r="F7198" s="2" t="s">
        <v>10</v>
      </c>
      <c r="G7198" s="2" t="s">
        <v>10</v>
      </c>
    </row>
    <row r="7199" ht="14.25" customHeight="1">
      <c r="A7199" s="1" t="s">
        <v>6150</v>
      </c>
      <c r="B7199" s="1" t="s">
        <v>20</v>
      </c>
      <c r="C7199" s="2" t="s">
        <v>25</v>
      </c>
      <c r="D7199" s="2">
        <v>7.1</v>
      </c>
      <c r="E7199" s="2">
        <v>2022.0</v>
      </c>
      <c r="F7199" s="2" t="s">
        <v>10</v>
      </c>
      <c r="G7199" s="2" t="s">
        <v>10</v>
      </c>
    </row>
    <row r="7200" ht="14.25" customHeight="1">
      <c r="A7200" s="1" t="s">
        <v>6151</v>
      </c>
      <c r="B7200" s="1" t="s">
        <v>20</v>
      </c>
      <c r="C7200" s="2" t="s">
        <v>461</v>
      </c>
      <c r="D7200" s="2">
        <v>7.1</v>
      </c>
      <c r="E7200" s="2">
        <v>2012.0</v>
      </c>
      <c r="F7200" s="2" t="s">
        <v>10</v>
      </c>
      <c r="G7200" s="2" t="s">
        <v>10</v>
      </c>
    </row>
    <row r="7201" ht="14.25" customHeight="1">
      <c r="A7201" s="1" t="s">
        <v>6152</v>
      </c>
      <c r="B7201" s="1" t="s">
        <v>20</v>
      </c>
      <c r="C7201" s="2" t="s">
        <v>9</v>
      </c>
      <c r="D7201" s="2">
        <v>7.1</v>
      </c>
      <c r="E7201" s="2">
        <v>2012.0</v>
      </c>
      <c r="F7201" s="2" t="s">
        <v>10</v>
      </c>
      <c r="G7201" s="2" t="s">
        <v>10</v>
      </c>
    </row>
    <row r="7202" ht="14.25" customHeight="1">
      <c r="A7202" s="1" t="s">
        <v>6153</v>
      </c>
      <c r="B7202" s="1" t="s">
        <v>20</v>
      </c>
      <c r="C7202" s="2" t="s">
        <v>452</v>
      </c>
      <c r="D7202" s="2">
        <v>7.1</v>
      </c>
      <c r="E7202" s="2">
        <v>2018.0</v>
      </c>
      <c r="F7202" s="2" t="s">
        <v>10</v>
      </c>
      <c r="G7202" s="2" t="s">
        <v>10</v>
      </c>
    </row>
    <row r="7203" ht="14.25" customHeight="1">
      <c r="A7203" s="1" t="s">
        <v>6154</v>
      </c>
      <c r="B7203" s="1" t="s">
        <v>20</v>
      </c>
      <c r="C7203" s="2" t="s">
        <v>18</v>
      </c>
      <c r="D7203" s="2">
        <v>7.1</v>
      </c>
      <c r="E7203" s="2">
        <v>2000.0</v>
      </c>
      <c r="F7203" s="2" t="s">
        <v>10</v>
      </c>
      <c r="G7203" s="2" t="s">
        <v>10</v>
      </c>
    </row>
    <row r="7204" ht="14.25" customHeight="1">
      <c r="A7204" s="1" t="s">
        <v>6155</v>
      </c>
      <c r="B7204" s="1" t="s">
        <v>20</v>
      </c>
      <c r="C7204" s="2" t="s">
        <v>452</v>
      </c>
      <c r="D7204" s="2">
        <v>7.1</v>
      </c>
      <c r="E7204" s="2">
        <v>2012.0</v>
      </c>
      <c r="F7204" s="2" t="s">
        <v>10</v>
      </c>
      <c r="G7204" s="2" t="s">
        <v>10</v>
      </c>
    </row>
    <row r="7205" ht="14.25" customHeight="1">
      <c r="A7205" s="1" t="s">
        <v>6156</v>
      </c>
      <c r="B7205" s="1" t="s">
        <v>20</v>
      </c>
      <c r="C7205" s="2" t="s">
        <v>2808</v>
      </c>
      <c r="D7205" s="2">
        <v>7.1</v>
      </c>
      <c r="E7205" s="2">
        <v>1965.0</v>
      </c>
      <c r="F7205" s="2" t="s">
        <v>10</v>
      </c>
      <c r="G7205" s="2" t="s">
        <v>10</v>
      </c>
    </row>
    <row r="7206" ht="14.25" customHeight="1">
      <c r="A7206" s="1" t="s">
        <v>6157</v>
      </c>
      <c r="B7206" s="1" t="s">
        <v>8</v>
      </c>
      <c r="C7206" s="2" t="s">
        <v>4242</v>
      </c>
      <c r="D7206" s="2">
        <v>7.1</v>
      </c>
      <c r="E7206" s="2">
        <v>2014.0</v>
      </c>
      <c r="F7206" s="2" t="s">
        <v>10</v>
      </c>
      <c r="G7206" s="2" t="s">
        <v>10</v>
      </c>
    </row>
    <row r="7207" ht="14.25" customHeight="1">
      <c r="A7207" s="1" t="s">
        <v>6158</v>
      </c>
      <c r="B7207" s="1" t="s">
        <v>20</v>
      </c>
      <c r="C7207" s="2" t="s">
        <v>63</v>
      </c>
      <c r="D7207" s="2">
        <v>7.1</v>
      </c>
      <c r="E7207" s="2">
        <v>1973.0</v>
      </c>
      <c r="F7207" s="2" t="s">
        <v>10</v>
      </c>
      <c r="G7207" s="2" t="s">
        <v>10</v>
      </c>
    </row>
    <row r="7208" ht="14.25" customHeight="1">
      <c r="A7208" s="1" t="s">
        <v>6159</v>
      </c>
      <c r="B7208" s="1" t="s">
        <v>20</v>
      </c>
      <c r="C7208" s="2" t="s">
        <v>36</v>
      </c>
      <c r="D7208" s="2">
        <v>7.1</v>
      </c>
      <c r="E7208" s="2">
        <v>1979.0</v>
      </c>
      <c r="F7208" s="2" t="s">
        <v>10</v>
      </c>
      <c r="G7208" s="2" t="s">
        <v>10</v>
      </c>
    </row>
    <row r="7209" ht="14.25" customHeight="1">
      <c r="A7209" s="1" t="s">
        <v>6160</v>
      </c>
      <c r="B7209" s="1" t="s">
        <v>20</v>
      </c>
      <c r="C7209" s="2" t="s">
        <v>9</v>
      </c>
      <c r="D7209" s="2">
        <v>7.1</v>
      </c>
      <c r="E7209" s="2">
        <v>1991.0</v>
      </c>
      <c r="F7209" s="2" t="s">
        <v>10</v>
      </c>
      <c r="G7209" s="2" t="s">
        <v>10</v>
      </c>
    </row>
    <row r="7210" ht="14.25" customHeight="1">
      <c r="A7210" s="1" t="s">
        <v>6161</v>
      </c>
      <c r="B7210" s="1" t="s">
        <v>20</v>
      </c>
      <c r="C7210" s="2" t="s">
        <v>80</v>
      </c>
      <c r="D7210" s="2">
        <v>7.1</v>
      </c>
      <c r="E7210" s="2">
        <v>2023.0</v>
      </c>
      <c r="F7210" s="2" t="s">
        <v>10</v>
      </c>
      <c r="G7210" s="2" t="s">
        <v>10</v>
      </c>
    </row>
    <row r="7211" ht="14.25" customHeight="1">
      <c r="A7211" s="1" t="s">
        <v>6162</v>
      </c>
      <c r="B7211" s="1" t="s">
        <v>20</v>
      </c>
      <c r="C7211" s="2" t="s">
        <v>481</v>
      </c>
      <c r="D7211" s="2">
        <v>7.1</v>
      </c>
      <c r="E7211" s="2">
        <v>2010.0</v>
      </c>
      <c r="F7211" s="2" t="s">
        <v>10</v>
      </c>
      <c r="G7211" s="2" t="s">
        <v>10</v>
      </c>
    </row>
    <row r="7212" ht="14.25" customHeight="1">
      <c r="A7212" s="1" t="s">
        <v>6163</v>
      </c>
      <c r="B7212" s="1" t="s">
        <v>20</v>
      </c>
      <c r="C7212" s="2" t="s">
        <v>9</v>
      </c>
      <c r="D7212" s="2">
        <v>7.1</v>
      </c>
      <c r="E7212" s="2">
        <v>2005.0</v>
      </c>
      <c r="F7212" s="2" t="s">
        <v>10</v>
      </c>
      <c r="G7212" s="2" t="s">
        <v>10</v>
      </c>
    </row>
    <row r="7213" ht="14.25" customHeight="1">
      <c r="A7213" s="1" t="s">
        <v>6164</v>
      </c>
      <c r="B7213" s="1" t="s">
        <v>20</v>
      </c>
      <c r="C7213" s="2" t="s">
        <v>63</v>
      </c>
      <c r="D7213" s="2">
        <v>7.1</v>
      </c>
      <c r="E7213" s="2">
        <v>2021.0</v>
      </c>
      <c r="F7213" s="2" t="s">
        <v>10</v>
      </c>
      <c r="G7213" s="2" t="s">
        <v>10</v>
      </c>
    </row>
    <row r="7214" ht="14.25" customHeight="1">
      <c r="A7214" s="1" t="s">
        <v>4336</v>
      </c>
      <c r="B7214" s="1" t="s">
        <v>8</v>
      </c>
      <c r="C7214" s="2" t="s">
        <v>1567</v>
      </c>
      <c r="D7214" s="2">
        <v>7.1</v>
      </c>
      <c r="E7214" s="2">
        <v>2018.0</v>
      </c>
      <c r="F7214" s="2" t="s">
        <v>10</v>
      </c>
      <c r="G7214" s="2" t="s">
        <v>10</v>
      </c>
    </row>
    <row r="7215" ht="14.25" customHeight="1">
      <c r="A7215" s="1" t="s">
        <v>6165</v>
      </c>
      <c r="B7215" s="1" t="s">
        <v>20</v>
      </c>
      <c r="C7215" s="2" t="s">
        <v>249</v>
      </c>
      <c r="D7215" s="2">
        <v>7.1</v>
      </c>
      <c r="E7215" s="2">
        <v>1971.0</v>
      </c>
      <c r="F7215" s="2" t="s">
        <v>10</v>
      </c>
      <c r="G7215" s="2" t="s">
        <v>10</v>
      </c>
    </row>
    <row r="7216" ht="14.25" customHeight="1">
      <c r="A7216" s="1" t="s">
        <v>6166</v>
      </c>
      <c r="B7216" s="1" t="s">
        <v>20</v>
      </c>
      <c r="C7216" s="2" t="s">
        <v>187</v>
      </c>
      <c r="D7216" s="2">
        <v>7.1</v>
      </c>
      <c r="E7216" s="2">
        <v>2007.0</v>
      </c>
      <c r="F7216" s="2" t="s">
        <v>10</v>
      </c>
      <c r="G7216" s="2" t="s">
        <v>10</v>
      </c>
    </row>
    <row r="7217" ht="14.25" customHeight="1">
      <c r="A7217" s="1" t="s">
        <v>6167</v>
      </c>
      <c r="B7217" s="1" t="s">
        <v>20</v>
      </c>
      <c r="C7217" s="2" t="s">
        <v>796</v>
      </c>
      <c r="D7217" s="2">
        <v>7.1</v>
      </c>
      <c r="E7217" s="2">
        <v>1959.0</v>
      </c>
      <c r="F7217" s="2" t="s">
        <v>10</v>
      </c>
      <c r="G7217" s="2" t="s">
        <v>10</v>
      </c>
    </row>
    <row r="7218" ht="14.25" customHeight="1">
      <c r="A7218" s="1" t="s">
        <v>6168</v>
      </c>
      <c r="B7218" s="1" t="s">
        <v>20</v>
      </c>
      <c r="C7218" s="2" t="s">
        <v>1616</v>
      </c>
      <c r="D7218" s="2">
        <v>7.1</v>
      </c>
      <c r="E7218" s="2">
        <v>2014.0</v>
      </c>
      <c r="F7218" s="2">
        <v>2014.0</v>
      </c>
      <c r="G7218" s="2" t="s">
        <v>10</v>
      </c>
    </row>
    <row r="7219" ht="14.25" customHeight="1">
      <c r="A7219" s="1" t="s">
        <v>6169</v>
      </c>
      <c r="B7219" s="1" t="s">
        <v>20</v>
      </c>
      <c r="C7219" s="2" t="s">
        <v>845</v>
      </c>
      <c r="D7219" s="2">
        <v>7.1</v>
      </c>
      <c r="E7219" s="2">
        <v>1962.0</v>
      </c>
      <c r="F7219" s="2" t="s">
        <v>10</v>
      </c>
      <c r="G7219" s="2" t="s">
        <v>10</v>
      </c>
    </row>
    <row r="7220" ht="14.25" customHeight="1">
      <c r="A7220" s="1" t="s">
        <v>6170</v>
      </c>
      <c r="B7220" s="1" t="s">
        <v>20</v>
      </c>
      <c r="C7220" s="2" t="s">
        <v>18</v>
      </c>
      <c r="D7220" s="2">
        <v>7.1</v>
      </c>
      <c r="E7220" s="2">
        <v>2006.0</v>
      </c>
      <c r="F7220" s="2" t="s">
        <v>10</v>
      </c>
      <c r="G7220" s="2" t="s">
        <v>10</v>
      </c>
    </row>
    <row r="7221" ht="14.25" customHeight="1">
      <c r="A7221" s="1" t="s">
        <v>6171</v>
      </c>
      <c r="B7221" s="1" t="s">
        <v>20</v>
      </c>
      <c r="C7221" s="2" t="s">
        <v>1105</v>
      </c>
      <c r="D7221" s="2">
        <v>7.1</v>
      </c>
      <c r="E7221" s="2">
        <v>2014.0</v>
      </c>
      <c r="F7221" s="2" t="s">
        <v>10</v>
      </c>
      <c r="G7221" s="2" t="s">
        <v>10</v>
      </c>
    </row>
    <row r="7222" ht="14.25" customHeight="1">
      <c r="A7222" s="1" t="s">
        <v>6172</v>
      </c>
      <c r="B7222" s="1" t="s">
        <v>20</v>
      </c>
      <c r="C7222" s="2" t="s">
        <v>6173</v>
      </c>
      <c r="D7222" s="2">
        <v>7.1</v>
      </c>
      <c r="E7222" s="2">
        <v>1981.0</v>
      </c>
      <c r="F7222" s="2" t="s">
        <v>10</v>
      </c>
      <c r="G7222" s="2" t="s">
        <v>10</v>
      </c>
    </row>
    <row r="7223" ht="14.25" customHeight="1">
      <c r="A7223" s="1" t="s">
        <v>6174</v>
      </c>
      <c r="B7223" s="1" t="s">
        <v>20</v>
      </c>
      <c r="C7223" s="2" t="s">
        <v>895</v>
      </c>
      <c r="D7223" s="2">
        <v>7.1</v>
      </c>
      <c r="E7223" s="2">
        <v>1987.0</v>
      </c>
      <c r="F7223" s="2" t="s">
        <v>10</v>
      </c>
      <c r="G7223" s="2" t="s">
        <v>10</v>
      </c>
    </row>
    <row r="7224" ht="14.25" customHeight="1">
      <c r="A7224" s="1" t="s">
        <v>6175</v>
      </c>
      <c r="B7224" s="1" t="s">
        <v>8</v>
      </c>
      <c r="C7224" s="2" t="s">
        <v>895</v>
      </c>
      <c r="D7224" s="2">
        <v>7.1</v>
      </c>
      <c r="E7224" s="2">
        <v>2023.0</v>
      </c>
      <c r="F7224" s="2" t="s">
        <v>10</v>
      </c>
      <c r="G7224" s="2" t="s">
        <v>10</v>
      </c>
    </row>
    <row r="7225" ht="14.25" customHeight="1">
      <c r="A7225" s="1" t="s">
        <v>6176</v>
      </c>
      <c r="B7225" s="1" t="s">
        <v>20</v>
      </c>
      <c r="C7225" s="2" t="s">
        <v>63</v>
      </c>
      <c r="D7225" s="2">
        <v>7.1</v>
      </c>
      <c r="E7225" s="2">
        <v>1997.0</v>
      </c>
      <c r="F7225" s="2" t="s">
        <v>10</v>
      </c>
      <c r="G7225" s="2" t="s">
        <v>10</v>
      </c>
    </row>
    <row r="7226" ht="14.25" customHeight="1">
      <c r="A7226" s="1" t="s">
        <v>6177</v>
      </c>
      <c r="B7226" s="1" t="s">
        <v>20</v>
      </c>
      <c r="C7226" s="2" t="s">
        <v>154</v>
      </c>
      <c r="D7226" s="2">
        <v>7.1</v>
      </c>
      <c r="E7226" s="2">
        <v>2015.0</v>
      </c>
      <c r="F7226" s="2" t="s">
        <v>10</v>
      </c>
      <c r="G7226" s="2" t="s">
        <v>10</v>
      </c>
    </row>
    <row r="7227" ht="14.25" customHeight="1">
      <c r="A7227" s="1" t="s">
        <v>6178</v>
      </c>
      <c r="B7227" s="1" t="s">
        <v>20</v>
      </c>
      <c r="C7227" s="2" t="s">
        <v>2301</v>
      </c>
      <c r="D7227" s="2">
        <v>7.1</v>
      </c>
      <c r="E7227" s="2">
        <v>1932.0</v>
      </c>
      <c r="F7227" s="2" t="s">
        <v>10</v>
      </c>
      <c r="G7227" s="2" t="s">
        <v>10</v>
      </c>
    </row>
    <row r="7228" ht="14.25" customHeight="1">
      <c r="A7228" s="1" t="s">
        <v>6179</v>
      </c>
      <c r="B7228" s="1" t="s">
        <v>8</v>
      </c>
      <c r="C7228" s="2" t="s">
        <v>55</v>
      </c>
      <c r="D7228" s="2">
        <v>7.1</v>
      </c>
      <c r="E7228" s="2">
        <v>1960.0</v>
      </c>
      <c r="F7228" s="2" t="s">
        <v>10</v>
      </c>
      <c r="G7228" s="2" t="s">
        <v>10</v>
      </c>
    </row>
    <row r="7229" ht="14.25" customHeight="1">
      <c r="A7229" s="1" t="s">
        <v>6180</v>
      </c>
      <c r="B7229" s="1" t="s">
        <v>20</v>
      </c>
      <c r="C7229" s="2" t="s">
        <v>192</v>
      </c>
      <c r="D7229" s="2">
        <v>7.1</v>
      </c>
      <c r="E7229" s="2">
        <v>1969.0</v>
      </c>
      <c r="F7229" s="2" t="s">
        <v>10</v>
      </c>
      <c r="G7229" s="2" t="s">
        <v>10</v>
      </c>
    </row>
    <row r="7230" ht="14.25" customHeight="1">
      <c r="A7230" s="1" t="s">
        <v>6181</v>
      </c>
      <c r="B7230" s="1" t="s">
        <v>20</v>
      </c>
      <c r="C7230" s="2" t="s">
        <v>305</v>
      </c>
      <c r="D7230" s="2">
        <v>7.1</v>
      </c>
      <c r="E7230" s="2">
        <v>2009.0</v>
      </c>
      <c r="F7230" s="2" t="s">
        <v>10</v>
      </c>
      <c r="G7230" s="2" t="s">
        <v>10</v>
      </c>
    </row>
    <row r="7231" ht="14.25" customHeight="1">
      <c r="A7231" s="1" t="s">
        <v>6182</v>
      </c>
      <c r="B7231" s="1" t="s">
        <v>20</v>
      </c>
      <c r="C7231" s="2" t="s">
        <v>1060</v>
      </c>
      <c r="D7231" s="2">
        <v>7.1</v>
      </c>
      <c r="E7231" s="2">
        <v>2010.0</v>
      </c>
      <c r="F7231" s="2">
        <v>2010.0</v>
      </c>
      <c r="G7231" s="2" t="s">
        <v>10</v>
      </c>
    </row>
    <row r="7232" ht="14.25" customHeight="1">
      <c r="A7232" s="1" t="s">
        <v>6183</v>
      </c>
      <c r="B7232" s="1" t="s">
        <v>20</v>
      </c>
      <c r="C7232" s="2" t="s">
        <v>527</v>
      </c>
      <c r="D7232" s="2">
        <v>7.1</v>
      </c>
      <c r="E7232" s="2">
        <v>1964.0</v>
      </c>
      <c r="F7232" s="2" t="s">
        <v>10</v>
      </c>
      <c r="G7232" s="2" t="s">
        <v>10</v>
      </c>
    </row>
    <row r="7233" ht="14.25" customHeight="1">
      <c r="A7233" s="1" t="s">
        <v>6184</v>
      </c>
      <c r="B7233" s="1" t="s">
        <v>20</v>
      </c>
      <c r="C7233" s="2" t="s">
        <v>3791</v>
      </c>
      <c r="D7233" s="2">
        <v>7.1</v>
      </c>
      <c r="E7233" s="2">
        <v>2017.0</v>
      </c>
      <c r="F7233" s="2" t="s">
        <v>10</v>
      </c>
      <c r="G7233" s="2" t="s">
        <v>10</v>
      </c>
    </row>
    <row r="7234" ht="14.25" customHeight="1">
      <c r="A7234" s="1" t="s">
        <v>6185</v>
      </c>
      <c r="B7234" s="1" t="s">
        <v>8</v>
      </c>
      <c r="C7234" s="2" t="s">
        <v>768</v>
      </c>
      <c r="D7234" s="2">
        <v>7.1</v>
      </c>
      <c r="E7234" s="2">
        <v>2017.0</v>
      </c>
      <c r="F7234" s="2">
        <v>2019.0</v>
      </c>
      <c r="G7234" s="2" t="s">
        <v>10</v>
      </c>
    </row>
    <row r="7235" ht="14.25" customHeight="1">
      <c r="A7235" s="1" t="s">
        <v>6186</v>
      </c>
      <c r="B7235" s="1" t="s">
        <v>8</v>
      </c>
      <c r="C7235" s="2" t="s">
        <v>1336</v>
      </c>
      <c r="D7235" s="2">
        <v>7.1</v>
      </c>
      <c r="E7235" s="2">
        <v>2013.0</v>
      </c>
      <c r="F7235" s="2" t="s">
        <v>10</v>
      </c>
      <c r="G7235" s="2" t="s">
        <v>10</v>
      </c>
    </row>
    <row r="7236" ht="14.25" customHeight="1">
      <c r="A7236" s="1" t="s">
        <v>6187</v>
      </c>
      <c r="B7236" s="1" t="s">
        <v>20</v>
      </c>
      <c r="C7236" s="2" t="s">
        <v>9</v>
      </c>
      <c r="D7236" s="2">
        <v>7.1</v>
      </c>
      <c r="E7236" s="2">
        <v>1966.0</v>
      </c>
      <c r="F7236" s="2">
        <v>2015.0</v>
      </c>
      <c r="G7236" s="2" t="s">
        <v>10</v>
      </c>
    </row>
    <row r="7237" ht="14.25" customHeight="1">
      <c r="A7237" s="1" t="s">
        <v>6188</v>
      </c>
      <c r="B7237" s="1" t="s">
        <v>20</v>
      </c>
      <c r="C7237" s="2" t="s">
        <v>1897</v>
      </c>
      <c r="D7237" s="2">
        <v>7.1</v>
      </c>
      <c r="E7237" s="2">
        <v>2002.0</v>
      </c>
      <c r="F7237" s="2" t="s">
        <v>10</v>
      </c>
      <c r="G7237" s="2" t="s">
        <v>10</v>
      </c>
    </row>
    <row r="7238" ht="14.25" customHeight="1">
      <c r="A7238" s="1" t="s">
        <v>6189</v>
      </c>
      <c r="B7238" s="1" t="s">
        <v>20</v>
      </c>
      <c r="C7238" s="2" t="s">
        <v>742</v>
      </c>
      <c r="D7238" s="2">
        <v>7.1</v>
      </c>
      <c r="E7238" s="2">
        <v>2023.0</v>
      </c>
      <c r="F7238" s="2" t="s">
        <v>10</v>
      </c>
      <c r="G7238" s="2" t="s">
        <v>10</v>
      </c>
    </row>
    <row r="7239" ht="14.25" customHeight="1">
      <c r="A7239" s="1" t="s">
        <v>6190</v>
      </c>
      <c r="B7239" s="1" t="s">
        <v>20</v>
      </c>
      <c r="C7239" s="2" t="s">
        <v>249</v>
      </c>
      <c r="D7239" s="2">
        <v>7.1</v>
      </c>
      <c r="E7239" s="2">
        <v>1961.0</v>
      </c>
      <c r="F7239" s="2" t="s">
        <v>10</v>
      </c>
      <c r="G7239" s="2" t="s">
        <v>10</v>
      </c>
    </row>
    <row r="7240" ht="14.25" customHeight="1">
      <c r="A7240" s="1" t="s">
        <v>6191</v>
      </c>
      <c r="B7240" s="1" t="s">
        <v>20</v>
      </c>
      <c r="C7240" s="2" t="s">
        <v>989</v>
      </c>
      <c r="D7240" s="2">
        <v>7.1</v>
      </c>
      <c r="E7240" s="2">
        <v>1999.0</v>
      </c>
      <c r="F7240" s="2" t="s">
        <v>10</v>
      </c>
      <c r="G7240" s="2" t="s">
        <v>10</v>
      </c>
    </row>
    <row r="7241" ht="14.25" customHeight="1">
      <c r="A7241" s="1" t="s">
        <v>6192</v>
      </c>
      <c r="B7241" s="1" t="s">
        <v>20</v>
      </c>
      <c r="C7241" s="2" t="s">
        <v>12</v>
      </c>
      <c r="D7241" s="2">
        <v>7.1</v>
      </c>
      <c r="E7241" s="2">
        <v>2012.0</v>
      </c>
      <c r="F7241" s="2" t="s">
        <v>10</v>
      </c>
      <c r="G7241" s="2" t="s">
        <v>10</v>
      </c>
    </row>
    <row r="7242" ht="14.25" customHeight="1">
      <c r="A7242" s="1" t="s">
        <v>6193</v>
      </c>
      <c r="B7242" s="1" t="s">
        <v>20</v>
      </c>
      <c r="C7242" s="2" t="s">
        <v>481</v>
      </c>
      <c r="D7242" s="2">
        <v>7.1</v>
      </c>
      <c r="E7242" s="2">
        <v>1964.0</v>
      </c>
      <c r="F7242" s="2" t="s">
        <v>10</v>
      </c>
      <c r="G7242" s="2" t="s">
        <v>10</v>
      </c>
    </row>
    <row r="7243" ht="14.25" customHeight="1">
      <c r="A7243" s="1" t="s">
        <v>6194</v>
      </c>
      <c r="B7243" s="1" t="s">
        <v>8</v>
      </c>
      <c r="C7243" s="2" t="s">
        <v>78</v>
      </c>
      <c r="D7243" s="2">
        <v>7.1</v>
      </c>
      <c r="E7243" s="2">
        <v>2016.0</v>
      </c>
      <c r="F7243" s="2" t="s">
        <v>10</v>
      </c>
      <c r="G7243" s="2" t="s">
        <v>10</v>
      </c>
    </row>
    <row r="7244" ht="14.25" customHeight="1">
      <c r="A7244" s="1" t="s">
        <v>6195</v>
      </c>
      <c r="B7244" s="1" t="s">
        <v>20</v>
      </c>
      <c r="C7244" s="2" t="s">
        <v>311</v>
      </c>
      <c r="D7244" s="2">
        <v>7.1</v>
      </c>
      <c r="E7244" s="2">
        <v>1988.0</v>
      </c>
      <c r="F7244" s="2" t="s">
        <v>10</v>
      </c>
      <c r="G7244" s="2" t="s">
        <v>10</v>
      </c>
    </row>
    <row r="7245" ht="14.25" customHeight="1">
      <c r="A7245" s="1" t="s">
        <v>6196</v>
      </c>
      <c r="B7245" s="1" t="s">
        <v>20</v>
      </c>
      <c r="C7245" s="2" t="s">
        <v>527</v>
      </c>
      <c r="D7245" s="2">
        <v>7.1</v>
      </c>
      <c r="E7245" s="2">
        <v>2006.0</v>
      </c>
      <c r="F7245" s="2">
        <v>2006.0</v>
      </c>
      <c r="G7245" s="2" t="s">
        <v>10</v>
      </c>
    </row>
    <row r="7246" ht="14.25" customHeight="1">
      <c r="A7246" s="1" t="s">
        <v>6197</v>
      </c>
      <c r="B7246" s="1" t="s">
        <v>20</v>
      </c>
      <c r="C7246" s="2" t="s">
        <v>527</v>
      </c>
      <c r="D7246" s="2">
        <v>7.1</v>
      </c>
      <c r="E7246" s="2">
        <v>2019.0</v>
      </c>
      <c r="F7246" s="2" t="s">
        <v>10</v>
      </c>
      <c r="G7246" s="2" t="s">
        <v>10</v>
      </c>
    </row>
    <row r="7247" ht="14.25" customHeight="1">
      <c r="A7247" s="1" t="s">
        <v>6198</v>
      </c>
      <c r="B7247" s="1" t="s">
        <v>8</v>
      </c>
      <c r="C7247" s="2" t="s">
        <v>142</v>
      </c>
      <c r="D7247" s="2">
        <v>7.1</v>
      </c>
      <c r="E7247" s="2">
        <v>2022.0</v>
      </c>
      <c r="F7247" s="2" t="s">
        <v>10</v>
      </c>
      <c r="G7247" s="2">
        <v>8860000.0</v>
      </c>
    </row>
    <row r="7248" ht="14.25" customHeight="1">
      <c r="A7248" s="1" t="s">
        <v>6198</v>
      </c>
      <c r="B7248" s="1" t="s">
        <v>8</v>
      </c>
      <c r="C7248" s="2" t="s">
        <v>142</v>
      </c>
      <c r="D7248" s="2">
        <v>7.1</v>
      </c>
      <c r="E7248" s="2">
        <v>2022.0</v>
      </c>
      <c r="F7248" s="2" t="s">
        <v>10</v>
      </c>
      <c r="G7248" s="2">
        <v>2.091E7</v>
      </c>
    </row>
    <row r="7249" ht="14.25" customHeight="1">
      <c r="A7249" s="1" t="s">
        <v>6198</v>
      </c>
      <c r="B7249" s="1" t="s">
        <v>8</v>
      </c>
      <c r="C7249" s="2" t="s">
        <v>142</v>
      </c>
      <c r="D7249" s="2">
        <v>7.1</v>
      </c>
      <c r="E7249" s="2">
        <v>2022.0</v>
      </c>
      <c r="F7249" s="2" t="s">
        <v>10</v>
      </c>
      <c r="G7249" s="2">
        <v>3.746E7</v>
      </c>
    </row>
    <row r="7250" ht="14.25" customHeight="1">
      <c r="A7250" s="1" t="s">
        <v>6199</v>
      </c>
      <c r="B7250" s="1" t="s">
        <v>20</v>
      </c>
      <c r="C7250" s="2" t="s">
        <v>187</v>
      </c>
      <c r="D7250" s="2">
        <v>7.1</v>
      </c>
      <c r="E7250" s="2">
        <v>2006.0</v>
      </c>
      <c r="F7250" s="2" t="s">
        <v>10</v>
      </c>
      <c r="G7250" s="2" t="s">
        <v>10</v>
      </c>
    </row>
    <row r="7251" ht="14.25" customHeight="1">
      <c r="A7251" s="1" t="s">
        <v>6200</v>
      </c>
      <c r="B7251" s="1" t="s">
        <v>20</v>
      </c>
      <c r="C7251" s="2" t="s">
        <v>32</v>
      </c>
      <c r="D7251" s="2">
        <v>7.1</v>
      </c>
      <c r="E7251" s="2">
        <v>1987.0</v>
      </c>
      <c r="F7251" s="2" t="s">
        <v>10</v>
      </c>
      <c r="G7251" s="2" t="s">
        <v>10</v>
      </c>
    </row>
    <row r="7252" ht="14.25" customHeight="1">
      <c r="A7252" s="1" t="s">
        <v>6201</v>
      </c>
      <c r="B7252" s="1" t="s">
        <v>8</v>
      </c>
      <c r="C7252" s="2" t="s">
        <v>69</v>
      </c>
      <c r="D7252" s="2">
        <v>7.1</v>
      </c>
      <c r="E7252" s="2">
        <v>1974.0</v>
      </c>
      <c r="F7252" s="2" t="s">
        <v>10</v>
      </c>
      <c r="G7252" s="2" t="s">
        <v>10</v>
      </c>
    </row>
    <row r="7253" ht="14.25" customHeight="1">
      <c r="A7253" s="1" t="s">
        <v>6202</v>
      </c>
      <c r="B7253" s="1" t="s">
        <v>20</v>
      </c>
      <c r="C7253" s="2" t="s">
        <v>963</v>
      </c>
      <c r="D7253" s="2">
        <v>7.1</v>
      </c>
      <c r="E7253" s="2">
        <v>2016.0</v>
      </c>
      <c r="F7253" s="2">
        <v>2016.0</v>
      </c>
      <c r="G7253" s="2" t="s">
        <v>10</v>
      </c>
    </row>
    <row r="7254" ht="14.25" customHeight="1">
      <c r="A7254" s="1" t="s">
        <v>6203</v>
      </c>
      <c r="B7254" s="1" t="s">
        <v>20</v>
      </c>
      <c r="C7254" s="2" t="s">
        <v>1240</v>
      </c>
      <c r="D7254" s="2">
        <v>7.1</v>
      </c>
      <c r="E7254" s="2">
        <v>2021.0</v>
      </c>
      <c r="F7254" s="2" t="s">
        <v>10</v>
      </c>
      <c r="G7254" s="2" t="s">
        <v>10</v>
      </c>
    </row>
    <row r="7255" ht="14.25" customHeight="1">
      <c r="A7255" s="1" t="s">
        <v>6204</v>
      </c>
      <c r="B7255" s="1" t="s">
        <v>20</v>
      </c>
      <c r="C7255" s="2" t="s">
        <v>40</v>
      </c>
      <c r="D7255" s="2">
        <v>7.1</v>
      </c>
      <c r="E7255" s="2">
        <v>2019.0</v>
      </c>
      <c r="F7255" s="2" t="s">
        <v>10</v>
      </c>
      <c r="G7255" s="2" t="s">
        <v>10</v>
      </c>
    </row>
    <row r="7256" ht="14.25" customHeight="1">
      <c r="A7256" s="1" t="s">
        <v>6205</v>
      </c>
      <c r="B7256" s="1" t="s">
        <v>8</v>
      </c>
      <c r="C7256" s="2" t="s">
        <v>25</v>
      </c>
      <c r="D7256" s="2">
        <v>7.1</v>
      </c>
      <c r="E7256" s="2">
        <v>2001.0</v>
      </c>
      <c r="F7256" s="2" t="s">
        <v>10</v>
      </c>
      <c r="G7256" s="2" t="s">
        <v>10</v>
      </c>
    </row>
    <row r="7257" ht="14.25" customHeight="1">
      <c r="A7257" s="1" t="s">
        <v>6206</v>
      </c>
      <c r="B7257" s="1" t="s">
        <v>20</v>
      </c>
      <c r="C7257" s="2" t="s">
        <v>6207</v>
      </c>
      <c r="D7257" s="2">
        <v>7.1</v>
      </c>
      <c r="E7257" s="2">
        <v>2014.0</v>
      </c>
      <c r="F7257" s="2" t="s">
        <v>10</v>
      </c>
      <c r="G7257" s="2" t="s">
        <v>10</v>
      </c>
    </row>
    <row r="7258" ht="14.25" customHeight="1">
      <c r="A7258" s="1" t="s">
        <v>6208</v>
      </c>
      <c r="B7258" s="1" t="s">
        <v>8</v>
      </c>
      <c r="C7258" s="2" t="s">
        <v>5302</v>
      </c>
      <c r="D7258" s="2">
        <v>7.1</v>
      </c>
      <c r="E7258" s="2">
        <v>2024.0</v>
      </c>
      <c r="F7258" s="2" t="s">
        <v>10</v>
      </c>
      <c r="G7258" s="2" t="s">
        <v>10</v>
      </c>
    </row>
    <row r="7259" ht="14.25" customHeight="1">
      <c r="A7259" s="1" t="s">
        <v>6209</v>
      </c>
      <c r="B7259" s="1" t="s">
        <v>20</v>
      </c>
      <c r="C7259" s="2" t="s">
        <v>69</v>
      </c>
      <c r="D7259" s="2">
        <v>7.1</v>
      </c>
      <c r="E7259" s="2">
        <v>1989.0</v>
      </c>
      <c r="F7259" s="2" t="s">
        <v>10</v>
      </c>
      <c r="G7259" s="2" t="s">
        <v>10</v>
      </c>
    </row>
    <row r="7260" ht="14.25" customHeight="1">
      <c r="A7260" s="1" t="s">
        <v>6210</v>
      </c>
      <c r="B7260" s="1" t="s">
        <v>20</v>
      </c>
      <c r="C7260" s="2" t="s">
        <v>36</v>
      </c>
      <c r="D7260" s="2">
        <v>7.1</v>
      </c>
      <c r="E7260" s="2">
        <v>2013.0</v>
      </c>
      <c r="F7260" s="2" t="s">
        <v>10</v>
      </c>
      <c r="G7260" s="2" t="s">
        <v>10</v>
      </c>
    </row>
    <row r="7261" ht="14.25" customHeight="1">
      <c r="A7261" s="1" t="s">
        <v>6211</v>
      </c>
      <c r="B7261" s="1" t="s">
        <v>20</v>
      </c>
      <c r="C7261" s="2" t="s">
        <v>845</v>
      </c>
      <c r="D7261" s="2">
        <v>7.1</v>
      </c>
      <c r="E7261" s="2">
        <v>1981.0</v>
      </c>
      <c r="F7261" s="2" t="s">
        <v>10</v>
      </c>
      <c r="G7261" s="2" t="s">
        <v>10</v>
      </c>
    </row>
    <row r="7262" ht="14.25" customHeight="1">
      <c r="A7262" s="1" t="s">
        <v>6212</v>
      </c>
      <c r="B7262" s="1" t="s">
        <v>20</v>
      </c>
      <c r="C7262" s="2" t="s">
        <v>154</v>
      </c>
      <c r="D7262" s="2">
        <v>7.1</v>
      </c>
      <c r="E7262" s="2">
        <v>1997.0</v>
      </c>
      <c r="F7262" s="2" t="s">
        <v>10</v>
      </c>
      <c r="G7262" s="2" t="s">
        <v>10</v>
      </c>
    </row>
    <row r="7263" ht="14.25" customHeight="1">
      <c r="A7263" s="1" t="s">
        <v>6213</v>
      </c>
      <c r="B7263" s="1" t="s">
        <v>20</v>
      </c>
      <c r="C7263" s="2" t="s">
        <v>845</v>
      </c>
      <c r="D7263" s="2">
        <v>7.1</v>
      </c>
      <c r="E7263" s="2">
        <v>1977.0</v>
      </c>
      <c r="F7263" s="2" t="s">
        <v>10</v>
      </c>
      <c r="G7263" s="2" t="s">
        <v>10</v>
      </c>
    </row>
    <row r="7264" ht="14.25" customHeight="1">
      <c r="A7264" s="1" t="s">
        <v>6214</v>
      </c>
      <c r="B7264" s="1" t="s">
        <v>20</v>
      </c>
      <c r="C7264" s="2" t="s">
        <v>989</v>
      </c>
      <c r="D7264" s="2">
        <v>7.1</v>
      </c>
      <c r="E7264" s="2">
        <v>2004.0</v>
      </c>
      <c r="F7264" s="2" t="s">
        <v>10</v>
      </c>
      <c r="G7264" s="2" t="s">
        <v>10</v>
      </c>
    </row>
    <row r="7265" ht="14.25" customHeight="1">
      <c r="A7265" s="1" t="s">
        <v>6215</v>
      </c>
      <c r="B7265" s="1" t="s">
        <v>20</v>
      </c>
      <c r="C7265" s="2" t="s">
        <v>6216</v>
      </c>
      <c r="D7265" s="2">
        <v>7.1</v>
      </c>
      <c r="E7265" s="2">
        <v>1981.0</v>
      </c>
      <c r="F7265" s="2" t="s">
        <v>10</v>
      </c>
      <c r="G7265" s="2" t="s">
        <v>10</v>
      </c>
    </row>
    <row r="7266" ht="14.25" customHeight="1">
      <c r="A7266" s="1" t="s">
        <v>1154</v>
      </c>
      <c r="B7266" s="1" t="s">
        <v>20</v>
      </c>
      <c r="C7266" s="2" t="s">
        <v>1060</v>
      </c>
      <c r="D7266" s="2">
        <v>7.1</v>
      </c>
      <c r="E7266" s="2">
        <v>2006.0</v>
      </c>
      <c r="F7266" s="2" t="s">
        <v>10</v>
      </c>
      <c r="G7266" s="2" t="s">
        <v>10</v>
      </c>
    </row>
    <row r="7267" ht="14.25" customHeight="1">
      <c r="A7267" s="1" t="s">
        <v>6217</v>
      </c>
      <c r="B7267" s="1" t="s">
        <v>20</v>
      </c>
      <c r="C7267" s="2" t="s">
        <v>2189</v>
      </c>
      <c r="D7267" s="2">
        <v>7.1</v>
      </c>
      <c r="E7267" s="2">
        <v>2011.0</v>
      </c>
      <c r="F7267" s="2" t="s">
        <v>10</v>
      </c>
      <c r="G7267" s="2" t="s">
        <v>10</v>
      </c>
    </row>
    <row r="7268" ht="14.25" customHeight="1">
      <c r="A7268" s="1" t="s">
        <v>6218</v>
      </c>
      <c r="B7268" s="1" t="s">
        <v>8</v>
      </c>
      <c r="C7268" s="2" t="s">
        <v>18</v>
      </c>
      <c r="D7268" s="2">
        <v>7.1</v>
      </c>
      <c r="E7268" s="2">
        <v>2022.0</v>
      </c>
      <c r="F7268" s="2" t="s">
        <v>10</v>
      </c>
      <c r="G7268" s="2" t="s">
        <v>10</v>
      </c>
    </row>
    <row r="7269" ht="14.25" customHeight="1">
      <c r="A7269" s="1" t="s">
        <v>6219</v>
      </c>
      <c r="B7269" s="1" t="s">
        <v>20</v>
      </c>
      <c r="C7269" s="2" t="s">
        <v>187</v>
      </c>
      <c r="D7269" s="2">
        <v>7.1</v>
      </c>
      <c r="E7269" s="2">
        <v>1950.0</v>
      </c>
      <c r="F7269" s="2" t="s">
        <v>10</v>
      </c>
      <c r="G7269" s="2" t="s">
        <v>10</v>
      </c>
    </row>
    <row r="7270" ht="14.25" customHeight="1">
      <c r="A7270" s="1" t="s">
        <v>6220</v>
      </c>
      <c r="B7270" s="1" t="s">
        <v>20</v>
      </c>
      <c r="C7270" s="2" t="s">
        <v>55</v>
      </c>
      <c r="D7270" s="2">
        <v>7.1</v>
      </c>
      <c r="E7270" s="2">
        <v>1986.0</v>
      </c>
      <c r="F7270" s="2" t="s">
        <v>10</v>
      </c>
      <c r="G7270" s="2" t="s">
        <v>10</v>
      </c>
    </row>
    <row r="7271" ht="14.25" customHeight="1">
      <c r="A7271" s="1" t="s">
        <v>6221</v>
      </c>
      <c r="B7271" s="1" t="s">
        <v>20</v>
      </c>
      <c r="C7271" s="2" t="s">
        <v>63</v>
      </c>
      <c r="D7271" s="2">
        <v>7.1</v>
      </c>
      <c r="E7271" s="2">
        <v>2009.0</v>
      </c>
      <c r="F7271" s="2" t="s">
        <v>10</v>
      </c>
      <c r="G7271" s="2" t="s">
        <v>10</v>
      </c>
    </row>
    <row r="7272" ht="14.25" customHeight="1">
      <c r="A7272" s="1" t="s">
        <v>6222</v>
      </c>
      <c r="B7272" s="1" t="s">
        <v>8</v>
      </c>
      <c r="C7272" s="2" t="s">
        <v>192</v>
      </c>
      <c r="D7272" s="2">
        <v>7.1</v>
      </c>
      <c r="E7272" s="2">
        <v>2016.0</v>
      </c>
      <c r="F7272" s="2" t="s">
        <v>10</v>
      </c>
      <c r="G7272" s="2" t="s">
        <v>10</v>
      </c>
    </row>
    <row r="7273" ht="14.25" customHeight="1">
      <c r="A7273" s="1" t="s">
        <v>6223</v>
      </c>
      <c r="B7273" s="1" t="s">
        <v>20</v>
      </c>
      <c r="C7273" s="2" t="s">
        <v>169</v>
      </c>
      <c r="D7273" s="2">
        <v>7.1</v>
      </c>
      <c r="E7273" s="2">
        <v>2018.0</v>
      </c>
      <c r="F7273" s="2" t="s">
        <v>10</v>
      </c>
      <c r="G7273" s="2" t="s">
        <v>10</v>
      </c>
    </row>
    <row r="7274" ht="14.25" customHeight="1">
      <c r="A7274" s="1" t="s">
        <v>6224</v>
      </c>
      <c r="B7274" s="1" t="s">
        <v>20</v>
      </c>
      <c r="C7274" s="2" t="s">
        <v>935</v>
      </c>
      <c r="D7274" s="2">
        <v>7.1</v>
      </c>
      <c r="E7274" s="2">
        <v>1973.0</v>
      </c>
      <c r="F7274" s="2" t="s">
        <v>10</v>
      </c>
      <c r="G7274" s="2" t="s">
        <v>10</v>
      </c>
    </row>
    <row r="7275" ht="14.25" customHeight="1">
      <c r="A7275" s="1" t="s">
        <v>6225</v>
      </c>
      <c r="B7275" s="1" t="s">
        <v>20</v>
      </c>
      <c r="C7275" s="2" t="s">
        <v>9</v>
      </c>
      <c r="D7275" s="2">
        <v>7.1</v>
      </c>
      <c r="E7275" s="2">
        <v>2016.0</v>
      </c>
      <c r="F7275" s="2" t="s">
        <v>10</v>
      </c>
      <c r="G7275" s="2" t="s">
        <v>10</v>
      </c>
    </row>
    <row r="7276" ht="14.25" customHeight="1">
      <c r="A7276" s="1" t="s">
        <v>6226</v>
      </c>
      <c r="B7276" s="1" t="s">
        <v>20</v>
      </c>
      <c r="C7276" s="2" t="s">
        <v>291</v>
      </c>
      <c r="D7276" s="2">
        <v>7.1</v>
      </c>
      <c r="E7276" s="2">
        <v>2014.0</v>
      </c>
      <c r="F7276" s="2" t="s">
        <v>10</v>
      </c>
      <c r="G7276" s="2" t="s">
        <v>10</v>
      </c>
    </row>
    <row r="7277" ht="14.25" customHeight="1">
      <c r="A7277" s="1" t="s">
        <v>6227</v>
      </c>
      <c r="B7277" s="1" t="s">
        <v>8</v>
      </c>
      <c r="C7277" s="2" t="s">
        <v>258</v>
      </c>
      <c r="D7277" s="2">
        <v>7.1</v>
      </c>
      <c r="E7277" s="2">
        <v>2011.0</v>
      </c>
      <c r="F7277" s="2" t="s">
        <v>10</v>
      </c>
      <c r="G7277" s="2" t="s">
        <v>10</v>
      </c>
    </row>
    <row r="7278" ht="14.25" customHeight="1">
      <c r="A7278" s="1" t="s">
        <v>6228</v>
      </c>
      <c r="B7278" s="1" t="s">
        <v>20</v>
      </c>
      <c r="C7278" s="2" t="s">
        <v>339</v>
      </c>
      <c r="D7278" s="2">
        <v>7.1</v>
      </c>
      <c r="E7278" s="2">
        <v>2019.0</v>
      </c>
      <c r="F7278" s="2">
        <v>2019.0</v>
      </c>
      <c r="G7278" s="2" t="s">
        <v>10</v>
      </c>
    </row>
    <row r="7279" ht="14.25" customHeight="1">
      <c r="A7279" s="1" t="s">
        <v>6229</v>
      </c>
      <c r="B7279" s="1" t="s">
        <v>8</v>
      </c>
      <c r="C7279" s="2" t="s">
        <v>53</v>
      </c>
      <c r="D7279" s="2">
        <v>7.1</v>
      </c>
      <c r="E7279" s="2">
        <v>2019.0</v>
      </c>
      <c r="F7279" s="2" t="s">
        <v>10</v>
      </c>
      <c r="G7279" s="2" t="s">
        <v>10</v>
      </c>
    </row>
    <row r="7280" ht="14.25" customHeight="1">
      <c r="A7280" s="1" t="s">
        <v>6230</v>
      </c>
      <c r="B7280" s="1" t="s">
        <v>20</v>
      </c>
      <c r="C7280" s="2" t="s">
        <v>132</v>
      </c>
      <c r="D7280" s="2">
        <v>7.1</v>
      </c>
      <c r="E7280" s="2">
        <v>2008.0</v>
      </c>
      <c r="F7280" s="2" t="s">
        <v>10</v>
      </c>
      <c r="G7280" s="2" t="s">
        <v>10</v>
      </c>
    </row>
    <row r="7281" ht="14.25" customHeight="1">
      <c r="A7281" s="1" t="s">
        <v>6231</v>
      </c>
      <c r="B7281" s="1" t="s">
        <v>20</v>
      </c>
      <c r="C7281" s="2" t="s">
        <v>299</v>
      </c>
      <c r="D7281" s="2">
        <v>7.1</v>
      </c>
      <c r="E7281" s="2">
        <v>2005.0</v>
      </c>
      <c r="F7281" s="2">
        <v>2015.0</v>
      </c>
      <c r="G7281" s="2" t="s">
        <v>10</v>
      </c>
    </row>
    <row r="7282" ht="14.25" customHeight="1">
      <c r="A7282" s="1" t="s">
        <v>6232</v>
      </c>
      <c r="B7282" s="1" t="s">
        <v>20</v>
      </c>
      <c r="C7282" s="2" t="s">
        <v>80</v>
      </c>
      <c r="D7282" s="2">
        <v>7.1</v>
      </c>
      <c r="E7282" s="2">
        <v>2007.0</v>
      </c>
      <c r="F7282" s="2" t="s">
        <v>10</v>
      </c>
      <c r="G7282" s="2" t="s">
        <v>10</v>
      </c>
    </row>
    <row r="7283" ht="14.25" customHeight="1">
      <c r="A7283" s="1" t="s">
        <v>6233</v>
      </c>
      <c r="B7283" s="1" t="s">
        <v>20</v>
      </c>
      <c r="C7283" s="2" t="s">
        <v>6234</v>
      </c>
      <c r="D7283" s="2">
        <v>7.1</v>
      </c>
      <c r="E7283" s="2">
        <v>2004.0</v>
      </c>
      <c r="F7283" s="2" t="s">
        <v>10</v>
      </c>
      <c r="G7283" s="2" t="s">
        <v>10</v>
      </c>
    </row>
    <row r="7284" ht="14.25" customHeight="1">
      <c r="A7284" s="1" t="s">
        <v>6235</v>
      </c>
      <c r="B7284" s="1" t="s">
        <v>20</v>
      </c>
      <c r="C7284" s="2" t="s">
        <v>1982</v>
      </c>
      <c r="D7284" s="2">
        <v>7.1</v>
      </c>
      <c r="E7284" s="2">
        <v>1939.0</v>
      </c>
      <c r="F7284" s="2" t="s">
        <v>10</v>
      </c>
      <c r="G7284" s="2" t="s">
        <v>10</v>
      </c>
    </row>
    <row r="7285" ht="14.25" customHeight="1">
      <c r="A7285" s="1" t="s">
        <v>6236</v>
      </c>
      <c r="B7285" s="1" t="s">
        <v>20</v>
      </c>
      <c r="C7285" s="2" t="s">
        <v>895</v>
      </c>
      <c r="D7285" s="2">
        <v>7.1</v>
      </c>
      <c r="E7285" s="2">
        <v>2018.0</v>
      </c>
      <c r="F7285" s="2" t="s">
        <v>10</v>
      </c>
      <c r="G7285" s="2" t="s">
        <v>10</v>
      </c>
    </row>
    <row r="7286" ht="14.25" customHeight="1">
      <c r="A7286" s="1" t="s">
        <v>6237</v>
      </c>
      <c r="B7286" s="1" t="s">
        <v>20</v>
      </c>
      <c r="C7286" s="2" t="s">
        <v>9</v>
      </c>
      <c r="D7286" s="2">
        <v>7.1</v>
      </c>
      <c r="E7286" s="2">
        <v>1980.0</v>
      </c>
      <c r="F7286" s="2" t="s">
        <v>10</v>
      </c>
      <c r="G7286" s="2" t="s">
        <v>10</v>
      </c>
    </row>
    <row r="7287" ht="14.25" customHeight="1">
      <c r="A7287" s="1" t="s">
        <v>6238</v>
      </c>
      <c r="B7287" s="1" t="s">
        <v>8</v>
      </c>
      <c r="C7287" s="2" t="s">
        <v>53</v>
      </c>
      <c r="D7287" s="2">
        <v>7.1</v>
      </c>
      <c r="E7287" s="2">
        <v>2006.0</v>
      </c>
      <c r="F7287" s="2" t="s">
        <v>10</v>
      </c>
      <c r="G7287" s="2" t="s">
        <v>10</v>
      </c>
    </row>
    <row r="7288" ht="14.25" customHeight="1">
      <c r="A7288" s="1" t="s">
        <v>6239</v>
      </c>
      <c r="B7288" s="1" t="s">
        <v>20</v>
      </c>
      <c r="C7288" s="2" t="s">
        <v>169</v>
      </c>
      <c r="D7288" s="2">
        <v>7.1</v>
      </c>
      <c r="E7288" s="2">
        <v>2012.0</v>
      </c>
      <c r="F7288" s="2" t="s">
        <v>10</v>
      </c>
      <c r="G7288" s="2" t="s">
        <v>10</v>
      </c>
    </row>
    <row r="7289" ht="14.25" customHeight="1">
      <c r="A7289" s="1" t="s">
        <v>6240</v>
      </c>
      <c r="B7289" s="1" t="s">
        <v>20</v>
      </c>
      <c r="C7289" s="2" t="s">
        <v>154</v>
      </c>
      <c r="D7289" s="2">
        <v>7.1</v>
      </c>
      <c r="E7289" s="2">
        <v>1973.0</v>
      </c>
      <c r="F7289" s="2" t="s">
        <v>10</v>
      </c>
      <c r="G7289" s="2" t="s">
        <v>10</v>
      </c>
    </row>
    <row r="7290" ht="14.25" customHeight="1">
      <c r="A7290" s="1" t="s">
        <v>6241</v>
      </c>
      <c r="B7290" s="1" t="s">
        <v>20</v>
      </c>
      <c r="C7290" s="2" t="s">
        <v>1395</v>
      </c>
      <c r="D7290" s="2">
        <v>7.1</v>
      </c>
      <c r="E7290" s="2">
        <v>2000.0</v>
      </c>
      <c r="F7290" s="2" t="s">
        <v>10</v>
      </c>
      <c r="G7290" s="2" t="s">
        <v>10</v>
      </c>
    </row>
    <row r="7291" ht="14.25" customHeight="1">
      <c r="A7291" s="1" t="s">
        <v>6242</v>
      </c>
      <c r="B7291" s="1" t="s">
        <v>20</v>
      </c>
      <c r="C7291" s="2" t="s">
        <v>1897</v>
      </c>
      <c r="D7291" s="2">
        <v>7.1</v>
      </c>
      <c r="E7291" s="2">
        <v>1959.0</v>
      </c>
      <c r="F7291" s="2" t="s">
        <v>10</v>
      </c>
      <c r="G7291" s="2" t="s">
        <v>10</v>
      </c>
    </row>
    <row r="7292" ht="14.25" customHeight="1">
      <c r="A7292" s="1" t="s">
        <v>6243</v>
      </c>
      <c r="B7292" s="1" t="s">
        <v>20</v>
      </c>
      <c r="C7292" s="2" t="s">
        <v>9</v>
      </c>
      <c r="D7292" s="2">
        <v>7.1</v>
      </c>
      <c r="E7292" s="2">
        <v>2007.0</v>
      </c>
      <c r="F7292" s="2" t="s">
        <v>10</v>
      </c>
      <c r="G7292" s="2" t="s">
        <v>10</v>
      </c>
    </row>
    <row r="7293" ht="14.25" customHeight="1">
      <c r="A7293" s="1" t="s">
        <v>6244</v>
      </c>
      <c r="B7293" s="1" t="s">
        <v>20</v>
      </c>
      <c r="C7293" s="2" t="s">
        <v>154</v>
      </c>
      <c r="D7293" s="2">
        <v>7.1</v>
      </c>
      <c r="E7293" s="2">
        <v>2005.0</v>
      </c>
      <c r="F7293" s="2" t="s">
        <v>10</v>
      </c>
      <c r="G7293" s="2" t="s">
        <v>10</v>
      </c>
    </row>
    <row r="7294" ht="14.25" customHeight="1">
      <c r="A7294" s="1" t="s">
        <v>6245</v>
      </c>
      <c r="B7294" s="1" t="s">
        <v>20</v>
      </c>
      <c r="C7294" s="2" t="s">
        <v>945</v>
      </c>
      <c r="D7294" s="2">
        <v>7.1</v>
      </c>
      <c r="E7294" s="2">
        <v>1984.0</v>
      </c>
      <c r="F7294" s="2" t="s">
        <v>10</v>
      </c>
      <c r="G7294" s="2" t="s">
        <v>10</v>
      </c>
    </row>
    <row r="7295" ht="14.25" customHeight="1">
      <c r="A7295" s="1" t="s">
        <v>6246</v>
      </c>
      <c r="B7295" s="1" t="s">
        <v>20</v>
      </c>
      <c r="C7295" s="2" t="s">
        <v>32</v>
      </c>
      <c r="D7295" s="2">
        <v>7.1</v>
      </c>
      <c r="E7295" s="2">
        <v>2010.0</v>
      </c>
      <c r="F7295" s="2" t="s">
        <v>10</v>
      </c>
      <c r="G7295" s="2" t="s">
        <v>10</v>
      </c>
    </row>
    <row r="7296" ht="14.25" customHeight="1">
      <c r="A7296" s="1" t="s">
        <v>6247</v>
      </c>
      <c r="B7296" s="1" t="s">
        <v>8</v>
      </c>
      <c r="C7296" s="2" t="s">
        <v>2495</v>
      </c>
      <c r="D7296" s="2">
        <v>7.1</v>
      </c>
      <c r="E7296" s="2">
        <v>2022.0</v>
      </c>
      <c r="F7296" s="2" t="s">
        <v>10</v>
      </c>
      <c r="G7296" s="2">
        <v>2.629E7</v>
      </c>
    </row>
    <row r="7297" ht="14.25" customHeight="1">
      <c r="A7297" s="1" t="s">
        <v>6247</v>
      </c>
      <c r="B7297" s="1" t="s">
        <v>8</v>
      </c>
      <c r="C7297" s="2" t="s">
        <v>2495</v>
      </c>
      <c r="D7297" s="2">
        <v>7.1</v>
      </c>
      <c r="E7297" s="2">
        <v>2022.0</v>
      </c>
      <c r="F7297" s="2" t="s">
        <v>10</v>
      </c>
      <c r="G7297" s="2">
        <v>5.238E7</v>
      </c>
    </row>
    <row r="7298" ht="14.25" customHeight="1">
      <c r="A7298" s="1" t="s">
        <v>6248</v>
      </c>
      <c r="B7298" s="1" t="s">
        <v>20</v>
      </c>
      <c r="C7298" s="2" t="s">
        <v>18</v>
      </c>
      <c r="D7298" s="2">
        <v>7.1</v>
      </c>
      <c r="E7298" s="2">
        <v>2023.0</v>
      </c>
      <c r="F7298" s="2" t="s">
        <v>10</v>
      </c>
      <c r="G7298" s="2" t="s">
        <v>10</v>
      </c>
    </row>
    <row r="7299" ht="14.25" customHeight="1">
      <c r="A7299" s="1" t="s">
        <v>6249</v>
      </c>
      <c r="B7299" s="1" t="s">
        <v>8</v>
      </c>
      <c r="C7299" s="2" t="s">
        <v>356</v>
      </c>
      <c r="D7299" s="2">
        <v>7.1</v>
      </c>
      <c r="E7299" s="2">
        <v>2021.0</v>
      </c>
      <c r="F7299" s="2" t="s">
        <v>10</v>
      </c>
      <c r="G7299" s="2" t="s">
        <v>10</v>
      </c>
    </row>
    <row r="7300" ht="14.25" customHeight="1">
      <c r="A7300" s="1" t="s">
        <v>5329</v>
      </c>
      <c r="B7300" s="1" t="s">
        <v>20</v>
      </c>
      <c r="C7300" s="2" t="s">
        <v>9</v>
      </c>
      <c r="D7300" s="2">
        <v>7.1</v>
      </c>
      <c r="E7300" s="2">
        <v>2005.0</v>
      </c>
      <c r="F7300" s="2" t="s">
        <v>10</v>
      </c>
      <c r="G7300" s="2" t="s">
        <v>10</v>
      </c>
    </row>
    <row r="7301" ht="14.25" customHeight="1">
      <c r="A7301" s="1" t="s">
        <v>6250</v>
      </c>
      <c r="B7301" s="1" t="s">
        <v>20</v>
      </c>
      <c r="C7301" s="2" t="s">
        <v>63</v>
      </c>
      <c r="D7301" s="2">
        <v>7.1</v>
      </c>
      <c r="E7301" s="2">
        <v>1997.0</v>
      </c>
      <c r="F7301" s="2" t="s">
        <v>10</v>
      </c>
      <c r="G7301" s="2" t="s">
        <v>10</v>
      </c>
    </row>
    <row r="7302" ht="14.25" customHeight="1">
      <c r="A7302" s="1" t="s">
        <v>6251</v>
      </c>
      <c r="B7302" s="1" t="s">
        <v>20</v>
      </c>
      <c r="C7302" s="2" t="s">
        <v>299</v>
      </c>
      <c r="D7302" s="2">
        <v>7.1</v>
      </c>
      <c r="E7302" s="2">
        <v>2007.0</v>
      </c>
      <c r="F7302" s="2" t="s">
        <v>10</v>
      </c>
      <c r="G7302" s="2" t="s">
        <v>10</v>
      </c>
    </row>
    <row r="7303" ht="14.25" customHeight="1">
      <c r="A7303" s="1" t="s">
        <v>6252</v>
      </c>
      <c r="B7303" s="1" t="s">
        <v>20</v>
      </c>
      <c r="C7303" s="2" t="s">
        <v>187</v>
      </c>
      <c r="D7303" s="2">
        <v>7.1</v>
      </c>
      <c r="E7303" s="2">
        <v>1992.0</v>
      </c>
      <c r="F7303" s="2" t="s">
        <v>10</v>
      </c>
      <c r="G7303" s="2" t="s">
        <v>10</v>
      </c>
    </row>
    <row r="7304" ht="14.25" customHeight="1">
      <c r="A7304" s="1" t="s">
        <v>6253</v>
      </c>
      <c r="B7304" s="1" t="s">
        <v>8</v>
      </c>
      <c r="C7304" s="2" t="s">
        <v>9</v>
      </c>
      <c r="D7304" s="2">
        <v>7.1</v>
      </c>
      <c r="E7304" s="2">
        <v>2024.0</v>
      </c>
      <c r="F7304" s="2" t="s">
        <v>10</v>
      </c>
      <c r="G7304" s="2" t="s">
        <v>10</v>
      </c>
    </row>
    <row r="7305" ht="14.25" customHeight="1">
      <c r="A7305" s="1" t="s">
        <v>6254</v>
      </c>
      <c r="B7305" s="1" t="s">
        <v>8</v>
      </c>
      <c r="C7305" s="2" t="s">
        <v>9</v>
      </c>
      <c r="D7305" s="2">
        <v>7.1</v>
      </c>
      <c r="E7305" s="2">
        <v>2017.0</v>
      </c>
      <c r="F7305" s="2" t="s">
        <v>10</v>
      </c>
      <c r="G7305" s="2" t="s">
        <v>10</v>
      </c>
    </row>
    <row r="7306" ht="14.25" customHeight="1">
      <c r="A7306" s="1" t="s">
        <v>6255</v>
      </c>
      <c r="B7306" s="1" t="s">
        <v>8</v>
      </c>
      <c r="C7306" s="2" t="s">
        <v>18</v>
      </c>
      <c r="D7306" s="2">
        <v>7.1</v>
      </c>
      <c r="E7306" s="2">
        <v>2016.0</v>
      </c>
      <c r="F7306" s="2">
        <v>2016.0</v>
      </c>
      <c r="G7306" s="2" t="s">
        <v>10</v>
      </c>
    </row>
    <row r="7307" ht="14.25" customHeight="1">
      <c r="A7307" s="1" t="s">
        <v>6256</v>
      </c>
      <c r="B7307" s="1" t="s">
        <v>20</v>
      </c>
      <c r="C7307" s="2" t="s">
        <v>63</v>
      </c>
      <c r="D7307" s="2">
        <v>7.1</v>
      </c>
      <c r="E7307" s="2">
        <v>1984.0</v>
      </c>
      <c r="F7307" s="2" t="s">
        <v>10</v>
      </c>
      <c r="G7307" s="2" t="s">
        <v>10</v>
      </c>
    </row>
    <row r="7308" ht="14.25" customHeight="1">
      <c r="A7308" s="1" t="s">
        <v>6257</v>
      </c>
      <c r="B7308" s="1" t="s">
        <v>20</v>
      </c>
      <c r="C7308" s="2" t="s">
        <v>452</v>
      </c>
      <c r="D7308" s="2">
        <v>7.1</v>
      </c>
      <c r="E7308" s="2">
        <v>2013.0</v>
      </c>
      <c r="F7308" s="2" t="s">
        <v>10</v>
      </c>
      <c r="G7308" s="2" t="s">
        <v>10</v>
      </c>
    </row>
    <row r="7309" ht="14.25" customHeight="1">
      <c r="A7309" s="1" t="s">
        <v>6258</v>
      </c>
      <c r="B7309" s="1" t="s">
        <v>8</v>
      </c>
      <c r="C7309" s="2" t="s">
        <v>92</v>
      </c>
      <c r="D7309" s="2">
        <v>7.1</v>
      </c>
      <c r="E7309" s="2">
        <v>2020.0</v>
      </c>
      <c r="F7309" s="2" t="s">
        <v>10</v>
      </c>
      <c r="G7309" s="2" t="s">
        <v>10</v>
      </c>
    </row>
    <row r="7310" ht="14.25" customHeight="1">
      <c r="A7310" s="1" t="s">
        <v>6259</v>
      </c>
      <c r="B7310" s="1" t="s">
        <v>20</v>
      </c>
      <c r="C7310" s="2" t="s">
        <v>187</v>
      </c>
      <c r="D7310" s="2">
        <v>7.1</v>
      </c>
      <c r="E7310" s="2">
        <v>2005.0</v>
      </c>
      <c r="F7310" s="2" t="s">
        <v>10</v>
      </c>
      <c r="G7310" s="2" t="s">
        <v>10</v>
      </c>
    </row>
    <row r="7311" ht="14.25" customHeight="1">
      <c r="A7311" s="1" t="s">
        <v>6260</v>
      </c>
      <c r="B7311" s="1" t="s">
        <v>20</v>
      </c>
      <c r="C7311" s="2" t="s">
        <v>3448</v>
      </c>
      <c r="D7311" s="2">
        <v>7.1</v>
      </c>
      <c r="E7311" s="2">
        <v>2012.0</v>
      </c>
      <c r="F7311" s="2" t="s">
        <v>10</v>
      </c>
      <c r="G7311" s="2" t="s">
        <v>10</v>
      </c>
    </row>
    <row r="7312" ht="14.25" customHeight="1">
      <c r="A7312" s="1" t="s">
        <v>6261</v>
      </c>
      <c r="B7312" s="1" t="s">
        <v>20</v>
      </c>
      <c r="C7312" s="2" t="s">
        <v>6262</v>
      </c>
      <c r="D7312" s="2">
        <v>7.1</v>
      </c>
      <c r="E7312" s="2">
        <v>2016.0</v>
      </c>
      <c r="F7312" s="2">
        <v>2016.0</v>
      </c>
      <c r="G7312" s="2" t="s">
        <v>10</v>
      </c>
    </row>
    <row r="7313" ht="14.25" customHeight="1">
      <c r="A7313" s="1" t="s">
        <v>6263</v>
      </c>
      <c r="B7313" s="1" t="s">
        <v>20</v>
      </c>
      <c r="C7313" s="2" t="s">
        <v>845</v>
      </c>
      <c r="D7313" s="2">
        <v>7.1</v>
      </c>
      <c r="E7313" s="2">
        <v>1983.0</v>
      </c>
      <c r="F7313" s="2" t="s">
        <v>10</v>
      </c>
      <c r="G7313" s="2" t="s">
        <v>10</v>
      </c>
    </row>
    <row r="7314" ht="14.25" customHeight="1">
      <c r="A7314" s="1" t="s">
        <v>6264</v>
      </c>
      <c r="B7314" s="1" t="s">
        <v>20</v>
      </c>
      <c r="C7314" s="2" t="s">
        <v>262</v>
      </c>
      <c r="D7314" s="2">
        <v>7.1</v>
      </c>
      <c r="E7314" s="2">
        <v>2008.0</v>
      </c>
      <c r="F7314" s="2" t="s">
        <v>10</v>
      </c>
      <c r="G7314" s="2" t="s">
        <v>10</v>
      </c>
    </row>
    <row r="7315" ht="14.25" customHeight="1">
      <c r="A7315" s="1" t="s">
        <v>6265</v>
      </c>
      <c r="B7315" s="1" t="s">
        <v>20</v>
      </c>
      <c r="C7315" s="2" t="s">
        <v>1060</v>
      </c>
      <c r="D7315" s="2">
        <v>7.1</v>
      </c>
      <c r="E7315" s="2">
        <v>2014.0</v>
      </c>
      <c r="F7315" s="2" t="s">
        <v>10</v>
      </c>
      <c r="G7315" s="2" t="s">
        <v>10</v>
      </c>
    </row>
    <row r="7316" ht="14.25" customHeight="1">
      <c r="A7316" s="1" t="s">
        <v>6266</v>
      </c>
      <c r="B7316" s="1" t="s">
        <v>20</v>
      </c>
      <c r="C7316" s="2" t="s">
        <v>63</v>
      </c>
      <c r="D7316" s="2">
        <v>7.1</v>
      </c>
      <c r="E7316" s="2">
        <v>1988.0</v>
      </c>
      <c r="F7316" s="2" t="s">
        <v>10</v>
      </c>
      <c r="G7316" s="2" t="s">
        <v>10</v>
      </c>
    </row>
    <row r="7317" ht="14.25" customHeight="1">
      <c r="A7317" s="1" t="s">
        <v>6267</v>
      </c>
      <c r="B7317" s="1" t="s">
        <v>20</v>
      </c>
      <c r="C7317" s="2" t="s">
        <v>18</v>
      </c>
      <c r="D7317" s="2">
        <v>7.1</v>
      </c>
      <c r="E7317" s="2">
        <v>2009.0</v>
      </c>
      <c r="F7317" s="2">
        <v>2009.0</v>
      </c>
      <c r="G7317" s="2" t="s">
        <v>10</v>
      </c>
    </row>
    <row r="7318" ht="14.25" customHeight="1">
      <c r="A7318" s="1" t="s">
        <v>6268</v>
      </c>
      <c r="B7318" s="1" t="s">
        <v>20</v>
      </c>
      <c r="C7318" s="2" t="s">
        <v>187</v>
      </c>
      <c r="D7318" s="2">
        <v>7.1</v>
      </c>
      <c r="E7318" s="2">
        <v>1942.0</v>
      </c>
      <c r="F7318" s="2" t="s">
        <v>10</v>
      </c>
      <c r="G7318" s="2" t="s">
        <v>10</v>
      </c>
    </row>
    <row r="7319" ht="14.25" customHeight="1">
      <c r="A7319" s="1" t="s">
        <v>6269</v>
      </c>
      <c r="B7319" s="1" t="s">
        <v>20</v>
      </c>
      <c r="C7319" s="2" t="s">
        <v>154</v>
      </c>
      <c r="D7319" s="2">
        <v>7.1</v>
      </c>
      <c r="E7319" s="2">
        <v>1994.0</v>
      </c>
      <c r="F7319" s="2" t="s">
        <v>10</v>
      </c>
      <c r="G7319" s="2" t="s">
        <v>10</v>
      </c>
    </row>
    <row r="7320" ht="14.25" customHeight="1">
      <c r="A7320" s="1" t="s">
        <v>6270</v>
      </c>
      <c r="B7320" s="1" t="s">
        <v>8</v>
      </c>
      <c r="C7320" s="2" t="s">
        <v>497</v>
      </c>
      <c r="D7320" s="2">
        <v>7.1</v>
      </c>
      <c r="E7320" s="2">
        <v>2020.0</v>
      </c>
      <c r="F7320" s="2">
        <v>2020.0</v>
      </c>
      <c r="G7320" s="2" t="s">
        <v>10</v>
      </c>
    </row>
    <row r="7321" ht="14.25" customHeight="1">
      <c r="A7321" s="1" t="s">
        <v>6271</v>
      </c>
      <c r="B7321" s="1" t="s">
        <v>8</v>
      </c>
      <c r="C7321" s="2" t="s">
        <v>476</v>
      </c>
      <c r="D7321" s="2">
        <v>7.1</v>
      </c>
      <c r="E7321" s="2">
        <v>2015.0</v>
      </c>
      <c r="F7321" s="2" t="s">
        <v>10</v>
      </c>
      <c r="G7321" s="2" t="s">
        <v>10</v>
      </c>
    </row>
    <row r="7322" ht="14.25" customHeight="1">
      <c r="A7322" s="1" t="s">
        <v>6272</v>
      </c>
      <c r="B7322" s="1" t="s">
        <v>20</v>
      </c>
      <c r="C7322" s="2" t="s">
        <v>67</v>
      </c>
      <c r="D7322" s="2">
        <v>7.1</v>
      </c>
      <c r="E7322" s="2">
        <v>1980.0</v>
      </c>
      <c r="F7322" s="2" t="s">
        <v>10</v>
      </c>
      <c r="G7322" s="2" t="s">
        <v>10</v>
      </c>
    </row>
    <row r="7323" ht="14.25" customHeight="1">
      <c r="A7323" s="1" t="s">
        <v>6273</v>
      </c>
      <c r="B7323" s="1" t="s">
        <v>20</v>
      </c>
      <c r="C7323" s="2" t="s">
        <v>154</v>
      </c>
      <c r="D7323" s="2">
        <v>7.1</v>
      </c>
      <c r="E7323" s="2">
        <v>2006.0</v>
      </c>
      <c r="F7323" s="2" t="s">
        <v>10</v>
      </c>
      <c r="G7323" s="2" t="s">
        <v>10</v>
      </c>
    </row>
    <row r="7324" ht="14.25" customHeight="1">
      <c r="A7324" s="1" t="s">
        <v>6274</v>
      </c>
      <c r="B7324" s="1" t="s">
        <v>20</v>
      </c>
      <c r="C7324" s="2" t="s">
        <v>9</v>
      </c>
      <c r="D7324" s="2">
        <v>7.1</v>
      </c>
      <c r="E7324" s="2">
        <v>2021.0</v>
      </c>
      <c r="F7324" s="2" t="s">
        <v>10</v>
      </c>
      <c r="G7324" s="2" t="s">
        <v>10</v>
      </c>
    </row>
    <row r="7325" ht="14.25" customHeight="1">
      <c r="A7325" s="1" t="s">
        <v>6275</v>
      </c>
      <c r="B7325" s="1" t="s">
        <v>20</v>
      </c>
      <c r="C7325" s="2" t="s">
        <v>69</v>
      </c>
      <c r="D7325" s="2">
        <v>7.1</v>
      </c>
      <c r="E7325" s="2">
        <v>2007.0</v>
      </c>
      <c r="F7325" s="2">
        <v>2007.0</v>
      </c>
      <c r="G7325" s="2" t="s">
        <v>10</v>
      </c>
    </row>
    <row r="7326" ht="14.25" customHeight="1">
      <c r="A7326" s="1" t="s">
        <v>6276</v>
      </c>
      <c r="B7326" s="1" t="s">
        <v>20</v>
      </c>
      <c r="C7326" s="2" t="s">
        <v>6277</v>
      </c>
      <c r="D7326" s="2">
        <v>7.1</v>
      </c>
      <c r="E7326" s="2">
        <v>2020.0</v>
      </c>
      <c r="F7326" s="2" t="s">
        <v>10</v>
      </c>
      <c r="G7326" s="2" t="s">
        <v>10</v>
      </c>
    </row>
    <row r="7327" ht="14.25" customHeight="1">
      <c r="A7327" s="1" t="s">
        <v>6278</v>
      </c>
      <c r="B7327" s="1" t="s">
        <v>8</v>
      </c>
      <c r="C7327" s="2" t="s">
        <v>559</v>
      </c>
      <c r="D7327" s="2">
        <v>7.1</v>
      </c>
      <c r="E7327" s="2">
        <v>2022.0</v>
      </c>
      <c r="F7327" s="2" t="s">
        <v>10</v>
      </c>
      <c r="G7327" s="2">
        <v>1.623E7</v>
      </c>
    </row>
    <row r="7328" ht="14.25" customHeight="1">
      <c r="A7328" s="1" t="s">
        <v>6279</v>
      </c>
      <c r="B7328" s="1" t="s">
        <v>20</v>
      </c>
      <c r="C7328" s="2" t="s">
        <v>18</v>
      </c>
      <c r="D7328" s="2">
        <v>7.1</v>
      </c>
      <c r="E7328" s="2">
        <v>2021.0</v>
      </c>
      <c r="F7328" s="2" t="s">
        <v>10</v>
      </c>
      <c r="G7328" s="2" t="s">
        <v>10</v>
      </c>
    </row>
    <row r="7329" ht="14.25" customHeight="1">
      <c r="A7329" s="1" t="s">
        <v>6280</v>
      </c>
      <c r="B7329" s="1" t="s">
        <v>20</v>
      </c>
      <c r="C7329" s="2" t="s">
        <v>1025</v>
      </c>
      <c r="D7329" s="2">
        <v>7.1</v>
      </c>
      <c r="E7329" s="2">
        <v>2023.0</v>
      </c>
      <c r="F7329" s="2" t="s">
        <v>10</v>
      </c>
      <c r="G7329" s="2" t="s">
        <v>10</v>
      </c>
    </row>
    <row r="7330" ht="14.25" customHeight="1">
      <c r="A7330" s="1" t="s">
        <v>6281</v>
      </c>
      <c r="B7330" s="1" t="s">
        <v>20</v>
      </c>
      <c r="C7330" s="2" t="s">
        <v>527</v>
      </c>
      <c r="D7330" s="2">
        <v>7.1</v>
      </c>
      <c r="E7330" s="2">
        <v>1974.0</v>
      </c>
      <c r="F7330" s="2" t="s">
        <v>10</v>
      </c>
      <c r="G7330" s="2" t="s">
        <v>10</v>
      </c>
    </row>
    <row r="7331" ht="14.25" customHeight="1">
      <c r="A7331" s="1" t="s">
        <v>6282</v>
      </c>
      <c r="B7331" s="1" t="s">
        <v>20</v>
      </c>
      <c r="C7331" s="2" t="s">
        <v>262</v>
      </c>
      <c r="D7331" s="2">
        <v>7.1</v>
      </c>
      <c r="E7331" s="2">
        <v>1992.0</v>
      </c>
      <c r="F7331" s="2" t="s">
        <v>10</v>
      </c>
      <c r="G7331" s="2" t="s">
        <v>10</v>
      </c>
    </row>
    <row r="7332" ht="14.25" customHeight="1">
      <c r="A7332" s="1" t="s">
        <v>6283</v>
      </c>
      <c r="B7332" s="1" t="s">
        <v>20</v>
      </c>
      <c r="C7332" s="2" t="s">
        <v>18</v>
      </c>
      <c r="D7332" s="2">
        <v>7.1</v>
      </c>
      <c r="E7332" s="2">
        <v>2012.0</v>
      </c>
      <c r="F7332" s="2" t="s">
        <v>10</v>
      </c>
      <c r="G7332" s="2" t="s">
        <v>10</v>
      </c>
    </row>
    <row r="7333" ht="14.25" customHeight="1">
      <c r="A7333" s="1" t="s">
        <v>6284</v>
      </c>
      <c r="B7333" s="1" t="s">
        <v>20</v>
      </c>
      <c r="C7333" s="2" t="s">
        <v>18</v>
      </c>
      <c r="D7333" s="2">
        <v>7.1</v>
      </c>
      <c r="E7333" s="2">
        <v>2004.0</v>
      </c>
      <c r="F7333" s="2" t="s">
        <v>10</v>
      </c>
      <c r="G7333" s="2" t="s">
        <v>10</v>
      </c>
    </row>
    <row r="7334" ht="14.25" customHeight="1">
      <c r="A7334" s="1" t="s">
        <v>6285</v>
      </c>
      <c r="B7334" s="1" t="s">
        <v>8</v>
      </c>
      <c r="C7334" s="2" t="s">
        <v>154</v>
      </c>
      <c r="D7334" s="2">
        <v>7.1</v>
      </c>
      <c r="E7334" s="2">
        <v>2021.0</v>
      </c>
      <c r="F7334" s="2">
        <v>2021.0</v>
      </c>
      <c r="G7334" s="2">
        <v>1.008E7</v>
      </c>
    </row>
    <row r="7335" ht="14.25" customHeight="1">
      <c r="A7335" s="1" t="s">
        <v>6285</v>
      </c>
      <c r="B7335" s="1" t="s">
        <v>8</v>
      </c>
      <c r="C7335" s="2" t="s">
        <v>154</v>
      </c>
      <c r="D7335" s="2">
        <v>7.1</v>
      </c>
      <c r="E7335" s="2">
        <v>2021.0</v>
      </c>
      <c r="F7335" s="2">
        <v>2021.0</v>
      </c>
      <c r="G7335" s="2">
        <v>8570000.0</v>
      </c>
    </row>
    <row r="7336" ht="14.25" customHeight="1">
      <c r="A7336" s="1" t="s">
        <v>6285</v>
      </c>
      <c r="B7336" s="1" t="s">
        <v>8</v>
      </c>
      <c r="C7336" s="2" t="s">
        <v>154</v>
      </c>
      <c r="D7336" s="2">
        <v>7.1</v>
      </c>
      <c r="E7336" s="2">
        <v>2021.0</v>
      </c>
      <c r="F7336" s="2">
        <v>2021.0</v>
      </c>
      <c r="G7336" s="2">
        <v>9030000.0</v>
      </c>
    </row>
    <row r="7337" ht="14.25" customHeight="1">
      <c r="A7337" s="1" t="s">
        <v>6285</v>
      </c>
      <c r="B7337" s="1" t="s">
        <v>8</v>
      </c>
      <c r="C7337" s="2" t="s">
        <v>154</v>
      </c>
      <c r="D7337" s="2">
        <v>7.1</v>
      </c>
      <c r="E7337" s="2">
        <v>2021.0</v>
      </c>
      <c r="F7337" s="2">
        <v>2021.0</v>
      </c>
      <c r="G7337" s="2">
        <v>7960000.0</v>
      </c>
    </row>
    <row r="7338" ht="14.25" customHeight="1">
      <c r="A7338" s="1" t="s">
        <v>6285</v>
      </c>
      <c r="B7338" s="1" t="s">
        <v>8</v>
      </c>
      <c r="C7338" s="2" t="s">
        <v>154</v>
      </c>
      <c r="D7338" s="2">
        <v>7.1</v>
      </c>
      <c r="E7338" s="2">
        <v>2021.0</v>
      </c>
      <c r="F7338" s="2">
        <v>2021.0</v>
      </c>
      <c r="G7338" s="2">
        <v>7710000.0</v>
      </c>
    </row>
    <row r="7339" ht="14.25" customHeight="1">
      <c r="A7339" s="1" t="s">
        <v>6285</v>
      </c>
      <c r="B7339" s="1" t="s">
        <v>8</v>
      </c>
      <c r="C7339" s="2" t="s">
        <v>154</v>
      </c>
      <c r="D7339" s="2">
        <v>7.1</v>
      </c>
      <c r="E7339" s="2">
        <v>2021.0</v>
      </c>
      <c r="F7339" s="2">
        <v>2021.0</v>
      </c>
      <c r="G7339" s="2">
        <v>7880000.0</v>
      </c>
    </row>
    <row r="7340" ht="14.25" customHeight="1">
      <c r="A7340" s="1" t="s">
        <v>6285</v>
      </c>
      <c r="B7340" s="1" t="s">
        <v>8</v>
      </c>
      <c r="C7340" s="2" t="s">
        <v>154</v>
      </c>
      <c r="D7340" s="2">
        <v>7.1</v>
      </c>
      <c r="E7340" s="2">
        <v>2021.0</v>
      </c>
      <c r="F7340" s="2">
        <v>2021.0</v>
      </c>
      <c r="G7340" s="2">
        <v>8130000.0</v>
      </c>
    </row>
    <row r="7341" ht="14.25" customHeight="1">
      <c r="A7341" s="1" t="s">
        <v>6286</v>
      </c>
      <c r="B7341" s="1" t="s">
        <v>20</v>
      </c>
      <c r="C7341" s="2" t="s">
        <v>40</v>
      </c>
      <c r="D7341" s="2">
        <v>7.1</v>
      </c>
      <c r="E7341" s="2">
        <v>1992.0</v>
      </c>
      <c r="F7341" s="2">
        <v>1992.0</v>
      </c>
      <c r="G7341" s="2" t="s">
        <v>10</v>
      </c>
    </row>
    <row r="7342" ht="14.25" customHeight="1">
      <c r="A7342" s="1" t="s">
        <v>6287</v>
      </c>
      <c r="B7342" s="1" t="s">
        <v>20</v>
      </c>
      <c r="C7342" s="2" t="s">
        <v>32</v>
      </c>
      <c r="D7342" s="2">
        <v>7.1</v>
      </c>
      <c r="E7342" s="2">
        <v>2010.0</v>
      </c>
      <c r="F7342" s="2" t="s">
        <v>10</v>
      </c>
      <c r="G7342" s="2" t="s">
        <v>10</v>
      </c>
    </row>
    <row r="7343" ht="14.25" customHeight="1">
      <c r="A7343" s="1" t="s">
        <v>976</v>
      </c>
      <c r="B7343" s="1" t="s">
        <v>20</v>
      </c>
      <c r="C7343" s="2" t="s">
        <v>18</v>
      </c>
      <c r="D7343" s="2">
        <v>7.1</v>
      </c>
      <c r="E7343" s="2">
        <v>1977.0</v>
      </c>
      <c r="F7343" s="2" t="s">
        <v>10</v>
      </c>
      <c r="G7343" s="2" t="s">
        <v>10</v>
      </c>
    </row>
    <row r="7344" ht="14.25" customHeight="1">
      <c r="A7344" s="1" t="s">
        <v>6288</v>
      </c>
      <c r="B7344" s="1" t="s">
        <v>20</v>
      </c>
      <c r="C7344" s="2" t="s">
        <v>36</v>
      </c>
      <c r="D7344" s="2">
        <v>7.1</v>
      </c>
      <c r="E7344" s="2">
        <v>2001.0</v>
      </c>
      <c r="F7344" s="2" t="s">
        <v>10</v>
      </c>
      <c r="G7344" s="2" t="s">
        <v>10</v>
      </c>
    </row>
    <row r="7345" ht="14.25" customHeight="1">
      <c r="A7345" s="1" t="s">
        <v>6289</v>
      </c>
      <c r="B7345" s="1" t="s">
        <v>20</v>
      </c>
      <c r="C7345" s="2" t="s">
        <v>187</v>
      </c>
      <c r="D7345" s="2">
        <v>7.1</v>
      </c>
      <c r="E7345" s="2">
        <v>1990.0</v>
      </c>
      <c r="F7345" s="2" t="s">
        <v>10</v>
      </c>
      <c r="G7345" s="2" t="s">
        <v>10</v>
      </c>
    </row>
    <row r="7346" ht="14.25" customHeight="1">
      <c r="A7346" s="1" t="s">
        <v>6290</v>
      </c>
      <c r="B7346" s="1" t="s">
        <v>20</v>
      </c>
      <c r="C7346" s="2" t="s">
        <v>299</v>
      </c>
      <c r="D7346" s="2">
        <v>7.1</v>
      </c>
      <c r="E7346" s="2">
        <v>2013.0</v>
      </c>
      <c r="F7346" s="2" t="s">
        <v>10</v>
      </c>
      <c r="G7346" s="2" t="s">
        <v>10</v>
      </c>
    </row>
    <row r="7347" ht="14.25" customHeight="1">
      <c r="A7347" s="1" t="s">
        <v>6291</v>
      </c>
      <c r="B7347" s="1" t="s">
        <v>8</v>
      </c>
      <c r="C7347" s="2" t="s">
        <v>845</v>
      </c>
      <c r="D7347" s="2">
        <v>7.1</v>
      </c>
      <c r="E7347" s="2">
        <v>2019.0</v>
      </c>
      <c r="F7347" s="2" t="s">
        <v>10</v>
      </c>
      <c r="G7347" s="2" t="s">
        <v>10</v>
      </c>
    </row>
    <row r="7348" ht="14.25" customHeight="1">
      <c r="A7348" s="1" t="s">
        <v>6292</v>
      </c>
      <c r="B7348" s="1" t="s">
        <v>20</v>
      </c>
      <c r="C7348" s="2" t="s">
        <v>3407</v>
      </c>
      <c r="D7348" s="2">
        <v>7.1</v>
      </c>
      <c r="E7348" s="2">
        <v>1970.0</v>
      </c>
      <c r="F7348" s="2" t="s">
        <v>10</v>
      </c>
      <c r="G7348" s="2" t="s">
        <v>10</v>
      </c>
    </row>
    <row r="7349" ht="14.25" customHeight="1">
      <c r="A7349" s="1" t="s">
        <v>6293</v>
      </c>
      <c r="B7349" s="1" t="s">
        <v>20</v>
      </c>
      <c r="C7349" s="2" t="s">
        <v>63</v>
      </c>
      <c r="D7349" s="2">
        <v>7.1</v>
      </c>
      <c r="E7349" s="2">
        <v>2016.0</v>
      </c>
      <c r="F7349" s="2">
        <v>2011.0</v>
      </c>
      <c r="G7349" s="2" t="s">
        <v>10</v>
      </c>
    </row>
    <row r="7350" ht="14.25" customHeight="1">
      <c r="A7350" s="1" t="s">
        <v>6294</v>
      </c>
      <c r="B7350" s="1" t="s">
        <v>20</v>
      </c>
      <c r="C7350" s="2" t="s">
        <v>187</v>
      </c>
      <c r="D7350" s="2">
        <v>7.1</v>
      </c>
      <c r="E7350" s="2">
        <v>1955.0</v>
      </c>
      <c r="F7350" s="2">
        <v>2021.0</v>
      </c>
      <c r="G7350" s="2" t="s">
        <v>10</v>
      </c>
    </row>
    <row r="7351" ht="14.25" customHeight="1">
      <c r="A7351" s="1" t="s">
        <v>6295</v>
      </c>
      <c r="B7351" s="1" t="s">
        <v>8</v>
      </c>
      <c r="C7351" s="2" t="s">
        <v>125</v>
      </c>
      <c r="D7351" s="2">
        <v>7.1</v>
      </c>
      <c r="E7351" s="2">
        <v>2018.0</v>
      </c>
      <c r="F7351" s="2" t="s">
        <v>10</v>
      </c>
      <c r="G7351" s="2" t="s">
        <v>10</v>
      </c>
    </row>
    <row r="7352" ht="14.25" customHeight="1">
      <c r="A7352" s="1" t="s">
        <v>6296</v>
      </c>
      <c r="B7352" s="1" t="s">
        <v>20</v>
      </c>
      <c r="C7352" s="2" t="s">
        <v>80</v>
      </c>
      <c r="D7352" s="2">
        <v>7.1</v>
      </c>
      <c r="E7352" s="2">
        <v>2016.0</v>
      </c>
      <c r="F7352" s="2" t="s">
        <v>10</v>
      </c>
      <c r="G7352" s="2" t="s">
        <v>10</v>
      </c>
    </row>
    <row r="7353" ht="14.25" customHeight="1">
      <c r="A7353" s="1" t="s">
        <v>6297</v>
      </c>
      <c r="B7353" s="1" t="s">
        <v>20</v>
      </c>
      <c r="C7353" s="2" t="s">
        <v>118</v>
      </c>
      <c r="D7353" s="2">
        <v>7.1</v>
      </c>
      <c r="E7353" s="2">
        <v>2000.0</v>
      </c>
      <c r="F7353" s="2" t="s">
        <v>10</v>
      </c>
      <c r="G7353" s="2" t="s">
        <v>10</v>
      </c>
    </row>
    <row r="7354" ht="14.25" customHeight="1">
      <c r="A7354" s="1" t="s">
        <v>6298</v>
      </c>
      <c r="B7354" s="1" t="s">
        <v>20</v>
      </c>
      <c r="C7354" s="2" t="s">
        <v>217</v>
      </c>
      <c r="D7354" s="2">
        <v>7.1</v>
      </c>
      <c r="E7354" s="2">
        <v>1978.0</v>
      </c>
      <c r="F7354" s="2" t="s">
        <v>10</v>
      </c>
      <c r="G7354" s="2" t="s">
        <v>10</v>
      </c>
    </row>
    <row r="7355" ht="14.25" customHeight="1">
      <c r="A7355" s="1" t="s">
        <v>6299</v>
      </c>
      <c r="B7355" s="1" t="s">
        <v>20</v>
      </c>
      <c r="C7355" s="2" t="s">
        <v>339</v>
      </c>
      <c r="D7355" s="2">
        <v>7.1</v>
      </c>
      <c r="E7355" s="2">
        <v>2019.0</v>
      </c>
      <c r="F7355" s="2" t="s">
        <v>10</v>
      </c>
      <c r="G7355" s="2" t="s">
        <v>10</v>
      </c>
    </row>
    <row r="7356" ht="14.25" customHeight="1">
      <c r="A7356" s="1" t="s">
        <v>6300</v>
      </c>
      <c r="B7356" s="1" t="s">
        <v>20</v>
      </c>
      <c r="C7356" s="2" t="s">
        <v>18</v>
      </c>
      <c r="D7356" s="2">
        <v>7.1</v>
      </c>
      <c r="E7356" s="2">
        <v>2015.0</v>
      </c>
      <c r="F7356" s="2">
        <v>2015.0</v>
      </c>
      <c r="G7356" s="2" t="s">
        <v>10</v>
      </c>
    </row>
    <row r="7357" ht="14.25" customHeight="1">
      <c r="A7357" s="1" t="s">
        <v>6301</v>
      </c>
      <c r="B7357" s="1" t="s">
        <v>8</v>
      </c>
      <c r="C7357" s="2" t="s">
        <v>18</v>
      </c>
      <c r="D7357" s="2">
        <v>7.1</v>
      </c>
      <c r="E7357" s="2">
        <v>2021.0</v>
      </c>
      <c r="F7357" s="2">
        <v>2021.0</v>
      </c>
      <c r="G7357" s="2">
        <v>1.15E7</v>
      </c>
    </row>
    <row r="7358" ht="14.25" customHeight="1">
      <c r="A7358" s="1" t="s">
        <v>6301</v>
      </c>
      <c r="B7358" s="1" t="s">
        <v>8</v>
      </c>
      <c r="C7358" s="2" t="s">
        <v>18</v>
      </c>
      <c r="D7358" s="2">
        <v>7.1</v>
      </c>
      <c r="E7358" s="2">
        <v>2021.0</v>
      </c>
      <c r="F7358" s="2">
        <v>2021.0</v>
      </c>
      <c r="G7358" s="2">
        <v>1.807E7</v>
      </c>
    </row>
    <row r="7359" ht="14.25" customHeight="1">
      <c r="A7359" s="1" t="s">
        <v>6301</v>
      </c>
      <c r="B7359" s="1" t="s">
        <v>8</v>
      </c>
      <c r="C7359" s="2" t="s">
        <v>18</v>
      </c>
      <c r="D7359" s="2">
        <v>7.1</v>
      </c>
      <c r="E7359" s="2">
        <v>2021.0</v>
      </c>
      <c r="F7359" s="2">
        <v>2021.0</v>
      </c>
      <c r="G7359" s="2">
        <v>1.162E7</v>
      </c>
    </row>
    <row r="7360" ht="14.25" customHeight="1">
      <c r="A7360" s="1" t="s">
        <v>6302</v>
      </c>
      <c r="B7360" s="1" t="s">
        <v>20</v>
      </c>
      <c r="C7360" s="2" t="s">
        <v>44</v>
      </c>
      <c r="D7360" s="2">
        <v>7.1</v>
      </c>
      <c r="E7360" s="2">
        <v>1999.0</v>
      </c>
      <c r="F7360" s="2" t="s">
        <v>10</v>
      </c>
      <c r="G7360" s="2" t="s">
        <v>10</v>
      </c>
    </row>
    <row r="7361" ht="14.25" customHeight="1">
      <c r="A7361" s="1" t="s">
        <v>6303</v>
      </c>
      <c r="B7361" s="1" t="s">
        <v>20</v>
      </c>
      <c r="C7361" s="2" t="s">
        <v>134</v>
      </c>
      <c r="D7361" s="2">
        <v>7.1</v>
      </c>
      <c r="E7361" s="2">
        <v>2014.0</v>
      </c>
      <c r="F7361" s="2" t="s">
        <v>10</v>
      </c>
      <c r="G7361" s="2" t="s">
        <v>10</v>
      </c>
    </row>
    <row r="7362" ht="14.25" customHeight="1">
      <c r="A7362" s="1" t="s">
        <v>6304</v>
      </c>
      <c r="B7362" s="1" t="s">
        <v>20</v>
      </c>
      <c r="C7362" s="2" t="s">
        <v>154</v>
      </c>
      <c r="D7362" s="2">
        <v>7.1</v>
      </c>
      <c r="E7362" s="2">
        <v>2011.0</v>
      </c>
      <c r="F7362" s="2" t="s">
        <v>10</v>
      </c>
      <c r="G7362" s="2" t="s">
        <v>10</v>
      </c>
    </row>
    <row r="7363" ht="14.25" customHeight="1">
      <c r="A7363" s="1" t="s">
        <v>6305</v>
      </c>
      <c r="B7363" s="1" t="s">
        <v>20</v>
      </c>
      <c r="C7363" s="2" t="s">
        <v>187</v>
      </c>
      <c r="D7363" s="2">
        <v>7.1</v>
      </c>
      <c r="E7363" s="2">
        <v>1998.0</v>
      </c>
      <c r="F7363" s="2">
        <v>2010.0</v>
      </c>
      <c r="G7363" s="2" t="s">
        <v>10</v>
      </c>
    </row>
    <row r="7364" ht="14.25" customHeight="1">
      <c r="A7364" s="1" t="s">
        <v>6306</v>
      </c>
      <c r="B7364" s="1" t="s">
        <v>20</v>
      </c>
      <c r="C7364" s="2" t="s">
        <v>18</v>
      </c>
      <c r="D7364" s="2">
        <v>7.1</v>
      </c>
      <c r="E7364" s="2">
        <v>2001.0</v>
      </c>
      <c r="F7364" s="2" t="s">
        <v>10</v>
      </c>
      <c r="G7364" s="2" t="s">
        <v>10</v>
      </c>
    </row>
    <row r="7365" ht="14.25" customHeight="1">
      <c r="A7365" s="1" t="s">
        <v>6307</v>
      </c>
      <c r="B7365" s="1" t="s">
        <v>20</v>
      </c>
      <c r="C7365" s="2" t="s">
        <v>217</v>
      </c>
      <c r="D7365" s="2">
        <v>7.1</v>
      </c>
      <c r="E7365" s="2">
        <v>1974.0</v>
      </c>
      <c r="F7365" s="2" t="s">
        <v>10</v>
      </c>
      <c r="G7365" s="2" t="s">
        <v>10</v>
      </c>
    </row>
    <row r="7366" ht="14.25" customHeight="1">
      <c r="A7366" s="1" t="s">
        <v>6308</v>
      </c>
      <c r="B7366" s="1" t="s">
        <v>20</v>
      </c>
      <c r="C7366" s="2" t="s">
        <v>305</v>
      </c>
      <c r="D7366" s="2">
        <v>7.1</v>
      </c>
      <c r="E7366" s="2">
        <v>1968.0</v>
      </c>
      <c r="F7366" s="2">
        <v>2005.0</v>
      </c>
      <c r="G7366" s="2" t="s">
        <v>10</v>
      </c>
    </row>
    <row r="7367" ht="14.25" customHeight="1">
      <c r="A7367" s="1" t="s">
        <v>6309</v>
      </c>
      <c r="B7367" s="1" t="s">
        <v>20</v>
      </c>
      <c r="C7367" s="2" t="s">
        <v>118</v>
      </c>
      <c r="D7367" s="2">
        <v>7.1</v>
      </c>
      <c r="E7367" s="2">
        <v>2017.0</v>
      </c>
      <c r="F7367" s="2" t="s">
        <v>10</v>
      </c>
      <c r="G7367" s="2" t="s">
        <v>10</v>
      </c>
    </row>
    <row r="7368" ht="14.25" customHeight="1">
      <c r="A7368" s="1" t="s">
        <v>6310</v>
      </c>
      <c r="B7368" s="1" t="s">
        <v>8</v>
      </c>
      <c r="C7368" s="2" t="s">
        <v>299</v>
      </c>
      <c r="D7368" s="2">
        <v>7.1</v>
      </c>
      <c r="E7368" s="2">
        <v>2018.0</v>
      </c>
      <c r="F7368" s="2" t="s">
        <v>10</v>
      </c>
      <c r="G7368" s="2" t="s">
        <v>10</v>
      </c>
    </row>
    <row r="7369" ht="14.25" customHeight="1">
      <c r="A7369" s="1" t="s">
        <v>6311</v>
      </c>
      <c r="B7369" s="1" t="s">
        <v>20</v>
      </c>
      <c r="C7369" s="2" t="s">
        <v>184</v>
      </c>
      <c r="D7369" s="2">
        <v>7.1</v>
      </c>
      <c r="E7369" s="2">
        <v>1992.0</v>
      </c>
      <c r="F7369" s="2" t="s">
        <v>10</v>
      </c>
      <c r="G7369" s="2" t="s">
        <v>10</v>
      </c>
    </row>
    <row r="7370" ht="14.25" customHeight="1">
      <c r="A7370" s="1" t="s">
        <v>6312</v>
      </c>
      <c r="B7370" s="1" t="s">
        <v>20</v>
      </c>
      <c r="C7370" s="2" t="s">
        <v>2157</v>
      </c>
      <c r="D7370" s="2">
        <v>7.1</v>
      </c>
      <c r="E7370" s="2">
        <v>1950.0</v>
      </c>
      <c r="F7370" s="2" t="s">
        <v>10</v>
      </c>
      <c r="G7370" s="2" t="s">
        <v>10</v>
      </c>
    </row>
  </sheetData>
  <autoFilter ref="$A$1:$G$737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9.57"/>
    <col customWidth="1" min="2" max="2" width="8.43"/>
    <col customWidth="1" min="3" max="3" width="31.86"/>
    <col customWidth="1" min="4" max="4" width="16.86"/>
    <col customWidth="1" min="5" max="5" width="15.14"/>
    <col customWidth="1" min="6" max="6" width="23.43"/>
  </cols>
  <sheetData>
    <row r="1">
      <c r="A1" s="2" t="s">
        <v>6313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>
      <c r="A2" s="1" t="str">
        <f>IFERROR(__xludf.DUMMYFUNCTION("UNIQUE(imdb_netflix_v5!A2:A7370)"),"breaking bad")</f>
        <v>breaking bad</v>
      </c>
      <c r="B2" s="1" t="str">
        <f>IF(A2&lt;&gt;"", VLOOKUP(A2, imdb_netflix_v5!A$2:H$7370, 2, FALSE), "")</f>
        <v>TV Show</v>
      </c>
      <c r="C2" s="2" t="str">
        <f>IF(A2&lt;&gt;"", VLOOKUP(A2, imdb_netflix_v5!A$2:H$7370, 3, FALSE), "")</f>
        <v>Crime, Drama, Thriller</v>
      </c>
      <c r="D2" s="2">
        <f>IF(A2&lt;&gt;"", VLOOKUP(A2, imdb_netflix_v5!A$2:H$7370, 4, FALSE), "")</f>
        <v>9.5</v>
      </c>
      <c r="E2" s="2">
        <f>IF(A2&lt;&gt;"", VLOOKUP(A2, imdb_netflix_v5!A$2:H$7370, 5, FALSE), "")</f>
        <v>2008</v>
      </c>
      <c r="F2" s="2" t="str">
        <f>IF(A2&lt;&gt;"", VLOOKUP(A2, imdb_netflix_v5!A$2:H$7370, 7, FALSE), "")</f>
        <v>NA</v>
      </c>
    </row>
    <row r="3">
      <c r="A3" s="1" t="str">
        <f>IFERROR(__xludf.DUMMYFUNCTION("""COMPUTED_VALUE"""),"planet earth ii")</f>
        <v>planet earth ii</v>
      </c>
      <c r="B3" s="1" t="str">
        <f>IF(A3&lt;&gt;"", VLOOKUP(A3, imdb_netflix_v5!A$2:H$7370, 2, FALSE), "")</f>
        <v>TV Show</v>
      </c>
      <c r="C3" s="2" t="str">
        <f>IF(A3&lt;&gt;"", VLOOKUP(A3, imdb_netflix_v5!A$2:H$7370, 3, FALSE), "")</f>
        <v>Documentary</v>
      </c>
      <c r="D3" s="2">
        <f>IF(A3&lt;&gt;"", VLOOKUP(A3, imdb_netflix_v5!A$2:H$7370, 4, FALSE), "")</f>
        <v>9.5</v>
      </c>
      <c r="E3" s="2">
        <f>IF(A3&lt;&gt;"", VLOOKUP(A3, imdb_netflix_v5!A$2:H$7370, 5, FALSE), "")</f>
        <v>2016</v>
      </c>
      <c r="F3" s="2" t="str">
        <f>IF(A3&lt;&gt;"", VLOOKUP(A3, imdb_netflix_v5!A$2:H$7370, 7, FALSE), "")</f>
        <v>NA</v>
      </c>
    </row>
    <row r="4">
      <c r="A4" s="1" t="str">
        <f>IFERROR(__xludf.DUMMYFUNCTION("""COMPUTED_VALUE"""),"band of brothers")</f>
        <v>band of brothers</v>
      </c>
      <c r="B4" s="1" t="str">
        <f>IF(A4&lt;&gt;"", VLOOKUP(A4, imdb_netflix_v5!A$2:H$7370, 2, FALSE), "")</f>
        <v>TV Show</v>
      </c>
      <c r="C4" s="2" t="str">
        <f>IF(A4&lt;&gt;"", VLOOKUP(A4, imdb_netflix_v5!A$2:H$7370, 3, FALSE), "")</f>
        <v>Action, Drama, History</v>
      </c>
      <c r="D4" s="2">
        <f>IF(A4&lt;&gt;"", VLOOKUP(A4, imdb_netflix_v5!A$2:H$7370, 4, FALSE), "")</f>
        <v>9.4</v>
      </c>
      <c r="E4" s="2">
        <f>IF(A4&lt;&gt;"", VLOOKUP(A4, imdb_netflix_v5!A$2:H$7370, 5, FALSE), "")</f>
        <v>2001</v>
      </c>
      <c r="F4" s="2" t="str">
        <f>IF(A4&lt;&gt;"", VLOOKUP(A4, imdb_netflix_v5!A$2:H$7370, 7, FALSE), "")</f>
        <v>NA</v>
      </c>
    </row>
    <row r="5">
      <c r="A5" s="1" t="str">
        <f>IFERROR(__xludf.DUMMYFUNCTION("""COMPUTED_VALUE"""),"planet earth")</f>
        <v>planet earth</v>
      </c>
      <c r="B5" s="1" t="str">
        <f>IF(A5&lt;&gt;"", VLOOKUP(A5, imdb_netflix_v5!A$2:H$7370, 2, FALSE), "")</f>
        <v>TV Show</v>
      </c>
      <c r="C5" s="2" t="str">
        <f>IF(A5&lt;&gt;"", VLOOKUP(A5, imdb_netflix_v5!A$2:H$7370, 3, FALSE), "")</f>
        <v>Documentary, Family</v>
      </c>
      <c r="D5" s="2">
        <f>IF(A5&lt;&gt;"", VLOOKUP(A5, imdb_netflix_v5!A$2:H$7370, 4, FALSE), "")</f>
        <v>9.4</v>
      </c>
      <c r="E5" s="2">
        <f>IF(A5&lt;&gt;"", VLOOKUP(A5, imdb_netflix_v5!A$2:H$7370, 5, FALSE), "")</f>
        <v>2006</v>
      </c>
      <c r="F5" s="2" t="str">
        <f>IF(A5&lt;&gt;"", VLOOKUP(A5, imdb_netflix_v5!A$2:H$7370, 7, FALSE), "")</f>
        <v>NA</v>
      </c>
    </row>
    <row r="6">
      <c r="A6" s="1" t="str">
        <f>IFERROR(__xludf.DUMMYFUNCTION("""COMPUTED_VALUE"""),"tree of life")</f>
        <v>tree of life</v>
      </c>
      <c r="B6" s="1" t="str">
        <f>IF(A6&lt;&gt;"", VLOOKUP(A6, imdb_netflix_v5!A$2:H$7370, 2, FALSE), "")</f>
        <v>TV Show</v>
      </c>
      <c r="C6" s="2" t="str">
        <f>IF(A6&lt;&gt;"", VLOOKUP(A6, imdb_netflix_v5!A$2:H$7370, 3, FALSE), "")</f>
        <v>Drama</v>
      </c>
      <c r="D6" s="2">
        <f>IF(A6&lt;&gt;"", VLOOKUP(A6, imdb_netflix_v5!A$2:H$7370, 4, FALSE), "")</f>
        <v>9.4</v>
      </c>
      <c r="E6" s="2">
        <f>IF(A6&lt;&gt;"", VLOOKUP(A6, imdb_netflix_v5!A$2:H$7370, 5, FALSE), "")</f>
        <v>2014</v>
      </c>
      <c r="F6" s="2" t="str">
        <f>IF(A6&lt;&gt;"", VLOOKUP(A6, imdb_netflix_v5!A$2:H$7370, 7, FALSE), "")</f>
        <v>NA</v>
      </c>
    </row>
    <row r="7">
      <c r="A7" s="1" t="str">
        <f>IFERROR(__xludf.DUMMYFUNCTION("""COMPUTED_VALUE"""),"the shawshank redemption")</f>
        <v>the shawshank redemption</v>
      </c>
      <c r="B7" s="1" t="str">
        <f>IF(A7&lt;&gt;"", VLOOKUP(A7, imdb_netflix_v5!A$2:H$7370, 2, FALSE), "")</f>
        <v>Movie</v>
      </c>
      <c r="C7" s="2" t="str">
        <f>IF(A7&lt;&gt;"", VLOOKUP(A7, imdb_netflix_v5!A$2:H$7370, 3, FALSE), "")</f>
        <v>Drama</v>
      </c>
      <c r="D7" s="2">
        <f>IF(A7&lt;&gt;"", VLOOKUP(A7, imdb_netflix_v5!A$2:H$7370, 4, FALSE), "")</f>
        <v>9.3</v>
      </c>
      <c r="E7" s="2">
        <f>IF(A7&lt;&gt;"", VLOOKUP(A7, imdb_netflix_v5!A$2:H$7370, 5, FALSE), "")</f>
        <v>1994</v>
      </c>
      <c r="F7" s="2" t="str">
        <f>IF(A7&lt;&gt;"", VLOOKUP(A7, imdb_netflix_v5!A$2:H$7370, 7, FALSE), "")</f>
        <v>NA</v>
      </c>
    </row>
    <row r="8">
      <c r="A8" s="1" t="str">
        <f>IFERROR(__xludf.DUMMYFUNCTION("""COMPUTED_VALUE"""),"chernobyl")</f>
        <v>chernobyl</v>
      </c>
      <c r="B8" s="1" t="str">
        <f>IF(A8&lt;&gt;"", VLOOKUP(A8, imdb_netflix_v5!A$2:H$7370, 2, FALSE), "")</f>
        <v>TV Show</v>
      </c>
      <c r="C8" s="2" t="str">
        <f>IF(A8&lt;&gt;"", VLOOKUP(A8, imdb_netflix_v5!A$2:H$7370, 3, FALSE), "")</f>
        <v>Drama, History, Thriller</v>
      </c>
      <c r="D8" s="2">
        <f>IF(A8&lt;&gt;"", VLOOKUP(A8, imdb_netflix_v5!A$2:H$7370, 4, FALSE), "")</f>
        <v>9.3</v>
      </c>
      <c r="E8" s="2">
        <f>IF(A8&lt;&gt;"", VLOOKUP(A8, imdb_netflix_v5!A$2:H$7370, 5, FALSE), "")</f>
        <v>2019</v>
      </c>
      <c r="F8" s="2" t="str">
        <f>IF(A8&lt;&gt;"", VLOOKUP(A8, imdb_netflix_v5!A$2:H$7370, 7, FALSE), "")</f>
        <v>NA</v>
      </c>
    </row>
    <row r="9">
      <c r="A9" s="1" t="str">
        <f>IFERROR(__xludf.DUMMYFUNCTION("""COMPUTED_VALUE"""),"the wire")</f>
        <v>the wire</v>
      </c>
      <c r="B9" s="1" t="str">
        <f>IF(A9&lt;&gt;"", VLOOKUP(A9, imdb_netflix_v5!A$2:H$7370, 2, FALSE), "")</f>
        <v>TV Show</v>
      </c>
      <c r="C9" s="2" t="str">
        <f>IF(A9&lt;&gt;"", VLOOKUP(A9, imdb_netflix_v5!A$2:H$7370, 3, FALSE), "")</f>
        <v>Crime, Drama, Thriller</v>
      </c>
      <c r="D9" s="2">
        <f>IF(A9&lt;&gt;"", VLOOKUP(A9, imdb_netflix_v5!A$2:H$7370, 4, FALSE), "")</f>
        <v>9.3</v>
      </c>
      <c r="E9" s="2">
        <f>IF(A9&lt;&gt;"", VLOOKUP(A9, imdb_netflix_v5!A$2:H$7370, 5, FALSE), "")</f>
        <v>2002</v>
      </c>
      <c r="F9" s="2" t="str">
        <f>IF(A9&lt;&gt;"", VLOOKUP(A9, imdb_netflix_v5!A$2:H$7370, 7, FALSE), "")</f>
        <v>NA</v>
      </c>
    </row>
    <row r="10">
      <c r="A10" s="1" t="str">
        <f>IFERROR(__xludf.DUMMYFUNCTION("""COMPUTED_VALUE"""),"avatar the last airbender")</f>
        <v>avatar the last airbender</v>
      </c>
      <c r="B10" s="1" t="str">
        <f>IF(A10&lt;&gt;"", VLOOKUP(A10, imdb_netflix_v5!A$2:H$7370, 2, FALSE), "")</f>
        <v>TV Show</v>
      </c>
      <c r="C10" s="2" t="str">
        <f>IF(A10&lt;&gt;"", VLOOKUP(A10, imdb_netflix_v5!A$2:H$7370, 3, FALSE), "")</f>
        <v>Action, Adventure, Animation</v>
      </c>
      <c r="D10" s="2">
        <f>IF(A10&lt;&gt;"", VLOOKUP(A10, imdb_netflix_v5!A$2:H$7370, 4, FALSE), "")</f>
        <v>9.3</v>
      </c>
      <c r="E10" s="2">
        <f>IF(A10&lt;&gt;"", VLOOKUP(A10, imdb_netflix_v5!A$2:H$7370, 5, FALSE), "")</f>
        <v>2005</v>
      </c>
      <c r="F10" s="2" t="str">
        <f>IF(A10&lt;&gt;"", VLOOKUP(A10, imdb_netflix_v5!A$2:H$7370, 7, FALSE), "")</f>
        <v>NA</v>
      </c>
    </row>
    <row r="11">
      <c r="A11" s="1" t="str">
        <f>IFERROR(__xludf.DUMMYFUNCTION("""COMPUTED_VALUE"""),"sapne vs everyone")</f>
        <v>sapne vs everyone</v>
      </c>
      <c r="B11" s="1" t="str">
        <f>IF(A11&lt;&gt;"", VLOOKUP(A11, imdb_netflix_v5!A$2:H$7370, 2, FALSE), "")</f>
        <v>TV Show</v>
      </c>
      <c r="C11" s="2" t="str">
        <f>IF(A11&lt;&gt;"", VLOOKUP(A11, imdb_netflix_v5!A$2:H$7370, 3, FALSE), "")</f>
        <v>Drama</v>
      </c>
      <c r="D11" s="2">
        <f>IF(A11&lt;&gt;"", VLOOKUP(A11, imdb_netflix_v5!A$2:H$7370, 4, FALSE), "")</f>
        <v>9.3</v>
      </c>
      <c r="E11" s="2">
        <f>IF(A11&lt;&gt;"", VLOOKUP(A11, imdb_netflix_v5!A$2:H$7370, 5, FALSE), "")</f>
        <v>2023</v>
      </c>
      <c r="F11" s="2" t="str">
        <f>IF(A11&lt;&gt;"", VLOOKUP(A11, imdb_netflix_v5!A$2:H$7370, 7, FALSE), "")</f>
        <v>NA</v>
      </c>
    </row>
    <row r="12">
      <c r="A12" s="1" t="str">
        <f>IFERROR(__xludf.DUMMYFUNCTION("""COMPUTED_VALUE"""),"blue planet ii")</f>
        <v>blue planet ii</v>
      </c>
      <c r="B12" s="1" t="str">
        <f>IF(A12&lt;&gt;"", VLOOKUP(A12, imdb_netflix_v5!A$2:H$7370, 2, FALSE), "")</f>
        <v>TV Show</v>
      </c>
      <c r="C12" s="2" t="str">
        <f>IF(A12&lt;&gt;"", VLOOKUP(A12, imdb_netflix_v5!A$2:H$7370, 3, FALSE), "")</f>
        <v>Documentary</v>
      </c>
      <c r="D12" s="2">
        <f>IF(A12&lt;&gt;"", VLOOKUP(A12, imdb_netflix_v5!A$2:H$7370, 4, FALSE), "")</f>
        <v>9.3</v>
      </c>
      <c r="E12" s="2">
        <f>IF(A12&lt;&gt;"", VLOOKUP(A12, imdb_netflix_v5!A$2:H$7370, 5, FALSE), "")</f>
        <v>2017</v>
      </c>
      <c r="F12" s="2" t="str">
        <f>IF(A12&lt;&gt;"", VLOOKUP(A12, imdb_netflix_v5!A$2:H$7370, 7, FALSE), "")</f>
        <v>NA</v>
      </c>
    </row>
    <row r="13">
      <c r="A13" s="1" t="str">
        <f>IFERROR(__xludf.DUMMYFUNCTION("""COMPUTED_VALUE"""),"cosmos")</f>
        <v>cosmos</v>
      </c>
      <c r="B13" s="1" t="str">
        <f>IF(A13&lt;&gt;"", VLOOKUP(A13, imdb_netflix_v5!A$2:H$7370, 2, FALSE), "")</f>
        <v>TV Show</v>
      </c>
      <c r="C13" s="2" t="str">
        <f>IF(A13&lt;&gt;"", VLOOKUP(A13, imdb_netflix_v5!A$2:H$7370, 3, FALSE), "")</f>
        <v>Documentary</v>
      </c>
      <c r="D13" s="2">
        <f>IF(A13&lt;&gt;"", VLOOKUP(A13, imdb_netflix_v5!A$2:H$7370, 4, FALSE), "")</f>
        <v>9.3</v>
      </c>
      <c r="E13" s="2">
        <f>IF(A13&lt;&gt;"", VLOOKUP(A13, imdb_netflix_v5!A$2:H$7370, 5, FALSE), "")</f>
        <v>1980</v>
      </c>
      <c r="F13" s="2" t="str">
        <f>IF(A13&lt;&gt;"", VLOOKUP(A13, imdb_netflix_v5!A$2:H$7370, 7, FALSE), "")</f>
        <v>NA</v>
      </c>
    </row>
    <row r="14">
      <c r="A14" s="1" t="str">
        <f>IFERROR(__xludf.DUMMYFUNCTION("""COMPUTED_VALUE"""),"bluey")</f>
        <v>bluey</v>
      </c>
      <c r="B14" s="1" t="str">
        <f>IF(A14&lt;&gt;"", VLOOKUP(A14, imdb_netflix_v5!A$2:H$7370, 2, FALSE), "")</f>
        <v>TV Show</v>
      </c>
      <c r="C14" s="2" t="str">
        <f>IF(A14&lt;&gt;"", VLOOKUP(A14, imdb_netflix_v5!A$2:H$7370, 3, FALSE), "")</f>
        <v>Animation, Family</v>
      </c>
      <c r="D14" s="2">
        <f>IF(A14&lt;&gt;"", VLOOKUP(A14, imdb_netflix_v5!A$2:H$7370, 4, FALSE), "")</f>
        <v>9.3</v>
      </c>
      <c r="E14" s="2">
        <f>IF(A14&lt;&gt;"", VLOOKUP(A14, imdb_netflix_v5!A$2:H$7370, 5, FALSE), "")</f>
        <v>2018</v>
      </c>
      <c r="F14" s="2" t="str">
        <f>IF(A14&lt;&gt;"", VLOOKUP(A14, imdb_netflix_v5!A$2:H$7370, 7, FALSE), "")</f>
        <v>NA</v>
      </c>
    </row>
    <row r="15">
      <c r="A15" s="1" t="str">
        <f>IFERROR(__xludf.DUMMYFUNCTION("""COMPUTED_VALUE"""),"bb ki vines")</f>
        <v>bb ki vines</v>
      </c>
      <c r="B15" s="1" t="str">
        <f>IF(A15&lt;&gt;"", VLOOKUP(A15, imdb_netflix_v5!A$2:H$7370, 2, FALSE), "")</f>
        <v>TV Show</v>
      </c>
      <c r="C15" s="2" t="str">
        <f>IF(A15&lt;&gt;"", VLOOKUP(A15, imdb_netflix_v5!A$2:H$7370, 3, FALSE), "")</f>
        <v>Comedy</v>
      </c>
      <c r="D15" s="2">
        <f>IF(A15&lt;&gt;"", VLOOKUP(A15, imdb_netflix_v5!A$2:H$7370, 4, FALSE), "")</f>
        <v>9.3</v>
      </c>
      <c r="E15" s="2">
        <f>IF(A15&lt;&gt;"", VLOOKUP(A15, imdb_netflix_v5!A$2:H$7370, 5, FALSE), "")</f>
        <v>2015</v>
      </c>
      <c r="F15" s="2" t="str">
        <f>IF(A15&lt;&gt;"", VLOOKUP(A15, imdb_netflix_v5!A$2:H$7370, 7, FALSE), "")</f>
        <v>NA</v>
      </c>
    </row>
    <row r="16">
      <c r="A16" s="1" t="str">
        <f>IFERROR(__xludf.DUMMYFUNCTION("""COMPUTED_VALUE"""),"game of thrones")</f>
        <v>game of thrones</v>
      </c>
      <c r="B16" s="1" t="str">
        <f>IF(A16&lt;&gt;"", VLOOKUP(A16, imdb_netflix_v5!A$2:H$7370, 2, FALSE), "")</f>
        <v>TV Show</v>
      </c>
      <c r="C16" s="2" t="str">
        <f>IF(A16&lt;&gt;"", VLOOKUP(A16, imdb_netflix_v5!A$2:H$7370, 3, FALSE), "")</f>
        <v>Action, Adventure, Drama</v>
      </c>
      <c r="D16" s="2">
        <f>IF(A16&lt;&gt;"", VLOOKUP(A16, imdb_netflix_v5!A$2:H$7370, 4, FALSE), "")</f>
        <v>9.2</v>
      </c>
      <c r="E16" s="2">
        <f>IF(A16&lt;&gt;"", VLOOKUP(A16, imdb_netflix_v5!A$2:H$7370, 5, FALSE), "")</f>
        <v>2011</v>
      </c>
      <c r="F16" s="2" t="str">
        <f>IF(A16&lt;&gt;"", VLOOKUP(A16, imdb_netflix_v5!A$2:H$7370, 7, FALSE), "")</f>
        <v>NA</v>
      </c>
    </row>
    <row r="17">
      <c r="A17" s="1" t="str">
        <f>IFERROR(__xludf.DUMMYFUNCTION("""COMPUTED_VALUE"""),"the godfather")</f>
        <v>the godfather</v>
      </c>
      <c r="B17" s="1" t="str">
        <f>IF(A17&lt;&gt;"", VLOOKUP(A17, imdb_netflix_v5!A$2:H$7370, 2, FALSE), "")</f>
        <v>Movie</v>
      </c>
      <c r="C17" s="2" t="str">
        <f>IF(A17&lt;&gt;"", VLOOKUP(A17, imdb_netflix_v5!A$2:H$7370, 3, FALSE), "")</f>
        <v>Crime, Drama</v>
      </c>
      <c r="D17" s="2">
        <f>IF(A17&lt;&gt;"", VLOOKUP(A17, imdb_netflix_v5!A$2:H$7370, 4, FALSE), "")</f>
        <v>9.2</v>
      </c>
      <c r="E17" s="2">
        <f>IF(A17&lt;&gt;"", VLOOKUP(A17, imdb_netflix_v5!A$2:H$7370, 5, FALSE), "")</f>
        <v>1972</v>
      </c>
      <c r="F17" s="2" t="str">
        <f>IF(A17&lt;&gt;"", VLOOKUP(A17, imdb_netflix_v5!A$2:H$7370, 7, FALSE), "")</f>
        <v>NA</v>
      </c>
    </row>
    <row r="18">
      <c r="A18" s="1" t="str">
        <f>IFERROR(__xludf.DUMMYFUNCTION("""COMPUTED_VALUE"""),"the sopranos")</f>
        <v>the sopranos</v>
      </c>
      <c r="B18" s="1" t="str">
        <f>IF(A18&lt;&gt;"", VLOOKUP(A18, imdb_netflix_v5!A$2:H$7370, 2, FALSE), "")</f>
        <v>TV Show</v>
      </c>
      <c r="C18" s="2" t="str">
        <f>IF(A18&lt;&gt;"", VLOOKUP(A18, imdb_netflix_v5!A$2:H$7370, 3, FALSE), "")</f>
        <v>Crime, Drama</v>
      </c>
      <c r="D18" s="2">
        <f>IF(A18&lt;&gt;"", VLOOKUP(A18, imdb_netflix_v5!A$2:H$7370, 4, FALSE), "")</f>
        <v>9.2</v>
      </c>
      <c r="E18" s="2">
        <f>IF(A18&lt;&gt;"", VLOOKUP(A18, imdb_netflix_v5!A$2:H$7370, 5, FALSE), "")</f>
        <v>1999</v>
      </c>
      <c r="F18" s="2" t="str">
        <f>IF(A18&lt;&gt;"", VLOOKUP(A18, imdb_netflix_v5!A$2:H$7370, 7, FALSE), "")</f>
        <v>NA</v>
      </c>
    </row>
    <row r="19">
      <c r="A19" s="1" t="str">
        <f>IFERROR(__xludf.DUMMYFUNCTION("""COMPUTED_VALUE"""),"aspirants")</f>
        <v>aspirants</v>
      </c>
      <c r="B19" s="1" t="str">
        <f>IF(A19&lt;&gt;"", VLOOKUP(A19, imdb_netflix_v5!A$2:H$7370, 2, FALSE), "")</f>
        <v>TV Show</v>
      </c>
      <c r="C19" s="2" t="str">
        <f>IF(A19&lt;&gt;"", VLOOKUP(A19, imdb_netflix_v5!A$2:H$7370, 3, FALSE), "")</f>
        <v>Drama</v>
      </c>
      <c r="D19" s="2">
        <f>IF(A19&lt;&gt;"", VLOOKUP(A19, imdb_netflix_v5!A$2:H$7370, 4, FALSE), "")</f>
        <v>9.2</v>
      </c>
      <c r="E19" s="2">
        <f>IF(A19&lt;&gt;"", VLOOKUP(A19, imdb_netflix_v5!A$2:H$7370, 5, FALSE), "")</f>
        <v>2021</v>
      </c>
      <c r="F19" s="2" t="str">
        <f>IF(A19&lt;&gt;"", VLOOKUP(A19, imdb_netflix_v5!A$2:H$7370, 7, FALSE), "")</f>
        <v>NA</v>
      </c>
    </row>
    <row r="20">
      <c r="A20" s="1" t="str">
        <f>IFERROR(__xludf.DUMMYFUNCTION("""COMPUTED_VALUE"""),"scam 1992 the harshad mehta story")</f>
        <v>scam 1992 the harshad mehta story</v>
      </c>
      <c r="B20" s="1" t="str">
        <f>IF(A20&lt;&gt;"", VLOOKUP(A20, imdb_netflix_v5!A$2:H$7370, 2, FALSE), "")</f>
        <v>TV Show</v>
      </c>
      <c r="C20" s="2" t="str">
        <f>IF(A20&lt;&gt;"", VLOOKUP(A20, imdb_netflix_v5!A$2:H$7370, 3, FALSE), "")</f>
        <v>Biography, Crime, Drama</v>
      </c>
      <c r="D20" s="2">
        <f>IF(A20&lt;&gt;"", VLOOKUP(A20, imdb_netflix_v5!A$2:H$7370, 4, FALSE), "")</f>
        <v>9.2</v>
      </c>
      <c r="E20" s="2">
        <f>IF(A20&lt;&gt;"", VLOOKUP(A20, imdb_netflix_v5!A$2:H$7370, 5, FALSE), "")</f>
        <v>2020</v>
      </c>
      <c r="F20" s="2" t="str">
        <f>IF(A20&lt;&gt;"", VLOOKUP(A20, imdb_netflix_v5!A$2:H$7370, 7, FALSE), "")</f>
        <v>NA</v>
      </c>
    </row>
    <row r="21" ht="15.75" customHeight="1">
      <c r="A21" s="1" t="str">
        <f>IFERROR(__xludf.DUMMYFUNCTION("""COMPUTED_VALUE"""),"cosmos a spacetime odyssey")</f>
        <v>cosmos a spacetime odyssey</v>
      </c>
      <c r="B21" s="1" t="str">
        <f>IF(A21&lt;&gt;"", VLOOKUP(A21, imdb_netflix_v5!A$2:H$7370, 2, FALSE), "")</f>
        <v>TV Show</v>
      </c>
      <c r="C21" s="2" t="str">
        <f>IF(A21&lt;&gt;"", VLOOKUP(A21, imdb_netflix_v5!A$2:H$7370, 3, FALSE), "")</f>
        <v>Documentary</v>
      </c>
      <c r="D21" s="2">
        <f>IF(A21&lt;&gt;"", VLOOKUP(A21, imdb_netflix_v5!A$2:H$7370, 4, FALSE), "")</f>
        <v>9.2</v>
      </c>
      <c r="E21" s="2">
        <f>IF(A21&lt;&gt;"", VLOOKUP(A21, imdb_netflix_v5!A$2:H$7370, 5, FALSE), "")</f>
        <v>2014</v>
      </c>
      <c r="F21" s="2" t="str">
        <f>IF(A21&lt;&gt;"", VLOOKUP(A21, imdb_netflix_v5!A$2:H$7370, 7, FALSE), "")</f>
        <v>NA</v>
      </c>
    </row>
    <row r="22" ht="15.75" customHeight="1">
      <c r="A22" s="1" t="str">
        <f>IFERROR(__xludf.DUMMYFUNCTION("""COMPUTED_VALUE"""),"our planet")</f>
        <v>our planet</v>
      </c>
      <c r="B22" s="1" t="str">
        <f>IF(A22&lt;&gt;"", VLOOKUP(A22, imdb_netflix_v5!A$2:H$7370, 2, FALSE), "")</f>
        <v>TV Show</v>
      </c>
      <c r="C22" s="2" t="str">
        <f>IF(A22&lt;&gt;"", VLOOKUP(A22, imdb_netflix_v5!A$2:H$7370, 3, FALSE), "")</f>
        <v>Documentary</v>
      </c>
      <c r="D22" s="2">
        <f>IF(A22&lt;&gt;"", VLOOKUP(A22, imdb_netflix_v5!A$2:H$7370, 4, FALSE), "")</f>
        <v>9.2</v>
      </c>
      <c r="E22" s="2">
        <f>IF(A22&lt;&gt;"", VLOOKUP(A22, imdb_netflix_v5!A$2:H$7370, 5, FALSE), "")</f>
        <v>2019</v>
      </c>
      <c r="F22" s="2">
        <f>IF(A22&lt;&gt;"", VLOOKUP(A22, imdb_netflix_v5!A$2:H$7370, 7, FALSE), "")</f>
        <v>9900000</v>
      </c>
    </row>
    <row r="23" ht="15.75" customHeight="1">
      <c r="A23" s="1" t="str">
        <f>IFERROR(__xludf.DUMMYFUNCTION("""COMPUTED_VALUE"""),"the chosen")</f>
        <v>the chosen</v>
      </c>
      <c r="B23" s="1" t="str">
        <f>IF(A23&lt;&gt;"", VLOOKUP(A23, imdb_netflix_v5!A$2:H$7370, 2, FALSE), "")</f>
        <v>TV Show</v>
      </c>
      <c r="C23" s="2" t="str">
        <f>IF(A23&lt;&gt;"", VLOOKUP(A23, imdb_netflix_v5!A$2:H$7370, 3, FALSE), "")</f>
        <v>Drama, History</v>
      </c>
      <c r="D23" s="2">
        <f>IF(A23&lt;&gt;"", VLOOKUP(A23, imdb_netflix_v5!A$2:H$7370, 4, FALSE), "")</f>
        <v>9.2</v>
      </c>
      <c r="E23" s="2">
        <f>IF(A23&lt;&gt;"", VLOOKUP(A23, imdb_netflix_v5!A$2:H$7370, 5, FALSE), "")</f>
        <v>2017</v>
      </c>
      <c r="F23" s="2" t="str">
        <f>IF(A23&lt;&gt;"", VLOOKUP(A23, imdb_netflix_v5!A$2:H$7370, 7, FALSE), "")</f>
        <v>NA</v>
      </c>
    </row>
    <row r="24" ht="15.75" customHeight="1">
      <c r="A24" s="1" t="str">
        <f>IFERROR(__xludf.DUMMYFUNCTION("""COMPUTED_VALUE"""),"the chaos class")</f>
        <v>the chaos class</v>
      </c>
      <c r="B24" s="1" t="str">
        <f>IF(A24&lt;&gt;"", VLOOKUP(A24, imdb_netflix_v5!A$2:H$7370, 2, FALSE), "")</f>
        <v>Movie</v>
      </c>
      <c r="C24" s="2" t="str">
        <f>IF(A24&lt;&gt;"", VLOOKUP(A24, imdb_netflix_v5!A$2:H$7370, 3, FALSE), "")</f>
        <v>Comedy</v>
      </c>
      <c r="D24" s="2">
        <f>IF(A24&lt;&gt;"", VLOOKUP(A24, imdb_netflix_v5!A$2:H$7370, 4, FALSE), "")</f>
        <v>9.2</v>
      </c>
      <c r="E24" s="2">
        <f>IF(A24&lt;&gt;"", VLOOKUP(A24, imdb_netflix_v5!A$2:H$7370, 5, FALSE), "")</f>
        <v>1975</v>
      </c>
      <c r="F24" s="2" t="str">
        <f>IF(A24&lt;&gt;"", VLOOKUP(A24, imdb_netflix_v5!A$2:H$7370, 7, FALSE), "")</f>
        <v>NA</v>
      </c>
    </row>
    <row r="25" ht="15.75" customHeight="1">
      <c r="A25" s="1" t="str">
        <f>IFERROR(__xludf.DUMMYFUNCTION("""COMPUTED_VALUE"""),"the filthy frank show")</f>
        <v>the filthy frank show</v>
      </c>
      <c r="B25" s="1" t="str">
        <f>IF(A25&lt;&gt;"", VLOOKUP(A25, imdb_netflix_v5!A$2:H$7370, 2, FALSE), "")</f>
        <v>TV Show</v>
      </c>
      <c r="C25" s="2" t="str">
        <f>IF(A25&lt;&gt;"", VLOOKUP(A25, imdb_netflix_v5!A$2:H$7370, 3, FALSE), "")</f>
        <v>Comedy, Short</v>
      </c>
      <c r="D25" s="2">
        <f>IF(A25&lt;&gt;"", VLOOKUP(A25, imdb_netflix_v5!A$2:H$7370, 4, FALSE), "")</f>
        <v>9.2</v>
      </c>
      <c r="E25" s="2">
        <f>IF(A25&lt;&gt;"", VLOOKUP(A25, imdb_netflix_v5!A$2:H$7370, 5, FALSE), "")</f>
        <v>2011</v>
      </c>
      <c r="F25" s="2" t="str">
        <f>IF(A25&lt;&gt;"", VLOOKUP(A25, imdb_netflix_v5!A$2:H$7370, 7, FALSE), "")</f>
        <v>NA</v>
      </c>
    </row>
    <row r="26" ht="15.75" customHeight="1">
      <c r="A26" s="1" t="str">
        <f>IFERROR(__xludf.DUMMYFUNCTION("""COMPUTED_VALUE"""),"the world at war")</f>
        <v>the world at war</v>
      </c>
      <c r="B26" s="1" t="str">
        <f>IF(A26&lt;&gt;"", VLOOKUP(A26, imdb_netflix_v5!A$2:H$7370, 2, FALSE), "")</f>
        <v>TV Show</v>
      </c>
      <c r="C26" s="2" t="str">
        <f>IF(A26&lt;&gt;"", VLOOKUP(A26, imdb_netflix_v5!A$2:H$7370, 3, FALSE), "")</f>
        <v>Documentary, History, War</v>
      </c>
      <c r="D26" s="2">
        <f>IF(A26&lt;&gt;"", VLOOKUP(A26, imdb_netflix_v5!A$2:H$7370, 4, FALSE), "")</f>
        <v>9.2</v>
      </c>
      <c r="E26" s="2">
        <f>IF(A26&lt;&gt;"", VLOOKUP(A26, imdb_netflix_v5!A$2:H$7370, 5, FALSE), "")</f>
        <v>1973</v>
      </c>
      <c r="F26" s="2" t="str">
        <f>IF(A26&lt;&gt;"", VLOOKUP(A26, imdb_netflix_v5!A$2:H$7370, 7, FALSE), "")</f>
        <v>NA</v>
      </c>
    </row>
    <row r="27" ht="15.75" customHeight="1">
      <c r="A27" s="1" t="str">
        <f>IFERROR(__xludf.DUMMYFUNCTION("""COMPUTED_VALUE"""),"ramayana the legend of prince rama")</f>
        <v>ramayana the legend of prince rama</v>
      </c>
      <c r="B27" s="1" t="str">
        <f>IF(A27&lt;&gt;"", VLOOKUP(A27, imdb_netflix_v5!A$2:H$7370, 2, FALSE), "")</f>
        <v>Movie</v>
      </c>
      <c r="C27" s="2" t="str">
        <f>IF(A27&lt;&gt;"", VLOOKUP(A27, imdb_netflix_v5!A$2:H$7370, 3, FALSE), "")</f>
        <v>Action, Adventure, Animation</v>
      </c>
      <c r="D27" s="2">
        <f>IF(A27&lt;&gt;"", VLOOKUP(A27, imdb_netflix_v5!A$2:H$7370, 4, FALSE), "")</f>
        <v>9.2</v>
      </c>
      <c r="E27" s="2">
        <f>IF(A27&lt;&gt;"", VLOOKUP(A27, imdb_netflix_v5!A$2:H$7370, 5, FALSE), "")</f>
        <v>1993</v>
      </c>
      <c r="F27" s="2" t="str">
        <f>IF(A27&lt;&gt;"", VLOOKUP(A27, imdb_netflix_v5!A$2:H$7370, 7, FALSE), "")</f>
        <v>NA</v>
      </c>
    </row>
    <row r="28" ht="15.75" customHeight="1">
      <c r="A28" s="1" t="str">
        <f>IFERROR(__xludf.DUMMYFUNCTION("""COMPUTED_VALUE"""),"çilgin dersane at the university")</f>
        <v>çilgin dersane at the university</v>
      </c>
      <c r="B28" s="1" t="str">
        <f>IF(A28&lt;&gt;"", VLOOKUP(A28, imdb_netflix_v5!A$2:H$7370, 2, FALSE), "")</f>
        <v>TV Show</v>
      </c>
      <c r="C28" s="2" t="str">
        <f>IF(A28&lt;&gt;"", VLOOKUP(A28, imdb_netflix_v5!A$2:H$7370, 3, FALSE), "")</f>
        <v>Comedy</v>
      </c>
      <c r="D28" s="2">
        <f>IF(A28&lt;&gt;"", VLOOKUP(A28, imdb_netflix_v5!A$2:H$7370, 4, FALSE), "")</f>
        <v>9.2</v>
      </c>
      <c r="E28" s="2">
        <f>IF(A28&lt;&gt;"", VLOOKUP(A28, imdb_netflix_v5!A$2:H$7370, 5, FALSE), "")</f>
        <v>2014</v>
      </c>
      <c r="F28" s="2" t="str">
        <f>IF(A28&lt;&gt;"", VLOOKUP(A28, imdb_netflix_v5!A$2:H$7370, 7, FALSE), "")</f>
        <v>NA</v>
      </c>
    </row>
    <row r="29" ht="15.75" customHeight="1">
      <c r="A29" s="1" t="str">
        <f>IFERROR(__xludf.DUMMYFUNCTION("""COMPUTED_VALUE"""),"sherlock")</f>
        <v>sherlock</v>
      </c>
      <c r="B29" s="1" t="str">
        <f>IF(A29&lt;&gt;"", VLOOKUP(A29, imdb_netflix_v5!A$2:H$7370, 2, FALSE), "")</f>
        <v>TV Show</v>
      </c>
      <c r="C29" s="2" t="str">
        <f>IF(A29&lt;&gt;"", VLOOKUP(A29, imdb_netflix_v5!A$2:H$7370, 3, FALSE), "")</f>
        <v>Crime, Drama, Mystery</v>
      </c>
      <c r="D29" s="2">
        <f>IF(A29&lt;&gt;"", VLOOKUP(A29, imdb_netflix_v5!A$2:H$7370, 4, FALSE), "")</f>
        <v>9.1</v>
      </c>
      <c r="E29" s="2">
        <f>IF(A29&lt;&gt;"", VLOOKUP(A29, imdb_netflix_v5!A$2:H$7370, 5, FALSE), "")</f>
        <v>2010</v>
      </c>
      <c r="F29" s="2" t="str">
        <f>IF(A29&lt;&gt;"", VLOOKUP(A29, imdb_netflix_v5!A$2:H$7370, 7, FALSE), "")</f>
        <v>NA</v>
      </c>
    </row>
    <row r="30" ht="15.75" customHeight="1">
      <c r="A30" s="1" t="str">
        <f>IFERROR(__xludf.DUMMYFUNCTION("""COMPUTED_VALUE"""),"rick and morty")</f>
        <v>rick and morty</v>
      </c>
      <c r="B30" s="1" t="str">
        <f>IF(A30&lt;&gt;"", VLOOKUP(A30, imdb_netflix_v5!A$2:H$7370, 2, FALSE), "")</f>
        <v>TV Show</v>
      </c>
      <c r="C30" s="2" t="str">
        <f>IF(A30&lt;&gt;"", VLOOKUP(A30, imdb_netflix_v5!A$2:H$7370, 3, FALSE), "")</f>
        <v>Adventure, Animation, Comedy</v>
      </c>
      <c r="D30" s="2">
        <f>IF(A30&lt;&gt;"", VLOOKUP(A30, imdb_netflix_v5!A$2:H$7370, 4, FALSE), "")</f>
        <v>9.1</v>
      </c>
      <c r="E30" s="2">
        <f>IF(A30&lt;&gt;"", VLOOKUP(A30, imdb_netflix_v5!A$2:H$7370, 5, FALSE), "")</f>
        <v>2013</v>
      </c>
      <c r="F30" s="2" t="str">
        <f>IF(A30&lt;&gt;"", VLOOKUP(A30, imdb_netflix_v5!A$2:H$7370, 7, FALSE), "")</f>
        <v>NA</v>
      </c>
    </row>
    <row r="31" ht="15.75" customHeight="1">
      <c r="A31" s="1" t="str">
        <f>IFERROR(__xludf.DUMMYFUNCTION("""COMPUTED_VALUE"""),"attack on titan")</f>
        <v>attack on titan</v>
      </c>
      <c r="B31" s="1" t="str">
        <f>IF(A31&lt;&gt;"", VLOOKUP(A31, imdb_netflix_v5!A$2:H$7370, 2, FALSE), "")</f>
        <v>TV Show</v>
      </c>
      <c r="C31" s="2" t="str">
        <f>IF(A31&lt;&gt;"", VLOOKUP(A31, imdb_netflix_v5!A$2:H$7370, 3, FALSE), "")</f>
        <v>Action, Adventure, Animation</v>
      </c>
      <c r="D31" s="2">
        <f>IF(A31&lt;&gt;"", VLOOKUP(A31, imdb_netflix_v5!A$2:H$7370, 4, FALSE), "")</f>
        <v>9.1</v>
      </c>
      <c r="E31" s="2">
        <f>IF(A31&lt;&gt;"", VLOOKUP(A31, imdb_netflix_v5!A$2:H$7370, 5, FALSE), "")</f>
        <v>2013</v>
      </c>
      <c r="F31" s="2">
        <f>IF(A31&lt;&gt;"", VLOOKUP(A31, imdb_netflix_v5!A$2:H$7370, 7, FALSE), "")</f>
        <v>4700000</v>
      </c>
    </row>
    <row r="32" ht="15.75" customHeight="1">
      <c r="A32" s="1" t="str">
        <f>IFERROR(__xludf.DUMMYFUNCTION("""COMPUTED_VALUE"""),"arcane")</f>
        <v>arcane</v>
      </c>
      <c r="B32" s="1" t="str">
        <f>IF(A32&lt;&gt;"", VLOOKUP(A32, imdb_netflix_v5!A$2:H$7370, 2, FALSE), "")</f>
        <v>TV Show</v>
      </c>
      <c r="C32" s="2" t="str">
        <f>IF(A32&lt;&gt;"", VLOOKUP(A32, imdb_netflix_v5!A$2:H$7370, 3, FALSE), "")</f>
        <v>Action, Adventure, Animation</v>
      </c>
      <c r="D32" s="2">
        <f>IF(A32&lt;&gt;"", VLOOKUP(A32, imdb_netflix_v5!A$2:H$7370, 4, FALSE), "")</f>
        <v>9.1</v>
      </c>
      <c r="E32" s="2">
        <f>IF(A32&lt;&gt;"", VLOOKUP(A32, imdb_netflix_v5!A$2:H$7370, 5, FALSE), "")</f>
        <v>2021</v>
      </c>
      <c r="F32" s="2">
        <f>IF(A32&lt;&gt;"", VLOOKUP(A32, imdb_netflix_v5!A$2:H$7370, 7, FALSE), "")</f>
        <v>10010000</v>
      </c>
    </row>
    <row r="33" ht="15.75" customHeight="1">
      <c r="A33" s="1" t="str">
        <f>IFERROR(__xludf.DUMMYFUNCTION("""COMPUTED_VALUE"""),"fullmetal alchemist brotherhood")</f>
        <v>fullmetal alchemist brotherhood</v>
      </c>
      <c r="B33" s="1" t="str">
        <f>IF(A33&lt;&gt;"", VLOOKUP(A33, imdb_netflix_v5!A$2:H$7370, 2, FALSE), "")</f>
        <v>TV Show</v>
      </c>
      <c r="C33" s="2" t="str">
        <f>IF(A33&lt;&gt;"", VLOOKUP(A33, imdb_netflix_v5!A$2:H$7370, 3, FALSE), "")</f>
        <v>Action, Adventure, Animation</v>
      </c>
      <c r="D33" s="2">
        <f>IF(A33&lt;&gt;"", VLOOKUP(A33, imdb_netflix_v5!A$2:H$7370, 4, FALSE), "")</f>
        <v>9.1</v>
      </c>
      <c r="E33" s="2">
        <f>IF(A33&lt;&gt;"", VLOOKUP(A33, imdb_netflix_v5!A$2:H$7370, 5, FALSE), "")</f>
        <v>2009</v>
      </c>
      <c r="F33" s="2" t="str">
        <f>IF(A33&lt;&gt;"", VLOOKUP(A33, imdb_netflix_v5!A$2:H$7370, 7, FALSE), "")</f>
        <v>NA</v>
      </c>
    </row>
    <row r="34" ht="15.75" customHeight="1">
      <c r="A34" s="1" t="str">
        <f>IFERROR(__xludf.DUMMYFUNCTION("""COMPUTED_VALUE"""),"leyla and mecnun")</f>
        <v>leyla and mecnun</v>
      </c>
      <c r="B34" s="1" t="str">
        <f>IF(A34&lt;&gt;"", VLOOKUP(A34, imdb_netflix_v5!A$2:H$7370, 2, FALSE), "")</f>
        <v>TV Show</v>
      </c>
      <c r="C34" s="2" t="str">
        <f>IF(A34&lt;&gt;"", VLOOKUP(A34, imdb_netflix_v5!A$2:H$7370, 3, FALSE), "")</f>
        <v>Adventure, Comedy, Drama</v>
      </c>
      <c r="D34" s="2">
        <f>IF(A34&lt;&gt;"", VLOOKUP(A34, imdb_netflix_v5!A$2:H$7370, 4, FALSE), "")</f>
        <v>9.1</v>
      </c>
      <c r="E34" s="2">
        <f>IF(A34&lt;&gt;"", VLOOKUP(A34, imdb_netflix_v5!A$2:H$7370, 5, FALSE), "")</f>
        <v>2011</v>
      </c>
      <c r="F34" s="2" t="str">
        <f>IF(A34&lt;&gt;"", VLOOKUP(A34, imdb_netflix_v5!A$2:H$7370, 7, FALSE), "")</f>
        <v>NA</v>
      </c>
    </row>
    <row r="35" ht="15.75" customHeight="1">
      <c r="A35" s="1" t="str">
        <f>IFERROR(__xludf.DUMMYFUNCTION("""COMPUTED_VALUE"""),"sandeep bhaiya")</f>
        <v>sandeep bhaiya</v>
      </c>
      <c r="B35" s="1" t="str">
        <f>IF(A35&lt;&gt;"", VLOOKUP(A35, imdb_netflix_v5!A$2:H$7370, 2, FALSE), "")</f>
        <v>TV Show</v>
      </c>
      <c r="C35" s="2" t="str">
        <f>IF(A35&lt;&gt;"", VLOOKUP(A35, imdb_netflix_v5!A$2:H$7370, 3, FALSE), "")</f>
        <v>Drama</v>
      </c>
      <c r="D35" s="2">
        <f>IF(A35&lt;&gt;"", VLOOKUP(A35, imdb_netflix_v5!A$2:H$7370, 4, FALSE), "")</f>
        <v>9.1</v>
      </c>
      <c r="E35" s="2">
        <f>IF(A35&lt;&gt;"", VLOOKUP(A35, imdb_netflix_v5!A$2:H$7370, 5, FALSE), "")</f>
        <v>2023</v>
      </c>
      <c r="F35" s="2" t="str">
        <f>IF(A35&lt;&gt;"", VLOOKUP(A35, imdb_netflix_v5!A$2:H$7370, 7, FALSE), "")</f>
        <v>NA</v>
      </c>
    </row>
    <row r="36" ht="15.75" customHeight="1">
      <c r="A36" s="1" t="str">
        <f>IFERROR(__xludf.DUMMYFUNCTION("""COMPUTED_VALUE"""),"tvf pitchers")</f>
        <v>tvf pitchers</v>
      </c>
      <c r="B36" s="1" t="str">
        <f>IF(A36&lt;&gt;"", VLOOKUP(A36, imdb_netflix_v5!A$2:H$7370, 2, FALSE), "")</f>
        <v>TV Show</v>
      </c>
      <c r="C36" s="2" t="str">
        <f>IF(A36&lt;&gt;"", VLOOKUP(A36, imdb_netflix_v5!A$2:H$7370, 3, FALSE), "")</f>
        <v>Comedy, Drama</v>
      </c>
      <c r="D36" s="2">
        <f>IF(A36&lt;&gt;"", VLOOKUP(A36, imdb_netflix_v5!A$2:H$7370, 4, FALSE), "")</f>
        <v>9.1</v>
      </c>
      <c r="E36" s="2">
        <f>IF(A36&lt;&gt;"", VLOOKUP(A36, imdb_netflix_v5!A$2:H$7370, 5, FALSE), "")</f>
        <v>2015</v>
      </c>
      <c r="F36" s="2" t="str">
        <f>IF(A36&lt;&gt;"", VLOOKUP(A36, imdb_netflix_v5!A$2:H$7370, 7, FALSE), "")</f>
        <v>NA</v>
      </c>
    </row>
    <row r="37" ht="15.75" customHeight="1">
      <c r="A37" s="1" t="str">
        <f>IFERROR(__xludf.DUMMYFUNCTION("""COMPUTED_VALUE"""),"life")</f>
        <v>life</v>
      </c>
      <c r="B37" s="1" t="str">
        <f>IF(A37&lt;&gt;"", VLOOKUP(A37, imdb_netflix_v5!A$2:H$7370, 2, FALSE), "")</f>
        <v>TV Show</v>
      </c>
      <c r="C37" s="2" t="str">
        <f>IF(A37&lt;&gt;"", VLOOKUP(A37, imdb_netflix_v5!A$2:H$7370, 3, FALSE), "")</f>
        <v>Documentary</v>
      </c>
      <c r="D37" s="2">
        <f>IF(A37&lt;&gt;"", VLOOKUP(A37, imdb_netflix_v5!A$2:H$7370, 4, FALSE), "")</f>
        <v>9.1</v>
      </c>
      <c r="E37" s="2">
        <f>IF(A37&lt;&gt;"", VLOOKUP(A37, imdb_netflix_v5!A$2:H$7370, 5, FALSE), "")</f>
        <v>2009</v>
      </c>
      <c r="F37" s="2" t="str">
        <f>IF(A37&lt;&gt;"", VLOOKUP(A37, imdb_netflix_v5!A$2:H$7370, 7, FALSE), "")</f>
        <v>NA</v>
      </c>
    </row>
    <row r="38" ht="15.75" customHeight="1">
      <c r="A38" s="1" t="str">
        <f>IFERROR(__xludf.DUMMYFUNCTION("""COMPUTED_VALUE"""),"the vietnam war")</f>
        <v>the vietnam war</v>
      </c>
      <c r="B38" s="1" t="str">
        <f>IF(A38&lt;&gt;"", VLOOKUP(A38, imdb_netflix_v5!A$2:H$7370, 2, FALSE), "")</f>
        <v>TV Show</v>
      </c>
      <c r="C38" s="2" t="str">
        <f>IF(A38&lt;&gt;"", VLOOKUP(A38, imdb_netflix_v5!A$2:H$7370, 3, FALSE), "")</f>
        <v>Documentary, History, War</v>
      </c>
      <c r="D38" s="2">
        <f>IF(A38&lt;&gt;"", VLOOKUP(A38, imdb_netflix_v5!A$2:H$7370, 4, FALSE), "")</f>
        <v>9.1</v>
      </c>
      <c r="E38" s="2">
        <f>IF(A38&lt;&gt;"", VLOOKUP(A38, imdb_netflix_v5!A$2:H$7370, 5, FALSE), "")</f>
        <v>2017</v>
      </c>
      <c r="F38" s="2" t="str">
        <f>IF(A38&lt;&gt;"", VLOOKUP(A38, imdb_netflix_v5!A$2:H$7370, 7, FALSE), "")</f>
        <v>NA</v>
      </c>
    </row>
    <row r="39" ht="15.75" customHeight="1">
      <c r="A39" s="1" t="str">
        <f>IFERROR(__xludf.DUMMYFUNCTION("""COMPUTED_VALUE"""),"gullak")</f>
        <v>gullak</v>
      </c>
      <c r="B39" s="1" t="str">
        <f>IF(A39&lt;&gt;"", VLOOKUP(A39, imdb_netflix_v5!A$2:H$7370, 2, FALSE), "")</f>
        <v>TV Show</v>
      </c>
      <c r="C39" s="2" t="str">
        <f>IF(A39&lt;&gt;"", VLOOKUP(A39, imdb_netflix_v5!A$2:H$7370, 3, FALSE), "")</f>
        <v>Comedy, Drama, Family</v>
      </c>
      <c r="D39" s="2">
        <f>IF(A39&lt;&gt;"", VLOOKUP(A39, imdb_netflix_v5!A$2:H$7370, 4, FALSE), "")</f>
        <v>9.1</v>
      </c>
      <c r="E39" s="2">
        <f>IF(A39&lt;&gt;"", VLOOKUP(A39, imdb_netflix_v5!A$2:H$7370, 5, FALSE), "")</f>
        <v>2019</v>
      </c>
      <c r="F39" s="2" t="str">
        <f>IF(A39&lt;&gt;"", VLOOKUP(A39, imdb_netflix_v5!A$2:H$7370, 7, FALSE), "")</f>
        <v>NA</v>
      </c>
    </row>
    <row r="40" ht="15.75" customHeight="1">
      <c r="A40" s="1" t="str">
        <f>IFERROR(__xludf.DUMMYFUNCTION("""COMPUTED_VALUE"""),"halka")</f>
        <v>halka</v>
      </c>
      <c r="B40" s="1" t="str">
        <f>IF(A40&lt;&gt;"", VLOOKUP(A40, imdb_netflix_v5!A$2:H$7370, 2, FALSE), "")</f>
        <v>TV Show</v>
      </c>
      <c r="C40" s="2" t="str">
        <f>IF(A40&lt;&gt;"", VLOOKUP(A40, imdb_netflix_v5!A$2:H$7370, 3, FALSE), "")</f>
        <v>Action, Crime, Drama</v>
      </c>
      <c r="D40" s="2">
        <f>IF(A40&lt;&gt;"", VLOOKUP(A40, imdb_netflix_v5!A$2:H$7370, 4, FALSE), "")</f>
        <v>9.1</v>
      </c>
      <c r="E40" s="2">
        <f>IF(A40&lt;&gt;"", VLOOKUP(A40, imdb_netflix_v5!A$2:H$7370, 5, FALSE), "")</f>
        <v>2019</v>
      </c>
      <c r="F40" s="2" t="str">
        <f>IF(A40&lt;&gt;"", VLOOKUP(A40, imdb_netflix_v5!A$2:H$7370, 7, FALSE), "")</f>
        <v>NA</v>
      </c>
    </row>
    <row r="41" ht="15.75" customHeight="1">
      <c r="A41" s="1" t="str">
        <f>IFERROR(__xludf.DUMMYFUNCTION("""COMPUTED_VALUE"""),"koombiyo")</f>
        <v>koombiyo</v>
      </c>
      <c r="B41" s="1" t="str">
        <f>IF(A41&lt;&gt;"", VLOOKUP(A41, imdb_netflix_v5!A$2:H$7370, 2, FALSE), "")</f>
        <v>TV Show</v>
      </c>
      <c r="C41" s="2" t="str">
        <f>IF(A41&lt;&gt;"", VLOOKUP(A41, imdb_netflix_v5!A$2:H$7370, 3, FALSE), "")</f>
        <v>Crime, Drama, Thriller</v>
      </c>
      <c r="D41" s="2">
        <f>IF(A41&lt;&gt;"", VLOOKUP(A41, imdb_netflix_v5!A$2:H$7370, 4, FALSE), "")</f>
        <v>9.1</v>
      </c>
      <c r="E41" s="2">
        <f>IF(A41&lt;&gt;"", VLOOKUP(A41, imdb_netflix_v5!A$2:H$7370, 5, FALSE), "")</f>
        <v>2017</v>
      </c>
      <c r="F41" s="2" t="str">
        <f>IF(A41&lt;&gt;"", VLOOKUP(A41, imdb_netflix_v5!A$2:H$7370, 7, FALSE), "")</f>
        <v>NA</v>
      </c>
    </row>
    <row r="42" ht="15.75" customHeight="1">
      <c r="A42" s="1" t="str">
        <f>IFERROR(__xludf.DUMMYFUNCTION("""COMPUTED_VALUE"""),"critical role")</f>
        <v>critical role</v>
      </c>
      <c r="B42" s="1" t="str">
        <f>IF(A42&lt;&gt;"", VLOOKUP(A42, imdb_netflix_v5!A$2:H$7370, 2, FALSE), "")</f>
        <v>TV Show</v>
      </c>
      <c r="C42" s="2" t="str">
        <f>IF(A42&lt;&gt;"", VLOOKUP(A42, imdb_netflix_v5!A$2:H$7370, 3, FALSE), "")</f>
        <v>Adventure, Fantasy</v>
      </c>
      <c r="D42" s="2">
        <f>IF(A42&lt;&gt;"", VLOOKUP(A42, imdb_netflix_v5!A$2:H$7370, 4, FALSE), "")</f>
        <v>9.1</v>
      </c>
      <c r="E42" s="2">
        <f>IF(A42&lt;&gt;"", VLOOKUP(A42, imdb_netflix_v5!A$2:H$7370, 5, FALSE), "")</f>
        <v>2015</v>
      </c>
      <c r="F42" s="2" t="str">
        <f>IF(A42&lt;&gt;"", VLOOKUP(A42, imdb_netflix_v5!A$2:H$7370, 7, FALSE), "")</f>
        <v>NA</v>
      </c>
    </row>
    <row r="43" ht="15.75" customHeight="1">
      <c r="A43" s="1" t="str">
        <f>IFERROR(__xludf.DUMMYFUNCTION("""COMPUTED_VALUE"""),"the legend of hanuman")</f>
        <v>the legend of hanuman</v>
      </c>
      <c r="B43" s="1" t="str">
        <f>IF(A43&lt;&gt;"", VLOOKUP(A43, imdb_netflix_v5!A$2:H$7370, 2, FALSE), "")</f>
        <v>TV Show</v>
      </c>
      <c r="C43" s="2" t="str">
        <f>IF(A43&lt;&gt;"", VLOOKUP(A43, imdb_netflix_v5!A$2:H$7370, 3, FALSE), "")</f>
        <v>Action, Adventure, Animation</v>
      </c>
      <c r="D43" s="2">
        <f>IF(A43&lt;&gt;"", VLOOKUP(A43, imdb_netflix_v5!A$2:H$7370, 4, FALSE), "")</f>
        <v>9.1</v>
      </c>
      <c r="E43" s="2">
        <f>IF(A43&lt;&gt;"", VLOOKUP(A43, imdb_netflix_v5!A$2:H$7370, 5, FALSE), "")</f>
        <v>2021</v>
      </c>
      <c r="F43" s="2" t="str">
        <f>IF(A43&lt;&gt;"", VLOOKUP(A43, imdb_netflix_v5!A$2:H$7370, 7, FALSE), "")</f>
        <v>NA</v>
      </c>
    </row>
    <row r="44" ht="15.75" customHeight="1">
      <c r="A44" s="1" t="str">
        <f>IFERROR(__xludf.DUMMYFUNCTION("""COMPUTED_VALUE"""),"the silence of swastika")</f>
        <v>the silence of swastika</v>
      </c>
      <c r="B44" s="1" t="str">
        <f>IF(A44&lt;&gt;"", VLOOKUP(A44, imdb_netflix_v5!A$2:H$7370, 2, FALSE), "")</f>
        <v>Movie</v>
      </c>
      <c r="C44" s="2" t="str">
        <f>IF(A44&lt;&gt;"", VLOOKUP(A44, imdb_netflix_v5!A$2:H$7370, 3, FALSE), "")</f>
        <v>Documentary, History</v>
      </c>
      <c r="D44" s="2">
        <f>IF(A44&lt;&gt;"", VLOOKUP(A44, imdb_netflix_v5!A$2:H$7370, 4, FALSE), "")</f>
        <v>9.1</v>
      </c>
      <c r="E44" s="2">
        <f>IF(A44&lt;&gt;"", VLOOKUP(A44, imdb_netflix_v5!A$2:H$7370, 5, FALSE), "")</f>
        <v>2021</v>
      </c>
      <c r="F44" s="2" t="str">
        <f>IF(A44&lt;&gt;"", VLOOKUP(A44, imdb_netflix_v5!A$2:H$7370, 7, FALSE), "")</f>
        <v>NA</v>
      </c>
    </row>
    <row r="45" ht="15.75" customHeight="1">
      <c r="A45" s="1" t="str">
        <f>IFERROR(__xludf.DUMMYFUNCTION("""COMPUTED_VALUE"""),"the dark knight")</f>
        <v>the dark knight</v>
      </c>
      <c r="B45" s="1" t="str">
        <f>IF(A45&lt;&gt;"", VLOOKUP(A45, imdb_netflix_v5!A$2:H$7370, 2, FALSE), "")</f>
        <v>Movie</v>
      </c>
      <c r="C45" s="2" t="str">
        <f>IF(A45&lt;&gt;"", VLOOKUP(A45, imdb_netflix_v5!A$2:H$7370, 3, FALSE), "")</f>
        <v>Action, Crime, Drama</v>
      </c>
      <c r="D45" s="2">
        <f>IF(A45&lt;&gt;"", VLOOKUP(A45, imdb_netflix_v5!A$2:H$7370, 4, FALSE), "")</f>
        <v>9</v>
      </c>
      <c r="E45" s="2">
        <f>IF(A45&lt;&gt;"", VLOOKUP(A45, imdb_netflix_v5!A$2:H$7370, 5, FALSE), "")</f>
        <v>2008</v>
      </c>
      <c r="F45" s="2" t="str">
        <f>IF(A45&lt;&gt;"", VLOOKUP(A45, imdb_netflix_v5!A$2:H$7370, 7, FALSE), "")</f>
        <v>NA</v>
      </c>
    </row>
    <row r="46" ht="15.75" customHeight="1">
      <c r="A46" s="1" t="str">
        <f>IFERROR(__xludf.DUMMYFUNCTION("""COMPUTED_VALUE"""),"the lord of the rings the return of the king")</f>
        <v>the lord of the rings the return of the king</v>
      </c>
      <c r="B46" s="1" t="str">
        <f>IF(A46&lt;&gt;"", VLOOKUP(A46, imdb_netflix_v5!A$2:H$7370, 2, FALSE), "")</f>
        <v>Movie</v>
      </c>
      <c r="C46" s="2" t="str">
        <f>IF(A46&lt;&gt;"", VLOOKUP(A46, imdb_netflix_v5!A$2:H$7370, 3, FALSE), "")</f>
        <v>Adventure, Drama, Fantasy</v>
      </c>
      <c r="D46" s="2">
        <f>IF(A46&lt;&gt;"", VLOOKUP(A46, imdb_netflix_v5!A$2:H$7370, 4, FALSE), "")</f>
        <v>9</v>
      </c>
      <c r="E46" s="2">
        <f>IF(A46&lt;&gt;"", VLOOKUP(A46, imdb_netflix_v5!A$2:H$7370, 5, FALSE), "")</f>
        <v>2003</v>
      </c>
      <c r="F46" s="2" t="str">
        <f>IF(A46&lt;&gt;"", VLOOKUP(A46, imdb_netflix_v5!A$2:H$7370, 7, FALSE), "")</f>
        <v>NA</v>
      </c>
    </row>
    <row r="47" ht="15.75" customHeight="1">
      <c r="A47" s="1" t="str">
        <f>IFERROR(__xludf.DUMMYFUNCTION("""COMPUTED_VALUE"""),"schindlers list")</f>
        <v>schindlers list</v>
      </c>
      <c r="B47" s="1" t="str">
        <f>IF(A47&lt;&gt;"", VLOOKUP(A47, imdb_netflix_v5!A$2:H$7370, 2, FALSE), "")</f>
        <v>Movie</v>
      </c>
      <c r="C47" s="2" t="str">
        <f>IF(A47&lt;&gt;"", VLOOKUP(A47, imdb_netflix_v5!A$2:H$7370, 3, FALSE), "")</f>
        <v>Biography, Drama, History</v>
      </c>
      <c r="D47" s="2">
        <f>IF(A47&lt;&gt;"", VLOOKUP(A47, imdb_netflix_v5!A$2:H$7370, 4, FALSE), "")</f>
        <v>9</v>
      </c>
      <c r="E47" s="2">
        <f>IF(A47&lt;&gt;"", VLOOKUP(A47, imdb_netflix_v5!A$2:H$7370, 5, FALSE), "")</f>
        <v>1993</v>
      </c>
      <c r="F47" s="2" t="str">
        <f>IF(A47&lt;&gt;"", VLOOKUP(A47, imdb_netflix_v5!A$2:H$7370, 7, FALSE), "")</f>
        <v>NA</v>
      </c>
    </row>
    <row r="48" ht="15.75" customHeight="1">
      <c r="A48" s="1" t="str">
        <f>IFERROR(__xludf.DUMMYFUNCTION("""COMPUTED_VALUE"""),"the godfather part ii")</f>
        <v>the godfather part ii</v>
      </c>
      <c r="B48" s="1" t="str">
        <f>IF(A48&lt;&gt;"", VLOOKUP(A48, imdb_netflix_v5!A$2:H$7370, 2, FALSE), "")</f>
        <v>Movie</v>
      </c>
      <c r="C48" s="2" t="str">
        <f>IF(A48&lt;&gt;"", VLOOKUP(A48, imdb_netflix_v5!A$2:H$7370, 3, FALSE), "")</f>
        <v>Crime, Drama</v>
      </c>
      <c r="D48" s="2">
        <f>IF(A48&lt;&gt;"", VLOOKUP(A48, imdb_netflix_v5!A$2:H$7370, 4, FALSE), "")</f>
        <v>9</v>
      </c>
      <c r="E48" s="2">
        <f>IF(A48&lt;&gt;"", VLOOKUP(A48, imdb_netflix_v5!A$2:H$7370, 5, FALSE), "")</f>
        <v>1974</v>
      </c>
      <c r="F48" s="2" t="str">
        <f>IF(A48&lt;&gt;"", VLOOKUP(A48, imdb_netflix_v5!A$2:H$7370, 7, FALSE), "")</f>
        <v>NA</v>
      </c>
    </row>
    <row r="49" ht="15.75" customHeight="1">
      <c r="A49" s="1" t="str">
        <f>IFERROR(__xludf.DUMMYFUNCTION("""COMPUTED_VALUE"""),"12 angry men")</f>
        <v>12 angry men</v>
      </c>
      <c r="B49" s="1" t="str">
        <f>IF(A49&lt;&gt;"", VLOOKUP(A49, imdb_netflix_v5!A$2:H$7370, 2, FALSE), "")</f>
        <v>Movie</v>
      </c>
      <c r="C49" s="2" t="str">
        <f>IF(A49&lt;&gt;"", VLOOKUP(A49, imdb_netflix_v5!A$2:H$7370, 3, FALSE), "")</f>
        <v>Crime, Drama</v>
      </c>
      <c r="D49" s="2">
        <f>IF(A49&lt;&gt;"", VLOOKUP(A49, imdb_netflix_v5!A$2:H$7370, 4, FALSE), "")</f>
        <v>9</v>
      </c>
      <c r="E49" s="2">
        <f>IF(A49&lt;&gt;"", VLOOKUP(A49, imdb_netflix_v5!A$2:H$7370, 5, FALSE), "")</f>
        <v>1957</v>
      </c>
      <c r="F49" s="2" t="str">
        <f>IF(A49&lt;&gt;"", VLOOKUP(A49, imdb_netflix_v5!A$2:H$7370, 7, FALSE), "")</f>
        <v>NA</v>
      </c>
    </row>
    <row r="50" ht="15.75" customHeight="1">
      <c r="A50" s="1" t="str">
        <f>IFERROR(__xludf.DUMMYFUNCTION("""COMPUTED_VALUE"""),"the office")</f>
        <v>the office</v>
      </c>
      <c r="B50" s="1" t="str">
        <f>IF(A50&lt;&gt;"", VLOOKUP(A50, imdb_netflix_v5!A$2:H$7370, 2, FALSE), "")</f>
        <v>TV Show</v>
      </c>
      <c r="C50" s="2" t="str">
        <f>IF(A50&lt;&gt;"", VLOOKUP(A50, imdb_netflix_v5!A$2:H$7370, 3, FALSE), "")</f>
        <v>Comedy</v>
      </c>
      <c r="D50" s="2">
        <f>IF(A50&lt;&gt;"", VLOOKUP(A50, imdb_netflix_v5!A$2:H$7370, 4, FALSE), "")</f>
        <v>9</v>
      </c>
      <c r="E50" s="2">
        <f>IF(A50&lt;&gt;"", VLOOKUP(A50, imdb_netflix_v5!A$2:H$7370, 5, FALSE), "")</f>
        <v>2005</v>
      </c>
      <c r="F50" s="2" t="str">
        <f>IF(A50&lt;&gt;"", VLOOKUP(A50, imdb_netflix_v5!A$2:H$7370, 7, FALSE), "")</f>
        <v>NA</v>
      </c>
    </row>
    <row r="51" ht="15.75" customHeight="1">
      <c r="A51" s="1" t="str">
        <f>IFERROR(__xludf.DUMMYFUNCTION("""COMPUTED_VALUE"""),"better call saul")</f>
        <v>better call saul</v>
      </c>
      <c r="B51" s="1" t="str">
        <f>IF(A51&lt;&gt;"", VLOOKUP(A51, imdb_netflix_v5!A$2:H$7370, 2, FALSE), "")</f>
        <v>TV Show</v>
      </c>
      <c r="C51" s="2" t="str">
        <f>IF(A51&lt;&gt;"", VLOOKUP(A51, imdb_netflix_v5!A$2:H$7370, 3, FALSE), "")</f>
        <v>Crime, Drama</v>
      </c>
      <c r="D51" s="2">
        <f>IF(A51&lt;&gt;"", VLOOKUP(A51, imdb_netflix_v5!A$2:H$7370, 4, FALSE), "")</f>
        <v>9</v>
      </c>
      <c r="E51" s="2">
        <f>IF(A51&lt;&gt;"", VLOOKUP(A51, imdb_netflix_v5!A$2:H$7370, 5, FALSE), "")</f>
        <v>2015</v>
      </c>
      <c r="F51" s="2">
        <f>IF(A51&lt;&gt;"", VLOOKUP(A51, imdb_netflix_v5!A$2:H$7370, 7, FALSE), "")</f>
        <v>13960000</v>
      </c>
    </row>
    <row r="52" ht="15.75" customHeight="1">
      <c r="A52" s="1" t="str">
        <f>IFERROR(__xludf.DUMMYFUNCTION("""COMPUTED_VALUE"""),"one piece")</f>
        <v>one piece</v>
      </c>
      <c r="B52" s="1" t="str">
        <f>IF(A52&lt;&gt;"", VLOOKUP(A52, imdb_netflix_v5!A$2:H$7370, 2, FALSE), "")</f>
        <v>TV Show</v>
      </c>
      <c r="C52" s="2" t="str">
        <f>IF(A52&lt;&gt;"", VLOOKUP(A52, imdb_netflix_v5!A$2:H$7370, 3, FALSE), "")</f>
        <v>Action, Adventure, Animation</v>
      </c>
      <c r="D52" s="2">
        <f>IF(A52&lt;&gt;"", VLOOKUP(A52, imdb_netflix_v5!A$2:H$7370, 4, FALSE), "")</f>
        <v>9</v>
      </c>
      <c r="E52" s="2">
        <f>IF(A52&lt;&gt;"", VLOOKUP(A52, imdb_netflix_v5!A$2:H$7370, 5, FALSE), "")</f>
        <v>1999</v>
      </c>
      <c r="F52" s="2">
        <f>IF(A52&lt;&gt;"", VLOOKUP(A52, imdb_netflix_v5!A$2:H$7370, 7, FALSE), "")</f>
        <v>10900000</v>
      </c>
    </row>
    <row r="53" ht="15.75" customHeight="1">
      <c r="A53" s="1" t="str">
        <f>IFERROR(__xludf.DUMMYFUNCTION("""COMPUTED_VALUE"""),"the last dance")</f>
        <v>the last dance</v>
      </c>
      <c r="B53" s="1" t="str">
        <f>IF(A53&lt;&gt;"", VLOOKUP(A53, imdb_netflix_v5!A$2:H$7370, 2, FALSE), "")</f>
        <v>TV Show</v>
      </c>
      <c r="C53" s="2" t="str">
        <f>IF(A53&lt;&gt;"", VLOOKUP(A53, imdb_netflix_v5!A$2:H$7370, 3, FALSE), "")</f>
        <v>Biography, Documentary, History</v>
      </c>
      <c r="D53" s="2">
        <f>IF(A53&lt;&gt;"", VLOOKUP(A53, imdb_netflix_v5!A$2:H$7370, 4, FALSE), "")</f>
        <v>9</v>
      </c>
      <c r="E53" s="2">
        <f>IF(A53&lt;&gt;"", VLOOKUP(A53, imdb_netflix_v5!A$2:H$7370, 5, FALSE), "")</f>
        <v>2020</v>
      </c>
      <c r="F53" s="2" t="str">
        <f>IF(A53&lt;&gt;"", VLOOKUP(A53, imdb_netflix_v5!A$2:H$7370, 7, FALSE), "")</f>
        <v>NA</v>
      </c>
    </row>
    <row r="54" ht="15.75" customHeight="1">
      <c r="A54" s="1" t="str">
        <f>IFERROR(__xludf.DUMMYFUNCTION("""COMPUTED_VALUE"""),"hunter x hunter")</f>
        <v>hunter x hunter</v>
      </c>
      <c r="B54" s="1" t="str">
        <f>IF(A54&lt;&gt;"", VLOOKUP(A54, imdb_netflix_v5!A$2:H$7370, 2, FALSE), "")</f>
        <v>TV Show</v>
      </c>
      <c r="C54" s="2" t="str">
        <f>IF(A54&lt;&gt;"", VLOOKUP(A54, imdb_netflix_v5!A$2:H$7370, 3, FALSE), "")</f>
        <v>Action, Adventure, Animation</v>
      </c>
      <c r="D54" s="2">
        <f>IF(A54&lt;&gt;"", VLOOKUP(A54, imdb_netflix_v5!A$2:H$7370, 4, FALSE), "")</f>
        <v>9</v>
      </c>
      <c r="E54" s="2">
        <f>IF(A54&lt;&gt;"", VLOOKUP(A54, imdb_netflix_v5!A$2:H$7370, 5, FALSE), "")</f>
        <v>2011</v>
      </c>
      <c r="F54" s="2" t="str">
        <f>IF(A54&lt;&gt;"", VLOOKUP(A54, imdb_netflix_v5!A$2:H$7370, 7, FALSE), "")</f>
        <v>NA</v>
      </c>
    </row>
    <row r="55" ht="15.75" customHeight="1">
      <c r="A55" s="1" t="str">
        <f>IFERROR(__xludf.DUMMYFUNCTION("""COMPUTED_VALUE"""),"batman the animated series")</f>
        <v>batman the animated series</v>
      </c>
      <c r="B55" s="1" t="str">
        <f>IF(A55&lt;&gt;"", VLOOKUP(A55, imdb_netflix_v5!A$2:H$7370, 2, FALSE), "")</f>
        <v>TV Show</v>
      </c>
      <c r="C55" s="2" t="str">
        <f>IF(A55&lt;&gt;"", VLOOKUP(A55, imdb_netflix_v5!A$2:H$7370, 3, FALSE), "")</f>
        <v>Action, Adventure, Animation</v>
      </c>
      <c r="D55" s="2">
        <f>IF(A55&lt;&gt;"", VLOOKUP(A55, imdb_netflix_v5!A$2:H$7370, 4, FALSE), "")</f>
        <v>9</v>
      </c>
      <c r="E55" s="2">
        <f>IF(A55&lt;&gt;"", VLOOKUP(A55, imdb_netflix_v5!A$2:H$7370, 5, FALSE), "")</f>
        <v>1992</v>
      </c>
      <c r="F55" s="2" t="str">
        <f>IF(A55&lt;&gt;"", VLOOKUP(A55, imdb_netflix_v5!A$2:H$7370, 7, FALSE), "")</f>
        <v>NA</v>
      </c>
    </row>
    <row r="56" ht="15.75" customHeight="1">
      <c r="A56" s="1" t="str">
        <f>IFERROR(__xludf.DUMMYFUNCTION("""COMPUTED_VALUE"""),"panchayat")</f>
        <v>panchayat</v>
      </c>
      <c r="B56" s="1" t="str">
        <f>IF(A56&lt;&gt;"", VLOOKUP(A56, imdb_netflix_v5!A$2:H$7370, 2, FALSE), "")</f>
        <v>TV Show</v>
      </c>
      <c r="C56" s="2" t="str">
        <f>IF(A56&lt;&gt;"", VLOOKUP(A56, imdb_netflix_v5!A$2:H$7370, 3, FALSE), "")</f>
        <v>Comedy, Drama</v>
      </c>
      <c r="D56" s="2">
        <f>IF(A56&lt;&gt;"", VLOOKUP(A56, imdb_netflix_v5!A$2:H$7370, 4, FALSE), "")</f>
        <v>9</v>
      </c>
      <c r="E56" s="2">
        <f>IF(A56&lt;&gt;"", VLOOKUP(A56, imdb_netflix_v5!A$2:H$7370, 5, FALSE), "")</f>
        <v>2020</v>
      </c>
      <c r="F56" s="2" t="str">
        <f>IF(A56&lt;&gt;"", VLOOKUP(A56, imdb_netflix_v5!A$2:H$7370, 7, FALSE), "")</f>
        <v>NA</v>
      </c>
    </row>
    <row r="57" ht="15.75" customHeight="1">
      <c r="A57" s="1" t="str">
        <f>IFERROR(__xludf.DUMMYFUNCTION("""COMPUTED_VALUE"""),"the twilight zone")</f>
        <v>the twilight zone</v>
      </c>
      <c r="B57" s="1" t="str">
        <f>IF(A57&lt;&gt;"", VLOOKUP(A57, imdb_netflix_v5!A$2:H$7370, 2, FALSE), "")</f>
        <v>TV Show</v>
      </c>
      <c r="C57" s="2" t="str">
        <f>IF(A57&lt;&gt;"", VLOOKUP(A57, imdb_netflix_v5!A$2:H$7370, 3, FALSE), "")</f>
        <v>Drama, Fantasy, Horror</v>
      </c>
      <c r="D57" s="2">
        <f>IF(A57&lt;&gt;"", VLOOKUP(A57, imdb_netflix_v5!A$2:H$7370, 4, FALSE), "")</f>
        <v>9</v>
      </c>
      <c r="E57" s="2">
        <f>IF(A57&lt;&gt;"", VLOOKUP(A57, imdb_netflix_v5!A$2:H$7370, 5, FALSE), "")</f>
        <v>1959</v>
      </c>
      <c r="F57" s="2" t="str">
        <f>IF(A57&lt;&gt;"", VLOOKUP(A57, imdb_netflix_v5!A$2:H$7370, 7, FALSE), "")</f>
        <v>NA</v>
      </c>
    </row>
    <row r="58" ht="15.75" customHeight="1">
      <c r="A58" s="1" t="str">
        <f>IFERROR(__xludf.DUMMYFUNCTION("""COMPUTED_VALUE"""),"kota factory")</f>
        <v>kota factory</v>
      </c>
      <c r="B58" s="1" t="str">
        <f>IF(A58&lt;&gt;"", VLOOKUP(A58, imdb_netflix_v5!A$2:H$7370, 2, FALSE), "")</f>
        <v>TV Show</v>
      </c>
      <c r="C58" s="2" t="str">
        <f>IF(A58&lt;&gt;"", VLOOKUP(A58, imdb_netflix_v5!A$2:H$7370, 3, FALSE), "")</f>
        <v>Comedy, Drama</v>
      </c>
      <c r="D58" s="2">
        <f>IF(A58&lt;&gt;"", VLOOKUP(A58, imdb_netflix_v5!A$2:H$7370, 4, FALSE), "")</f>
        <v>9</v>
      </c>
      <c r="E58" s="2">
        <f>IF(A58&lt;&gt;"", VLOOKUP(A58, imdb_netflix_v5!A$2:H$7370, 5, FALSE), "")</f>
        <v>2019</v>
      </c>
      <c r="F58" s="2" t="str">
        <f>IF(A58&lt;&gt;"", VLOOKUP(A58, imdb_netflix_v5!A$2:H$7370, 7, FALSE), "")</f>
        <v>NA</v>
      </c>
    </row>
    <row r="59" ht="15.75" customHeight="1">
      <c r="A59" s="1" t="str">
        <f>IFERROR(__xludf.DUMMYFUNCTION("""COMPUTED_VALUE"""),"clarksons farm")</f>
        <v>clarksons farm</v>
      </c>
      <c r="B59" s="1" t="str">
        <f>IF(A59&lt;&gt;"", VLOOKUP(A59, imdb_netflix_v5!A$2:H$7370, 2, FALSE), "")</f>
        <v>TV Show</v>
      </c>
      <c r="C59" s="2" t="str">
        <f>IF(A59&lt;&gt;"", VLOOKUP(A59, imdb_netflix_v5!A$2:H$7370, 3, FALSE), "")</f>
        <v>Comedy, Documentary, Reality-TV</v>
      </c>
      <c r="D59" s="2">
        <f>IF(A59&lt;&gt;"", VLOOKUP(A59, imdb_netflix_v5!A$2:H$7370, 4, FALSE), "")</f>
        <v>9</v>
      </c>
      <c r="E59" s="2">
        <f>IF(A59&lt;&gt;"", VLOOKUP(A59, imdb_netflix_v5!A$2:H$7370, 5, FALSE), "")</f>
        <v>2021</v>
      </c>
      <c r="F59" s="2" t="str">
        <f>IF(A59&lt;&gt;"", VLOOKUP(A59, imdb_netflix_v5!A$2:H$7370, 7, FALSE), "")</f>
        <v>NA</v>
      </c>
    </row>
    <row r="60" ht="15.75" customHeight="1">
      <c r="A60" s="1" t="str">
        <f>IFERROR(__xludf.DUMMYFUNCTION("""COMPUTED_VALUE"""),"only fools and horses")</f>
        <v>only fools and horses</v>
      </c>
      <c r="B60" s="1" t="str">
        <f>IF(A60&lt;&gt;"", VLOOKUP(A60, imdb_netflix_v5!A$2:H$7370, 2, FALSE), "")</f>
        <v>TV Show</v>
      </c>
      <c r="C60" s="2" t="str">
        <f>IF(A60&lt;&gt;"", VLOOKUP(A60, imdb_netflix_v5!A$2:H$7370, 3, FALSE), "")</f>
        <v>Comedy</v>
      </c>
      <c r="D60" s="2">
        <f>IF(A60&lt;&gt;"", VLOOKUP(A60, imdb_netflix_v5!A$2:H$7370, 4, FALSE), "")</f>
        <v>9</v>
      </c>
      <c r="E60" s="2">
        <f>IF(A60&lt;&gt;"", VLOOKUP(A60, imdb_netflix_v5!A$2:H$7370, 5, FALSE), "")</f>
        <v>1981</v>
      </c>
      <c r="F60" s="2" t="str">
        <f>IF(A60&lt;&gt;"", VLOOKUP(A60, imdb_netflix_v5!A$2:H$7370, 7, FALSE), "")</f>
        <v>NA</v>
      </c>
    </row>
    <row r="61" ht="15.75" customHeight="1">
      <c r="A61" s="1" t="str">
        <f>IFERROR(__xludf.DUMMYFUNCTION("""COMPUTED_VALUE"""),"bleach thousand-year blood war")</f>
        <v>bleach thousand-year blood war</v>
      </c>
      <c r="B61" s="1" t="str">
        <f>IF(A61&lt;&gt;"", VLOOKUP(A61, imdb_netflix_v5!A$2:H$7370, 2, FALSE), "")</f>
        <v>TV Show</v>
      </c>
      <c r="C61" s="2" t="str">
        <f>IF(A61&lt;&gt;"", VLOOKUP(A61, imdb_netflix_v5!A$2:H$7370, 3, FALSE), "")</f>
        <v>Action, Adventure, Animation</v>
      </c>
      <c r="D61" s="2">
        <f>IF(A61&lt;&gt;"", VLOOKUP(A61, imdb_netflix_v5!A$2:H$7370, 4, FALSE), "")</f>
        <v>9</v>
      </c>
      <c r="E61" s="2">
        <f>IF(A61&lt;&gt;"", VLOOKUP(A61, imdb_netflix_v5!A$2:H$7370, 5, FALSE), "")</f>
        <v>2022</v>
      </c>
      <c r="F61" s="2" t="str">
        <f>IF(A61&lt;&gt;"", VLOOKUP(A61, imdb_netflix_v5!A$2:H$7370, 7, FALSE), "")</f>
        <v>NA</v>
      </c>
    </row>
    <row r="62" ht="15.75" customHeight="1">
      <c r="A62" s="1" t="str">
        <f>IFERROR(__xludf.DUMMYFUNCTION("""COMPUTED_VALUE"""),"persona")</f>
        <v>persona</v>
      </c>
      <c r="B62" s="1" t="str">
        <f>IF(A62&lt;&gt;"", VLOOKUP(A62, imdb_netflix_v5!A$2:H$7370, 2, FALSE), "")</f>
        <v>TV Show</v>
      </c>
      <c r="C62" s="2" t="str">
        <f>IF(A62&lt;&gt;"", VLOOKUP(A62, imdb_netflix_v5!A$2:H$7370, 3, FALSE), "")</f>
        <v>Crime, Drama, Mystery</v>
      </c>
      <c r="D62" s="2">
        <f>IF(A62&lt;&gt;"", VLOOKUP(A62, imdb_netflix_v5!A$2:H$7370, 4, FALSE), "")</f>
        <v>9</v>
      </c>
      <c r="E62" s="2">
        <f>IF(A62&lt;&gt;"", VLOOKUP(A62, imdb_netflix_v5!A$2:H$7370, 5, FALSE), "")</f>
        <v>2018</v>
      </c>
      <c r="F62" s="2" t="str">
        <f>IF(A62&lt;&gt;"", VLOOKUP(A62, imdb_netflix_v5!A$2:H$7370, 7, FALSE), "")</f>
        <v>NA</v>
      </c>
    </row>
    <row r="63" ht="15.75" customHeight="1">
      <c r="A63" s="1" t="str">
        <f>IFERROR(__xludf.DUMMYFUNCTION("""COMPUTED_VALUE"""),"the blue planet")</f>
        <v>the blue planet</v>
      </c>
      <c r="B63" s="1" t="str">
        <f>IF(A63&lt;&gt;"", VLOOKUP(A63, imdb_netflix_v5!A$2:H$7370, 2, FALSE), "")</f>
        <v>TV Show</v>
      </c>
      <c r="C63" s="2" t="str">
        <f>IF(A63&lt;&gt;"", VLOOKUP(A63, imdb_netflix_v5!A$2:H$7370, 3, FALSE), "")</f>
        <v>Documentary</v>
      </c>
      <c r="D63" s="2">
        <f>IF(A63&lt;&gt;"", VLOOKUP(A63, imdb_netflix_v5!A$2:H$7370, 4, FALSE), "")</f>
        <v>9</v>
      </c>
      <c r="E63" s="2">
        <f>IF(A63&lt;&gt;"", VLOOKUP(A63, imdb_netflix_v5!A$2:H$7370, 5, FALSE), "")</f>
        <v>2001</v>
      </c>
      <c r="F63" s="2" t="str">
        <f>IF(A63&lt;&gt;"", VLOOKUP(A63, imdb_netflix_v5!A$2:H$7370, 7, FALSE), "")</f>
        <v>NA</v>
      </c>
    </row>
    <row r="64" ht="15.75" customHeight="1">
      <c r="A64" s="1" t="str">
        <f>IFERROR(__xludf.DUMMYFUNCTION("""COMPUTED_VALUE"""),"ncr days")</f>
        <v>ncr days</v>
      </c>
      <c r="B64" s="1" t="str">
        <f>IF(A64&lt;&gt;"", VLOOKUP(A64, imdb_netflix_v5!A$2:H$7370, 2, FALSE), "")</f>
        <v>TV Show</v>
      </c>
      <c r="C64" s="2" t="str">
        <f>IF(A64&lt;&gt;"", VLOOKUP(A64, imdb_netflix_v5!A$2:H$7370, 3, FALSE), "")</f>
        <v>Drama</v>
      </c>
      <c r="D64" s="2">
        <f>IF(A64&lt;&gt;"", VLOOKUP(A64, imdb_netflix_v5!A$2:H$7370, 4, FALSE), "")</f>
        <v>9</v>
      </c>
      <c r="E64" s="2">
        <f>IF(A64&lt;&gt;"", VLOOKUP(A64, imdb_netflix_v5!A$2:H$7370, 5, FALSE), "")</f>
        <v>2022</v>
      </c>
      <c r="F64" s="2" t="str">
        <f>IF(A64&lt;&gt;"", VLOOKUP(A64, imdb_netflix_v5!A$2:H$7370, 7, FALSE), "")</f>
        <v>NA</v>
      </c>
    </row>
    <row r="65" ht="15.75" customHeight="1">
      <c r="A65" s="1" t="str">
        <f>IFERROR(__xludf.DUMMYFUNCTION("""COMPUTED_VALUE"""),"frozen planet")</f>
        <v>frozen planet</v>
      </c>
      <c r="B65" s="1" t="str">
        <f>IF(A65&lt;&gt;"", VLOOKUP(A65, imdb_netflix_v5!A$2:H$7370, 2, FALSE), "")</f>
        <v>TV Show</v>
      </c>
      <c r="C65" s="2" t="str">
        <f>IF(A65&lt;&gt;"", VLOOKUP(A65, imdb_netflix_v5!A$2:H$7370, 3, FALSE), "")</f>
        <v>Documentary</v>
      </c>
      <c r="D65" s="2">
        <f>IF(A65&lt;&gt;"", VLOOKUP(A65, imdb_netflix_v5!A$2:H$7370, 4, FALSE), "")</f>
        <v>9</v>
      </c>
      <c r="E65" s="2">
        <f>IF(A65&lt;&gt;"", VLOOKUP(A65, imdb_netflix_v5!A$2:H$7370, 5, FALSE), "")</f>
        <v>2011</v>
      </c>
      <c r="F65" s="2" t="str">
        <f>IF(A65&lt;&gt;"", VLOOKUP(A65, imdb_netflix_v5!A$2:H$7370, 7, FALSE), "")</f>
        <v>NA</v>
      </c>
    </row>
    <row r="66" ht="15.75" customHeight="1">
      <c r="A66" s="1" t="str">
        <f>IFERROR(__xludf.DUMMYFUNCTION("""COMPUTED_VALUE"""),"human planet")</f>
        <v>human planet</v>
      </c>
      <c r="B66" s="1" t="str">
        <f>IF(A66&lt;&gt;"", VLOOKUP(A66, imdb_netflix_v5!A$2:H$7370, 2, FALSE), "")</f>
        <v>TV Show</v>
      </c>
      <c r="C66" s="2" t="str">
        <f>IF(A66&lt;&gt;"", VLOOKUP(A66, imdb_netflix_v5!A$2:H$7370, 3, FALSE), "")</f>
        <v>Documentary</v>
      </c>
      <c r="D66" s="2">
        <f>IF(A66&lt;&gt;"", VLOOKUP(A66, imdb_netflix_v5!A$2:H$7370, 4, FALSE), "")</f>
        <v>9</v>
      </c>
      <c r="E66" s="2">
        <f>IF(A66&lt;&gt;"", VLOOKUP(A66, imdb_netflix_v5!A$2:H$7370, 5, FALSE), "")</f>
        <v>2011</v>
      </c>
      <c r="F66" s="2" t="str">
        <f>IF(A66&lt;&gt;"", VLOOKUP(A66, imdb_netflix_v5!A$2:H$7370, 7, FALSE), "")</f>
        <v>NA</v>
      </c>
    </row>
    <row r="67" ht="15.75" customHeight="1">
      <c r="A67" s="1" t="str">
        <f>IFERROR(__xludf.DUMMYFUNCTION("""COMPUTED_VALUE"""),"as if")</f>
        <v>as if</v>
      </c>
      <c r="B67" s="1" t="str">
        <f>IF(A67&lt;&gt;"", VLOOKUP(A67, imdb_netflix_v5!A$2:H$7370, 2, FALSE), "")</f>
        <v>TV Show</v>
      </c>
      <c r="C67" s="2" t="str">
        <f>IF(A67&lt;&gt;"", VLOOKUP(A67, imdb_netflix_v5!A$2:H$7370, 3, FALSE), "")</f>
        <v>Comedy</v>
      </c>
      <c r="D67" s="2">
        <f>IF(A67&lt;&gt;"", VLOOKUP(A67, imdb_netflix_v5!A$2:H$7370, 4, FALSE), "")</f>
        <v>9</v>
      </c>
      <c r="E67" s="2">
        <f>IF(A67&lt;&gt;"", VLOOKUP(A67, imdb_netflix_v5!A$2:H$7370, 5, FALSE), "")</f>
        <v>2021</v>
      </c>
      <c r="F67" s="2" t="str">
        <f>IF(A67&lt;&gt;"", VLOOKUP(A67, imdb_netflix_v5!A$2:H$7370, 7, FALSE), "")</f>
        <v>NA</v>
      </c>
    </row>
    <row r="68" ht="15.75" customHeight="1">
      <c r="A68" s="1" t="str">
        <f>IFERROR(__xludf.DUMMYFUNCTION("""COMPUTED_VALUE"""),"ramayan")</f>
        <v>ramayan</v>
      </c>
      <c r="B68" s="1" t="str">
        <f>IF(A68&lt;&gt;"", VLOOKUP(A68, imdb_netflix_v5!A$2:H$7370, 2, FALSE), "")</f>
        <v>TV Show</v>
      </c>
      <c r="C68" s="2" t="str">
        <f>IF(A68&lt;&gt;"", VLOOKUP(A68, imdb_netflix_v5!A$2:H$7370, 3, FALSE), "")</f>
        <v>Adventure, Drama, Family</v>
      </c>
      <c r="D68" s="2">
        <f>IF(A68&lt;&gt;"", VLOOKUP(A68, imdb_netflix_v5!A$2:H$7370, 4, FALSE), "")</f>
        <v>9</v>
      </c>
      <c r="E68" s="2">
        <f>IF(A68&lt;&gt;"", VLOOKUP(A68, imdb_netflix_v5!A$2:H$7370, 5, FALSE), "")</f>
        <v>1987</v>
      </c>
      <c r="F68" s="2" t="str">
        <f>IF(A68&lt;&gt;"", VLOOKUP(A68, imdb_netflix_v5!A$2:H$7370, 7, FALSE), "")</f>
        <v>NA</v>
      </c>
    </row>
    <row r="69" ht="15.75" customHeight="1">
      <c r="A69" s="1" t="str">
        <f>IFERROR(__xludf.DUMMYFUNCTION("""COMPUTED_VALUE"""),"taskmaster")</f>
        <v>taskmaster</v>
      </c>
      <c r="B69" s="1" t="str">
        <f>IF(A69&lt;&gt;"", VLOOKUP(A69, imdb_netflix_v5!A$2:H$7370, 2, FALSE), "")</f>
        <v>TV Show</v>
      </c>
      <c r="C69" s="2" t="str">
        <f>IF(A69&lt;&gt;"", VLOOKUP(A69, imdb_netflix_v5!A$2:H$7370, 3, FALSE), "")</f>
        <v>Comedy, Game-Show</v>
      </c>
      <c r="D69" s="2">
        <f>IF(A69&lt;&gt;"", VLOOKUP(A69, imdb_netflix_v5!A$2:H$7370, 4, FALSE), "")</f>
        <v>9</v>
      </c>
      <c r="E69" s="2">
        <f>IF(A69&lt;&gt;"", VLOOKUP(A69, imdb_netflix_v5!A$2:H$7370, 5, FALSE), "")</f>
        <v>2015</v>
      </c>
      <c r="F69" s="2" t="str">
        <f>IF(A69&lt;&gt;"", VLOOKUP(A69, imdb_netflix_v5!A$2:H$7370, 7, FALSE), "")</f>
        <v>NA</v>
      </c>
    </row>
    <row r="70" ht="15.75" customHeight="1">
      <c r="A70" s="1" t="str">
        <f>IFERROR(__xludf.DUMMYFUNCTION("""COMPUTED_VALUE"""),"the civil war")</f>
        <v>the civil war</v>
      </c>
      <c r="B70" s="1" t="str">
        <f>IF(A70&lt;&gt;"", VLOOKUP(A70, imdb_netflix_v5!A$2:H$7370, 2, FALSE), "")</f>
        <v>TV Show</v>
      </c>
      <c r="C70" s="2" t="str">
        <f>IF(A70&lt;&gt;"", VLOOKUP(A70, imdb_netflix_v5!A$2:H$7370, 3, FALSE), "")</f>
        <v>Documentary, History, War</v>
      </c>
      <c r="D70" s="2">
        <f>IF(A70&lt;&gt;"", VLOOKUP(A70, imdb_netflix_v5!A$2:H$7370, 4, FALSE), "")</f>
        <v>9</v>
      </c>
      <c r="E70" s="2">
        <f>IF(A70&lt;&gt;"", VLOOKUP(A70, imdb_netflix_v5!A$2:H$7370, 5, FALSE), "")</f>
        <v>1990</v>
      </c>
      <c r="F70" s="2" t="str">
        <f>IF(A70&lt;&gt;"", VLOOKUP(A70, imdb_netflix_v5!A$2:H$7370, 7, FALSE), "")</f>
        <v>NA</v>
      </c>
    </row>
    <row r="71" ht="15.75" customHeight="1">
      <c r="A71" s="1" t="str">
        <f>IFERROR(__xludf.DUMMYFUNCTION("""COMPUTED_VALUE"""),"apocalypse the second world war")</f>
        <v>apocalypse the second world war</v>
      </c>
      <c r="B71" s="1" t="str">
        <f>IF(A71&lt;&gt;"", VLOOKUP(A71, imdb_netflix_v5!A$2:H$7370, 2, FALSE), "")</f>
        <v>TV Show</v>
      </c>
      <c r="C71" s="2" t="str">
        <f>IF(A71&lt;&gt;"", VLOOKUP(A71, imdb_netflix_v5!A$2:H$7370, 3, FALSE), "")</f>
        <v>Documentary, History, War</v>
      </c>
      <c r="D71" s="2">
        <f>IF(A71&lt;&gt;"", VLOOKUP(A71, imdb_netflix_v5!A$2:H$7370, 4, FALSE), "")</f>
        <v>9</v>
      </c>
      <c r="E71" s="2">
        <f>IF(A71&lt;&gt;"", VLOOKUP(A71, imdb_netflix_v5!A$2:H$7370, 5, FALSE), "")</f>
        <v>2009</v>
      </c>
      <c r="F71" s="2" t="str">
        <f>IF(A71&lt;&gt;"", VLOOKUP(A71, imdb_netflix_v5!A$2:H$7370, 7, FALSE), "")</f>
        <v>NA</v>
      </c>
    </row>
    <row r="72" ht="15.75" customHeight="1">
      <c r="A72" s="1" t="str">
        <f>IFERROR(__xludf.DUMMYFUNCTION("""COMPUTED_VALUE"""),"reply 1988")</f>
        <v>reply 1988</v>
      </c>
      <c r="B72" s="1" t="str">
        <f>IF(A72&lt;&gt;"", VLOOKUP(A72, imdb_netflix_v5!A$2:H$7370, 2, FALSE), "")</f>
        <v>TV Show</v>
      </c>
      <c r="C72" s="2" t="str">
        <f>IF(A72&lt;&gt;"", VLOOKUP(A72, imdb_netflix_v5!A$2:H$7370, 3, FALSE), "")</f>
        <v>Comedy, Drama, Family</v>
      </c>
      <c r="D72" s="2">
        <f>IF(A72&lt;&gt;"", VLOOKUP(A72, imdb_netflix_v5!A$2:H$7370, 4, FALSE), "")</f>
        <v>9</v>
      </c>
      <c r="E72" s="2">
        <f>IF(A72&lt;&gt;"", VLOOKUP(A72, imdb_netflix_v5!A$2:H$7370, 5, FALSE), "")</f>
        <v>2015</v>
      </c>
      <c r="F72" s="2" t="str">
        <f>IF(A72&lt;&gt;"", VLOOKUP(A72, imdb_netflix_v5!A$2:H$7370, 7, FALSE), "")</f>
        <v>NA</v>
      </c>
    </row>
    <row r="73" ht="15.75" customHeight="1">
      <c r="A73" s="1" t="str">
        <f>IFERROR(__xludf.DUMMYFUNCTION("""COMPUTED_VALUE"""),"mahabharat")</f>
        <v>mahabharat</v>
      </c>
      <c r="B73" s="1" t="str">
        <f>IF(A73&lt;&gt;"", VLOOKUP(A73, imdb_netflix_v5!A$2:H$7370, 2, FALSE), "")</f>
        <v>TV Show</v>
      </c>
      <c r="C73" s="2" t="str">
        <f>IF(A73&lt;&gt;"", VLOOKUP(A73, imdb_netflix_v5!A$2:H$7370, 3, FALSE), "")</f>
        <v>Drama, History, War</v>
      </c>
      <c r="D73" s="2">
        <f>IF(A73&lt;&gt;"", VLOOKUP(A73, imdb_netflix_v5!A$2:H$7370, 4, FALSE), "")</f>
        <v>9</v>
      </c>
      <c r="E73" s="2">
        <f>IF(A73&lt;&gt;"", VLOOKUP(A73, imdb_netflix_v5!A$2:H$7370, 5, FALSE), "")</f>
        <v>2013</v>
      </c>
      <c r="F73" s="2" t="str">
        <f>IF(A73&lt;&gt;"", VLOOKUP(A73, imdb_netflix_v5!A$2:H$7370, 7, FALSE), "")</f>
        <v>NA</v>
      </c>
    </row>
    <row r="74" ht="15.75" customHeight="1">
      <c r="A74" s="1" t="str">
        <f>IFERROR(__xludf.DUMMYFUNCTION("""COMPUTED_VALUE"""),"my mister")</f>
        <v>my mister</v>
      </c>
      <c r="B74" s="1" t="str">
        <f>IF(A74&lt;&gt;"", VLOOKUP(A74, imdb_netflix_v5!A$2:H$7370, 2, FALSE), "")</f>
        <v>TV Show</v>
      </c>
      <c r="C74" s="2" t="str">
        <f>IF(A74&lt;&gt;"", VLOOKUP(A74, imdb_netflix_v5!A$2:H$7370, 3, FALSE), "")</f>
        <v>Drama, Family</v>
      </c>
      <c r="D74" s="2">
        <f>IF(A74&lt;&gt;"", VLOOKUP(A74, imdb_netflix_v5!A$2:H$7370, 4, FALSE), "")</f>
        <v>9</v>
      </c>
      <c r="E74" s="2">
        <f>IF(A74&lt;&gt;"", VLOOKUP(A74, imdb_netflix_v5!A$2:H$7370, 5, FALSE), "")</f>
        <v>2018</v>
      </c>
      <c r="F74" s="2" t="str">
        <f>IF(A74&lt;&gt;"", VLOOKUP(A74, imdb_netflix_v5!A$2:H$7370, 7, FALSE), "")</f>
        <v>NA</v>
      </c>
    </row>
    <row r="75" ht="15.75" customHeight="1">
      <c r="A75" s="1" t="str">
        <f>IFERROR(__xludf.DUMMYFUNCTION("""COMPUTED_VALUE"""),"pulp fiction")</f>
        <v>pulp fiction</v>
      </c>
      <c r="B75" s="1" t="str">
        <f>IF(A75&lt;&gt;"", VLOOKUP(A75, imdb_netflix_v5!A$2:H$7370, 2, FALSE), "")</f>
        <v>Movie</v>
      </c>
      <c r="C75" s="2" t="str">
        <f>IF(A75&lt;&gt;"", VLOOKUP(A75, imdb_netflix_v5!A$2:H$7370, 3, FALSE), "")</f>
        <v>Crime, Drama</v>
      </c>
      <c r="D75" s="2">
        <f>IF(A75&lt;&gt;"", VLOOKUP(A75, imdb_netflix_v5!A$2:H$7370, 4, FALSE), "")</f>
        <v>8.9</v>
      </c>
      <c r="E75" s="2">
        <f>IF(A75&lt;&gt;"", VLOOKUP(A75, imdb_netflix_v5!A$2:H$7370, 5, FALSE), "")</f>
        <v>1994</v>
      </c>
      <c r="F75" s="2" t="str">
        <f>IF(A75&lt;&gt;"", VLOOKUP(A75, imdb_netflix_v5!A$2:H$7370, 7, FALSE), "")</f>
        <v>NA</v>
      </c>
    </row>
    <row r="76" ht="15.75" customHeight="1">
      <c r="A76" s="1" t="str">
        <f>IFERROR(__xludf.DUMMYFUNCTION("""COMPUTED_VALUE"""),"the lord of the rings the fellowship of the ring")</f>
        <v>the lord of the rings the fellowship of the ring</v>
      </c>
      <c r="B76" s="1" t="str">
        <f>IF(A76&lt;&gt;"", VLOOKUP(A76, imdb_netflix_v5!A$2:H$7370, 2, FALSE), "")</f>
        <v>Movie</v>
      </c>
      <c r="C76" s="2" t="str">
        <f>IF(A76&lt;&gt;"", VLOOKUP(A76, imdb_netflix_v5!A$2:H$7370, 3, FALSE), "")</f>
        <v>Adventure, Drama, Fantasy</v>
      </c>
      <c r="D76" s="2">
        <f>IF(A76&lt;&gt;"", VLOOKUP(A76, imdb_netflix_v5!A$2:H$7370, 4, FALSE), "")</f>
        <v>8.9</v>
      </c>
      <c r="E76" s="2">
        <f>IF(A76&lt;&gt;"", VLOOKUP(A76, imdb_netflix_v5!A$2:H$7370, 5, FALSE), "")</f>
        <v>2001</v>
      </c>
      <c r="F76" s="2" t="str">
        <f>IF(A76&lt;&gt;"", VLOOKUP(A76, imdb_netflix_v5!A$2:H$7370, 7, FALSE), "")</f>
        <v>NA</v>
      </c>
    </row>
    <row r="77" ht="15.75" customHeight="1">
      <c r="A77" s="1" t="str">
        <f>IFERROR(__xludf.DUMMYFUNCTION("""COMPUTED_VALUE"""),"friends")</f>
        <v>friends</v>
      </c>
      <c r="B77" s="1" t="str">
        <f>IF(A77&lt;&gt;"", VLOOKUP(A77, imdb_netflix_v5!A$2:H$7370, 2, FALSE), "")</f>
        <v>TV Show</v>
      </c>
      <c r="C77" s="2" t="str">
        <f>IF(A77&lt;&gt;"", VLOOKUP(A77, imdb_netflix_v5!A$2:H$7370, 3, FALSE), "")</f>
        <v>Comedy, Romance</v>
      </c>
      <c r="D77" s="2">
        <f>IF(A77&lt;&gt;"", VLOOKUP(A77, imdb_netflix_v5!A$2:H$7370, 4, FALSE), "")</f>
        <v>8.9</v>
      </c>
      <c r="E77" s="2">
        <f>IF(A77&lt;&gt;"", VLOOKUP(A77, imdb_netflix_v5!A$2:H$7370, 5, FALSE), "")</f>
        <v>1994</v>
      </c>
      <c r="F77" s="2" t="str">
        <f>IF(A77&lt;&gt;"", VLOOKUP(A77, imdb_netflix_v5!A$2:H$7370, 7, FALSE), "")</f>
        <v>NA</v>
      </c>
    </row>
    <row r="78" ht="15.75" customHeight="1">
      <c r="A78" s="1" t="str">
        <f>IFERROR(__xludf.DUMMYFUNCTION("""COMPUTED_VALUE"""),"true detective")</f>
        <v>true detective</v>
      </c>
      <c r="B78" s="1" t="str">
        <f>IF(A78&lt;&gt;"", VLOOKUP(A78, imdb_netflix_v5!A$2:H$7370, 2, FALSE), "")</f>
        <v>TV Show</v>
      </c>
      <c r="C78" s="2" t="str">
        <f>IF(A78&lt;&gt;"", VLOOKUP(A78, imdb_netflix_v5!A$2:H$7370, 3, FALSE), "")</f>
        <v>Crime, Drama, Mystery</v>
      </c>
      <c r="D78" s="2">
        <f>IF(A78&lt;&gt;"", VLOOKUP(A78, imdb_netflix_v5!A$2:H$7370, 4, FALSE), "")</f>
        <v>8.9</v>
      </c>
      <c r="E78" s="2">
        <f>IF(A78&lt;&gt;"", VLOOKUP(A78, imdb_netflix_v5!A$2:H$7370, 5, FALSE), "")</f>
        <v>2014</v>
      </c>
      <c r="F78" s="2" t="str">
        <f>IF(A78&lt;&gt;"", VLOOKUP(A78, imdb_netflix_v5!A$2:H$7370, 7, FALSE), "")</f>
        <v>NA</v>
      </c>
    </row>
    <row r="79" ht="15.75" customHeight="1">
      <c r="A79" s="1" t="str">
        <f>IFERROR(__xludf.DUMMYFUNCTION("""COMPUTED_VALUE"""),"fargo")</f>
        <v>fargo</v>
      </c>
      <c r="B79" s="1" t="str">
        <f>IF(A79&lt;&gt;"", VLOOKUP(A79, imdb_netflix_v5!A$2:H$7370, 2, FALSE), "")</f>
        <v>TV Show</v>
      </c>
      <c r="C79" s="2" t="str">
        <f>IF(A79&lt;&gt;"", VLOOKUP(A79, imdb_netflix_v5!A$2:H$7370, 3, FALSE), "")</f>
        <v>Crime, Drama, Thriller</v>
      </c>
      <c r="D79" s="2">
        <f>IF(A79&lt;&gt;"", VLOOKUP(A79, imdb_netflix_v5!A$2:H$7370, 4, FALSE), "")</f>
        <v>8.9</v>
      </c>
      <c r="E79" s="2">
        <f>IF(A79&lt;&gt;"", VLOOKUP(A79, imdb_netflix_v5!A$2:H$7370, 5, FALSE), "")</f>
        <v>2014</v>
      </c>
      <c r="F79" s="2" t="str">
        <f>IF(A79&lt;&gt;"", VLOOKUP(A79, imdb_netflix_v5!A$2:H$7370, 7, FALSE), "")</f>
        <v>NA</v>
      </c>
    </row>
    <row r="80" ht="15.75" customHeight="1">
      <c r="A80" s="1" t="str">
        <f>IFERROR(__xludf.DUMMYFUNCTION("""COMPUTED_VALUE"""),"death note")</f>
        <v>death note</v>
      </c>
      <c r="B80" s="1" t="str">
        <f>IF(A80&lt;&gt;"", VLOOKUP(A80, imdb_netflix_v5!A$2:H$7370, 2, FALSE), "")</f>
        <v>TV Show</v>
      </c>
      <c r="C80" s="2" t="str">
        <f>IF(A80&lt;&gt;"", VLOOKUP(A80, imdb_netflix_v5!A$2:H$7370, 3, FALSE), "")</f>
        <v>Animation, Crime, Drama</v>
      </c>
      <c r="D80" s="2">
        <f>IF(A80&lt;&gt;"", VLOOKUP(A80, imdb_netflix_v5!A$2:H$7370, 4, FALSE), "")</f>
        <v>8.9</v>
      </c>
      <c r="E80" s="2">
        <f>IF(A80&lt;&gt;"", VLOOKUP(A80, imdb_netflix_v5!A$2:H$7370, 5, FALSE), "")</f>
        <v>2006</v>
      </c>
      <c r="F80" s="2" t="str">
        <f>IF(A80&lt;&gt;"", VLOOKUP(A80, imdb_netflix_v5!A$2:H$7370, 7, FALSE), "")</f>
        <v>NA</v>
      </c>
    </row>
    <row r="81" ht="15.75" customHeight="1">
      <c r="A81" s="1" t="str">
        <f>IFERROR(__xludf.DUMMYFUNCTION("""COMPUTED_VALUE"""),"seinfeld")</f>
        <v>seinfeld</v>
      </c>
      <c r="B81" s="1" t="str">
        <f>IF(A81&lt;&gt;"", VLOOKUP(A81, imdb_netflix_v5!A$2:H$7370, 2, FALSE), "")</f>
        <v>TV Show</v>
      </c>
      <c r="C81" s="2" t="str">
        <f>IF(A81&lt;&gt;"", VLOOKUP(A81, imdb_netflix_v5!A$2:H$7370, 3, FALSE), "")</f>
        <v>Comedy</v>
      </c>
      <c r="D81" s="2">
        <f>IF(A81&lt;&gt;"", VLOOKUP(A81, imdb_netflix_v5!A$2:H$7370, 4, FALSE), "")</f>
        <v>8.9</v>
      </c>
      <c r="E81" s="2">
        <f>IF(A81&lt;&gt;"", VLOOKUP(A81, imdb_netflix_v5!A$2:H$7370, 5, FALSE), "")</f>
        <v>1989</v>
      </c>
      <c r="F81" s="2" t="str">
        <f>IF(A81&lt;&gt;"", VLOOKUP(A81, imdb_netflix_v5!A$2:H$7370, 7, FALSE), "")</f>
        <v>NA</v>
      </c>
    </row>
    <row r="82" ht="15.75" customHeight="1">
      <c r="A82" s="1" t="str">
        <f>IFERROR(__xludf.DUMMYFUNCTION("""COMPUTED_VALUE"""),"firefly")</f>
        <v>firefly</v>
      </c>
      <c r="B82" s="1" t="str">
        <f>IF(A82&lt;&gt;"", VLOOKUP(A82, imdb_netflix_v5!A$2:H$7370, 2, FALSE), "")</f>
        <v>TV Show</v>
      </c>
      <c r="C82" s="2" t="str">
        <f>IF(A82&lt;&gt;"", VLOOKUP(A82, imdb_netflix_v5!A$2:H$7370, 3, FALSE), "")</f>
        <v>Adventure, Drama, Sci-Fi</v>
      </c>
      <c r="D82" s="2">
        <f>IF(A82&lt;&gt;"", VLOOKUP(A82, imdb_netflix_v5!A$2:H$7370, 4, FALSE), "")</f>
        <v>8.9</v>
      </c>
      <c r="E82" s="2">
        <f>IF(A82&lt;&gt;"", VLOOKUP(A82, imdb_netflix_v5!A$2:H$7370, 5, FALSE), "")</f>
        <v>2002</v>
      </c>
      <c r="F82" s="2" t="str">
        <f>IF(A82&lt;&gt;"", VLOOKUP(A82, imdb_netflix_v5!A$2:H$7370, 7, FALSE), "")</f>
        <v>NA</v>
      </c>
    </row>
    <row r="83" ht="15.75" customHeight="1">
      <c r="A83" s="1" t="str">
        <f>IFERROR(__xludf.DUMMYFUNCTION("""COMPUTED_VALUE"""),"gravity falls")</f>
        <v>gravity falls</v>
      </c>
      <c r="B83" s="1" t="str">
        <f>IF(A83&lt;&gt;"", VLOOKUP(A83, imdb_netflix_v5!A$2:H$7370, 2, FALSE), "")</f>
        <v>TV Show</v>
      </c>
      <c r="C83" s="2" t="str">
        <f>IF(A83&lt;&gt;"", VLOOKUP(A83, imdb_netflix_v5!A$2:H$7370, 3, FALSE), "")</f>
        <v>Adventure, Animation, Comedy</v>
      </c>
      <c r="D83" s="2">
        <f>IF(A83&lt;&gt;"", VLOOKUP(A83, imdb_netflix_v5!A$2:H$7370, 4, FALSE), "")</f>
        <v>8.9</v>
      </c>
      <c r="E83" s="2">
        <f>IF(A83&lt;&gt;"", VLOOKUP(A83, imdb_netflix_v5!A$2:H$7370, 5, FALSE), "")</f>
        <v>2012</v>
      </c>
      <c r="F83" s="2" t="str">
        <f>IF(A83&lt;&gt;"", VLOOKUP(A83, imdb_netflix_v5!A$2:H$7370, 7, FALSE), "")</f>
        <v>NA</v>
      </c>
    </row>
    <row r="84" ht="15.75" customHeight="1">
      <c r="A84" s="1" t="str">
        <f>IFERROR(__xludf.DUMMYFUNCTION("""COMPUTED_VALUE"""),"cowboy bebop")</f>
        <v>cowboy bebop</v>
      </c>
      <c r="B84" s="1" t="str">
        <f>IF(A84&lt;&gt;"", VLOOKUP(A84, imdb_netflix_v5!A$2:H$7370, 2, FALSE), "")</f>
        <v>TV Show</v>
      </c>
      <c r="C84" s="2" t="str">
        <f>IF(A84&lt;&gt;"", VLOOKUP(A84, imdb_netflix_v5!A$2:H$7370, 3, FALSE), "")</f>
        <v>Action, Adventure, Animation</v>
      </c>
      <c r="D84" s="2">
        <f>IF(A84&lt;&gt;"", VLOOKUP(A84, imdb_netflix_v5!A$2:H$7370, 4, FALSE), "")</f>
        <v>8.9</v>
      </c>
      <c r="E84" s="2">
        <f>IF(A84&lt;&gt;"", VLOOKUP(A84, imdb_netflix_v5!A$2:H$7370, 5, FALSE), "")</f>
        <v>1998</v>
      </c>
      <c r="F84" s="2">
        <f>IF(A84&lt;&gt;"", VLOOKUP(A84, imdb_netflix_v5!A$2:H$7370, 7, FALSE), "")</f>
        <v>15260000</v>
      </c>
    </row>
    <row r="85" ht="15.75" customHeight="1">
      <c r="A85" s="1" t="str">
        <f>IFERROR(__xludf.DUMMYFUNCTION("""COMPUTED_VALUE"""),"the west wing")</f>
        <v>the west wing</v>
      </c>
      <c r="B85" s="1" t="str">
        <f>IF(A85&lt;&gt;"", VLOOKUP(A85, imdb_netflix_v5!A$2:H$7370, 2, FALSE), "")</f>
        <v>TV Show</v>
      </c>
      <c r="C85" s="2" t="str">
        <f>IF(A85&lt;&gt;"", VLOOKUP(A85, imdb_netflix_v5!A$2:H$7370, 3, FALSE), "")</f>
        <v>Drama</v>
      </c>
      <c r="D85" s="2">
        <f>IF(A85&lt;&gt;"", VLOOKUP(A85, imdb_netflix_v5!A$2:H$7370, 4, FALSE), "")</f>
        <v>8.9</v>
      </c>
      <c r="E85" s="2">
        <f>IF(A85&lt;&gt;"", VLOOKUP(A85, imdb_netflix_v5!A$2:H$7370, 5, FALSE), "")</f>
        <v>1999</v>
      </c>
      <c r="F85" s="2" t="str">
        <f>IF(A85&lt;&gt;"", VLOOKUP(A85, imdb_netflix_v5!A$2:H$7370, 7, FALSE), "")</f>
        <v>NA</v>
      </c>
    </row>
    <row r="86" ht="15.75" customHeight="1">
      <c r="A86" s="1" t="str">
        <f>IFERROR(__xludf.DUMMYFUNCTION("""COMPUTED_VALUE"""),"nathan for you")</f>
        <v>nathan for you</v>
      </c>
      <c r="B86" s="1" t="str">
        <f>IF(A86&lt;&gt;"", VLOOKUP(A86, imdb_netflix_v5!A$2:H$7370, 2, FALSE), "")</f>
        <v>TV Show</v>
      </c>
      <c r="C86" s="2" t="str">
        <f>IF(A86&lt;&gt;"", VLOOKUP(A86, imdb_netflix_v5!A$2:H$7370, 3, FALSE), "")</f>
        <v>Comedy, Documentary</v>
      </c>
      <c r="D86" s="2">
        <f>IF(A86&lt;&gt;"", VLOOKUP(A86, imdb_netflix_v5!A$2:H$7370, 4, FALSE), "")</f>
        <v>8.9</v>
      </c>
      <c r="E86" s="2">
        <f>IF(A86&lt;&gt;"", VLOOKUP(A86, imdb_netflix_v5!A$2:H$7370, 5, FALSE), "")</f>
        <v>2013</v>
      </c>
      <c r="F86" s="2" t="str">
        <f>IF(A86&lt;&gt;"", VLOOKUP(A86, imdb_netflix_v5!A$2:H$7370, 7, FALSE), "")</f>
        <v>NA</v>
      </c>
    </row>
    <row r="87" ht="15.75" customHeight="1">
      <c r="A87" s="1" t="str">
        <f>IFERROR(__xludf.DUMMYFUNCTION("""COMPUTED_VALUE"""),"the beatles get back")</f>
        <v>the beatles get back</v>
      </c>
      <c r="B87" s="1" t="str">
        <f>IF(A87&lt;&gt;"", VLOOKUP(A87, imdb_netflix_v5!A$2:H$7370, 2, FALSE), "")</f>
        <v>TV Show</v>
      </c>
      <c r="C87" s="2" t="str">
        <f>IF(A87&lt;&gt;"", VLOOKUP(A87, imdb_netflix_v5!A$2:H$7370, 3, FALSE), "")</f>
        <v>Biography, Documentary, Music</v>
      </c>
      <c r="D87" s="2">
        <f>IF(A87&lt;&gt;"", VLOOKUP(A87, imdb_netflix_v5!A$2:H$7370, 4, FALSE), "")</f>
        <v>8.9</v>
      </c>
      <c r="E87" s="2">
        <f>IF(A87&lt;&gt;"", VLOOKUP(A87, imdb_netflix_v5!A$2:H$7370, 5, FALSE), "")</f>
        <v>2021</v>
      </c>
      <c r="F87" s="2" t="str">
        <f>IF(A87&lt;&gt;"", VLOOKUP(A87, imdb_netflix_v5!A$2:H$7370, 7, FALSE), "")</f>
        <v>NA</v>
      </c>
    </row>
    <row r="88" ht="15.75" customHeight="1">
      <c r="A88" s="1" t="str">
        <f>IFERROR(__xludf.DUMMYFUNCTION("""COMPUTED_VALUE"""),"mirror game")</f>
        <v>mirror game</v>
      </c>
      <c r="B88" s="1" t="str">
        <f>IF(A88&lt;&gt;"", VLOOKUP(A88, imdb_netflix_v5!A$2:H$7370, 2, FALSE), "")</f>
        <v>Movie</v>
      </c>
      <c r="C88" s="2" t="str">
        <f>IF(A88&lt;&gt;"", VLOOKUP(A88, imdb_netflix_v5!A$2:H$7370, 3, FALSE), "")</f>
        <v>Crime, Mystery, Thriller</v>
      </c>
      <c r="D88" s="2">
        <f>IF(A88&lt;&gt;"", VLOOKUP(A88, imdb_netflix_v5!A$2:H$7370, 4, FALSE), "")</f>
        <v>8.9</v>
      </c>
      <c r="E88" s="2">
        <f>IF(A88&lt;&gt;"", VLOOKUP(A88, imdb_netflix_v5!A$2:H$7370, 5, FALSE), "")</f>
        <v>2016</v>
      </c>
      <c r="F88" s="2" t="str">
        <f>IF(A88&lt;&gt;"", VLOOKUP(A88, imdb_netflix_v5!A$2:H$7370, 7, FALSE), "")</f>
        <v>NA</v>
      </c>
    </row>
    <row r="89" ht="15.75" customHeight="1">
      <c r="A89" s="1" t="str">
        <f>IFERROR(__xludf.DUMMYFUNCTION("""COMPUTED_VALUE"""),"dekalog")</f>
        <v>dekalog</v>
      </c>
      <c r="B89" s="1" t="str">
        <f>IF(A89&lt;&gt;"", VLOOKUP(A89, imdb_netflix_v5!A$2:H$7370, 2, FALSE), "")</f>
        <v>TV Show</v>
      </c>
      <c r="C89" s="2" t="str">
        <f>IF(A89&lt;&gt;"", VLOOKUP(A89, imdb_netflix_v5!A$2:H$7370, 3, FALSE), "")</f>
        <v>Drama</v>
      </c>
      <c r="D89" s="2">
        <f>IF(A89&lt;&gt;"", VLOOKUP(A89, imdb_netflix_v5!A$2:H$7370, 4, FALSE), "")</f>
        <v>8.9</v>
      </c>
      <c r="E89" s="2">
        <f>IF(A89&lt;&gt;"", VLOOKUP(A89, imdb_netflix_v5!A$2:H$7370, 5, FALSE), "")</f>
        <v>1989</v>
      </c>
      <c r="F89" s="2" t="str">
        <f>IF(A89&lt;&gt;"", VLOOKUP(A89, imdb_netflix_v5!A$2:H$7370, 7, FALSE), "")</f>
        <v>NA</v>
      </c>
    </row>
    <row r="90" ht="15.75" customHeight="1">
      <c r="A90" s="1" t="str">
        <f>IFERROR(__xludf.DUMMYFUNCTION("""COMPUTED_VALUE"""),"frieren beyond journeys end")</f>
        <v>frieren beyond journeys end</v>
      </c>
      <c r="B90" s="1" t="str">
        <f>IF(A90&lt;&gt;"", VLOOKUP(A90, imdb_netflix_v5!A$2:H$7370, 2, FALSE), "")</f>
        <v>TV Show</v>
      </c>
      <c r="C90" s="2" t="str">
        <f>IF(A90&lt;&gt;"", VLOOKUP(A90, imdb_netflix_v5!A$2:H$7370, 3, FALSE), "")</f>
        <v>Adventure, Animation, Comedy</v>
      </c>
      <c r="D90" s="2">
        <f>IF(A90&lt;&gt;"", VLOOKUP(A90, imdb_netflix_v5!A$2:H$7370, 4, FALSE), "")</f>
        <v>8.9</v>
      </c>
      <c r="E90" s="2">
        <f>IF(A90&lt;&gt;"", VLOOKUP(A90, imdb_netflix_v5!A$2:H$7370, 5, FALSE), "")</f>
        <v>2023</v>
      </c>
      <c r="F90" s="2" t="str">
        <f>IF(A90&lt;&gt;"", VLOOKUP(A90, imdb_netflix_v5!A$2:H$7370, 7, FALSE), "")</f>
        <v>NA</v>
      </c>
    </row>
    <row r="91" ht="15.75" customHeight="1">
      <c r="A91" s="1" t="str">
        <f>IFERROR(__xludf.DUMMYFUNCTION("""COMPUTED_VALUE"""),"undercover")</f>
        <v>undercover</v>
      </c>
      <c r="B91" s="1" t="str">
        <f>IF(A91&lt;&gt;"", VLOOKUP(A91, imdb_netflix_v5!A$2:H$7370, 2, FALSE), "")</f>
        <v>TV Show</v>
      </c>
      <c r="C91" s="2" t="str">
        <f>IF(A91&lt;&gt;"", VLOOKUP(A91, imdb_netflix_v5!A$2:H$7370, 3, FALSE), "")</f>
        <v>Action, Crime, Drama</v>
      </c>
      <c r="D91" s="2">
        <f>IF(A91&lt;&gt;"", VLOOKUP(A91, imdb_netflix_v5!A$2:H$7370, 4, FALSE), "")</f>
        <v>8.9</v>
      </c>
      <c r="E91" s="2">
        <f>IF(A91&lt;&gt;"", VLOOKUP(A91, imdb_netflix_v5!A$2:H$7370, 5, FALSE), "")</f>
        <v>2011</v>
      </c>
      <c r="F91" s="2">
        <f>IF(A91&lt;&gt;"", VLOOKUP(A91, imdb_netflix_v5!A$2:H$7370, 7, FALSE), "")</f>
        <v>16830000</v>
      </c>
    </row>
    <row r="92" ht="15.75" customHeight="1">
      <c r="A92" s="1" t="str">
        <f>IFERROR(__xludf.DUMMYFUNCTION("""COMPUTED_VALUE"""),"yeh meri family")</f>
        <v>yeh meri family</v>
      </c>
      <c r="B92" s="1" t="str">
        <f>IF(A92&lt;&gt;"", VLOOKUP(A92, imdb_netflix_v5!A$2:H$7370, 2, FALSE), "")</f>
        <v>TV Show</v>
      </c>
      <c r="C92" s="2" t="str">
        <f>IF(A92&lt;&gt;"", VLOOKUP(A92, imdb_netflix_v5!A$2:H$7370, 3, FALSE), "")</f>
        <v>Comedy, Drama, Family</v>
      </c>
      <c r="D92" s="2">
        <f>IF(A92&lt;&gt;"", VLOOKUP(A92, imdb_netflix_v5!A$2:H$7370, 4, FALSE), "")</f>
        <v>8.9</v>
      </c>
      <c r="E92" s="2">
        <f>IF(A92&lt;&gt;"", VLOOKUP(A92, imdb_netflix_v5!A$2:H$7370, 5, FALSE), "")</f>
        <v>2018</v>
      </c>
      <c r="F92" s="2" t="str">
        <f>IF(A92&lt;&gt;"", VLOOKUP(A92, imdb_netflix_v5!A$2:H$7370, 7, FALSE), "")</f>
        <v>NA</v>
      </c>
    </row>
    <row r="93" ht="15.75" customHeight="1">
      <c r="A93" s="1" t="str">
        <f>IFERROR(__xludf.DUMMYFUNCTION("""COMPUTED_VALUE"""),"tosun pasha")</f>
        <v>tosun pasha</v>
      </c>
      <c r="B93" s="1" t="str">
        <f>IF(A93&lt;&gt;"", VLOOKUP(A93, imdb_netflix_v5!A$2:H$7370, 2, FALSE), "")</f>
        <v>Movie</v>
      </c>
      <c r="C93" s="2" t="str">
        <f>IF(A93&lt;&gt;"", VLOOKUP(A93, imdb_netflix_v5!A$2:H$7370, 3, FALSE), "")</f>
        <v>Comedy, History</v>
      </c>
      <c r="D93" s="2">
        <f>IF(A93&lt;&gt;"", VLOOKUP(A93, imdb_netflix_v5!A$2:H$7370, 4, FALSE), "")</f>
        <v>8.9</v>
      </c>
      <c r="E93" s="2">
        <f>IF(A93&lt;&gt;"", VLOOKUP(A93, imdb_netflix_v5!A$2:H$7370, 5, FALSE), "")</f>
        <v>1976</v>
      </c>
      <c r="F93" s="2" t="str">
        <f>IF(A93&lt;&gt;"", VLOOKUP(A93, imdb_netflix_v5!A$2:H$7370, 7, FALSE), "")</f>
        <v>NA</v>
      </c>
    </row>
    <row r="94" ht="15.75" customHeight="1">
      <c r="A94" s="1" t="str">
        <f>IFERROR(__xludf.DUMMYFUNCTION("""COMPUTED_VALUE"""),"o.j. made in america")</f>
        <v>o.j. made in america</v>
      </c>
      <c r="B94" s="1" t="str">
        <f>IF(A94&lt;&gt;"", VLOOKUP(A94, imdb_netflix_v5!A$2:H$7370, 2, FALSE), "")</f>
        <v>Movie</v>
      </c>
      <c r="C94" s="2" t="str">
        <f>IF(A94&lt;&gt;"", VLOOKUP(A94, imdb_netflix_v5!A$2:H$7370, 3, FALSE), "")</f>
        <v>Biography, Crime, Documentary</v>
      </c>
      <c r="D94" s="2">
        <f>IF(A94&lt;&gt;"", VLOOKUP(A94, imdb_netflix_v5!A$2:H$7370, 4, FALSE), "")</f>
        <v>8.9</v>
      </c>
      <c r="E94" s="2">
        <f>IF(A94&lt;&gt;"", VLOOKUP(A94, imdb_netflix_v5!A$2:H$7370, 5, FALSE), "")</f>
        <v>2016</v>
      </c>
      <c r="F94" s="2" t="str">
        <f>IF(A94&lt;&gt;"", VLOOKUP(A94, imdb_netflix_v5!A$2:H$7370, 7, FALSE), "")</f>
        <v>NA</v>
      </c>
    </row>
    <row r="95" ht="15.75" customHeight="1">
      <c r="A95" s="1" t="str">
        <f>IFERROR(__xludf.DUMMYFUNCTION("""COMPUTED_VALUE"""),"sarabhai v/s sarabhai")</f>
        <v>sarabhai v/s sarabhai</v>
      </c>
      <c r="B95" s="1" t="str">
        <f>IF(A95&lt;&gt;"", VLOOKUP(A95, imdb_netflix_v5!A$2:H$7370, 2, FALSE), "")</f>
        <v>TV Show</v>
      </c>
      <c r="C95" s="2" t="str">
        <f>IF(A95&lt;&gt;"", VLOOKUP(A95, imdb_netflix_v5!A$2:H$7370, 3, FALSE), "")</f>
        <v>Comedy</v>
      </c>
      <c r="D95" s="2">
        <f>IF(A95&lt;&gt;"", VLOOKUP(A95, imdb_netflix_v5!A$2:H$7370, 4, FALSE), "")</f>
        <v>8.9</v>
      </c>
      <c r="E95" s="2">
        <f>IF(A95&lt;&gt;"", VLOOKUP(A95, imdb_netflix_v5!A$2:H$7370, 5, FALSE), "")</f>
        <v>2004</v>
      </c>
      <c r="F95" s="2" t="str">
        <f>IF(A95&lt;&gt;"", VLOOKUP(A95, imdb_netflix_v5!A$2:H$7370, 7, FALSE), "")</f>
        <v>NA</v>
      </c>
    </row>
    <row r="96" ht="15.75" customHeight="1">
      <c r="A96" s="1" t="str">
        <f>IFERROR(__xludf.DUMMYFUNCTION("""COMPUTED_VALUE"""),"rocket boys")</f>
        <v>rocket boys</v>
      </c>
      <c r="B96" s="1" t="str">
        <f>IF(A96&lt;&gt;"", VLOOKUP(A96, imdb_netflix_v5!A$2:H$7370, 2, FALSE), "")</f>
        <v>TV Show</v>
      </c>
      <c r="C96" s="2" t="str">
        <f>IF(A96&lt;&gt;"", VLOOKUP(A96, imdb_netflix_v5!A$2:H$7370, 3, FALSE), "")</f>
        <v>Drama, History</v>
      </c>
      <c r="D96" s="2">
        <f>IF(A96&lt;&gt;"", VLOOKUP(A96, imdb_netflix_v5!A$2:H$7370, 4, FALSE), "")</f>
        <v>8.9</v>
      </c>
      <c r="E96" s="2">
        <f>IF(A96&lt;&gt;"", VLOOKUP(A96, imdb_netflix_v5!A$2:H$7370, 5, FALSE), "")</f>
        <v>2022</v>
      </c>
      <c r="F96" s="2" t="str">
        <f>IF(A96&lt;&gt;"", VLOOKUP(A96, imdb_netflix_v5!A$2:H$7370, 7, FALSE), "")</f>
        <v>NA</v>
      </c>
    </row>
    <row r="97" ht="15.75" customHeight="1">
      <c r="A97" s="1" t="str">
        <f>IFERROR(__xludf.DUMMYFUNCTION("""COMPUTED_VALUE"""),"africa")</f>
        <v>africa</v>
      </c>
      <c r="B97" s="1" t="str">
        <f>IF(A97&lt;&gt;"", VLOOKUP(A97, imdb_netflix_v5!A$2:H$7370, 2, FALSE), "")</f>
        <v>TV Show</v>
      </c>
      <c r="C97" s="2" t="str">
        <f>IF(A97&lt;&gt;"", VLOOKUP(A97, imdb_netflix_v5!A$2:H$7370, 3, FALSE), "")</f>
        <v>Documentary</v>
      </c>
      <c r="D97" s="2">
        <f>IF(A97&lt;&gt;"", VLOOKUP(A97, imdb_netflix_v5!A$2:H$7370, 4, FALSE), "")</f>
        <v>8.9</v>
      </c>
      <c r="E97" s="2">
        <f>IF(A97&lt;&gt;"", VLOOKUP(A97, imdb_netflix_v5!A$2:H$7370, 5, FALSE), "")</f>
        <v>2013</v>
      </c>
      <c r="F97" s="2" t="str">
        <f>IF(A97&lt;&gt;"", VLOOKUP(A97, imdb_netflix_v5!A$2:H$7370, 7, FALSE), "")</f>
        <v>NA</v>
      </c>
    </row>
    <row r="98" ht="15.75" customHeight="1">
      <c r="A98" s="1" t="str">
        <f>IFERROR(__xludf.DUMMYFUNCTION("""COMPUTED_VALUE"""),"the message")</f>
        <v>the message</v>
      </c>
      <c r="B98" s="1" t="str">
        <f>IF(A98&lt;&gt;"", VLOOKUP(A98, imdb_netflix_v5!A$2:H$7370, 2, FALSE), "")</f>
        <v>Movie</v>
      </c>
      <c r="C98" s="2" t="str">
        <f>IF(A98&lt;&gt;"", VLOOKUP(A98, imdb_netflix_v5!A$2:H$7370, 3, FALSE), "")</f>
        <v>Action, Adventure, Biography</v>
      </c>
      <c r="D98" s="2">
        <f>IF(A98&lt;&gt;"", VLOOKUP(A98, imdb_netflix_v5!A$2:H$7370, 4, FALSE), "")</f>
        <v>8.9</v>
      </c>
      <c r="E98" s="2">
        <f>IF(A98&lt;&gt;"", VLOOKUP(A98, imdb_netflix_v5!A$2:H$7370, 5, FALSE), "")</f>
        <v>1976</v>
      </c>
      <c r="F98" s="2" t="str">
        <f>IF(A98&lt;&gt;"", VLOOKUP(A98, imdb_netflix_v5!A$2:H$7370, 7, FALSE), "")</f>
        <v>NA</v>
      </c>
    </row>
    <row r="99" ht="15.75" customHeight="1">
      <c r="A99" s="1" t="str">
        <f>IFERROR(__xludf.DUMMYFUNCTION("""COMPUTED_VALUE"""),"tash ma tash")</f>
        <v>tash ma tash</v>
      </c>
      <c r="B99" s="1" t="str">
        <f>IF(A99&lt;&gt;"", VLOOKUP(A99, imdb_netflix_v5!A$2:H$7370, 2, FALSE), "")</f>
        <v>TV Show</v>
      </c>
      <c r="C99" s="2" t="str">
        <f>IF(A99&lt;&gt;"", VLOOKUP(A99, imdb_netflix_v5!A$2:H$7370, 3, FALSE), "")</f>
        <v>Comedy, Drama</v>
      </c>
      <c r="D99" s="2">
        <f>IF(A99&lt;&gt;"", VLOOKUP(A99, imdb_netflix_v5!A$2:H$7370, 4, FALSE), "")</f>
        <v>8.9</v>
      </c>
      <c r="E99" s="2">
        <f>IF(A99&lt;&gt;"", VLOOKUP(A99, imdb_netflix_v5!A$2:H$7370, 5, FALSE), "")</f>
        <v>1992</v>
      </c>
      <c r="F99" s="2" t="str">
        <f>IF(A99&lt;&gt;"", VLOOKUP(A99, imdb_netflix_v5!A$2:H$7370, 7, FALSE), "")</f>
        <v>NA</v>
      </c>
    </row>
    <row r="100" ht="15.75" customHeight="1">
      <c r="A100" s="1" t="str">
        <f>IFERROR(__xludf.DUMMYFUNCTION("""COMPUTED_VALUE"""),"harga")</f>
        <v>harga</v>
      </c>
      <c r="B100" s="1" t="str">
        <f>IF(A100&lt;&gt;"", VLOOKUP(A100, imdb_netflix_v5!A$2:H$7370, 2, FALSE), "")</f>
        <v>TV Show</v>
      </c>
      <c r="C100" s="2" t="str">
        <f>IF(A100&lt;&gt;"", VLOOKUP(A100, imdb_netflix_v5!A$2:H$7370, 3, FALSE), "")</f>
        <v>Drama</v>
      </c>
      <c r="D100" s="2">
        <f>IF(A100&lt;&gt;"", VLOOKUP(A100, imdb_netflix_v5!A$2:H$7370, 4, FALSE), "")</f>
        <v>8.9</v>
      </c>
      <c r="E100" s="2">
        <f>IF(A100&lt;&gt;"", VLOOKUP(A100, imdb_netflix_v5!A$2:H$7370, 5, FALSE), "")</f>
        <v>2021</v>
      </c>
      <c r="F100" s="2" t="str">
        <f>IF(A100&lt;&gt;"", VLOOKUP(A100, imdb_netflix_v5!A$2:H$7370, 7, FALSE), "")</f>
        <v>NA</v>
      </c>
    </row>
    <row r="101" ht="15.75" customHeight="1">
      <c r="A101" s="1" t="str">
        <f>IFERROR(__xludf.DUMMYFUNCTION("""COMPUTED_VALUE"""),"inception")</f>
        <v>inception</v>
      </c>
      <c r="B101" s="1" t="str">
        <f>IF(A101&lt;&gt;"", VLOOKUP(A101, imdb_netflix_v5!A$2:H$7370, 2, FALSE), "")</f>
        <v>Movie</v>
      </c>
      <c r="C101" s="2" t="str">
        <f>IF(A101&lt;&gt;"", VLOOKUP(A101, imdb_netflix_v5!A$2:H$7370, 3, FALSE), "")</f>
        <v>Action, Adventure, Sci-Fi</v>
      </c>
      <c r="D101" s="2">
        <f>IF(A101&lt;&gt;"", VLOOKUP(A101, imdb_netflix_v5!A$2:H$7370, 4, FALSE), "")</f>
        <v>8.8</v>
      </c>
      <c r="E101" s="2">
        <f>IF(A101&lt;&gt;"", VLOOKUP(A101, imdb_netflix_v5!A$2:H$7370, 5, FALSE), "")</f>
        <v>2010</v>
      </c>
      <c r="F101" s="2" t="str">
        <f>IF(A101&lt;&gt;"", VLOOKUP(A101, imdb_netflix_v5!A$2:H$7370, 7, FALSE), "")</f>
        <v>NA</v>
      </c>
    </row>
    <row r="102" ht="15.75" customHeight="1">
      <c r="A102" s="1" t="str">
        <f>IFERROR(__xludf.DUMMYFUNCTION("""COMPUTED_VALUE"""),"fight club")</f>
        <v>fight club</v>
      </c>
      <c r="B102" s="1" t="str">
        <f>IF(A102&lt;&gt;"", VLOOKUP(A102, imdb_netflix_v5!A$2:H$7370, 2, FALSE), "")</f>
        <v>Movie</v>
      </c>
      <c r="C102" s="2" t="str">
        <f>IF(A102&lt;&gt;"", VLOOKUP(A102, imdb_netflix_v5!A$2:H$7370, 3, FALSE), "")</f>
        <v>Drama</v>
      </c>
      <c r="D102" s="2">
        <f>IF(A102&lt;&gt;"", VLOOKUP(A102, imdb_netflix_v5!A$2:H$7370, 4, FALSE), "")</f>
        <v>8.8</v>
      </c>
      <c r="E102" s="2">
        <f>IF(A102&lt;&gt;"", VLOOKUP(A102, imdb_netflix_v5!A$2:H$7370, 5, FALSE), "")</f>
        <v>1999</v>
      </c>
      <c r="F102" s="2" t="str">
        <f>IF(A102&lt;&gt;"", VLOOKUP(A102, imdb_netflix_v5!A$2:H$7370, 7, FALSE), "")</f>
        <v>NA</v>
      </c>
    </row>
    <row r="103" ht="15.75" customHeight="1">
      <c r="A103" s="1" t="str">
        <f>IFERROR(__xludf.DUMMYFUNCTION("""COMPUTED_VALUE"""),"forrest gump")</f>
        <v>forrest gump</v>
      </c>
      <c r="B103" s="1" t="str">
        <f>IF(A103&lt;&gt;"", VLOOKUP(A103, imdb_netflix_v5!A$2:H$7370, 2, FALSE), "")</f>
        <v>Movie</v>
      </c>
      <c r="C103" s="2" t="str">
        <f>IF(A103&lt;&gt;"", VLOOKUP(A103, imdb_netflix_v5!A$2:H$7370, 3, FALSE), "")</f>
        <v>Drama, Romance</v>
      </c>
      <c r="D103" s="2">
        <f>IF(A103&lt;&gt;"", VLOOKUP(A103, imdb_netflix_v5!A$2:H$7370, 4, FALSE), "")</f>
        <v>8.8</v>
      </c>
      <c r="E103" s="2">
        <f>IF(A103&lt;&gt;"", VLOOKUP(A103, imdb_netflix_v5!A$2:H$7370, 5, FALSE), "")</f>
        <v>1994</v>
      </c>
      <c r="F103" s="2" t="str">
        <f>IF(A103&lt;&gt;"", VLOOKUP(A103, imdb_netflix_v5!A$2:H$7370, 7, FALSE), "")</f>
        <v>NA</v>
      </c>
    </row>
    <row r="104" ht="15.75" customHeight="1">
      <c r="A104" s="1" t="str">
        <f>IFERROR(__xludf.DUMMYFUNCTION("""COMPUTED_VALUE"""),"the lord of the rings the two towers")</f>
        <v>the lord of the rings the two towers</v>
      </c>
      <c r="B104" s="1" t="str">
        <f>IF(A104&lt;&gt;"", VLOOKUP(A104, imdb_netflix_v5!A$2:H$7370, 2, FALSE), "")</f>
        <v>Movie</v>
      </c>
      <c r="C104" s="2" t="str">
        <f>IF(A104&lt;&gt;"", VLOOKUP(A104, imdb_netflix_v5!A$2:H$7370, 3, FALSE), "")</f>
        <v>Adventure, Drama, Fantasy</v>
      </c>
      <c r="D104" s="2">
        <f>IF(A104&lt;&gt;"", VLOOKUP(A104, imdb_netflix_v5!A$2:H$7370, 4, FALSE), "")</f>
        <v>8.8</v>
      </c>
      <c r="E104" s="2">
        <f>IF(A104&lt;&gt;"", VLOOKUP(A104, imdb_netflix_v5!A$2:H$7370, 5, FALSE), "")</f>
        <v>2002</v>
      </c>
      <c r="F104" s="2" t="str">
        <f>IF(A104&lt;&gt;"", VLOOKUP(A104, imdb_netflix_v5!A$2:H$7370, 7, FALSE), "")</f>
        <v>NA</v>
      </c>
    </row>
    <row r="105" ht="15.75" customHeight="1">
      <c r="A105" s="1" t="str">
        <f>IFERROR(__xludf.DUMMYFUNCTION("""COMPUTED_VALUE"""),"the good, the bad and the ugly")</f>
        <v>the good, the bad and the ugly</v>
      </c>
      <c r="B105" s="1" t="str">
        <f>IF(A105&lt;&gt;"", VLOOKUP(A105, imdb_netflix_v5!A$2:H$7370, 2, FALSE), "")</f>
        <v>Movie</v>
      </c>
      <c r="C105" s="2" t="str">
        <f>IF(A105&lt;&gt;"", VLOOKUP(A105, imdb_netflix_v5!A$2:H$7370, 3, FALSE), "")</f>
        <v>Adventure, Drama, Western</v>
      </c>
      <c r="D105" s="2">
        <f>IF(A105&lt;&gt;"", VLOOKUP(A105, imdb_netflix_v5!A$2:H$7370, 4, FALSE), "")</f>
        <v>8.8</v>
      </c>
      <c r="E105" s="2">
        <f>IF(A105&lt;&gt;"", VLOOKUP(A105, imdb_netflix_v5!A$2:H$7370, 5, FALSE), "")</f>
        <v>1966</v>
      </c>
      <c r="F105" s="2" t="str">
        <f>IF(A105&lt;&gt;"", VLOOKUP(A105, imdb_netflix_v5!A$2:H$7370, 7, FALSE), "")</f>
        <v>NA</v>
      </c>
    </row>
    <row r="106" ht="15.75" customHeight="1">
      <c r="A106" s="1" t="str">
        <f>IFERROR(__xludf.DUMMYFUNCTION("""COMPUTED_VALUE"""),"ted lasso")</f>
        <v>ted lasso</v>
      </c>
      <c r="B106" s="1" t="str">
        <f>IF(A106&lt;&gt;"", VLOOKUP(A106, imdb_netflix_v5!A$2:H$7370, 2, FALSE), "")</f>
        <v>TV Show</v>
      </c>
      <c r="C106" s="2" t="str">
        <f>IF(A106&lt;&gt;"", VLOOKUP(A106, imdb_netflix_v5!A$2:H$7370, 3, FALSE), "")</f>
        <v>Comedy, Drama, Sport</v>
      </c>
      <c r="D106" s="2">
        <f>IF(A106&lt;&gt;"", VLOOKUP(A106, imdb_netflix_v5!A$2:H$7370, 4, FALSE), "")</f>
        <v>8.8</v>
      </c>
      <c r="E106" s="2">
        <f>IF(A106&lt;&gt;"", VLOOKUP(A106, imdb_netflix_v5!A$2:H$7370, 5, FALSE), "")</f>
        <v>2020</v>
      </c>
      <c r="F106" s="2" t="str">
        <f>IF(A106&lt;&gt;"", VLOOKUP(A106, imdb_netflix_v5!A$2:H$7370, 7, FALSE), "")</f>
        <v>NA</v>
      </c>
    </row>
    <row r="107" ht="15.75" customHeight="1">
      <c r="A107" s="1" t="str">
        <f>IFERROR(__xludf.DUMMYFUNCTION("""COMPUTED_VALUE"""),"succession")</f>
        <v>succession</v>
      </c>
      <c r="B107" s="1" t="str">
        <f>IF(A107&lt;&gt;"", VLOOKUP(A107, imdb_netflix_v5!A$2:H$7370, 2, FALSE), "")</f>
        <v>TV Show</v>
      </c>
      <c r="C107" s="2" t="str">
        <f>IF(A107&lt;&gt;"", VLOOKUP(A107, imdb_netflix_v5!A$2:H$7370, 3, FALSE), "")</f>
        <v>Comedy, Drama</v>
      </c>
      <c r="D107" s="2">
        <f>IF(A107&lt;&gt;"", VLOOKUP(A107, imdb_netflix_v5!A$2:H$7370, 4, FALSE), "")</f>
        <v>8.8</v>
      </c>
      <c r="E107" s="2">
        <f>IF(A107&lt;&gt;"", VLOOKUP(A107, imdb_netflix_v5!A$2:H$7370, 5, FALSE), "")</f>
        <v>2018</v>
      </c>
      <c r="F107" s="2" t="str">
        <f>IF(A107&lt;&gt;"", VLOOKUP(A107, imdb_netflix_v5!A$2:H$7370, 7, FALSE), "")</f>
        <v>NA</v>
      </c>
    </row>
    <row r="108" ht="15.75" customHeight="1">
      <c r="A108" s="1" t="str">
        <f>IFERROR(__xludf.DUMMYFUNCTION("""COMPUTED_VALUE"""),"its always sunny in philadelphia")</f>
        <v>its always sunny in philadelphia</v>
      </c>
      <c r="B108" s="1" t="str">
        <f>IF(A108&lt;&gt;"", VLOOKUP(A108, imdb_netflix_v5!A$2:H$7370, 2, FALSE), "")</f>
        <v>TV Show</v>
      </c>
      <c r="C108" s="2" t="str">
        <f>IF(A108&lt;&gt;"", VLOOKUP(A108, imdb_netflix_v5!A$2:H$7370, 3, FALSE), "")</f>
        <v>Comedy</v>
      </c>
      <c r="D108" s="2">
        <f>IF(A108&lt;&gt;"", VLOOKUP(A108, imdb_netflix_v5!A$2:H$7370, 4, FALSE), "")</f>
        <v>8.8</v>
      </c>
      <c r="E108" s="2">
        <f>IF(A108&lt;&gt;"", VLOOKUP(A108, imdb_netflix_v5!A$2:H$7370, 5, FALSE), "")</f>
        <v>2005</v>
      </c>
      <c r="F108" s="2" t="str">
        <f>IF(A108&lt;&gt;"", VLOOKUP(A108, imdb_netflix_v5!A$2:H$7370, 7, FALSE), "")</f>
        <v>NA</v>
      </c>
    </row>
    <row r="109" ht="15.75" customHeight="1">
      <c r="A109" s="1" t="str">
        <f>IFERROR(__xludf.DUMMYFUNCTION("""COMPUTED_VALUE"""),"bojack horseman")</f>
        <v>bojack horseman</v>
      </c>
      <c r="B109" s="1" t="str">
        <f>IF(A109&lt;&gt;"", VLOOKUP(A109, imdb_netflix_v5!A$2:H$7370, 2, FALSE), "")</f>
        <v>TV Show</v>
      </c>
      <c r="C109" s="2" t="str">
        <f>IF(A109&lt;&gt;"", VLOOKUP(A109, imdb_netflix_v5!A$2:H$7370, 3, FALSE), "")</f>
        <v>Animation, Comedy, Drama</v>
      </c>
      <c r="D109" s="2">
        <f>IF(A109&lt;&gt;"", VLOOKUP(A109, imdb_netflix_v5!A$2:H$7370, 4, FALSE), "")</f>
        <v>8.8</v>
      </c>
      <c r="E109" s="2">
        <f>IF(A109&lt;&gt;"", VLOOKUP(A109, imdb_netflix_v5!A$2:H$7370, 5, FALSE), "")</f>
        <v>2014</v>
      </c>
      <c r="F109" s="2" t="str">
        <f>IF(A109&lt;&gt;"", VLOOKUP(A109, imdb_netflix_v5!A$2:H$7370, 7, FALSE), "")</f>
        <v>NA</v>
      </c>
    </row>
    <row r="110" ht="15.75" customHeight="1">
      <c r="A110" s="1" t="str">
        <f>IFERROR(__xludf.DUMMYFUNCTION("""COMPUTED_VALUE"""),"freaks and geeks")</f>
        <v>freaks and geeks</v>
      </c>
      <c r="B110" s="1" t="str">
        <f>IF(A110&lt;&gt;"", VLOOKUP(A110, imdb_netflix_v5!A$2:H$7370, 2, FALSE), "")</f>
        <v>TV Show</v>
      </c>
      <c r="C110" s="2" t="str">
        <f>IF(A110&lt;&gt;"", VLOOKUP(A110, imdb_netflix_v5!A$2:H$7370, 3, FALSE), "")</f>
        <v>Comedy, Drama</v>
      </c>
      <c r="D110" s="2">
        <f>IF(A110&lt;&gt;"", VLOOKUP(A110, imdb_netflix_v5!A$2:H$7370, 4, FALSE), "")</f>
        <v>8.8</v>
      </c>
      <c r="E110" s="2">
        <f>IF(A110&lt;&gt;"", VLOOKUP(A110, imdb_netflix_v5!A$2:H$7370, 5, FALSE), "")</f>
        <v>1999</v>
      </c>
      <c r="F110" s="2" t="str">
        <f>IF(A110&lt;&gt;"", VLOOKUP(A110, imdb_netflix_v5!A$2:H$7370, 7, FALSE), "")</f>
        <v>NA</v>
      </c>
    </row>
    <row r="111" ht="15.75" customHeight="1">
      <c r="A111" s="1" t="str">
        <f>IFERROR(__xludf.DUMMYFUNCTION("""COMPUTED_VALUE"""),"dragon ball z")</f>
        <v>dragon ball z</v>
      </c>
      <c r="B111" s="1" t="str">
        <f>IF(A111&lt;&gt;"", VLOOKUP(A111, imdb_netflix_v5!A$2:H$7370, 2, FALSE), "")</f>
        <v>TV Show</v>
      </c>
      <c r="C111" s="2" t="str">
        <f>IF(A111&lt;&gt;"", VLOOKUP(A111, imdb_netflix_v5!A$2:H$7370, 3, FALSE), "")</f>
        <v>Action, Adventure, Animation</v>
      </c>
      <c r="D111" s="2">
        <f>IF(A111&lt;&gt;"", VLOOKUP(A111, imdb_netflix_v5!A$2:H$7370, 4, FALSE), "")</f>
        <v>8.8</v>
      </c>
      <c r="E111" s="2">
        <f>IF(A111&lt;&gt;"", VLOOKUP(A111, imdb_netflix_v5!A$2:H$7370, 5, FALSE), "")</f>
        <v>1996</v>
      </c>
      <c r="F111" s="2" t="str">
        <f>IF(A111&lt;&gt;"", VLOOKUP(A111, imdb_netflix_v5!A$2:H$7370, 7, FALSE), "")</f>
        <v>NA</v>
      </c>
    </row>
    <row r="112" ht="15.75" customHeight="1">
      <c r="A112" s="1" t="str">
        <f>IFERROR(__xludf.DUMMYFUNCTION("""COMPUTED_VALUE"""),"curb your enthusiasm")</f>
        <v>curb your enthusiasm</v>
      </c>
      <c r="B112" s="1" t="str">
        <f>IF(A112&lt;&gt;"", VLOOKUP(A112, imdb_netflix_v5!A$2:H$7370, 2, FALSE), "")</f>
        <v>TV Show</v>
      </c>
      <c r="C112" s="2" t="str">
        <f>IF(A112&lt;&gt;"", VLOOKUP(A112, imdb_netflix_v5!A$2:H$7370, 3, FALSE), "")</f>
        <v>Comedy</v>
      </c>
      <c r="D112" s="2">
        <f>IF(A112&lt;&gt;"", VLOOKUP(A112, imdb_netflix_v5!A$2:H$7370, 4, FALSE), "")</f>
        <v>8.8</v>
      </c>
      <c r="E112" s="2">
        <f>IF(A112&lt;&gt;"", VLOOKUP(A112, imdb_netflix_v5!A$2:H$7370, 5, FALSE), "")</f>
        <v>2000</v>
      </c>
      <c r="F112" s="2" t="str">
        <f>IF(A112&lt;&gt;"", VLOOKUP(A112, imdb_netflix_v5!A$2:H$7370, 7, FALSE), "")</f>
        <v>NA</v>
      </c>
    </row>
    <row r="113" ht="15.75" customHeight="1">
      <c r="A113" s="1" t="str">
        <f>IFERROR(__xludf.DUMMYFUNCTION("""COMPUTED_VALUE"""),"when they see us")</f>
        <v>when they see us</v>
      </c>
      <c r="B113" s="1" t="str">
        <f>IF(A113&lt;&gt;"", VLOOKUP(A113, imdb_netflix_v5!A$2:H$7370, 2, FALSE), "")</f>
        <v>TV Show</v>
      </c>
      <c r="C113" s="2" t="str">
        <f>IF(A113&lt;&gt;"", VLOOKUP(A113, imdb_netflix_v5!A$2:H$7370, 3, FALSE), "")</f>
        <v>Biography, Crime, Drama</v>
      </c>
      <c r="D113" s="2">
        <f>IF(A113&lt;&gt;"", VLOOKUP(A113, imdb_netflix_v5!A$2:H$7370, 4, FALSE), "")</f>
        <v>8.8</v>
      </c>
      <c r="E113" s="2">
        <f>IF(A113&lt;&gt;"", VLOOKUP(A113, imdb_netflix_v5!A$2:H$7370, 5, FALSE), "")</f>
        <v>2019</v>
      </c>
      <c r="F113" s="2" t="str">
        <f>IF(A113&lt;&gt;"", VLOOKUP(A113, imdb_netflix_v5!A$2:H$7370, 7, FALSE), "")</f>
        <v>NA</v>
      </c>
    </row>
    <row r="114" ht="15.75" customHeight="1">
      <c r="A114" s="1" t="str">
        <f>IFERROR(__xludf.DUMMYFUNCTION("""COMPUTED_VALUE"""),"12th fail")</f>
        <v>12th fail</v>
      </c>
      <c r="B114" s="1" t="str">
        <f>IF(A114&lt;&gt;"", VLOOKUP(A114, imdb_netflix_v5!A$2:H$7370, 2, FALSE), "")</f>
        <v>Movie</v>
      </c>
      <c r="C114" s="2" t="str">
        <f>IF(A114&lt;&gt;"", VLOOKUP(A114, imdb_netflix_v5!A$2:H$7370, 3, FALSE), "")</f>
        <v>Biography, Drama</v>
      </c>
      <c r="D114" s="2">
        <f>IF(A114&lt;&gt;"", VLOOKUP(A114, imdb_netflix_v5!A$2:H$7370, 4, FALSE), "")</f>
        <v>8.8</v>
      </c>
      <c r="E114" s="2">
        <f>IF(A114&lt;&gt;"", VLOOKUP(A114, imdb_netflix_v5!A$2:H$7370, 5, FALSE), "")</f>
        <v>2023</v>
      </c>
      <c r="F114" s="2" t="str">
        <f>IF(A114&lt;&gt;"", VLOOKUP(A114, imdb_netflix_v5!A$2:H$7370, 7, FALSE), "")</f>
        <v>NA</v>
      </c>
    </row>
    <row r="115" ht="15.75" customHeight="1">
      <c r="A115" s="1" t="str">
        <f>IFERROR(__xludf.DUMMYFUNCTION("""COMPUTED_VALUE"""),"dhindora")</f>
        <v>dhindora</v>
      </c>
      <c r="B115" s="1" t="str">
        <f>IF(A115&lt;&gt;"", VLOOKUP(A115, imdb_netflix_v5!A$2:H$7370, 2, FALSE), "")</f>
        <v>TV Show</v>
      </c>
      <c r="C115" s="2" t="str">
        <f>IF(A115&lt;&gt;"", VLOOKUP(A115, imdb_netflix_v5!A$2:H$7370, 3, FALSE), "")</f>
        <v>Comedy, Drama</v>
      </c>
      <c r="D115" s="2">
        <f>IF(A115&lt;&gt;"", VLOOKUP(A115, imdb_netflix_v5!A$2:H$7370, 4, FALSE), "")</f>
        <v>8.8</v>
      </c>
      <c r="E115" s="2">
        <f>IF(A115&lt;&gt;"", VLOOKUP(A115, imdb_netflix_v5!A$2:H$7370, 5, FALSE), "")</f>
        <v>2021</v>
      </c>
      <c r="F115" s="2" t="str">
        <f>IF(A115&lt;&gt;"", VLOOKUP(A115, imdb_netflix_v5!A$2:H$7370, 7, FALSE), "")</f>
        <v>NA</v>
      </c>
    </row>
    <row r="116" ht="15.75" customHeight="1">
      <c r="A116" s="1" t="str">
        <f>IFERROR(__xludf.DUMMYFUNCTION("""COMPUTED_VALUE"""),"fawlty towers")</f>
        <v>fawlty towers</v>
      </c>
      <c r="B116" s="1" t="str">
        <f>IF(A116&lt;&gt;"", VLOOKUP(A116, imdb_netflix_v5!A$2:H$7370, 2, FALSE), "")</f>
        <v>TV Show</v>
      </c>
      <c r="C116" s="2" t="str">
        <f>IF(A116&lt;&gt;"", VLOOKUP(A116, imdb_netflix_v5!A$2:H$7370, 3, FALSE), "")</f>
        <v>Comedy</v>
      </c>
      <c r="D116" s="2">
        <f>IF(A116&lt;&gt;"", VLOOKUP(A116, imdb_netflix_v5!A$2:H$7370, 4, FALSE), "")</f>
        <v>8.8</v>
      </c>
      <c r="E116" s="2">
        <f>IF(A116&lt;&gt;"", VLOOKUP(A116, imdb_netflix_v5!A$2:H$7370, 5, FALSE), "")</f>
        <v>1975</v>
      </c>
      <c r="F116" s="2" t="str">
        <f>IF(A116&lt;&gt;"", VLOOKUP(A116, imdb_netflix_v5!A$2:H$7370, 7, FALSE), "")</f>
        <v>NA</v>
      </c>
    </row>
    <row r="117" ht="15.75" customHeight="1">
      <c r="A117" s="1" t="str">
        <f>IFERROR(__xludf.DUMMYFUNCTION("""COMPUTED_VALUE"""),"last week tonight with john oliver")</f>
        <v>last week tonight with john oliver</v>
      </c>
      <c r="B117" s="1" t="str">
        <f>IF(A117&lt;&gt;"", VLOOKUP(A117, imdb_netflix_v5!A$2:H$7370, 2, FALSE), "")</f>
        <v>TV Show</v>
      </c>
      <c r="C117" s="2" t="str">
        <f>IF(A117&lt;&gt;"", VLOOKUP(A117, imdb_netflix_v5!A$2:H$7370, 3, FALSE), "")</f>
        <v>Comedy, News, Talk-Show</v>
      </c>
      <c r="D117" s="2">
        <f>IF(A117&lt;&gt;"", VLOOKUP(A117, imdb_netflix_v5!A$2:H$7370, 4, FALSE), "")</f>
        <v>8.8</v>
      </c>
      <c r="E117" s="2">
        <f>IF(A117&lt;&gt;"", VLOOKUP(A117, imdb_netflix_v5!A$2:H$7370, 5, FALSE), "")</f>
        <v>2014</v>
      </c>
      <c r="F117" s="2" t="str">
        <f>IF(A117&lt;&gt;"", VLOOKUP(A117, imdb_netflix_v5!A$2:H$7370, 7, FALSE), "")</f>
        <v>NA</v>
      </c>
    </row>
    <row r="118" ht="15.75" customHeight="1">
      <c r="A118" s="1" t="str">
        <f>IFERROR(__xludf.DUMMYFUNCTION("""COMPUTED_VALUE"""),"pride and prejudice")</f>
        <v>pride and prejudice</v>
      </c>
      <c r="B118" s="1" t="str">
        <f>IF(A118&lt;&gt;"", VLOOKUP(A118, imdb_netflix_v5!A$2:H$7370, 2, FALSE), "")</f>
        <v>TV Show</v>
      </c>
      <c r="C118" s="2" t="str">
        <f>IF(A118&lt;&gt;"", VLOOKUP(A118, imdb_netflix_v5!A$2:H$7370, 3, FALSE), "")</f>
        <v>Drama, Romance</v>
      </c>
      <c r="D118" s="2">
        <f>IF(A118&lt;&gt;"", VLOOKUP(A118, imdb_netflix_v5!A$2:H$7370, 4, FALSE), "")</f>
        <v>8.8</v>
      </c>
      <c r="E118" s="2">
        <f>IF(A118&lt;&gt;"", VLOOKUP(A118, imdb_netflix_v5!A$2:H$7370, 5, FALSE), "")</f>
        <v>1995</v>
      </c>
      <c r="F118" s="2" t="str">
        <f>IF(A118&lt;&gt;"", VLOOKUP(A118, imdb_netflix_v5!A$2:H$7370, 7, FALSE), "")</f>
        <v>NA</v>
      </c>
    </row>
    <row r="119" ht="15.75" customHeight="1">
      <c r="A119" s="1" t="str">
        <f>IFERROR(__xludf.DUMMYFUNCTION("""COMPUTED_VALUE"""),"vinland saga")</f>
        <v>vinland saga</v>
      </c>
      <c r="B119" s="1" t="str">
        <f>IF(A119&lt;&gt;"", VLOOKUP(A119, imdb_netflix_v5!A$2:H$7370, 2, FALSE), "")</f>
        <v>TV Show</v>
      </c>
      <c r="C119" s="2" t="str">
        <f>IF(A119&lt;&gt;"", VLOOKUP(A119, imdb_netflix_v5!A$2:H$7370, 3, FALSE), "")</f>
        <v>Action, Adventure, Animation</v>
      </c>
      <c r="D119" s="2">
        <f>IF(A119&lt;&gt;"", VLOOKUP(A119, imdb_netflix_v5!A$2:H$7370, 4, FALSE), "")</f>
        <v>8.8</v>
      </c>
      <c r="E119" s="2">
        <f>IF(A119&lt;&gt;"", VLOOKUP(A119, imdb_netflix_v5!A$2:H$7370, 5, FALSE), "")</f>
        <v>2019</v>
      </c>
      <c r="F119" s="2" t="str">
        <f>IF(A119&lt;&gt;"", VLOOKUP(A119, imdb_netflix_v5!A$2:H$7370, 7, FALSE), "")</f>
        <v>NA</v>
      </c>
    </row>
    <row r="120" ht="15.75" customHeight="1">
      <c r="A120" s="1" t="str">
        <f>IFERROR(__xludf.DUMMYFUNCTION("""COMPUTED_VALUE"""),"monty pythons flying circus")</f>
        <v>monty pythons flying circus</v>
      </c>
      <c r="B120" s="1" t="str">
        <f>IF(A120&lt;&gt;"", VLOOKUP(A120, imdb_netflix_v5!A$2:H$7370, 2, FALSE), "")</f>
        <v>TV Show</v>
      </c>
      <c r="C120" s="2" t="str">
        <f>IF(A120&lt;&gt;"", VLOOKUP(A120, imdb_netflix_v5!A$2:H$7370, 3, FALSE), "")</f>
        <v>Comedy</v>
      </c>
      <c r="D120" s="2">
        <f>IF(A120&lt;&gt;"", VLOOKUP(A120, imdb_netflix_v5!A$2:H$7370, 4, FALSE), "")</f>
        <v>8.8</v>
      </c>
      <c r="E120" s="2">
        <f>IF(A120&lt;&gt;"", VLOOKUP(A120, imdb_netflix_v5!A$2:H$7370, 5, FALSE), "")</f>
        <v>1969</v>
      </c>
      <c r="F120" s="2" t="str">
        <f>IF(A120&lt;&gt;"", VLOOKUP(A120, imdb_netflix_v5!A$2:H$7370, 7, FALSE), "")</f>
        <v>NA</v>
      </c>
    </row>
    <row r="121" ht="15.75" customHeight="1">
      <c r="A121" s="1" t="str">
        <f>IFERROR(__xludf.DUMMYFUNCTION("""COMPUTED_VALUE"""),"steins;gate")</f>
        <v>steins;gate</v>
      </c>
      <c r="B121" s="1" t="str">
        <f>IF(A121&lt;&gt;"", VLOOKUP(A121, imdb_netflix_v5!A$2:H$7370, 2, FALSE), "")</f>
        <v>TV Show</v>
      </c>
      <c r="C121" s="2" t="str">
        <f>IF(A121&lt;&gt;"", VLOOKUP(A121, imdb_netflix_v5!A$2:H$7370, 3, FALSE), "")</f>
        <v>Animation, Comedy, Drama</v>
      </c>
      <c r="D121" s="2">
        <f>IF(A121&lt;&gt;"", VLOOKUP(A121, imdb_netflix_v5!A$2:H$7370, 4, FALSE), "")</f>
        <v>8.8</v>
      </c>
      <c r="E121" s="2">
        <f>IF(A121&lt;&gt;"", VLOOKUP(A121, imdb_netflix_v5!A$2:H$7370, 5, FALSE), "")</f>
        <v>2011</v>
      </c>
      <c r="F121" s="2" t="str">
        <f>IF(A121&lt;&gt;"", VLOOKUP(A121, imdb_netflix_v5!A$2:H$7370, 7, FALSE), "")</f>
        <v>NA</v>
      </c>
    </row>
    <row r="122" ht="15.75" customHeight="1">
      <c r="A122" s="1" t="str">
        <f>IFERROR(__xludf.DUMMYFUNCTION("""COMPUTED_VALUE"""),"chappelles show")</f>
        <v>chappelles show</v>
      </c>
      <c r="B122" s="1" t="str">
        <f>IF(A122&lt;&gt;"", VLOOKUP(A122, imdb_netflix_v5!A$2:H$7370, 2, FALSE), "")</f>
        <v>TV Show</v>
      </c>
      <c r="C122" s="2" t="str">
        <f>IF(A122&lt;&gt;"", VLOOKUP(A122, imdb_netflix_v5!A$2:H$7370, 3, FALSE), "")</f>
        <v>Comedy, Music</v>
      </c>
      <c r="D122" s="2">
        <f>IF(A122&lt;&gt;"", VLOOKUP(A122, imdb_netflix_v5!A$2:H$7370, 4, FALSE), "")</f>
        <v>8.8</v>
      </c>
      <c r="E122" s="2">
        <f>IF(A122&lt;&gt;"", VLOOKUP(A122, imdb_netflix_v5!A$2:H$7370, 5, FALSE), "")</f>
        <v>2003</v>
      </c>
      <c r="F122" s="2" t="str">
        <f>IF(A122&lt;&gt;"", VLOOKUP(A122, imdb_netflix_v5!A$2:H$7370, 7, FALSE), "")</f>
        <v>NA</v>
      </c>
    </row>
    <row r="123" ht="15.75" customHeight="1">
      <c r="A123" s="1" t="str">
        <f>IFERROR(__xludf.DUMMYFUNCTION("""COMPUTED_VALUE"""),"blackadder goes forth")</f>
        <v>blackadder goes forth</v>
      </c>
      <c r="B123" s="1" t="str">
        <f>IF(A123&lt;&gt;"", VLOOKUP(A123, imdb_netflix_v5!A$2:H$7370, 2, FALSE), "")</f>
        <v>TV Show</v>
      </c>
      <c r="C123" s="2" t="str">
        <f>IF(A123&lt;&gt;"", VLOOKUP(A123, imdb_netflix_v5!A$2:H$7370, 3, FALSE), "")</f>
        <v>Comedy, War</v>
      </c>
      <c r="D123" s="2">
        <f>IF(A123&lt;&gt;"", VLOOKUP(A123, imdb_netflix_v5!A$2:H$7370, 4, FALSE), "")</f>
        <v>8.8</v>
      </c>
      <c r="E123" s="2">
        <f>IF(A123&lt;&gt;"", VLOOKUP(A123, imdb_netflix_v5!A$2:H$7370, 5, FALSE), "")</f>
        <v>1989</v>
      </c>
      <c r="F123" s="2" t="str">
        <f>IF(A123&lt;&gt;"", VLOOKUP(A123, imdb_netflix_v5!A$2:H$7370, 7, FALSE), "")</f>
        <v>NA</v>
      </c>
    </row>
    <row r="124" ht="15.75" customHeight="1">
      <c r="A124" s="1" t="str">
        <f>IFERROR(__xludf.DUMMYFUNCTION("""COMPUTED_VALUE"""),"x-men 97")</f>
        <v>x-men 97</v>
      </c>
      <c r="B124" s="1" t="str">
        <f>IF(A124&lt;&gt;"", VLOOKUP(A124, imdb_netflix_v5!A$2:H$7370, 2, FALSE), "")</f>
        <v>TV Show</v>
      </c>
      <c r="C124" s="2" t="str">
        <f>IF(A124&lt;&gt;"", VLOOKUP(A124, imdb_netflix_v5!A$2:H$7370, 3, FALSE), "")</f>
        <v>Action, Adventure, Animation</v>
      </c>
      <c r="D124" s="2">
        <f>IF(A124&lt;&gt;"", VLOOKUP(A124, imdb_netflix_v5!A$2:H$7370, 4, FALSE), "")</f>
        <v>8.8</v>
      </c>
      <c r="E124" s="2">
        <f>IF(A124&lt;&gt;"", VLOOKUP(A124, imdb_netflix_v5!A$2:H$7370, 5, FALSE), "")</f>
        <v>2024</v>
      </c>
      <c r="F124" s="2" t="str">
        <f>IF(A124&lt;&gt;"", VLOOKUP(A124, imdb_netflix_v5!A$2:H$7370, 7, FALSE), "")</f>
        <v>NA</v>
      </c>
    </row>
    <row r="125" ht="15.75" customHeight="1">
      <c r="A125" s="1" t="str">
        <f>IFERROR(__xludf.DUMMYFUNCTION("""COMPUTED_VALUE"""),"das boot")</f>
        <v>das boot</v>
      </c>
      <c r="B125" s="1" t="str">
        <f>IF(A125&lt;&gt;"", VLOOKUP(A125, imdb_netflix_v5!A$2:H$7370, 2, FALSE), "")</f>
        <v>TV Show</v>
      </c>
      <c r="C125" s="2" t="str">
        <f>IF(A125&lt;&gt;"", VLOOKUP(A125, imdb_netflix_v5!A$2:H$7370, 3, FALSE), "")</f>
        <v>Drama, War</v>
      </c>
      <c r="D125" s="2">
        <f>IF(A125&lt;&gt;"", VLOOKUP(A125, imdb_netflix_v5!A$2:H$7370, 4, FALSE), "")</f>
        <v>8.8</v>
      </c>
      <c r="E125" s="2">
        <f>IF(A125&lt;&gt;"", VLOOKUP(A125, imdb_netflix_v5!A$2:H$7370, 5, FALSE), "")</f>
        <v>1985</v>
      </c>
      <c r="F125" s="2" t="str">
        <f>IF(A125&lt;&gt;"", VLOOKUP(A125, imdb_netflix_v5!A$2:H$7370, 7, FALSE), "")</f>
        <v>NA</v>
      </c>
    </row>
    <row r="126" ht="15.75" customHeight="1">
      <c r="A126" s="1" t="str">
        <f>IFERROR(__xludf.DUMMYFUNCTION("""COMPUTED_VALUE"""),"behzat ç an ankara detective story")</f>
        <v>behzat ç an ankara detective story</v>
      </c>
      <c r="B126" s="1" t="str">
        <f>IF(A126&lt;&gt;"", VLOOKUP(A126, imdb_netflix_v5!A$2:H$7370, 2, FALSE), "")</f>
        <v>TV Show</v>
      </c>
      <c r="C126" s="2" t="str">
        <f>IF(A126&lt;&gt;"", VLOOKUP(A126, imdb_netflix_v5!A$2:H$7370, 3, FALSE), "")</f>
        <v>Crime, Drama, Mystery</v>
      </c>
      <c r="D126" s="2">
        <f>IF(A126&lt;&gt;"", VLOOKUP(A126, imdb_netflix_v5!A$2:H$7370, 4, FALSE), "")</f>
        <v>8.8</v>
      </c>
      <c r="E126" s="2">
        <f>IF(A126&lt;&gt;"", VLOOKUP(A126, imdb_netflix_v5!A$2:H$7370, 5, FALSE), "")</f>
        <v>2010</v>
      </c>
      <c r="F126" s="2" t="str">
        <f>IF(A126&lt;&gt;"", VLOOKUP(A126, imdb_netflix_v5!A$2:H$7370, 7, FALSE), "")</f>
        <v>NA</v>
      </c>
    </row>
    <row r="127" ht="15.75" customHeight="1">
      <c r="A127" s="1" t="str">
        <f>IFERROR(__xludf.DUMMYFUNCTION("""COMPUTED_VALUE"""),"flames")</f>
        <v>flames</v>
      </c>
      <c r="B127" s="1" t="str">
        <f>IF(A127&lt;&gt;"", VLOOKUP(A127, imdb_netflix_v5!A$2:H$7370, 2, FALSE), "")</f>
        <v>TV Show</v>
      </c>
      <c r="C127" s="2" t="str">
        <f>IF(A127&lt;&gt;"", VLOOKUP(A127, imdb_netflix_v5!A$2:H$7370, 3, FALSE), "")</f>
        <v>Comedy, Drama, Romance</v>
      </c>
      <c r="D127" s="2">
        <f>IF(A127&lt;&gt;"", VLOOKUP(A127, imdb_netflix_v5!A$2:H$7370, 4, FALSE), "")</f>
        <v>8.8</v>
      </c>
      <c r="E127" s="2">
        <f>IF(A127&lt;&gt;"", VLOOKUP(A127, imdb_netflix_v5!A$2:H$7370, 5, FALSE), "")</f>
        <v>2018</v>
      </c>
      <c r="F127" s="2" t="str">
        <f>IF(A127&lt;&gt;"", VLOOKUP(A127, imdb_netflix_v5!A$2:H$7370, 7, FALSE), "")</f>
        <v>NA</v>
      </c>
    </row>
    <row r="128" ht="15.75" customHeight="1">
      <c r="A128" s="1" t="str">
        <f>IFERROR(__xludf.DUMMYFUNCTION("""COMPUTED_VALUE"""),"the chaos class failed the class")</f>
        <v>the chaos class failed the class</v>
      </c>
      <c r="B128" s="1" t="str">
        <f>IF(A128&lt;&gt;"", VLOOKUP(A128, imdb_netflix_v5!A$2:H$7370, 2, FALSE), "")</f>
        <v>Movie</v>
      </c>
      <c r="C128" s="2" t="str">
        <f>IF(A128&lt;&gt;"", VLOOKUP(A128, imdb_netflix_v5!A$2:H$7370, 3, FALSE), "")</f>
        <v>Comedy</v>
      </c>
      <c r="D128" s="2">
        <f>IF(A128&lt;&gt;"", VLOOKUP(A128, imdb_netflix_v5!A$2:H$7370, 4, FALSE), "")</f>
        <v>8.8</v>
      </c>
      <c r="E128" s="2">
        <f>IF(A128&lt;&gt;"", VLOOKUP(A128, imdb_netflix_v5!A$2:H$7370, 5, FALSE), "")</f>
        <v>1975</v>
      </c>
      <c r="F128" s="2" t="str">
        <f>IF(A128&lt;&gt;"", VLOOKUP(A128, imdb_netflix_v5!A$2:H$7370, 7, FALSE), "")</f>
        <v>NA</v>
      </c>
    </row>
    <row r="129" ht="15.75" customHeight="1">
      <c r="A129" s="1" t="str">
        <f>IFERROR(__xludf.DUMMYFUNCTION("""COMPUTED_VALUE"""),"the foster brothers")</f>
        <v>the foster brothers</v>
      </c>
      <c r="B129" s="1" t="str">
        <f>IF(A129&lt;&gt;"", VLOOKUP(A129, imdb_netflix_v5!A$2:H$7370, 2, FALSE), "")</f>
        <v>Movie</v>
      </c>
      <c r="C129" s="2" t="str">
        <f>IF(A129&lt;&gt;"", VLOOKUP(A129, imdb_netflix_v5!A$2:H$7370, 3, FALSE), "")</f>
        <v>Comedy, History</v>
      </c>
      <c r="D129" s="2">
        <f>IF(A129&lt;&gt;"", VLOOKUP(A129, imdb_netflix_v5!A$2:H$7370, 4, FALSE), "")</f>
        <v>8.8</v>
      </c>
      <c r="E129" s="2">
        <f>IF(A129&lt;&gt;"", VLOOKUP(A129, imdb_netflix_v5!A$2:H$7370, 5, FALSE), "")</f>
        <v>1976</v>
      </c>
      <c r="F129" s="2" t="str">
        <f>IF(A129&lt;&gt;"", VLOOKUP(A129, imdb_netflix_v5!A$2:H$7370, 7, FALSE), "")</f>
        <v>NA</v>
      </c>
    </row>
    <row r="130" ht="15.75" customHeight="1">
      <c r="A130" s="1" t="str">
        <f>IFERROR(__xludf.DUMMYFUNCTION("""COMPUTED_VALUE"""),"i, claudius")</f>
        <v>i, claudius</v>
      </c>
      <c r="B130" s="1" t="str">
        <f>IF(A130&lt;&gt;"", VLOOKUP(A130, imdb_netflix_v5!A$2:H$7370, 2, FALSE), "")</f>
        <v>TV Show</v>
      </c>
      <c r="C130" s="2" t="str">
        <f>IF(A130&lt;&gt;"", VLOOKUP(A130, imdb_netflix_v5!A$2:H$7370, 3, FALSE), "")</f>
        <v>Biography, Drama, History</v>
      </c>
      <c r="D130" s="2">
        <f>IF(A130&lt;&gt;"", VLOOKUP(A130, imdb_netflix_v5!A$2:H$7370, 4, FALSE), "")</f>
        <v>8.8</v>
      </c>
      <c r="E130" s="2">
        <f>IF(A130&lt;&gt;"", VLOOKUP(A130, imdb_netflix_v5!A$2:H$7370, 5, FALSE), "")</f>
        <v>1976</v>
      </c>
      <c r="F130" s="2" t="str">
        <f>IF(A130&lt;&gt;"", VLOOKUP(A130, imdb_netflix_v5!A$2:H$7370, 7, FALSE), "")</f>
        <v>NA</v>
      </c>
    </row>
    <row r="131" ht="15.75" customHeight="1">
      <c r="A131" s="1" t="str">
        <f>IFERROR(__xludf.DUMMYFUNCTION("""COMPUTED_VALUE"""),"another love")</f>
        <v>another love</v>
      </c>
      <c r="B131" s="1" t="str">
        <f>IF(A131&lt;&gt;"", VLOOKUP(A131, imdb_netflix_v5!A$2:H$7370, 2, FALSE), "")</f>
        <v>TV Show</v>
      </c>
      <c r="C131" s="2" t="str">
        <f>IF(A131&lt;&gt;"", VLOOKUP(A131, imdb_netflix_v5!A$2:H$7370, 3, FALSE), "")</f>
        <v>Crime, Drama, Romance</v>
      </c>
      <c r="D131" s="2">
        <f>IF(A131&lt;&gt;"", VLOOKUP(A131, imdb_netflix_v5!A$2:H$7370, 4, FALSE), "")</f>
        <v>8.8</v>
      </c>
      <c r="E131" s="2">
        <f>IF(A131&lt;&gt;"", VLOOKUP(A131, imdb_netflix_v5!A$2:H$7370, 5, FALSE), "")</f>
        <v>2023</v>
      </c>
      <c r="F131" s="2" t="str">
        <f>IF(A131&lt;&gt;"", VLOOKUP(A131, imdb_netflix_v5!A$2:H$7370, 7, FALSE), "")</f>
        <v>NA</v>
      </c>
    </row>
    <row r="132" ht="15.75" customHeight="1">
      <c r="A132" s="1" t="str">
        <f>IFERROR(__xludf.DUMMYFUNCTION("""COMPUTED_VALUE"""),"campus diaries")</f>
        <v>campus diaries</v>
      </c>
      <c r="B132" s="1" t="str">
        <f>IF(A132&lt;&gt;"", VLOOKUP(A132, imdb_netflix_v5!A$2:H$7370, 2, FALSE), "")</f>
        <v>TV Show</v>
      </c>
      <c r="C132" s="2" t="str">
        <f>IF(A132&lt;&gt;"", VLOOKUP(A132, imdb_netflix_v5!A$2:H$7370, 3, FALSE), "")</f>
        <v>Comedy, Drama, Romance</v>
      </c>
      <c r="D132" s="2">
        <f>IF(A132&lt;&gt;"", VLOOKUP(A132, imdb_netflix_v5!A$2:H$7370, 4, FALSE), "")</f>
        <v>8.8</v>
      </c>
      <c r="E132" s="2">
        <f>IF(A132&lt;&gt;"", VLOOKUP(A132, imdb_netflix_v5!A$2:H$7370, 5, FALSE), "")</f>
        <v>2022</v>
      </c>
      <c r="F132" s="2" t="str">
        <f>IF(A132&lt;&gt;"", VLOOKUP(A132, imdb_netflix_v5!A$2:H$7370, 7, FALSE), "")</f>
        <v>NA</v>
      </c>
    </row>
    <row r="133" ht="15.75" customHeight="1">
      <c r="A133" s="1" t="str">
        <f>IFERROR(__xludf.DUMMYFUNCTION("""COMPUTED_VALUE"""),"the marathon family")</f>
        <v>the marathon family</v>
      </c>
      <c r="B133" s="1" t="str">
        <f>IF(A133&lt;&gt;"", VLOOKUP(A133, imdb_netflix_v5!A$2:H$7370, 2, FALSE), "")</f>
        <v>Movie</v>
      </c>
      <c r="C133" s="2" t="str">
        <f>IF(A133&lt;&gt;"", VLOOKUP(A133, imdb_netflix_v5!A$2:H$7370, 3, FALSE), "")</f>
        <v>Comedy, Drama</v>
      </c>
      <c r="D133" s="2">
        <f>IF(A133&lt;&gt;"", VLOOKUP(A133, imdb_netflix_v5!A$2:H$7370, 4, FALSE), "")</f>
        <v>8.8</v>
      </c>
      <c r="E133" s="2">
        <f>IF(A133&lt;&gt;"", VLOOKUP(A133, imdb_netflix_v5!A$2:H$7370, 5, FALSE), "")</f>
        <v>1982</v>
      </c>
      <c r="F133" s="2" t="str">
        <f>IF(A133&lt;&gt;"", VLOOKUP(A133, imdb_netflix_v5!A$2:H$7370, 7, FALSE), "")</f>
        <v>NA</v>
      </c>
    </row>
    <row r="134" ht="15.75" customHeight="1">
      <c r="A134" s="1" t="str">
        <f>IFERROR(__xludf.DUMMYFUNCTION("""COMPUTED_VALUE"""),"#home")</f>
        <v>#home</v>
      </c>
      <c r="B134" s="1" t="str">
        <f>IF(A134&lt;&gt;"", VLOOKUP(A134, imdb_netflix_v5!A$2:H$7370, 2, FALSE), "")</f>
        <v>Movie</v>
      </c>
      <c r="C134" s="2" t="str">
        <f>IF(A134&lt;&gt;"", VLOOKUP(A134, imdb_netflix_v5!A$2:H$7370, 3, FALSE), "")</f>
        <v>Drama, Family</v>
      </c>
      <c r="D134" s="2">
        <f>IF(A134&lt;&gt;"", VLOOKUP(A134, imdb_netflix_v5!A$2:H$7370, 4, FALSE), "")</f>
        <v>8.8</v>
      </c>
      <c r="E134" s="2">
        <f>IF(A134&lt;&gt;"", VLOOKUP(A134, imdb_netflix_v5!A$2:H$7370, 5, FALSE), "")</f>
        <v>2021</v>
      </c>
      <c r="F134" s="2" t="str">
        <f>IF(A134&lt;&gt;"", VLOOKUP(A134, imdb_netflix_v5!A$2:H$7370, 7, FALSE), "")</f>
        <v>NA</v>
      </c>
    </row>
    <row r="135" ht="15.75" customHeight="1">
      <c r="A135" s="1" t="str">
        <f>IFERROR(__xludf.DUMMYFUNCTION("""COMPUTED_VALUE"""),"azize")</f>
        <v>azize</v>
      </c>
      <c r="B135" s="1" t="str">
        <f>IF(A135&lt;&gt;"", VLOOKUP(A135, imdb_netflix_v5!A$2:H$7370, 2, FALSE), "")</f>
        <v>TV Show</v>
      </c>
      <c r="C135" s="2" t="str">
        <f>IF(A135&lt;&gt;"", VLOOKUP(A135, imdb_netflix_v5!A$2:H$7370, 3, FALSE), "")</f>
        <v>Drama</v>
      </c>
      <c r="D135" s="2">
        <f>IF(A135&lt;&gt;"", VLOOKUP(A135, imdb_netflix_v5!A$2:H$7370, 4, FALSE), "")</f>
        <v>8.8</v>
      </c>
      <c r="E135" s="2">
        <f>IF(A135&lt;&gt;"", VLOOKUP(A135, imdb_netflix_v5!A$2:H$7370, 5, FALSE), "")</f>
        <v>2019</v>
      </c>
      <c r="F135" s="2" t="str">
        <f>IF(A135&lt;&gt;"", VLOOKUP(A135, imdb_netflix_v5!A$2:H$7370, 7, FALSE), "")</f>
        <v>NA</v>
      </c>
    </row>
    <row r="136" ht="15.75" customHeight="1">
      <c r="A136" s="1" t="str">
        <f>IFERROR(__xludf.DUMMYFUNCTION("""COMPUTED_VALUE"""),"black pearl")</f>
        <v>black pearl</v>
      </c>
      <c r="B136" s="1" t="str">
        <f>IF(A136&lt;&gt;"", VLOOKUP(A136, imdb_netflix_v5!A$2:H$7370, 2, FALSE), "")</f>
        <v>TV Show</v>
      </c>
      <c r="C136" s="2" t="str">
        <f>IF(A136&lt;&gt;"", VLOOKUP(A136, imdb_netflix_v5!A$2:H$7370, 3, FALSE), "")</f>
        <v>Drama</v>
      </c>
      <c r="D136" s="2">
        <f>IF(A136&lt;&gt;"", VLOOKUP(A136, imdb_netflix_v5!A$2:H$7370, 4, FALSE), "")</f>
        <v>8.8</v>
      </c>
      <c r="E136" s="2">
        <f>IF(A136&lt;&gt;"", VLOOKUP(A136, imdb_netflix_v5!A$2:H$7370, 5, FALSE), "")</f>
        <v>2017</v>
      </c>
      <c r="F136" s="2" t="str">
        <f>IF(A136&lt;&gt;"", VLOOKUP(A136, imdb_netflix_v5!A$2:H$7370, 7, FALSE), "")</f>
        <v>NA</v>
      </c>
    </row>
    <row r="137" ht="15.75" customHeight="1">
      <c r="A137" s="1" t="str">
        <f>IFERROR(__xludf.DUMMYFUNCTION("""COMPUTED_VALUE"""),"pew news")</f>
        <v>pew news</v>
      </c>
      <c r="B137" s="1" t="str">
        <f>IF(A137&lt;&gt;"", VLOOKUP(A137, imdb_netflix_v5!A$2:H$7370, 2, FALSE), "")</f>
        <v>TV Show</v>
      </c>
      <c r="C137" s="2" t="str">
        <f>IF(A137&lt;&gt;"", VLOOKUP(A137, imdb_netflix_v5!A$2:H$7370, 3, FALSE), "")</f>
        <v>Comedy, News</v>
      </c>
      <c r="D137" s="2">
        <f>IF(A137&lt;&gt;"", VLOOKUP(A137, imdb_netflix_v5!A$2:H$7370, 4, FALSE), "")</f>
        <v>8.8</v>
      </c>
      <c r="E137" s="2">
        <f>IF(A137&lt;&gt;"", VLOOKUP(A137, imdb_netflix_v5!A$2:H$7370, 5, FALSE), "")</f>
        <v>2018</v>
      </c>
      <c r="F137" s="2" t="str">
        <f>IF(A137&lt;&gt;"", VLOOKUP(A137, imdb_netflix_v5!A$2:H$7370, 7, FALSE), "")</f>
        <v>NA</v>
      </c>
    </row>
    <row r="138" ht="15.75" customHeight="1">
      <c r="A138" s="1" t="str">
        <f>IFERROR(__xludf.DUMMYFUNCTION("""COMPUTED_VALUE"""),"black sun")</f>
        <v>black sun</v>
      </c>
      <c r="B138" s="1" t="str">
        <f>IF(A138&lt;&gt;"", VLOOKUP(A138, imdb_netflix_v5!A$2:H$7370, 2, FALSE), "")</f>
        <v>TV Show</v>
      </c>
      <c r="C138" s="2" t="str">
        <f>IF(A138&lt;&gt;"", VLOOKUP(A138, imdb_netflix_v5!A$2:H$7370, 3, FALSE), "")</f>
        <v>Crime, Drama, Thriller</v>
      </c>
      <c r="D138" s="2">
        <f>IF(A138&lt;&gt;"", VLOOKUP(A138, imdb_netflix_v5!A$2:H$7370, 4, FALSE), "")</f>
        <v>8.8</v>
      </c>
      <c r="E138" s="2">
        <f>IF(A138&lt;&gt;"", VLOOKUP(A138, imdb_netflix_v5!A$2:H$7370, 5, FALSE), "")</f>
        <v>2017</v>
      </c>
      <c r="F138" s="2" t="str">
        <f>IF(A138&lt;&gt;"", VLOOKUP(A138, imdb_netflix_v5!A$2:H$7370, 7, FALSE), "")</f>
        <v>NA</v>
      </c>
    </row>
    <row r="139" ht="15.75" customHeight="1">
      <c r="A139" s="1" t="str">
        <f>IFERROR(__xludf.DUMMYFUNCTION("""COMPUTED_VALUE"""),"balkan spy")</f>
        <v>balkan spy</v>
      </c>
      <c r="B139" s="1" t="str">
        <f>IF(A139&lt;&gt;"", VLOOKUP(A139, imdb_netflix_v5!A$2:H$7370, 2, FALSE), "")</f>
        <v>Movie</v>
      </c>
      <c r="C139" s="2" t="str">
        <f>IF(A139&lt;&gt;"", VLOOKUP(A139, imdb_netflix_v5!A$2:H$7370, 3, FALSE), "")</f>
        <v>Comedy, Drama</v>
      </c>
      <c r="D139" s="2">
        <f>IF(A139&lt;&gt;"", VLOOKUP(A139, imdb_netflix_v5!A$2:H$7370, 4, FALSE), "")</f>
        <v>8.8</v>
      </c>
      <c r="E139" s="2">
        <f>IF(A139&lt;&gt;"", VLOOKUP(A139, imdb_netflix_v5!A$2:H$7370, 5, FALSE), "")</f>
        <v>1984</v>
      </c>
      <c r="F139" s="2" t="str">
        <f>IF(A139&lt;&gt;"", VLOOKUP(A139, imdb_netflix_v5!A$2:H$7370, 7, FALSE), "")</f>
        <v>NA</v>
      </c>
    </row>
    <row r="140" ht="15.75" customHeight="1">
      <c r="A140" s="1" t="str">
        <f>IFERROR(__xludf.DUMMYFUNCTION("""COMPUTED_VALUE"""),"fighting spirit")</f>
        <v>fighting spirit</v>
      </c>
      <c r="B140" s="1" t="str">
        <f>IF(A140&lt;&gt;"", VLOOKUP(A140, imdb_netflix_v5!A$2:H$7370, 2, FALSE), "")</f>
        <v>TV Show</v>
      </c>
      <c r="C140" s="2" t="str">
        <f>IF(A140&lt;&gt;"", VLOOKUP(A140, imdb_netflix_v5!A$2:H$7370, 3, FALSE), "")</f>
        <v>Action, Animation, Comedy</v>
      </c>
      <c r="D140" s="2">
        <f>IF(A140&lt;&gt;"", VLOOKUP(A140, imdb_netflix_v5!A$2:H$7370, 4, FALSE), "")</f>
        <v>8.8</v>
      </c>
      <c r="E140" s="2">
        <f>IF(A140&lt;&gt;"", VLOOKUP(A140, imdb_netflix_v5!A$2:H$7370, 5, FALSE), "")</f>
        <v>2000</v>
      </c>
      <c r="F140" s="2" t="str">
        <f>IF(A140&lt;&gt;"", VLOOKUP(A140, imdb_netflix_v5!A$2:H$7370, 7, FALSE), "")</f>
        <v>NA</v>
      </c>
    </row>
    <row r="141" ht="15.75" customHeight="1">
      <c r="A141" s="1" t="str">
        <f>IFERROR(__xludf.DUMMYFUNCTION("""COMPUTED_VALUE"""),"not me")</f>
        <v>not me</v>
      </c>
      <c r="B141" s="1" t="str">
        <f>IF(A141&lt;&gt;"", VLOOKUP(A141, imdb_netflix_v5!A$2:H$7370, 2, FALSE), "")</f>
        <v>TV Show</v>
      </c>
      <c r="C141" s="2" t="str">
        <f>IF(A141&lt;&gt;"", VLOOKUP(A141, imdb_netflix_v5!A$2:H$7370, 3, FALSE), "")</f>
        <v>Action, Crime, Romance</v>
      </c>
      <c r="D141" s="2">
        <f>IF(A141&lt;&gt;"", VLOOKUP(A141, imdb_netflix_v5!A$2:H$7370, 4, FALSE), "")</f>
        <v>8.8</v>
      </c>
      <c r="E141" s="2">
        <f>IF(A141&lt;&gt;"", VLOOKUP(A141, imdb_netflix_v5!A$2:H$7370, 5, FALSE), "")</f>
        <v>2021</v>
      </c>
      <c r="F141" s="2" t="str">
        <f>IF(A141&lt;&gt;"", VLOOKUP(A141, imdb_netflix_v5!A$2:H$7370, 7, FALSE), "")</f>
        <v>NA</v>
      </c>
    </row>
    <row r="142" ht="15.75" customHeight="1">
      <c r="A142" s="1" t="str">
        <f>IFERROR(__xludf.DUMMYFUNCTION("""COMPUTED_VALUE"""),"the phantom of the opera at the royal albert hall")</f>
        <v>the phantom of the opera at the royal albert hall</v>
      </c>
      <c r="B142" s="1" t="str">
        <f>IF(A142&lt;&gt;"", VLOOKUP(A142, imdb_netflix_v5!A$2:H$7370, 2, FALSE), "")</f>
        <v>Movie</v>
      </c>
      <c r="C142" s="2" t="str">
        <f>IF(A142&lt;&gt;"", VLOOKUP(A142, imdb_netflix_v5!A$2:H$7370, 3, FALSE), "")</f>
        <v>Drama, Musical, Romance</v>
      </c>
      <c r="D142" s="2">
        <f>IF(A142&lt;&gt;"", VLOOKUP(A142, imdb_netflix_v5!A$2:H$7370, 4, FALSE), "")</f>
        <v>8.8</v>
      </c>
      <c r="E142" s="2">
        <f>IF(A142&lt;&gt;"", VLOOKUP(A142, imdb_netflix_v5!A$2:H$7370, 5, FALSE), "")</f>
        <v>2011</v>
      </c>
      <c r="F142" s="2" t="str">
        <f>IF(A142&lt;&gt;"", VLOOKUP(A142, imdb_netflix_v5!A$2:H$7370, 7, FALSE), "")</f>
        <v>NA</v>
      </c>
    </row>
    <row r="143" ht="15.75" customHeight="1">
      <c r="A143" s="1" t="str">
        <f>IFERROR(__xludf.DUMMYFUNCTION("""COMPUTED_VALUE"""),"interstellar")</f>
        <v>interstellar</v>
      </c>
      <c r="B143" s="1" t="str">
        <f>IF(A143&lt;&gt;"", VLOOKUP(A143, imdb_netflix_v5!A$2:H$7370, 2, FALSE), "")</f>
        <v>Movie</v>
      </c>
      <c r="C143" s="2" t="str">
        <f>IF(A143&lt;&gt;"", VLOOKUP(A143, imdb_netflix_v5!A$2:H$7370, 3, FALSE), "")</f>
        <v>Adventure, Drama, Sci-Fi</v>
      </c>
      <c r="D143" s="2">
        <f>IF(A143&lt;&gt;"", VLOOKUP(A143, imdb_netflix_v5!A$2:H$7370, 4, FALSE), "")</f>
        <v>8.7</v>
      </c>
      <c r="E143" s="2">
        <f>IF(A143&lt;&gt;"", VLOOKUP(A143, imdb_netflix_v5!A$2:H$7370, 5, FALSE), "")</f>
        <v>2014</v>
      </c>
      <c r="F143" s="2" t="str">
        <f>IF(A143&lt;&gt;"", VLOOKUP(A143, imdb_netflix_v5!A$2:H$7370, 7, FALSE), "")</f>
        <v>NA</v>
      </c>
    </row>
    <row r="144" ht="15.75" customHeight="1">
      <c r="A144" s="1" t="str">
        <f>IFERROR(__xludf.DUMMYFUNCTION("""COMPUTED_VALUE"""),"the matrix")</f>
        <v>the matrix</v>
      </c>
      <c r="B144" s="1" t="str">
        <f>IF(A144&lt;&gt;"", VLOOKUP(A144, imdb_netflix_v5!A$2:H$7370, 2, FALSE), "")</f>
        <v>Movie</v>
      </c>
      <c r="C144" s="2" t="str">
        <f>IF(A144&lt;&gt;"", VLOOKUP(A144, imdb_netflix_v5!A$2:H$7370, 3, FALSE), "")</f>
        <v>Action, Sci-Fi</v>
      </c>
      <c r="D144" s="2">
        <f>IF(A144&lt;&gt;"", VLOOKUP(A144, imdb_netflix_v5!A$2:H$7370, 4, FALSE), "")</f>
        <v>8.7</v>
      </c>
      <c r="E144" s="2">
        <f>IF(A144&lt;&gt;"", VLOOKUP(A144, imdb_netflix_v5!A$2:H$7370, 5, FALSE), "")</f>
        <v>1999</v>
      </c>
      <c r="F144" s="2" t="str">
        <f>IF(A144&lt;&gt;"", VLOOKUP(A144, imdb_netflix_v5!A$2:H$7370, 7, FALSE), "")</f>
        <v>NA</v>
      </c>
    </row>
    <row r="145" ht="15.75" customHeight="1">
      <c r="A145" s="1" t="str">
        <f>IFERROR(__xludf.DUMMYFUNCTION("""COMPUTED_VALUE"""),"star wars episode v - the empire strikes back")</f>
        <v>star wars episode v - the empire strikes back</v>
      </c>
      <c r="B145" s="1" t="str">
        <f>IF(A145&lt;&gt;"", VLOOKUP(A145, imdb_netflix_v5!A$2:H$7370, 2, FALSE), "")</f>
        <v>Movie</v>
      </c>
      <c r="C145" s="2" t="str">
        <f>IF(A145&lt;&gt;"", VLOOKUP(A145, imdb_netflix_v5!A$2:H$7370, 3, FALSE), "")</f>
        <v>Action, Adventure, Fantasy</v>
      </c>
      <c r="D145" s="2">
        <f>IF(A145&lt;&gt;"", VLOOKUP(A145, imdb_netflix_v5!A$2:H$7370, 4, FALSE), "")</f>
        <v>8.7</v>
      </c>
      <c r="E145" s="2">
        <f>IF(A145&lt;&gt;"", VLOOKUP(A145, imdb_netflix_v5!A$2:H$7370, 5, FALSE), "")</f>
        <v>1980</v>
      </c>
      <c r="F145" s="2" t="str">
        <f>IF(A145&lt;&gt;"", VLOOKUP(A145, imdb_netflix_v5!A$2:H$7370, 7, FALSE), "")</f>
        <v>NA</v>
      </c>
    </row>
    <row r="146" ht="15.75" customHeight="1">
      <c r="A146" s="1" t="str">
        <f>IFERROR(__xludf.DUMMYFUNCTION("""COMPUTED_VALUE"""),"stranger things")</f>
        <v>stranger things</v>
      </c>
      <c r="B146" s="1" t="str">
        <f>IF(A146&lt;&gt;"", VLOOKUP(A146, imdb_netflix_v5!A$2:H$7370, 2, FALSE), "")</f>
        <v>TV Show</v>
      </c>
      <c r="C146" s="2" t="str">
        <f>IF(A146&lt;&gt;"", VLOOKUP(A146, imdb_netflix_v5!A$2:H$7370, 3, FALSE), "")</f>
        <v>Drama, Fantasy, Horror</v>
      </c>
      <c r="D146" s="2">
        <f>IF(A146&lt;&gt;"", VLOOKUP(A146, imdb_netflix_v5!A$2:H$7370, 4, FALSE), "")</f>
        <v>8.7</v>
      </c>
      <c r="E146" s="2">
        <f>IF(A146&lt;&gt;"", VLOOKUP(A146, imdb_netflix_v5!A$2:H$7370, 5, FALSE), "")</f>
        <v>2016</v>
      </c>
      <c r="F146" s="2">
        <f>IF(A146&lt;&gt;"", VLOOKUP(A146, imdb_netflix_v5!A$2:H$7370, 7, FALSE), "")</f>
        <v>9420000</v>
      </c>
    </row>
    <row r="147" ht="15.75" customHeight="1">
      <c r="A147" s="1" t="str">
        <f>IFERROR(__xludf.DUMMYFUNCTION("""COMPUTED_VALUE"""),"goodfellas")</f>
        <v>goodfellas</v>
      </c>
      <c r="B147" s="1" t="str">
        <f>IF(A147&lt;&gt;"", VLOOKUP(A147, imdb_netflix_v5!A$2:H$7370, 2, FALSE), "")</f>
        <v>Movie</v>
      </c>
      <c r="C147" s="2" t="str">
        <f>IF(A147&lt;&gt;"", VLOOKUP(A147, imdb_netflix_v5!A$2:H$7370, 3, FALSE), "")</f>
        <v>Biography, Crime, Drama</v>
      </c>
      <c r="D147" s="2">
        <f>IF(A147&lt;&gt;"", VLOOKUP(A147, imdb_netflix_v5!A$2:H$7370, 4, FALSE), "")</f>
        <v>8.7</v>
      </c>
      <c r="E147" s="2">
        <f>IF(A147&lt;&gt;"", VLOOKUP(A147, imdb_netflix_v5!A$2:H$7370, 5, FALSE), "")</f>
        <v>1990</v>
      </c>
      <c r="F147" s="2" t="str">
        <f>IF(A147&lt;&gt;"", VLOOKUP(A147, imdb_netflix_v5!A$2:H$7370, 7, FALSE), "")</f>
        <v>NA</v>
      </c>
    </row>
    <row r="148" ht="15.75" customHeight="1">
      <c r="A148" s="1" t="str">
        <f>IFERROR(__xludf.DUMMYFUNCTION("""COMPUTED_VALUE"""),"one flew over the cuckoos nest")</f>
        <v>one flew over the cuckoos nest</v>
      </c>
      <c r="B148" s="1" t="str">
        <f>IF(A148&lt;&gt;"", VLOOKUP(A148, imdb_netflix_v5!A$2:H$7370, 2, FALSE), "")</f>
        <v>Movie</v>
      </c>
      <c r="C148" s="2" t="str">
        <f>IF(A148&lt;&gt;"", VLOOKUP(A148, imdb_netflix_v5!A$2:H$7370, 3, FALSE), "")</f>
        <v>Drama</v>
      </c>
      <c r="D148" s="2">
        <f>IF(A148&lt;&gt;"", VLOOKUP(A148, imdb_netflix_v5!A$2:H$7370, 4, FALSE), "")</f>
        <v>8.7</v>
      </c>
      <c r="E148" s="2">
        <f>IF(A148&lt;&gt;"", VLOOKUP(A148, imdb_netflix_v5!A$2:H$7370, 5, FALSE), "")</f>
        <v>1975</v>
      </c>
      <c r="F148" s="2" t="str">
        <f>IF(A148&lt;&gt;"", VLOOKUP(A148, imdb_netflix_v5!A$2:H$7370, 7, FALSE), "")</f>
        <v>NA</v>
      </c>
    </row>
    <row r="149" ht="15.75" customHeight="1">
      <c r="A149" s="1" t="str">
        <f>IFERROR(__xludf.DUMMYFUNCTION("""COMPUTED_VALUE"""),"the boys")</f>
        <v>the boys</v>
      </c>
      <c r="B149" s="1" t="str">
        <f>IF(A149&lt;&gt;"", VLOOKUP(A149, imdb_netflix_v5!A$2:H$7370, 2, FALSE), "")</f>
        <v>TV Show</v>
      </c>
      <c r="C149" s="2" t="str">
        <f>IF(A149&lt;&gt;"", VLOOKUP(A149, imdb_netflix_v5!A$2:H$7370, 3, FALSE), "")</f>
        <v>Action, Comedy, Crime</v>
      </c>
      <c r="D149" s="2">
        <f>IF(A149&lt;&gt;"", VLOOKUP(A149, imdb_netflix_v5!A$2:H$7370, 4, FALSE), "")</f>
        <v>8.7</v>
      </c>
      <c r="E149" s="2">
        <f>IF(A149&lt;&gt;"", VLOOKUP(A149, imdb_netflix_v5!A$2:H$7370, 5, FALSE), "")</f>
        <v>2019</v>
      </c>
      <c r="F149" s="2" t="str">
        <f>IF(A149&lt;&gt;"", VLOOKUP(A149, imdb_netflix_v5!A$2:H$7370, 7, FALSE), "")</f>
        <v>NA</v>
      </c>
    </row>
    <row r="150" ht="15.75" customHeight="1">
      <c r="A150" s="1" t="str">
        <f>IFERROR(__xludf.DUMMYFUNCTION("""COMPUTED_VALUE"""),"peaky blinders")</f>
        <v>peaky blinders</v>
      </c>
      <c r="B150" s="1" t="str">
        <f>IF(A150&lt;&gt;"", VLOOKUP(A150, imdb_netflix_v5!A$2:H$7370, 2, FALSE), "")</f>
        <v>TV Show</v>
      </c>
      <c r="C150" s="2" t="str">
        <f>IF(A150&lt;&gt;"", VLOOKUP(A150, imdb_netflix_v5!A$2:H$7370, 3, FALSE), "")</f>
        <v>Crime, Drama</v>
      </c>
      <c r="D150" s="2">
        <f>IF(A150&lt;&gt;"", VLOOKUP(A150, imdb_netflix_v5!A$2:H$7370, 4, FALSE), "")</f>
        <v>8.7</v>
      </c>
      <c r="E150" s="2">
        <f>IF(A150&lt;&gt;"", VLOOKUP(A150, imdb_netflix_v5!A$2:H$7370, 5, FALSE), "")</f>
        <v>2013</v>
      </c>
      <c r="F150" s="2">
        <f>IF(A150&lt;&gt;"", VLOOKUP(A150, imdb_netflix_v5!A$2:H$7370, 7, FALSE), "")</f>
        <v>13060000</v>
      </c>
    </row>
    <row r="151" ht="15.75" customHeight="1">
      <c r="A151" s="1" t="str">
        <f>IFERROR(__xludf.DUMMYFUNCTION("""COMPUTED_VALUE"""),"black mirror")</f>
        <v>black mirror</v>
      </c>
      <c r="B151" s="1" t="str">
        <f>IF(A151&lt;&gt;"", VLOOKUP(A151, imdb_netflix_v5!A$2:H$7370, 2, FALSE), "")</f>
        <v>TV Show</v>
      </c>
      <c r="C151" s="2" t="str">
        <f>IF(A151&lt;&gt;"", VLOOKUP(A151, imdb_netflix_v5!A$2:H$7370, 3, FALSE), "")</f>
        <v>Crime, Drama, Mystery</v>
      </c>
      <c r="D151" s="2">
        <f>IF(A151&lt;&gt;"", VLOOKUP(A151, imdb_netflix_v5!A$2:H$7370, 4, FALSE), "")</f>
        <v>8.7</v>
      </c>
      <c r="E151" s="2">
        <f>IF(A151&lt;&gt;"", VLOOKUP(A151, imdb_netflix_v5!A$2:H$7370, 5, FALSE), "")</f>
        <v>2011</v>
      </c>
      <c r="F151" s="2">
        <f>IF(A151&lt;&gt;"", VLOOKUP(A151, imdb_netflix_v5!A$2:H$7370, 7, FALSE), "")</f>
        <v>16700000</v>
      </c>
    </row>
    <row r="152" ht="15.75" customHeight="1">
      <c r="A152" s="1" t="str">
        <f>IFERROR(__xludf.DUMMYFUNCTION("""COMPUTED_VALUE"""),"the last of us")</f>
        <v>the last of us</v>
      </c>
      <c r="B152" s="1" t="str">
        <f>IF(A152&lt;&gt;"", VLOOKUP(A152, imdb_netflix_v5!A$2:H$7370, 2, FALSE), "")</f>
        <v>TV Show</v>
      </c>
      <c r="C152" s="2" t="str">
        <f>IF(A152&lt;&gt;"", VLOOKUP(A152, imdb_netflix_v5!A$2:H$7370, 3, FALSE), "")</f>
        <v>Action, Adventure, Drama</v>
      </c>
      <c r="D152" s="2">
        <f>IF(A152&lt;&gt;"", VLOOKUP(A152, imdb_netflix_v5!A$2:H$7370, 4, FALSE), "")</f>
        <v>8.7</v>
      </c>
      <c r="E152" s="2">
        <f>IF(A152&lt;&gt;"", VLOOKUP(A152, imdb_netflix_v5!A$2:H$7370, 5, FALSE), "")</f>
        <v>2023</v>
      </c>
      <c r="F152" s="2" t="str">
        <f>IF(A152&lt;&gt;"", VLOOKUP(A152, imdb_netflix_v5!A$2:H$7370, 7, FALSE), "")</f>
        <v>NA</v>
      </c>
    </row>
    <row r="153" ht="15.75" customHeight="1">
      <c r="A153" s="1" t="str">
        <f>IFERROR(__xludf.DUMMYFUNCTION("""COMPUTED_VALUE"""),"house")</f>
        <v>house</v>
      </c>
      <c r="B153" s="1" t="str">
        <f>IF(A153&lt;&gt;"", VLOOKUP(A153, imdb_netflix_v5!A$2:H$7370, 2, FALSE), "")</f>
        <v>TV Show</v>
      </c>
      <c r="C153" s="2" t="str">
        <f>IF(A153&lt;&gt;"", VLOOKUP(A153, imdb_netflix_v5!A$2:H$7370, 3, FALSE), "")</f>
        <v>Drama, Mystery</v>
      </c>
      <c r="D153" s="2">
        <f>IF(A153&lt;&gt;"", VLOOKUP(A153, imdb_netflix_v5!A$2:H$7370, 4, FALSE), "")</f>
        <v>8.7</v>
      </c>
      <c r="E153" s="2">
        <f>IF(A153&lt;&gt;"", VLOOKUP(A153, imdb_netflix_v5!A$2:H$7370, 5, FALSE), "")</f>
        <v>2004</v>
      </c>
      <c r="F153" s="2" t="str">
        <f>IF(A153&lt;&gt;"", VLOOKUP(A153, imdb_netflix_v5!A$2:H$7370, 7, FALSE), "")</f>
        <v>NA</v>
      </c>
    </row>
    <row r="154" ht="15.75" customHeight="1">
      <c r="A154" s="1" t="str">
        <f>IFERROR(__xludf.DUMMYFUNCTION("""COMPUTED_VALUE"""),"narcos")</f>
        <v>narcos</v>
      </c>
      <c r="B154" s="1" t="str">
        <f>IF(A154&lt;&gt;"", VLOOKUP(A154, imdb_netflix_v5!A$2:H$7370, 2, FALSE), "")</f>
        <v>TV Show</v>
      </c>
      <c r="C154" s="2" t="str">
        <f>IF(A154&lt;&gt;"", VLOOKUP(A154, imdb_netflix_v5!A$2:H$7370, 3, FALSE), "")</f>
        <v>Biography, Crime, Drama</v>
      </c>
      <c r="D154" s="2">
        <f>IF(A154&lt;&gt;"", VLOOKUP(A154, imdb_netflix_v5!A$2:H$7370, 4, FALSE), "")</f>
        <v>8.7</v>
      </c>
      <c r="E154" s="2">
        <f>IF(A154&lt;&gt;"", VLOOKUP(A154, imdb_netflix_v5!A$2:H$7370, 5, FALSE), "")</f>
        <v>2015</v>
      </c>
      <c r="F154" s="2" t="str">
        <f>IF(A154&lt;&gt;"", VLOOKUP(A154, imdb_netflix_v5!A$2:H$7370, 7, FALSE), "")</f>
        <v>NA</v>
      </c>
    </row>
    <row r="155" ht="15.75" customHeight="1">
      <c r="A155" s="1" t="str">
        <f>IFERROR(__xludf.DUMMYFUNCTION("""COMPUTED_VALUE"""),"dark")</f>
        <v>dark</v>
      </c>
      <c r="B155" s="1" t="str">
        <f>IF(A155&lt;&gt;"", VLOOKUP(A155, imdb_netflix_v5!A$2:H$7370, 2, FALSE), "")</f>
        <v>TV Show</v>
      </c>
      <c r="C155" s="2" t="str">
        <f>IF(A155&lt;&gt;"", VLOOKUP(A155, imdb_netflix_v5!A$2:H$7370, 3, FALSE), "")</f>
        <v>Crime, Drama, Mystery</v>
      </c>
      <c r="D155" s="2">
        <f>IF(A155&lt;&gt;"", VLOOKUP(A155, imdb_netflix_v5!A$2:H$7370, 4, FALSE), "")</f>
        <v>8.7</v>
      </c>
      <c r="E155" s="2">
        <f>IF(A155&lt;&gt;"", VLOOKUP(A155, imdb_netflix_v5!A$2:H$7370, 5, FALSE), "")</f>
        <v>2017</v>
      </c>
      <c r="F155" s="2" t="str">
        <f>IF(A155&lt;&gt;"", VLOOKUP(A155, imdb_netflix_v5!A$2:H$7370, 7, FALSE), "")</f>
        <v>NA</v>
      </c>
    </row>
    <row r="156" ht="15.75" customHeight="1">
      <c r="A156" s="1" t="str">
        <f>IFERROR(__xludf.DUMMYFUNCTION("""COMPUTED_VALUE"""),"the simpsons")</f>
        <v>the simpsons</v>
      </c>
      <c r="B156" s="1" t="str">
        <f>IF(A156&lt;&gt;"", VLOOKUP(A156, imdb_netflix_v5!A$2:H$7370, 2, FALSE), "")</f>
        <v>TV Show</v>
      </c>
      <c r="C156" s="2" t="str">
        <f>IF(A156&lt;&gt;"", VLOOKUP(A156, imdb_netflix_v5!A$2:H$7370, 3, FALSE), "")</f>
        <v>Animation, Comedy</v>
      </c>
      <c r="D156" s="2">
        <f>IF(A156&lt;&gt;"", VLOOKUP(A156, imdb_netflix_v5!A$2:H$7370, 4, FALSE), "")</f>
        <v>8.7</v>
      </c>
      <c r="E156" s="2">
        <f>IF(A156&lt;&gt;"", VLOOKUP(A156, imdb_netflix_v5!A$2:H$7370, 5, FALSE), "")</f>
        <v>1989</v>
      </c>
      <c r="F156" s="2" t="str">
        <f>IF(A156&lt;&gt;"", VLOOKUP(A156, imdb_netflix_v5!A$2:H$7370, 7, FALSE), "")</f>
        <v>NA</v>
      </c>
    </row>
    <row r="157" ht="15.75" customHeight="1">
      <c r="A157" s="1" t="str">
        <f>IFERROR(__xludf.DUMMYFUNCTION("""COMPUTED_VALUE"""),"south park")</f>
        <v>south park</v>
      </c>
      <c r="B157" s="1" t="str">
        <f>IF(A157&lt;&gt;"", VLOOKUP(A157, imdb_netflix_v5!A$2:H$7370, 2, FALSE), "")</f>
        <v>TV Show</v>
      </c>
      <c r="C157" s="2" t="str">
        <f>IF(A157&lt;&gt;"", VLOOKUP(A157, imdb_netflix_v5!A$2:H$7370, 3, FALSE), "")</f>
        <v>Animation, Comedy</v>
      </c>
      <c r="D157" s="2">
        <f>IF(A157&lt;&gt;"", VLOOKUP(A157, imdb_netflix_v5!A$2:H$7370, 4, FALSE), "")</f>
        <v>8.7</v>
      </c>
      <c r="E157" s="2">
        <f>IF(A157&lt;&gt;"", VLOOKUP(A157, imdb_netflix_v5!A$2:H$7370, 5, FALSE), "")</f>
        <v>1997</v>
      </c>
      <c r="F157" s="2" t="str">
        <f>IF(A157&lt;&gt;"", VLOOKUP(A157, imdb_netflix_v5!A$2:H$7370, 7, FALSE), "")</f>
        <v>NA</v>
      </c>
    </row>
    <row r="158" ht="15.75" customHeight="1">
      <c r="A158" s="1" t="str">
        <f>IFERROR(__xludf.DUMMYFUNCTION("""COMPUTED_VALUE"""),"arrested development")</f>
        <v>arrested development</v>
      </c>
      <c r="B158" s="1" t="str">
        <f>IF(A158&lt;&gt;"", VLOOKUP(A158, imdb_netflix_v5!A$2:H$7370, 2, FALSE), "")</f>
        <v>TV Show</v>
      </c>
      <c r="C158" s="2" t="str">
        <f>IF(A158&lt;&gt;"", VLOOKUP(A158, imdb_netflix_v5!A$2:H$7370, 3, FALSE), "")</f>
        <v>Comedy</v>
      </c>
      <c r="D158" s="2">
        <f>IF(A158&lt;&gt;"", VLOOKUP(A158, imdb_netflix_v5!A$2:H$7370, 4, FALSE), "")</f>
        <v>8.7</v>
      </c>
      <c r="E158" s="2">
        <f>IF(A158&lt;&gt;"", VLOOKUP(A158, imdb_netflix_v5!A$2:H$7370, 5, FALSE), "")</f>
        <v>2003</v>
      </c>
      <c r="F158" s="2" t="str">
        <f>IF(A158&lt;&gt;"", VLOOKUP(A158, imdb_netflix_v5!A$2:H$7370, 7, FALSE), "")</f>
        <v>NA</v>
      </c>
    </row>
    <row r="159" ht="15.75" customHeight="1">
      <c r="A159" s="1" t="str">
        <f>IFERROR(__xludf.DUMMYFUNCTION("""COMPUTED_VALUE"""),"mad men")</f>
        <v>mad men</v>
      </c>
      <c r="B159" s="1" t="str">
        <f>IF(A159&lt;&gt;"", VLOOKUP(A159, imdb_netflix_v5!A$2:H$7370, 2, FALSE), "")</f>
        <v>TV Show</v>
      </c>
      <c r="C159" s="2" t="str">
        <f>IF(A159&lt;&gt;"", VLOOKUP(A159, imdb_netflix_v5!A$2:H$7370, 3, FALSE), "")</f>
        <v>Drama</v>
      </c>
      <c r="D159" s="2">
        <f>IF(A159&lt;&gt;"", VLOOKUP(A159, imdb_netflix_v5!A$2:H$7370, 4, FALSE), "")</f>
        <v>8.7</v>
      </c>
      <c r="E159" s="2">
        <f>IF(A159&lt;&gt;"", VLOOKUP(A159, imdb_netflix_v5!A$2:H$7370, 5, FALSE), "")</f>
        <v>2007</v>
      </c>
      <c r="F159" s="2" t="str">
        <f>IF(A159&lt;&gt;"", VLOOKUP(A159, imdb_netflix_v5!A$2:H$7370, 7, FALSE), "")</f>
        <v>NA</v>
      </c>
    </row>
    <row r="160" ht="15.75" customHeight="1">
      <c r="A160" s="1" t="str">
        <f>IFERROR(__xludf.DUMMYFUNCTION("""COMPUTED_VALUE"""),"severance")</f>
        <v>severance</v>
      </c>
      <c r="B160" s="1" t="str">
        <f>IF(A160&lt;&gt;"", VLOOKUP(A160, imdb_netflix_v5!A$2:H$7370, 2, FALSE), "")</f>
        <v>TV Show</v>
      </c>
      <c r="C160" s="2" t="str">
        <f>IF(A160&lt;&gt;"", VLOOKUP(A160, imdb_netflix_v5!A$2:H$7370, 3, FALSE), "")</f>
        <v>Drama, Mystery, Sci-Fi</v>
      </c>
      <c r="D160" s="2">
        <f>IF(A160&lt;&gt;"", VLOOKUP(A160, imdb_netflix_v5!A$2:H$7370, 4, FALSE), "")</f>
        <v>8.7</v>
      </c>
      <c r="E160" s="2">
        <f>IF(A160&lt;&gt;"", VLOOKUP(A160, imdb_netflix_v5!A$2:H$7370, 5, FALSE), "")</f>
        <v>2022</v>
      </c>
      <c r="F160" s="2" t="str">
        <f>IF(A160&lt;&gt;"", VLOOKUP(A160, imdb_netflix_v5!A$2:H$7370, 7, FALSE), "")</f>
        <v>NA</v>
      </c>
    </row>
    <row r="161" ht="15.75" customHeight="1">
      <c r="A161" s="1" t="str">
        <f>IFERROR(__xludf.DUMMYFUNCTION("""COMPUTED_VALUE"""),"downton abbey")</f>
        <v>downton abbey</v>
      </c>
      <c r="B161" s="1" t="str">
        <f>IF(A161&lt;&gt;"", VLOOKUP(A161, imdb_netflix_v5!A$2:H$7370, 2, FALSE), "")</f>
        <v>TV Show</v>
      </c>
      <c r="C161" s="2" t="str">
        <f>IF(A161&lt;&gt;"", VLOOKUP(A161, imdb_netflix_v5!A$2:H$7370, 3, FALSE), "")</f>
        <v>Drama, Romance</v>
      </c>
      <c r="D161" s="2">
        <f>IF(A161&lt;&gt;"", VLOOKUP(A161, imdb_netflix_v5!A$2:H$7370, 4, FALSE), "")</f>
        <v>8.7</v>
      </c>
      <c r="E161" s="2">
        <f>IF(A161&lt;&gt;"", VLOOKUP(A161, imdb_netflix_v5!A$2:H$7370, 5, FALSE), "")</f>
        <v>2010</v>
      </c>
      <c r="F161" s="2" t="str">
        <f>IF(A161&lt;&gt;"", VLOOKUP(A161, imdb_netflix_v5!A$2:H$7370, 7, FALSE), "")</f>
        <v>NA</v>
      </c>
    </row>
    <row r="162" ht="15.75" customHeight="1">
      <c r="A162" s="1" t="str">
        <f>IFERROR(__xludf.DUMMYFUNCTION("""COMPUTED_VALUE"""),"invincible")</f>
        <v>invincible</v>
      </c>
      <c r="B162" s="1" t="str">
        <f>IF(A162&lt;&gt;"", VLOOKUP(A162, imdb_netflix_v5!A$2:H$7370, 2, FALSE), "")</f>
        <v>TV Show</v>
      </c>
      <c r="C162" s="2" t="str">
        <f>IF(A162&lt;&gt;"", VLOOKUP(A162, imdb_netflix_v5!A$2:H$7370, 3, FALSE), "")</f>
        <v>Action, Adventure, Animation</v>
      </c>
      <c r="D162" s="2">
        <f>IF(A162&lt;&gt;"", VLOOKUP(A162, imdb_netflix_v5!A$2:H$7370, 4, FALSE), "")</f>
        <v>8.7</v>
      </c>
      <c r="E162" s="2">
        <f>IF(A162&lt;&gt;"", VLOOKUP(A162, imdb_netflix_v5!A$2:H$7370, 5, FALSE), "")</f>
        <v>2021</v>
      </c>
      <c r="F162" s="2" t="str">
        <f>IF(A162&lt;&gt;"", VLOOKUP(A162, imdb_netflix_v5!A$2:H$7370, 7, FALSE), "")</f>
        <v>NA</v>
      </c>
    </row>
    <row r="163" ht="15.75" customHeight="1">
      <c r="A163" s="1" t="str">
        <f>IFERROR(__xludf.DUMMYFUNCTION("""COMPUTED_VALUE"""),"twin peaks")</f>
        <v>twin peaks</v>
      </c>
      <c r="B163" s="1" t="str">
        <f>IF(A163&lt;&gt;"", VLOOKUP(A163, imdb_netflix_v5!A$2:H$7370, 2, FALSE), "")</f>
        <v>TV Show</v>
      </c>
      <c r="C163" s="2" t="str">
        <f>IF(A163&lt;&gt;"", VLOOKUP(A163, imdb_netflix_v5!A$2:H$7370, 3, FALSE), "")</f>
        <v>Crime, Drama, Mystery</v>
      </c>
      <c r="D163" s="2">
        <f>IF(A163&lt;&gt;"", VLOOKUP(A163, imdb_netflix_v5!A$2:H$7370, 4, FALSE), "")</f>
        <v>8.7</v>
      </c>
      <c r="E163" s="2">
        <f>IF(A163&lt;&gt;"", VLOOKUP(A163, imdb_netflix_v5!A$2:H$7370, 5, FALSE), "")</f>
        <v>1990</v>
      </c>
      <c r="F163" s="2" t="str">
        <f>IF(A163&lt;&gt;"", VLOOKUP(A163, imdb_netflix_v5!A$2:H$7370, 7, FALSE), "")</f>
        <v>NA</v>
      </c>
    </row>
    <row r="164" ht="15.75" customHeight="1">
      <c r="A164" s="1" t="str">
        <f>IFERROR(__xludf.DUMMYFUNCTION("""COMPUTED_VALUE"""),"jai bhim")</f>
        <v>jai bhim</v>
      </c>
      <c r="B164" s="1" t="str">
        <f>IF(A164&lt;&gt;"", VLOOKUP(A164, imdb_netflix_v5!A$2:H$7370, 2, FALSE), "")</f>
        <v>Movie</v>
      </c>
      <c r="C164" s="2" t="str">
        <f>IF(A164&lt;&gt;"", VLOOKUP(A164, imdb_netflix_v5!A$2:H$7370, 3, FALSE), "")</f>
        <v>Crime, Drama</v>
      </c>
      <c r="D164" s="2">
        <f>IF(A164&lt;&gt;"", VLOOKUP(A164, imdb_netflix_v5!A$2:H$7370, 4, FALSE), "")</f>
        <v>8.7</v>
      </c>
      <c r="E164" s="2">
        <f>IF(A164&lt;&gt;"", VLOOKUP(A164, imdb_netflix_v5!A$2:H$7370, 5, FALSE), "")</f>
        <v>2021</v>
      </c>
      <c r="F164" s="2" t="str">
        <f>IF(A164&lt;&gt;"", VLOOKUP(A164, imdb_netflix_v5!A$2:H$7370, 7, FALSE), "")</f>
        <v>NA</v>
      </c>
    </row>
    <row r="165" ht="15.75" customHeight="1">
      <c r="A165" s="1" t="str">
        <f>IFERROR(__xludf.DUMMYFUNCTION("""COMPUTED_VALUE"""),"fleabag")</f>
        <v>fleabag</v>
      </c>
      <c r="B165" s="1" t="str">
        <f>IF(A165&lt;&gt;"", VLOOKUP(A165, imdb_netflix_v5!A$2:H$7370, 2, FALSE), "")</f>
        <v>TV Show</v>
      </c>
      <c r="C165" s="2" t="str">
        <f>IF(A165&lt;&gt;"", VLOOKUP(A165, imdb_netflix_v5!A$2:H$7370, 3, FALSE), "")</f>
        <v>Comedy, Drama</v>
      </c>
      <c r="D165" s="2">
        <f>IF(A165&lt;&gt;"", VLOOKUP(A165, imdb_netflix_v5!A$2:H$7370, 4, FALSE), "")</f>
        <v>8.7</v>
      </c>
      <c r="E165" s="2">
        <f>IF(A165&lt;&gt;"", VLOOKUP(A165, imdb_netflix_v5!A$2:H$7370, 5, FALSE), "")</f>
        <v>2016</v>
      </c>
      <c r="F165" s="2" t="str">
        <f>IF(A165&lt;&gt;"", VLOOKUP(A165, imdb_netflix_v5!A$2:H$7370, 7, FALSE), "")</f>
        <v>NA</v>
      </c>
    </row>
    <row r="166" ht="15.75" customHeight="1">
      <c r="A166" s="1" t="str">
        <f>IFERROR(__xludf.DUMMYFUNCTION("""COMPUTED_VALUE"""),"one punch man")</f>
        <v>one punch man</v>
      </c>
      <c r="B166" s="1" t="str">
        <f>IF(A166&lt;&gt;"", VLOOKUP(A166, imdb_netflix_v5!A$2:H$7370, 2, FALSE), "")</f>
        <v>TV Show</v>
      </c>
      <c r="C166" s="2" t="str">
        <f>IF(A166&lt;&gt;"", VLOOKUP(A166, imdb_netflix_v5!A$2:H$7370, 3, FALSE), "")</f>
        <v>Action, Animation, Comedy</v>
      </c>
      <c r="D166" s="2">
        <f>IF(A166&lt;&gt;"", VLOOKUP(A166, imdb_netflix_v5!A$2:H$7370, 4, FALSE), "")</f>
        <v>8.7</v>
      </c>
      <c r="E166" s="2">
        <f>IF(A166&lt;&gt;"", VLOOKUP(A166, imdb_netflix_v5!A$2:H$7370, 5, FALSE), "")</f>
        <v>2015</v>
      </c>
      <c r="F166" s="2" t="str">
        <f>IF(A166&lt;&gt;"", VLOOKUP(A166, imdb_netflix_v5!A$2:H$7370, 7, FALSE), "")</f>
        <v>NA</v>
      </c>
    </row>
    <row r="167" ht="15.75" customHeight="1">
      <c r="A167" s="1" t="str">
        <f>IFERROR(__xludf.DUMMYFUNCTION("""COMPUTED_VALUE"""),"rome")</f>
        <v>rome</v>
      </c>
      <c r="B167" s="1" t="str">
        <f>IF(A167&lt;&gt;"", VLOOKUP(A167, imdb_netflix_v5!A$2:H$7370, 2, FALSE), "")</f>
        <v>TV Show</v>
      </c>
      <c r="C167" s="2" t="str">
        <f>IF(A167&lt;&gt;"", VLOOKUP(A167, imdb_netflix_v5!A$2:H$7370, 3, FALSE), "")</f>
        <v>Action, Drama, Romance</v>
      </c>
      <c r="D167" s="2">
        <f>IF(A167&lt;&gt;"", VLOOKUP(A167, imdb_netflix_v5!A$2:H$7370, 4, FALSE), "")</f>
        <v>8.7</v>
      </c>
      <c r="E167" s="2">
        <f>IF(A167&lt;&gt;"", VLOOKUP(A167, imdb_netflix_v5!A$2:H$7370, 5, FALSE), "")</f>
        <v>2005</v>
      </c>
      <c r="F167" s="2" t="str">
        <f>IF(A167&lt;&gt;"", VLOOKUP(A167, imdb_netflix_v5!A$2:H$7370, 7, FALSE), "")</f>
        <v>NA</v>
      </c>
    </row>
    <row r="168" ht="15.75" customHeight="1">
      <c r="A168" s="1" t="str">
        <f>IFERROR(__xludf.DUMMYFUNCTION("""COMPUTED_VALUE"""),"naruto shippuden")</f>
        <v>naruto shippuden</v>
      </c>
      <c r="B168" s="1" t="str">
        <f>IF(A168&lt;&gt;"", VLOOKUP(A168, imdb_netflix_v5!A$2:H$7370, 2, FALSE), "")</f>
        <v>TV Show</v>
      </c>
      <c r="C168" s="2" t="str">
        <f>IF(A168&lt;&gt;"", VLOOKUP(A168, imdb_netflix_v5!A$2:H$7370, 3, FALSE), "")</f>
        <v>Action, Adventure, Animation</v>
      </c>
      <c r="D168" s="2">
        <f>IF(A168&lt;&gt;"", VLOOKUP(A168, imdb_netflix_v5!A$2:H$7370, 4, FALSE), "")</f>
        <v>8.7</v>
      </c>
      <c r="E168" s="2">
        <f>IF(A168&lt;&gt;"", VLOOKUP(A168, imdb_netflix_v5!A$2:H$7370, 5, FALSE), "")</f>
        <v>2007</v>
      </c>
      <c r="F168" s="2" t="str">
        <f>IF(A168&lt;&gt;"", VLOOKUP(A168, imdb_netflix_v5!A$2:H$7370, 7, FALSE), "")</f>
        <v>NA</v>
      </c>
    </row>
    <row r="169" ht="15.75" customHeight="1">
      <c r="A169" s="1" t="str">
        <f>IFERROR(__xludf.DUMMYFUNCTION("""COMPUTED_VALUE"""),"battlestar galactica")</f>
        <v>battlestar galactica</v>
      </c>
      <c r="B169" s="1" t="str">
        <f>IF(A169&lt;&gt;"", VLOOKUP(A169, imdb_netflix_v5!A$2:H$7370, 2, FALSE), "")</f>
        <v>TV Show</v>
      </c>
      <c r="C169" s="2" t="str">
        <f>IF(A169&lt;&gt;"", VLOOKUP(A169, imdb_netflix_v5!A$2:H$7370, 3, FALSE), "")</f>
        <v>Action, Adventure, Drama</v>
      </c>
      <c r="D169" s="2">
        <f>IF(A169&lt;&gt;"", VLOOKUP(A169, imdb_netflix_v5!A$2:H$7370, 4, FALSE), "")</f>
        <v>8.7</v>
      </c>
      <c r="E169" s="2">
        <f>IF(A169&lt;&gt;"", VLOOKUP(A169, imdb_netflix_v5!A$2:H$7370, 5, FALSE), "")</f>
        <v>2004</v>
      </c>
      <c r="F169" s="2" t="str">
        <f>IF(A169&lt;&gt;"", VLOOKUP(A169, imdb_netflix_v5!A$2:H$7370, 7, FALSE), "")</f>
        <v>NA</v>
      </c>
    </row>
    <row r="170" ht="15.75" customHeight="1">
      <c r="A170" s="1" t="str">
        <f>IFERROR(__xludf.DUMMYFUNCTION("""COMPUTED_VALUE"""),"this is us")</f>
        <v>this is us</v>
      </c>
      <c r="B170" s="1" t="str">
        <f>IF(A170&lt;&gt;"", VLOOKUP(A170, imdb_netflix_v5!A$2:H$7370, 2, FALSE), "")</f>
        <v>TV Show</v>
      </c>
      <c r="C170" s="2" t="str">
        <f>IF(A170&lt;&gt;"", VLOOKUP(A170, imdb_netflix_v5!A$2:H$7370, 3, FALSE), "")</f>
        <v>Comedy, Drama, Romance</v>
      </c>
      <c r="D170" s="2">
        <f>IF(A170&lt;&gt;"", VLOOKUP(A170, imdb_netflix_v5!A$2:H$7370, 4, FALSE), "")</f>
        <v>8.7</v>
      </c>
      <c r="E170" s="2">
        <f>IF(A170&lt;&gt;"", VLOOKUP(A170, imdb_netflix_v5!A$2:H$7370, 5, FALSE), "")</f>
        <v>2016</v>
      </c>
      <c r="F170" s="2" t="str">
        <f>IF(A170&lt;&gt;"", VLOOKUP(A170, imdb_netflix_v5!A$2:H$7370, 7, FALSE), "")</f>
        <v>NA</v>
      </c>
    </row>
    <row r="171" ht="15.75" customHeight="1">
      <c r="A171" s="1" t="str">
        <f>IFERROR(__xludf.DUMMYFUNCTION("""COMPUTED_VALUE"""),"six feet under")</f>
        <v>six feet under</v>
      </c>
      <c r="B171" s="1" t="str">
        <f>IF(A171&lt;&gt;"", VLOOKUP(A171, imdb_netflix_v5!A$2:H$7370, 2, FALSE), "")</f>
        <v>TV Show</v>
      </c>
      <c r="C171" s="2" t="str">
        <f>IF(A171&lt;&gt;"", VLOOKUP(A171, imdb_netflix_v5!A$2:H$7370, 3, FALSE), "")</f>
        <v>Comedy, Drama</v>
      </c>
      <c r="D171" s="2">
        <f>IF(A171&lt;&gt;"", VLOOKUP(A171, imdb_netflix_v5!A$2:H$7370, 4, FALSE), "")</f>
        <v>8.7</v>
      </c>
      <c r="E171" s="2">
        <f>IF(A171&lt;&gt;"", VLOOKUP(A171, imdb_netflix_v5!A$2:H$7370, 5, FALSE), "")</f>
        <v>2001</v>
      </c>
      <c r="F171" s="2" t="str">
        <f>IF(A171&lt;&gt;"", VLOOKUP(A171, imdb_netflix_v5!A$2:H$7370, 7, FALSE), "")</f>
        <v>NA</v>
      </c>
    </row>
    <row r="172" ht="15.75" customHeight="1">
      <c r="A172" s="1" t="str">
        <f>IFERROR(__xludf.DUMMYFUNCTION("""COMPUTED_VALUE"""),"the marvelous mrs. maisel")</f>
        <v>the marvelous mrs. maisel</v>
      </c>
      <c r="B172" s="1" t="str">
        <f>IF(A172&lt;&gt;"", VLOOKUP(A172, imdb_netflix_v5!A$2:H$7370, 2, FALSE), "")</f>
        <v>TV Show</v>
      </c>
      <c r="C172" s="2" t="str">
        <f>IF(A172&lt;&gt;"", VLOOKUP(A172, imdb_netflix_v5!A$2:H$7370, 3, FALSE), "")</f>
        <v>Comedy, Drama</v>
      </c>
      <c r="D172" s="2">
        <f>IF(A172&lt;&gt;"", VLOOKUP(A172, imdb_netflix_v5!A$2:H$7370, 4, FALSE), "")</f>
        <v>8.7</v>
      </c>
      <c r="E172" s="2">
        <f>IF(A172&lt;&gt;"", VLOOKUP(A172, imdb_netflix_v5!A$2:H$7370, 5, FALSE), "")</f>
        <v>2017</v>
      </c>
      <c r="F172" s="2" t="str">
        <f>IF(A172&lt;&gt;"", VLOOKUP(A172, imdb_netflix_v5!A$2:H$7370, 7, FALSE), "")</f>
        <v>NA</v>
      </c>
    </row>
    <row r="173" ht="15.75" customHeight="1">
      <c r="A173" s="1" t="str">
        <f>IFERROR(__xludf.DUMMYFUNCTION("""COMPUTED_VALUE"""),"the penguin")</f>
        <v>the penguin</v>
      </c>
      <c r="B173" s="1" t="str">
        <f>IF(A173&lt;&gt;"", VLOOKUP(A173, imdb_netflix_v5!A$2:H$7370, 2, FALSE), "")</f>
        <v>TV Show</v>
      </c>
      <c r="C173" s="2" t="str">
        <f>IF(A173&lt;&gt;"", VLOOKUP(A173, imdb_netflix_v5!A$2:H$7370, 3, FALSE), "")</f>
        <v>Crime, Drama</v>
      </c>
      <c r="D173" s="2">
        <f>IF(A173&lt;&gt;"", VLOOKUP(A173, imdb_netflix_v5!A$2:H$7370, 4, FALSE), "")</f>
        <v>8.7</v>
      </c>
      <c r="E173" s="2">
        <f>IF(A173&lt;&gt;"", VLOOKUP(A173, imdb_netflix_v5!A$2:H$7370, 5, FALSE), "")</f>
        <v>2024</v>
      </c>
      <c r="F173" s="2" t="str">
        <f>IF(A173&lt;&gt;"", VLOOKUP(A173, imdb_netflix_v5!A$2:H$7370, 7, FALSE), "")</f>
        <v>NA</v>
      </c>
    </row>
    <row r="174" ht="15.75" customHeight="1">
      <c r="A174" s="1" t="str">
        <f>IFERROR(__xludf.DUMMYFUNCTION("""COMPUTED_VALUE"""),"star trek the next generation")</f>
        <v>star trek the next generation</v>
      </c>
      <c r="B174" s="1" t="str">
        <f>IF(A174&lt;&gt;"", VLOOKUP(A174, imdb_netflix_v5!A$2:H$7370, 2, FALSE), "")</f>
        <v>TV Show</v>
      </c>
      <c r="C174" s="2" t="str">
        <f>IF(A174&lt;&gt;"", VLOOKUP(A174, imdb_netflix_v5!A$2:H$7370, 3, FALSE), "")</f>
        <v>Action, Adventure, Drama</v>
      </c>
      <c r="D174" s="2">
        <f>IF(A174&lt;&gt;"", VLOOKUP(A174, imdb_netflix_v5!A$2:H$7370, 4, FALSE), "")</f>
        <v>8.7</v>
      </c>
      <c r="E174" s="2">
        <f>IF(A174&lt;&gt;"", VLOOKUP(A174, imdb_netflix_v5!A$2:H$7370, 5, FALSE), "")</f>
        <v>1987</v>
      </c>
      <c r="F174" s="2" t="str">
        <f>IF(A174&lt;&gt;"", VLOOKUP(A174, imdb_netflix_v5!A$2:H$7370, 7, FALSE), "")</f>
        <v>NA</v>
      </c>
    </row>
    <row r="175" ht="15.75" customHeight="1">
      <c r="A175" s="1" t="str">
        <f>IFERROR(__xludf.DUMMYFUNCTION("""COMPUTED_VALUE"""),"top gear")</f>
        <v>top gear</v>
      </c>
      <c r="B175" s="1" t="str">
        <f>IF(A175&lt;&gt;"", VLOOKUP(A175, imdb_netflix_v5!A$2:H$7370, 2, FALSE), "")</f>
        <v>TV Show</v>
      </c>
      <c r="C175" s="2" t="str">
        <f>IF(A175&lt;&gt;"", VLOOKUP(A175, imdb_netflix_v5!A$2:H$7370, 3, FALSE), "")</f>
        <v>Adventure, Sport, Talk-Show</v>
      </c>
      <c r="D175" s="2">
        <f>IF(A175&lt;&gt;"", VLOOKUP(A175, imdb_netflix_v5!A$2:H$7370, 4, FALSE), "")</f>
        <v>8.7</v>
      </c>
      <c r="E175" s="2">
        <f>IF(A175&lt;&gt;"", VLOOKUP(A175, imdb_netflix_v5!A$2:H$7370, 5, FALSE), "")</f>
        <v>2002</v>
      </c>
      <c r="F175" s="2" t="str">
        <f>IF(A175&lt;&gt;"", VLOOKUP(A175, imdb_netflix_v5!A$2:H$7370, 7, FALSE), "")</f>
        <v>NA</v>
      </c>
    </row>
    <row r="176" ht="15.75" customHeight="1">
      <c r="A176" s="1">
        <f>IFERROR(__xludf.DUMMYFUNCTION("""COMPUTED_VALUE"""),1883.0)</f>
        <v>1883</v>
      </c>
      <c r="B176" s="1" t="str">
        <f>IF(A176&lt;&gt;"", VLOOKUP(A176, imdb_netflix_v5!A$2:H$7370, 2, FALSE), "")</f>
        <v>TV Show</v>
      </c>
      <c r="C176" s="2" t="str">
        <f>IF(A176&lt;&gt;"", VLOOKUP(A176, imdb_netflix_v5!A$2:H$7370, 3, FALSE), "")</f>
        <v>Drama, Western</v>
      </c>
      <c r="D176" s="2">
        <f>IF(A176&lt;&gt;"", VLOOKUP(A176, imdb_netflix_v5!A$2:H$7370, 4, FALSE), "")</f>
        <v>8.7</v>
      </c>
      <c r="E176" s="2">
        <f>IF(A176&lt;&gt;"", VLOOKUP(A176, imdb_netflix_v5!A$2:H$7370, 5, FALSE), "")</f>
        <v>2021</v>
      </c>
      <c r="F176" s="2" t="str">
        <f>IF(A176&lt;&gt;"", VLOOKUP(A176, imdb_netflix_v5!A$2:H$7370, 7, FALSE), "")</f>
        <v>NA</v>
      </c>
    </row>
    <row r="177" ht="15.75" customHeight="1">
      <c r="A177" s="1" t="str">
        <f>IFERROR(__xludf.DUMMYFUNCTION("""COMPUTED_VALUE"""),"soorarai pottru")</f>
        <v>soorarai pottru</v>
      </c>
      <c r="B177" s="1" t="str">
        <f>IF(A177&lt;&gt;"", VLOOKUP(A177, imdb_netflix_v5!A$2:H$7370, 2, FALSE), "")</f>
        <v>Movie</v>
      </c>
      <c r="C177" s="2" t="str">
        <f>IF(A177&lt;&gt;"", VLOOKUP(A177, imdb_netflix_v5!A$2:H$7370, 3, FALSE), "")</f>
        <v>Drama</v>
      </c>
      <c r="D177" s="2">
        <f>IF(A177&lt;&gt;"", VLOOKUP(A177, imdb_netflix_v5!A$2:H$7370, 4, FALSE), "")</f>
        <v>8.7</v>
      </c>
      <c r="E177" s="2">
        <f>IF(A177&lt;&gt;"", VLOOKUP(A177, imdb_netflix_v5!A$2:H$7370, 5, FALSE), "")</f>
        <v>2020</v>
      </c>
      <c r="F177" s="2" t="str">
        <f>IF(A177&lt;&gt;"", VLOOKUP(A177, imdb_netflix_v5!A$2:H$7370, 7, FALSE), "")</f>
        <v>NA</v>
      </c>
    </row>
    <row r="178" ht="15.75" customHeight="1">
      <c r="A178" s="1" t="str">
        <f>IFERROR(__xludf.DUMMYFUNCTION("""COMPUTED_VALUE"""),"oz")</f>
        <v>oz</v>
      </c>
      <c r="B178" s="1" t="str">
        <f>IF(A178&lt;&gt;"", VLOOKUP(A178, imdb_netflix_v5!A$2:H$7370, 2, FALSE), "")</f>
        <v>TV Show</v>
      </c>
      <c r="C178" s="2" t="str">
        <f>IF(A178&lt;&gt;"", VLOOKUP(A178, imdb_netflix_v5!A$2:H$7370, 3, FALSE), "")</f>
        <v>Crime, Drama, Thriller</v>
      </c>
      <c r="D178" s="2">
        <f>IF(A178&lt;&gt;"", VLOOKUP(A178, imdb_netflix_v5!A$2:H$7370, 4, FALSE), "")</f>
        <v>8.7</v>
      </c>
      <c r="E178" s="2">
        <f>IF(A178&lt;&gt;"", VLOOKUP(A178, imdb_netflix_v5!A$2:H$7370, 5, FALSE), "")</f>
        <v>1997</v>
      </c>
      <c r="F178" s="2" t="str">
        <f>IF(A178&lt;&gt;"", VLOOKUP(A178, imdb_netflix_v5!A$2:H$7370, 7, FALSE), "")</f>
        <v>NA</v>
      </c>
    </row>
    <row r="179" ht="15.75" customHeight="1">
      <c r="A179" s="1" t="str">
        <f>IFERROR(__xludf.DUMMYFUNCTION("""COMPUTED_VALUE"""),"the family man")</f>
        <v>the family man</v>
      </c>
      <c r="B179" s="1" t="str">
        <f>IF(A179&lt;&gt;"", VLOOKUP(A179, imdb_netflix_v5!A$2:H$7370, 2, FALSE), "")</f>
        <v>TV Show</v>
      </c>
      <c r="C179" s="2" t="str">
        <f>IF(A179&lt;&gt;"", VLOOKUP(A179, imdb_netflix_v5!A$2:H$7370, 3, FALSE), "")</f>
        <v>Action, Comedy, Drama</v>
      </c>
      <c r="D179" s="2">
        <f>IF(A179&lt;&gt;"", VLOOKUP(A179, imdb_netflix_v5!A$2:H$7370, 4, FALSE), "")</f>
        <v>8.7</v>
      </c>
      <c r="E179" s="2">
        <f>IF(A179&lt;&gt;"", VLOOKUP(A179, imdb_netflix_v5!A$2:H$7370, 5, FALSE), "")</f>
        <v>2019</v>
      </c>
      <c r="F179" s="2" t="str">
        <f>IF(A179&lt;&gt;"", VLOOKUP(A179, imdb_netflix_v5!A$2:H$7370, 7, FALSE), "")</f>
        <v>NA</v>
      </c>
    </row>
    <row r="180" ht="15.75" customHeight="1">
      <c r="A180" s="1" t="str">
        <f>IFERROR(__xludf.DUMMYFUNCTION("""COMPUTED_VALUE"""),"the shield")</f>
        <v>the shield</v>
      </c>
      <c r="B180" s="1" t="str">
        <f>IF(A180&lt;&gt;"", VLOOKUP(A180, imdb_netflix_v5!A$2:H$7370, 2, FALSE), "")</f>
        <v>TV Show</v>
      </c>
      <c r="C180" s="2" t="str">
        <f>IF(A180&lt;&gt;"", VLOOKUP(A180, imdb_netflix_v5!A$2:H$7370, 3, FALSE), "")</f>
        <v>Crime, Drama, Thriller</v>
      </c>
      <c r="D180" s="2">
        <f>IF(A180&lt;&gt;"", VLOOKUP(A180, imdb_netflix_v5!A$2:H$7370, 4, FALSE), "")</f>
        <v>8.7</v>
      </c>
      <c r="E180" s="2">
        <f>IF(A180&lt;&gt;"", VLOOKUP(A180, imdb_netflix_v5!A$2:H$7370, 5, FALSE), "")</f>
        <v>2002</v>
      </c>
      <c r="F180" s="2" t="str">
        <f>IF(A180&lt;&gt;"", VLOOKUP(A180, imdb_netflix_v5!A$2:H$7370, 7, FALSE), "")</f>
        <v>NA</v>
      </c>
    </row>
    <row r="181" ht="15.75" customHeight="1">
      <c r="A181" s="1" t="str">
        <f>IFERROR(__xludf.DUMMYFUNCTION("""COMPUTED_VALUE"""),"the grand tour")</f>
        <v>the grand tour</v>
      </c>
      <c r="B181" s="1" t="str">
        <f>IF(A181&lt;&gt;"", VLOOKUP(A181, imdb_netflix_v5!A$2:H$7370, 2, FALSE), "")</f>
        <v>TV Show</v>
      </c>
      <c r="C181" s="2" t="str">
        <f>IF(A181&lt;&gt;"", VLOOKUP(A181, imdb_netflix_v5!A$2:H$7370, 3, FALSE), "")</f>
        <v>Comedy, Sport, Talk-Show</v>
      </c>
      <c r="D181" s="2">
        <f>IF(A181&lt;&gt;"", VLOOKUP(A181, imdb_netflix_v5!A$2:H$7370, 4, FALSE), "")</f>
        <v>8.7</v>
      </c>
      <c r="E181" s="2">
        <f>IF(A181&lt;&gt;"", VLOOKUP(A181, imdb_netflix_v5!A$2:H$7370, 5, FALSE), "")</f>
        <v>2016</v>
      </c>
      <c r="F181" s="2" t="str">
        <f>IF(A181&lt;&gt;"", VLOOKUP(A181, imdb_netflix_v5!A$2:H$7370, 7, FALSE), "")</f>
        <v>NA</v>
      </c>
    </row>
    <row r="182" ht="15.75" customHeight="1">
      <c r="A182" s="1" t="str">
        <f>IFERROR(__xludf.DUMMYFUNCTION("""COMPUTED_VALUE"""),"code geass")</f>
        <v>code geass</v>
      </c>
      <c r="B182" s="1" t="str">
        <f>IF(A182&lt;&gt;"", VLOOKUP(A182, imdb_netflix_v5!A$2:H$7370, 2, FALSE), "")</f>
        <v>TV Show</v>
      </c>
      <c r="C182" s="2" t="str">
        <f>IF(A182&lt;&gt;"", VLOOKUP(A182, imdb_netflix_v5!A$2:H$7370, 3, FALSE), "")</f>
        <v>Action, Animation, Drama</v>
      </c>
      <c r="D182" s="2">
        <f>IF(A182&lt;&gt;"", VLOOKUP(A182, imdb_netflix_v5!A$2:H$7370, 4, FALSE), "")</f>
        <v>8.7</v>
      </c>
      <c r="E182" s="2">
        <f>IF(A182&lt;&gt;"", VLOOKUP(A182, imdb_netflix_v5!A$2:H$7370, 5, FALSE), "")</f>
        <v>2006</v>
      </c>
      <c r="F182" s="2" t="str">
        <f>IF(A182&lt;&gt;"", VLOOKUP(A182, imdb_netflix_v5!A$2:H$7370, 7, FALSE), "")</f>
        <v>NA</v>
      </c>
    </row>
    <row r="183" ht="15.75" customHeight="1">
      <c r="A183" s="1" t="str">
        <f>IFERROR(__xludf.DUMMYFUNCTION("""COMPUTED_VALUE"""),"blue eye samurai")</f>
        <v>blue eye samurai</v>
      </c>
      <c r="B183" s="1" t="str">
        <f>IF(A183&lt;&gt;"", VLOOKUP(A183, imdb_netflix_v5!A$2:H$7370, 2, FALSE), "")</f>
        <v>TV Show</v>
      </c>
      <c r="C183" s="2" t="str">
        <f>IF(A183&lt;&gt;"", VLOOKUP(A183, imdb_netflix_v5!A$2:H$7370, 3, FALSE), "")</f>
        <v>Action, Adventure, Animation</v>
      </c>
      <c r="D183" s="2">
        <f>IF(A183&lt;&gt;"", VLOOKUP(A183, imdb_netflix_v5!A$2:H$7370, 4, FALSE), "")</f>
        <v>8.7</v>
      </c>
      <c r="E183" s="2">
        <f>IF(A183&lt;&gt;"", VLOOKUP(A183, imdb_netflix_v5!A$2:H$7370, 5, FALSE), "")</f>
        <v>2023</v>
      </c>
      <c r="F183" s="2">
        <f>IF(A183&lt;&gt;"", VLOOKUP(A183, imdb_netflix_v5!A$2:H$7370, 7, FALSE), "")</f>
        <v>12300000</v>
      </c>
    </row>
    <row r="184" ht="15.75" customHeight="1">
      <c r="A184" s="1" t="str">
        <f>IFERROR(__xludf.DUMMYFUNCTION("""COMPUTED_VALUE"""),"over the garden wall")</f>
        <v>over the garden wall</v>
      </c>
      <c r="B184" s="1" t="str">
        <f>IF(A184&lt;&gt;"", VLOOKUP(A184, imdb_netflix_v5!A$2:H$7370, 2, FALSE), "")</f>
        <v>TV Show</v>
      </c>
      <c r="C184" s="2" t="str">
        <f>IF(A184&lt;&gt;"", VLOOKUP(A184, imdb_netflix_v5!A$2:H$7370, 3, FALSE), "")</f>
        <v>Adventure, Animation, Comedy</v>
      </c>
      <c r="D184" s="2">
        <f>IF(A184&lt;&gt;"", VLOOKUP(A184, imdb_netflix_v5!A$2:H$7370, 4, FALSE), "")</f>
        <v>8.7</v>
      </c>
      <c r="E184" s="2">
        <f>IF(A184&lt;&gt;"", VLOOKUP(A184, imdb_netflix_v5!A$2:H$7370, 5, FALSE), "")</f>
        <v>2014</v>
      </c>
      <c r="F184" s="2" t="str">
        <f>IF(A184&lt;&gt;"", VLOOKUP(A184, imdb_netflix_v5!A$2:H$7370, 7, FALSE), "")</f>
        <v>NA</v>
      </c>
    </row>
    <row r="185" ht="15.75" customHeight="1">
      <c r="A185" s="1" t="str">
        <f>IFERROR(__xludf.DUMMYFUNCTION("""COMPUTED_VALUE"""),"friday night lights")</f>
        <v>friday night lights</v>
      </c>
      <c r="B185" s="1" t="str">
        <f>IF(A185&lt;&gt;"", VLOOKUP(A185, imdb_netflix_v5!A$2:H$7370, 2, FALSE), "")</f>
        <v>TV Show</v>
      </c>
      <c r="C185" s="2" t="str">
        <f>IF(A185&lt;&gt;"", VLOOKUP(A185, imdb_netflix_v5!A$2:H$7370, 3, FALSE), "")</f>
        <v>Drama, Sport</v>
      </c>
      <c r="D185" s="2">
        <f>IF(A185&lt;&gt;"", VLOOKUP(A185, imdb_netflix_v5!A$2:H$7370, 4, FALSE), "")</f>
        <v>8.7</v>
      </c>
      <c r="E185" s="2">
        <f>IF(A185&lt;&gt;"", VLOOKUP(A185, imdb_netflix_v5!A$2:H$7370, 5, FALSE), "")</f>
        <v>2006</v>
      </c>
      <c r="F185" s="2" t="str">
        <f>IF(A185&lt;&gt;"", VLOOKUP(A185, imdb_netflix_v5!A$2:H$7370, 7, FALSE), "")</f>
        <v>NA</v>
      </c>
    </row>
    <row r="186" ht="15.75" customHeight="1">
      <c r="A186" s="1" t="str">
        <f>IFERROR(__xludf.DUMMYFUNCTION("""COMPUTED_VALUE"""),"line of duty")</f>
        <v>line of duty</v>
      </c>
      <c r="B186" s="1" t="str">
        <f>IF(A186&lt;&gt;"", VLOOKUP(A186, imdb_netflix_v5!A$2:H$7370, 2, FALSE), "")</f>
        <v>TV Show</v>
      </c>
      <c r="C186" s="2" t="str">
        <f>IF(A186&lt;&gt;"", VLOOKUP(A186, imdb_netflix_v5!A$2:H$7370, 3, FALSE), "")</f>
        <v>Crime, Drama, Mystery</v>
      </c>
      <c r="D186" s="2">
        <f>IF(A186&lt;&gt;"", VLOOKUP(A186, imdb_netflix_v5!A$2:H$7370, 4, FALSE), "")</f>
        <v>8.7</v>
      </c>
      <c r="E186" s="2">
        <f>IF(A186&lt;&gt;"", VLOOKUP(A186, imdb_netflix_v5!A$2:H$7370, 5, FALSE), "")</f>
        <v>2012</v>
      </c>
      <c r="F186" s="2">
        <f>IF(A186&lt;&gt;"", VLOOKUP(A186, imdb_netflix_v5!A$2:H$7370, 7, FALSE), "")</f>
        <v>4140000</v>
      </c>
    </row>
    <row r="187" ht="15.75" customHeight="1">
      <c r="A187" s="1" t="str">
        <f>IFERROR(__xludf.DUMMYFUNCTION("""COMPUTED_VALUE"""),"peep show")</f>
        <v>peep show</v>
      </c>
      <c r="B187" s="1" t="str">
        <f>IF(A187&lt;&gt;"", VLOOKUP(A187, imdb_netflix_v5!A$2:H$7370, 2, FALSE), "")</f>
        <v>TV Show</v>
      </c>
      <c r="C187" s="2" t="str">
        <f>IF(A187&lt;&gt;"", VLOOKUP(A187, imdb_netflix_v5!A$2:H$7370, 3, FALSE), "")</f>
        <v>Comedy</v>
      </c>
      <c r="D187" s="2">
        <f>IF(A187&lt;&gt;"", VLOOKUP(A187, imdb_netflix_v5!A$2:H$7370, 4, FALSE), "")</f>
        <v>8.7</v>
      </c>
      <c r="E187" s="2">
        <f>IF(A187&lt;&gt;"", VLOOKUP(A187, imdb_netflix_v5!A$2:H$7370, 5, FALSE), "")</f>
        <v>2003</v>
      </c>
      <c r="F187" s="2" t="str">
        <f>IF(A187&lt;&gt;"", VLOOKUP(A187, imdb_netflix_v5!A$2:H$7370, 7, FALSE), "")</f>
        <v>NA</v>
      </c>
    </row>
    <row r="188" ht="15.75" customHeight="1">
      <c r="A188" s="1" t="str">
        <f>IFERROR(__xludf.DUMMYFUNCTION("""COMPUTED_VALUE"""),"berserk")</f>
        <v>berserk</v>
      </c>
      <c r="B188" s="1" t="str">
        <f>IF(A188&lt;&gt;"", VLOOKUP(A188, imdb_netflix_v5!A$2:H$7370, 2, FALSE), "")</f>
        <v>TV Show</v>
      </c>
      <c r="C188" s="2" t="str">
        <f>IF(A188&lt;&gt;"", VLOOKUP(A188, imdb_netflix_v5!A$2:H$7370, 3, FALSE), "")</f>
        <v>Action, Adventure, Animation</v>
      </c>
      <c r="D188" s="2">
        <f>IF(A188&lt;&gt;"", VLOOKUP(A188, imdb_netflix_v5!A$2:H$7370, 4, FALSE), "")</f>
        <v>8.7</v>
      </c>
      <c r="E188" s="2">
        <f>IF(A188&lt;&gt;"", VLOOKUP(A188, imdb_netflix_v5!A$2:H$7370, 5, FALSE), "")</f>
        <v>1997</v>
      </c>
      <c r="F188" s="2" t="str">
        <f>IF(A188&lt;&gt;"", VLOOKUP(A188, imdb_netflix_v5!A$2:H$7370, 7, FALSE), "")</f>
        <v>NA</v>
      </c>
    </row>
    <row r="189" ht="15.75" customHeight="1">
      <c r="A189" s="1" t="str">
        <f>IFERROR(__xludf.DUMMYFUNCTION("""COMPUTED_VALUE"""),"rocketry the nambi effect")</f>
        <v>rocketry the nambi effect</v>
      </c>
      <c r="B189" s="1" t="str">
        <f>IF(A189&lt;&gt;"", VLOOKUP(A189, imdb_netflix_v5!A$2:H$7370, 2, FALSE), "")</f>
        <v>Movie</v>
      </c>
      <c r="C189" s="2" t="str">
        <f>IF(A189&lt;&gt;"", VLOOKUP(A189, imdb_netflix_v5!A$2:H$7370, 3, FALSE), "")</f>
        <v>Biography, Drama</v>
      </c>
      <c r="D189" s="2">
        <f>IF(A189&lt;&gt;"", VLOOKUP(A189, imdb_netflix_v5!A$2:H$7370, 4, FALSE), "")</f>
        <v>8.7</v>
      </c>
      <c r="E189" s="2">
        <f>IF(A189&lt;&gt;"", VLOOKUP(A189, imdb_netflix_v5!A$2:H$7370, 5, FALSE), "")</f>
        <v>2022</v>
      </c>
      <c r="F189" s="2" t="str">
        <f>IF(A189&lt;&gt;"", VLOOKUP(A189, imdb_netflix_v5!A$2:H$7370, 7, FALSE), "")</f>
        <v>NA</v>
      </c>
    </row>
    <row r="190" ht="15.75" customHeight="1">
      <c r="A190" s="1" t="str">
        <f>IFERROR(__xludf.DUMMYFUNCTION("""COMPUTED_VALUE"""),"monster")</f>
        <v>monster</v>
      </c>
      <c r="B190" s="1" t="str">
        <f>IF(A190&lt;&gt;"", VLOOKUP(A190, imdb_netflix_v5!A$2:H$7370, 2, FALSE), "")</f>
        <v>TV Show</v>
      </c>
      <c r="C190" s="2" t="str">
        <f>IF(A190&lt;&gt;"", VLOOKUP(A190, imdb_netflix_v5!A$2:H$7370, 3, FALSE), "")</f>
        <v>Animation, Crime, Drama</v>
      </c>
      <c r="D190" s="2">
        <f>IF(A190&lt;&gt;"", VLOOKUP(A190, imdb_netflix_v5!A$2:H$7370, 4, FALSE), "")</f>
        <v>8.7</v>
      </c>
      <c r="E190" s="2">
        <f>IF(A190&lt;&gt;"", VLOOKUP(A190, imdb_netflix_v5!A$2:H$7370, 5, FALSE), "")</f>
        <v>2004</v>
      </c>
      <c r="F190" s="2" t="str">
        <f>IF(A190&lt;&gt;"", VLOOKUP(A190, imdb_netflix_v5!A$2:H$7370, 7, FALSE), "")</f>
        <v>NA</v>
      </c>
    </row>
    <row r="191" ht="15.75" customHeight="1">
      <c r="A191" s="1" t="str">
        <f>IFERROR(__xludf.DUMMYFUNCTION("""COMPUTED_VALUE"""),"crash landing on you")</f>
        <v>crash landing on you</v>
      </c>
      <c r="B191" s="1" t="str">
        <f>IF(A191&lt;&gt;"", VLOOKUP(A191, imdb_netflix_v5!A$2:H$7370, 2, FALSE), "")</f>
        <v>TV Show</v>
      </c>
      <c r="C191" s="2" t="str">
        <f>IF(A191&lt;&gt;"", VLOOKUP(A191, imdb_netflix_v5!A$2:H$7370, 3, FALSE), "")</f>
        <v>Adventure, Comedy, Drama</v>
      </c>
      <c r="D191" s="2">
        <f>IF(A191&lt;&gt;"", VLOOKUP(A191, imdb_netflix_v5!A$2:H$7370, 4, FALSE), "")</f>
        <v>8.7</v>
      </c>
      <c r="E191" s="2">
        <f>IF(A191&lt;&gt;"", VLOOKUP(A191, imdb_netflix_v5!A$2:H$7370, 5, FALSE), "")</f>
        <v>2019</v>
      </c>
      <c r="F191" s="2" t="str">
        <f>IF(A191&lt;&gt;"", VLOOKUP(A191, imdb_netflix_v5!A$2:H$7370, 7, FALSE), "")</f>
        <v>NA</v>
      </c>
    </row>
    <row r="192" ht="15.75" customHeight="1">
      <c r="A192" s="1" t="str">
        <f>IFERROR(__xludf.DUMMYFUNCTION("""COMPUTED_VALUE"""),"father ted")</f>
        <v>father ted</v>
      </c>
      <c r="B192" s="1" t="str">
        <f>IF(A192&lt;&gt;"", VLOOKUP(A192, imdb_netflix_v5!A$2:H$7370, 2, FALSE), "")</f>
        <v>TV Show</v>
      </c>
      <c r="C192" s="2" t="str">
        <f>IF(A192&lt;&gt;"", VLOOKUP(A192, imdb_netflix_v5!A$2:H$7370, 3, FALSE), "")</f>
        <v>Comedy</v>
      </c>
      <c r="D192" s="2">
        <f>IF(A192&lt;&gt;"", VLOOKUP(A192, imdb_netflix_v5!A$2:H$7370, 4, FALSE), "")</f>
        <v>8.7</v>
      </c>
      <c r="E192" s="2">
        <f>IF(A192&lt;&gt;"", VLOOKUP(A192, imdb_netflix_v5!A$2:H$7370, 5, FALSE), "")</f>
        <v>1995</v>
      </c>
      <c r="F192" s="2" t="str">
        <f>IF(A192&lt;&gt;"", VLOOKUP(A192, imdb_netflix_v5!A$2:H$7370, 7, FALSE), "")</f>
        <v>NA</v>
      </c>
    </row>
    <row r="193" ht="15.75" customHeight="1">
      <c r="A193" s="1" t="str">
        <f>IFERROR(__xludf.DUMMYFUNCTION("""COMPUTED_VALUE"""),"777 charlie")</f>
        <v>777 charlie</v>
      </c>
      <c r="B193" s="1" t="str">
        <f>IF(A193&lt;&gt;"", VLOOKUP(A193, imdb_netflix_v5!A$2:H$7370, 2, FALSE), "")</f>
        <v>Movie</v>
      </c>
      <c r="C193" s="2" t="str">
        <f>IF(A193&lt;&gt;"", VLOOKUP(A193, imdb_netflix_v5!A$2:H$7370, 3, FALSE), "")</f>
        <v>Adventure, Comedy, Drama</v>
      </c>
      <c r="D193" s="2">
        <f>IF(A193&lt;&gt;"", VLOOKUP(A193, imdb_netflix_v5!A$2:H$7370, 4, FALSE), "")</f>
        <v>8.7</v>
      </c>
      <c r="E193" s="2">
        <f>IF(A193&lt;&gt;"", VLOOKUP(A193, imdb_netflix_v5!A$2:H$7370, 5, FALSE), "")</f>
        <v>2022</v>
      </c>
      <c r="F193" s="2" t="str">
        <f>IF(A193&lt;&gt;"", VLOOKUP(A193, imdb_netflix_v5!A$2:H$7370, 7, FALSE), "")</f>
        <v>NA</v>
      </c>
    </row>
    <row r="194" ht="15.75" customHeight="1">
      <c r="A194" s="1" t="str">
        <f>IFERROR(__xludf.DUMMYFUNCTION("""COMPUTED_VALUE"""),"haikyu!!")</f>
        <v>haikyu!!</v>
      </c>
      <c r="B194" s="1" t="str">
        <f>IF(A194&lt;&gt;"", VLOOKUP(A194, imdb_netflix_v5!A$2:H$7370, 2, FALSE), "")</f>
        <v>TV Show</v>
      </c>
      <c r="C194" s="2" t="str">
        <f>IF(A194&lt;&gt;"", VLOOKUP(A194, imdb_netflix_v5!A$2:H$7370, 3, FALSE), "")</f>
        <v>Animation, Comedy, Drama</v>
      </c>
      <c r="D194" s="2">
        <f>IF(A194&lt;&gt;"", VLOOKUP(A194, imdb_netflix_v5!A$2:H$7370, 4, FALSE), "")</f>
        <v>8.7</v>
      </c>
      <c r="E194" s="2">
        <f>IF(A194&lt;&gt;"", VLOOKUP(A194, imdb_netflix_v5!A$2:H$7370, 5, FALSE), "")</f>
        <v>2014</v>
      </c>
      <c r="F194" s="2" t="str">
        <f>IF(A194&lt;&gt;"", VLOOKUP(A194, imdb_netflix_v5!A$2:H$7370, 7, FALSE), "")</f>
        <v>NA</v>
      </c>
    </row>
    <row r="195" ht="15.75" customHeight="1">
      <c r="A195" s="1" t="str">
        <f>IFERROR(__xludf.DUMMYFUNCTION("""COMPUTED_VALUE"""),"mr inbetween")</f>
        <v>mr inbetween</v>
      </c>
      <c r="B195" s="1" t="str">
        <f>IF(A195&lt;&gt;"", VLOOKUP(A195, imdb_netflix_v5!A$2:H$7370, 2, FALSE), "")</f>
        <v>TV Show</v>
      </c>
      <c r="C195" s="2" t="str">
        <f>IF(A195&lt;&gt;"", VLOOKUP(A195, imdb_netflix_v5!A$2:H$7370, 3, FALSE), "")</f>
        <v>Crime, Drama</v>
      </c>
      <c r="D195" s="2">
        <f>IF(A195&lt;&gt;"", VLOOKUP(A195, imdb_netflix_v5!A$2:H$7370, 4, FALSE), "")</f>
        <v>8.7</v>
      </c>
      <c r="E195" s="2">
        <f>IF(A195&lt;&gt;"", VLOOKUP(A195, imdb_netflix_v5!A$2:H$7370, 5, FALSE), "")</f>
        <v>2018</v>
      </c>
      <c r="F195" s="2" t="str">
        <f>IF(A195&lt;&gt;"", VLOOKUP(A195, imdb_netflix_v5!A$2:H$7370, 7, FALSE), "")</f>
        <v>NA</v>
      </c>
    </row>
    <row r="196" ht="15.75" customHeight="1">
      <c r="A196" s="1" t="str">
        <f>IFERROR(__xludf.DUMMYFUNCTION("""COMPUTED_VALUE"""),"the thick of it")</f>
        <v>the thick of it</v>
      </c>
      <c r="B196" s="1" t="str">
        <f>IF(A196&lt;&gt;"", VLOOKUP(A196, imdb_netflix_v5!A$2:H$7370, 2, FALSE), "")</f>
        <v>TV Show</v>
      </c>
      <c r="C196" s="2" t="str">
        <f>IF(A196&lt;&gt;"", VLOOKUP(A196, imdb_netflix_v5!A$2:H$7370, 3, FALSE), "")</f>
        <v>Comedy</v>
      </c>
      <c r="D196" s="2">
        <f>IF(A196&lt;&gt;"", VLOOKUP(A196, imdb_netflix_v5!A$2:H$7370, 4, FALSE), "")</f>
        <v>8.7</v>
      </c>
      <c r="E196" s="2">
        <f>IF(A196&lt;&gt;"", VLOOKUP(A196, imdb_netflix_v5!A$2:H$7370, 5, FALSE), "")</f>
        <v>2005</v>
      </c>
      <c r="F196" s="2" t="str">
        <f>IF(A196&lt;&gt;"", VLOOKUP(A196, imdb_netflix_v5!A$2:H$7370, 7, FALSE), "")</f>
        <v>NA</v>
      </c>
    </row>
    <row r="197" ht="15.75" customHeight="1">
      <c r="A197" s="1" t="str">
        <f>IFERROR(__xludf.DUMMYFUNCTION("""COMPUTED_VALUE"""),"demon slayer kimetsu no yaiba - tsuzumi mansion arc")</f>
        <v>demon slayer kimetsu no yaiba - tsuzumi mansion arc</v>
      </c>
      <c r="B197" s="1" t="str">
        <f>IF(A197&lt;&gt;"", VLOOKUP(A197, imdb_netflix_v5!A$2:H$7370, 2, FALSE), "")</f>
        <v>Movie</v>
      </c>
      <c r="C197" s="2" t="str">
        <f>IF(A197&lt;&gt;"", VLOOKUP(A197, imdb_netflix_v5!A$2:H$7370, 3, FALSE), "")</f>
        <v>Action, Animation, Fantasy</v>
      </c>
      <c r="D197" s="2">
        <f>IF(A197&lt;&gt;"", VLOOKUP(A197, imdb_netflix_v5!A$2:H$7370, 4, FALSE), "")</f>
        <v>8.7</v>
      </c>
      <c r="E197" s="2">
        <f>IF(A197&lt;&gt;"", VLOOKUP(A197, imdb_netflix_v5!A$2:H$7370, 5, FALSE), "")</f>
        <v>2021</v>
      </c>
      <c r="F197" s="2" t="str">
        <f>IF(A197&lt;&gt;"", VLOOKUP(A197, imdb_netflix_v5!A$2:H$7370, 7, FALSE), "")</f>
        <v>NA</v>
      </c>
    </row>
    <row r="198" ht="15.75" customHeight="1">
      <c r="A198" s="1" t="str">
        <f>IFERROR(__xludf.DUMMYFUNCTION("""COMPUTED_VALUE"""),"lonesome dove")</f>
        <v>lonesome dove</v>
      </c>
      <c r="B198" s="1" t="str">
        <f>IF(A198&lt;&gt;"", VLOOKUP(A198, imdb_netflix_v5!A$2:H$7370, 2, FALSE), "")</f>
        <v>TV Show</v>
      </c>
      <c r="C198" s="2" t="str">
        <f>IF(A198&lt;&gt;"", VLOOKUP(A198, imdb_netflix_v5!A$2:H$7370, 3, FALSE), "")</f>
        <v>Adventure, Drama, Western</v>
      </c>
      <c r="D198" s="2">
        <f>IF(A198&lt;&gt;"", VLOOKUP(A198, imdb_netflix_v5!A$2:H$7370, 4, FALSE), "")</f>
        <v>8.7</v>
      </c>
      <c r="E198" s="2">
        <f>IF(A198&lt;&gt;"", VLOOKUP(A198, imdb_netflix_v5!A$2:H$7370, 5, FALSE), "")</f>
        <v>1989</v>
      </c>
      <c r="F198" s="2" t="str">
        <f>IF(A198&lt;&gt;"", VLOOKUP(A198, imdb_netflix_v5!A$2:H$7370, 7, FALSE), "")</f>
        <v>NA</v>
      </c>
    </row>
    <row r="199" ht="15.75" customHeight="1">
      <c r="A199" s="1" t="str">
        <f>IFERROR(__xludf.DUMMYFUNCTION("""COMPUTED_VALUE"""),"nayakan")</f>
        <v>nayakan</v>
      </c>
      <c r="B199" s="1" t="str">
        <f>IF(A199&lt;&gt;"", VLOOKUP(A199, imdb_netflix_v5!A$2:H$7370, 2, FALSE), "")</f>
        <v>Movie</v>
      </c>
      <c r="C199" s="2" t="str">
        <f>IF(A199&lt;&gt;"", VLOOKUP(A199, imdb_netflix_v5!A$2:H$7370, 3, FALSE), "")</f>
        <v>Crime, Drama</v>
      </c>
      <c r="D199" s="2">
        <f>IF(A199&lt;&gt;"", VLOOKUP(A199, imdb_netflix_v5!A$2:H$7370, 4, FALSE), "")</f>
        <v>8.7</v>
      </c>
      <c r="E199" s="2">
        <f>IF(A199&lt;&gt;"", VLOOKUP(A199, imdb_netflix_v5!A$2:H$7370, 5, FALSE), "")</f>
        <v>1987</v>
      </c>
      <c r="F199" s="2" t="str">
        <f>IF(A199&lt;&gt;"", VLOOKUP(A199, imdb_netflix_v5!A$2:H$7370, 7, FALSE), "")</f>
        <v>NA</v>
      </c>
    </row>
    <row r="200" ht="15.75" customHeight="1">
      <c r="A200" s="1" t="str">
        <f>IFERROR(__xludf.DUMMYFUNCTION("""COMPUTED_VALUE"""),"the adventures of sherlock holmes")</f>
        <v>the adventures of sherlock holmes</v>
      </c>
      <c r="B200" s="1" t="str">
        <f>IF(A200&lt;&gt;"", VLOOKUP(A200, imdb_netflix_v5!A$2:H$7370, 2, FALSE), "")</f>
        <v>TV Show</v>
      </c>
      <c r="C200" s="2" t="str">
        <f>IF(A200&lt;&gt;"", VLOOKUP(A200, imdb_netflix_v5!A$2:H$7370, 3, FALSE), "")</f>
        <v>Crime, Drama, Mystery</v>
      </c>
      <c r="D200" s="2">
        <f>IF(A200&lt;&gt;"", VLOOKUP(A200, imdb_netflix_v5!A$2:H$7370, 4, FALSE), "")</f>
        <v>8.7</v>
      </c>
      <c r="E200" s="2">
        <f>IF(A200&lt;&gt;"", VLOOKUP(A200, imdb_netflix_v5!A$2:H$7370, 5, FALSE), "")</f>
        <v>1984</v>
      </c>
      <c r="F200" s="2" t="str">
        <f>IF(A200&lt;&gt;"", VLOOKUP(A200, imdb_netflix_v5!A$2:H$7370, 7, FALSE), "")</f>
        <v>NA</v>
      </c>
    </row>
    <row r="201" ht="15.75" customHeight="1">
      <c r="A201" s="1" t="str">
        <f>IFERROR(__xludf.DUMMYFUNCTION("""COMPUTED_VALUE"""),"primal")</f>
        <v>primal</v>
      </c>
      <c r="B201" s="1" t="str">
        <f>IF(A201&lt;&gt;"", VLOOKUP(A201, imdb_netflix_v5!A$2:H$7370, 2, FALSE), "")</f>
        <v>TV Show</v>
      </c>
      <c r="C201" s="2" t="str">
        <f>IF(A201&lt;&gt;"", VLOOKUP(A201, imdb_netflix_v5!A$2:H$7370, 3, FALSE), "")</f>
        <v>Action, Adventure, Animation</v>
      </c>
      <c r="D201" s="2">
        <f>IF(A201&lt;&gt;"", VLOOKUP(A201, imdb_netflix_v5!A$2:H$7370, 4, FALSE), "")</f>
        <v>8.7</v>
      </c>
      <c r="E201" s="2">
        <f>IF(A201&lt;&gt;"", VLOOKUP(A201, imdb_netflix_v5!A$2:H$7370, 5, FALSE), "")</f>
        <v>2019</v>
      </c>
      <c r="F201" s="2" t="str">
        <f>IF(A201&lt;&gt;"", VLOOKUP(A201, imdb_netflix_v5!A$2:H$7370, 7, FALSE), "")</f>
        <v>NA</v>
      </c>
    </row>
    <row r="202" ht="15.75" customHeight="1">
      <c r="A202" s="1" t="str">
        <f>IFERROR(__xludf.DUMMYFUNCTION("""COMPUTED_VALUE"""),"justice league unlimited")</f>
        <v>justice league unlimited</v>
      </c>
      <c r="B202" s="1" t="str">
        <f>IF(A202&lt;&gt;"", VLOOKUP(A202, imdb_netflix_v5!A$2:H$7370, 2, FALSE), "")</f>
        <v>TV Show</v>
      </c>
      <c r="C202" s="2" t="str">
        <f>IF(A202&lt;&gt;"", VLOOKUP(A202, imdb_netflix_v5!A$2:H$7370, 3, FALSE), "")</f>
        <v>Action, Adventure, Animation</v>
      </c>
      <c r="D202" s="2">
        <f>IF(A202&lt;&gt;"", VLOOKUP(A202, imdb_netflix_v5!A$2:H$7370, 4, FALSE), "")</f>
        <v>8.7</v>
      </c>
      <c r="E202" s="2">
        <f>IF(A202&lt;&gt;"", VLOOKUP(A202, imdb_netflix_v5!A$2:H$7370, 5, FALSE), "")</f>
        <v>2004</v>
      </c>
      <c r="F202" s="2" t="str">
        <f>IF(A202&lt;&gt;"", VLOOKUP(A202, imdb_netflix_v5!A$2:H$7370, 7, FALSE), "")</f>
        <v>NA</v>
      </c>
    </row>
    <row r="203" ht="15.75" customHeight="1">
      <c r="A203" s="1" t="str">
        <f>IFERROR(__xludf.DUMMYFUNCTION("""COMPUTED_VALUE"""),"stop making sense")</f>
        <v>stop making sense</v>
      </c>
      <c r="B203" s="1" t="str">
        <f>IF(A203&lt;&gt;"", VLOOKUP(A203, imdb_netflix_v5!A$2:H$7370, 2, FALSE), "")</f>
        <v>Movie</v>
      </c>
      <c r="C203" s="2" t="str">
        <f>IF(A203&lt;&gt;"", VLOOKUP(A203, imdb_netflix_v5!A$2:H$7370, 3, FALSE), "")</f>
        <v>Documentary, Music</v>
      </c>
      <c r="D203" s="2">
        <f>IF(A203&lt;&gt;"", VLOOKUP(A203, imdb_netflix_v5!A$2:H$7370, 4, FALSE), "")</f>
        <v>8.7</v>
      </c>
      <c r="E203" s="2">
        <f>IF(A203&lt;&gt;"", VLOOKUP(A203, imdb_netflix_v5!A$2:H$7370, 5, FALSE), "")</f>
        <v>1984</v>
      </c>
      <c r="F203" s="2" t="str">
        <f>IF(A203&lt;&gt;"", VLOOKUP(A203, imdb_netflix_v5!A$2:H$7370, 7, FALSE), "")</f>
        <v>NA</v>
      </c>
    </row>
    <row r="204" ht="15.75" customHeight="1">
      <c r="A204" s="1" t="str">
        <f>IFERROR(__xludf.DUMMYFUNCTION("""COMPUTED_VALUE"""),"lucky guy")</f>
        <v>lucky guy</v>
      </c>
      <c r="B204" s="1" t="str">
        <f>IF(A204&lt;&gt;"", VLOOKUP(A204, imdb_netflix_v5!A$2:H$7370, 2, FALSE), "")</f>
        <v>TV Show</v>
      </c>
      <c r="C204" s="2" t="str">
        <f>IF(A204&lt;&gt;"", VLOOKUP(A204, imdb_netflix_v5!A$2:H$7370, 3, FALSE), "")</f>
        <v>Comedy, Drama, Fantasy</v>
      </c>
      <c r="D204" s="2">
        <f>IF(A204&lt;&gt;"", VLOOKUP(A204, imdb_netflix_v5!A$2:H$7370, 4, FALSE), "")</f>
        <v>8.7</v>
      </c>
      <c r="E204" s="2">
        <f>IF(A204&lt;&gt;"", VLOOKUP(A204, imdb_netflix_v5!A$2:H$7370, 5, FALSE), "")</f>
        <v>2023</v>
      </c>
      <c r="F204" s="2" t="str">
        <f>IF(A204&lt;&gt;"", VLOOKUP(A204, imdb_netflix_v5!A$2:H$7370, 7, FALSE), "")</f>
        <v>NA</v>
      </c>
    </row>
    <row r="205" ht="15.75" customHeight="1">
      <c r="A205" s="1" t="str">
        <f>IFERROR(__xludf.DUMMYFUNCTION("""COMPUTED_VALUE"""),"the chaos class is waking up")</f>
        <v>the chaos class is waking up</v>
      </c>
      <c r="B205" s="1" t="str">
        <f>IF(A205&lt;&gt;"", VLOOKUP(A205, imdb_netflix_v5!A$2:H$7370, 2, FALSE), "")</f>
        <v>Movie</v>
      </c>
      <c r="C205" s="2" t="str">
        <f>IF(A205&lt;&gt;"", VLOOKUP(A205, imdb_netflix_v5!A$2:H$7370, 3, FALSE), "")</f>
        <v>Comedy</v>
      </c>
      <c r="D205" s="2">
        <f>IF(A205&lt;&gt;"", VLOOKUP(A205, imdb_netflix_v5!A$2:H$7370, 4, FALSE), "")</f>
        <v>8.7</v>
      </c>
      <c r="E205" s="2">
        <f>IF(A205&lt;&gt;"", VLOOKUP(A205, imdb_netflix_v5!A$2:H$7370, 5, FALSE), "")</f>
        <v>1976</v>
      </c>
      <c r="F205" s="2" t="str">
        <f>IF(A205&lt;&gt;"", VLOOKUP(A205, imdb_netflix_v5!A$2:H$7370, 7, FALSE), "")</f>
        <v>NA</v>
      </c>
    </row>
    <row r="206" ht="15.75" customHeight="1">
      <c r="A206" s="1" t="str">
        <f>IFERROR(__xludf.DUMMYFUNCTION("""COMPUTED_VALUE"""),"alchemy of souls")</f>
        <v>alchemy of souls</v>
      </c>
      <c r="B206" s="1" t="str">
        <f>IF(A206&lt;&gt;"", VLOOKUP(A206, imdb_netflix_v5!A$2:H$7370, 2, FALSE), "")</f>
        <v>TV Show</v>
      </c>
      <c r="C206" s="2" t="str">
        <f>IF(A206&lt;&gt;"", VLOOKUP(A206, imdb_netflix_v5!A$2:H$7370, 3, FALSE), "")</f>
        <v>Action, Drama, Fantasy</v>
      </c>
      <c r="D206" s="2">
        <f>IF(A206&lt;&gt;"", VLOOKUP(A206, imdb_netflix_v5!A$2:H$7370, 4, FALSE), "")</f>
        <v>8.7</v>
      </c>
      <c r="E206" s="2">
        <f>IF(A206&lt;&gt;"", VLOOKUP(A206, imdb_netflix_v5!A$2:H$7370, 5, FALSE), "")</f>
        <v>2022</v>
      </c>
      <c r="F206" s="2">
        <f>IF(A206&lt;&gt;"", VLOOKUP(A206, imdb_netflix_v5!A$2:H$7370, 7, FALSE), "")</f>
        <v>5800000</v>
      </c>
    </row>
    <row r="207" ht="15.75" customHeight="1">
      <c r="A207" s="1" t="str">
        <f>IFERROR(__xludf.DUMMYFUNCTION("""COMPUTED_VALUE"""),"pariyerum perumal")</f>
        <v>pariyerum perumal</v>
      </c>
      <c r="B207" s="1" t="str">
        <f>IF(A207&lt;&gt;"", VLOOKUP(A207, imdb_netflix_v5!A$2:H$7370, 2, FALSE), "")</f>
        <v>Movie</v>
      </c>
      <c r="C207" s="2" t="str">
        <f>IF(A207&lt;&gt;"", VLOOKUP(A207, imdb_netflix_v5!A$2:H$7370, 3, FALSE), "")</f>
        <v>Drama</v>
      </c>
      <c r="D207" s="2">
        <f>IF(A207&lt;&gt;"", VLOOKUP(A207, imdb_netflix_v5!A$2:H$7370, 4, FALSE), "")</f>
        <v>8.7</v>
      </c>
      <c r="E207" s="2">
        <f>IF(A207&lt;&gt;"", VLOOKUP(A207, imdb_netflix_v5!A$2:H$7370, 5, FALSE), "")</f>
        <v>2018</v>
      </c>
      <c r="F207" s="2" t="str">
        <f>IF(A207&lt;&gt;"", VLOOKUP(A207, imdb_netflix_v5!A$2:H$7370, 7, FALSE), "")</f>
        <v>NA</v>
      </c>
    </row>
    <row r="208" ht="15.75" customHeight="1">
      <c r="A208" s="1" t="str">
        <f>IFERROR(__xludf.DUMMYFUNCTION("""COMPUTED_VALUE"""),"saban, son of saban")</f>
        <v>saban, son of saban</v>
      </c>
      <c r="B208" s="1" t="str">
        <f>IF(A208&lt;&gt;"", VLOOKUP(A208, imdb_netflix_v5!A$2:H$7370, 2, FALSE), "")</f>
        <v>Movie</v>
      </c>
      <c r="C208" s="2" t="str">
        <f>IF(A208&lt;&gt;"", VLOOKUP(A208, imdb_netflix_v5!A$2:H$7370, 3, FALSE), "")</f>
        <v>Comedy, History</v>
      </c>
      <c r="D208" s="2">
        <f>IF(A208&lt;&gt;"", VLOOKUP(A208, imdb_netflix_v5!A$2:H$7370, 4, FALSE), "")</f>
        <v>8.7</v>
      </c>
      <c r="E208" s="2">
        <f>IF(A208&lt;&gt;"", VLOOKUP(A208, imdb_netflix_v5!A$2:H$7370, 5, FALSE), "")</f>
        <v>1977</v>
      </c>
      <c r="F208" s="2" t="str">
        <f>IF(A208&lt;&gt;"", VLOOKUP(A208, imdb_netflix_v5!A$2:H$7370, 7, FALSE), "")</f>
        <v>NA</v>
      </c>
    </row>
    <row r="209" ht="15.75" customHeight="1">
      <c r="A209" s="1" t="str">
        <f>IFERROR(__xludf.DUMMYFUNCTION("""COMPUTED_VALUE"""),"kill bill the whole bloody affair")</f>
        <v>kill bill the whole bloody affair</v>
      </c>
      <c r="B209" s="1" t="str">
        <f>IF(A209&lt;&gt;"", VLOOKUP(A209, imdb_netflix_v5!A$2:H$7370, 2, FALSE), "")</f>
        <v>Movie</v>
      </c>
      <c r="C209" s="2" t="str">
        <f>IF(A209&lt;&gt;"", VLOOKUP(A209, imdb_netflix_v5!A$2:H$7370, 3, FALSE), "")</f>
        <v>Action, Crime, Thriller</v>
      </c>
      <c r="D209" s="2">
        <f>IF(A209&lt;&gt;"", VLOOKUP(A209, imdb_netflix_v5!A$2:H$7370, 4, FALSE), "")</f>
        <v>8.7</v>
      </c>
      <c r="E209" s="2">
        <f>IF(A209&lt;&gt;"", VLOOKUP(A209, imdb_netflix_v5!A$2:H$7370, 5, FALSE), "")</f>
        <v>2006</v>
      </c>
      <c r="F209" s="2" t="str">
        <f>IF(A209&lt;&gt;"", VLOOKUP(A209, imdb_netflix_v5!A$2:H$7370, 7, FALSE), "")</f>
        <v>NA</v>
      </c>
    </row>
    <row r="210" ht="15.75" customHeight="1">
      <c r="A210" s="1" t="str">
        <f>IFERROR(__xludf.DUMMYFUNCTION("""COMPUTED_VALUE"""),"feyzo, the polite one")</f>
        <v>feyzo, the polite one</v>
      </c>
      <c r="B210" s="1" t="str">
        <f>IF(A210&lt;&gt;"", VLOOKUP(A210, imdb_netflix_v5!A$2:H$7370, 2, FALSE), "")</f>
        <v>Movie</v>
      </c>
      <c r="C210" s="2" t="str">
        <f>IF(A210&lt;&gt;"", VLOOKUP(A210, imdb_netflix_v5!A$2:H$7370, 3, FALSE), "")</f>
        <v>Comedy, Drama</v>
      </c>
      <c r="D210" s="2">
        <f>IF(A210&lt;&gt;"", VLOOKUP(A210, imdb_netflix_v5!A$2:H$7370, 4, FALSE), "")</f>
        <v>8.7</v>
      </c>
      <c r="E210" s="2">
        <f>IF(A210&lt;&gt;"", VLOOKUP(A210, imdb_netflix_v5!A$2:H$7370, 5, FALSE), "")</f>
        <v>1978</v>
      </c>
      <c r="F210" s="2" t="str">
        <f>IF(A210&lt;&gt;"", VLOOKUP(A210, imdb_netflix_v5!A$2:H$7370, 7, FALSE), "")</f>
        <v>NA</v>
      </c>
    </row>
    <row r="211" ht="15.75" customHeight="1">
      <c r="A211" s="1" t="str">
        <f>IFERROR(__xludf.DUMMYFUNCTION("""COMPUTED_VALUE"""),"gintama")</f>
        <v>gintama</v>
      </c>
      <c r="B211" s="1" t="str">
        <f>IF(A211&lt;&gt;"", VLOOKUP(A211, imdb_netflix_v5!A$2:H$7370, 2, FALSE), "")</f>
        <v>TV Show</v>
      </c>
      <c r="C211" s="2" t="str">
        <f>IF(A211&lt;&gt;"", VLOOKUP(A211, imdb_netflix_v5!A$2:H$7370, 3, FALSE), "")</f>
        <v>Action, Animation, Comedy</v>
      </c>
      <c r="D211" s="2">
        <f>IF(A211&lt;&gt;"", VLOOKUP(A211, imdb_netflix_v5!A$2:H$7370, 4, FALSE), "")</f>
        <v>8.7</v>
      </c>
      <c r="E211" s="2">
        <f>IF(A211&lt;&gt;"", VLOOKUP(A211, imdb_netflix_v5!A$2:H$7370, 5, FALSE), "")</f>
        <v>2005</v>
      </c>
      <c r="F211" s="2" t="str">
        <f>IF(A211&lt;&gt;"", VLOOKUP(A211, imdb_netflix_v5!A$2:H$7370, 7, FALSE), "")</f>
        <v>NA</v>
      </c>
    </row>
    <row r="212" ht="15.75" customHeight="1">
      <c r="A212" s="1" t="str">
        <f>IFERROR(__xludf.DUMMYFUNCTION("""COMPUTED_VALUE"""),"whos singin over there?")</f>
        <v>whos singin over there?</v>
      </c>
      <c r="B212" s="1" t="str">
        <f>IF(A212&lt;&gt;"", VLOOKUP(A212, imdb_netflix_v5!A$2:H$7370, 2, FALSE), "")</f>
        <v>Movie</v>
      </c>
      <c r="C212" s="2" t="str">
        <f>IF(A212&lt;&gt;"", VLOOKUP(A212, imdb_netflix_v5!A$2:H$7370, 3, FALSE), "")</f>
        <v>Adventure, Comedy, Drama</v>
      </c>
      <c r="D212" s="2">
        <f>IF(A212&lt;&gt;"", VLOOKUP(A212, imdb_netflix_v5!A$2:H$7370, 4, FALSE), "")</f>
        <v>8.7</v>
      </c>
      <c r="E212" s="2">
        <f>IF(A212&lt;&gt;"", VLOOKUP(A212, imdb_netflix_v5!A$2:H$7370, 5, FALSE), "")</f>
        <v>1980</v>
      </c>
      <c r="F212" s="2" t="str">
        <f>IF(A212&lt;&gt;"", VLOOKUP(A212, imdb_netflix_v5!A$2:H$7370, 7, FALSE), "")</f>
        <v>NA</v>
      </c>
    </row>
    <row r="213" ht="15.75" customHeight="1">
      <c r="A213" s="1" t="str">
        <f>IFERROR(__xludf.DUMMYFUNCTION("""COMPUTED_VALUE"""),"demon slayer kimetsu no yaiba - mt. natagumo arc")</f>
        <v>demon slayer kimetsu no yaiba - mt. natagumo arc</v>
      </c>
      <c r="B213" s="1" t="str">
        <f>IF(A213&lt;&gt;"", VLOOKUP(A213, imdb_netflix_v5!A$2:H$7370, 2, FALSE), "")</f>
        <v>Movie</v>
      </c>
      <c r="C213" s="2" t="str">
        <f>IF(A213&lt;&gt;"", VLOOKUP(A213, imdb_netflix_v5!A$2:H$7370, 3, FALSE), "")</f>
        <v>Action, Animation, Fantasy</v>
      </c>
      <c r="D213" s="2">
        <f>IF(A213&lt;&gt;"", VLOOKUP(A213, imdb_netflix_v5!A$2:H$7370, 4, FALSE), "")</f>
        <v>8.7</v>
      </c>
      <c r="E213" s="2">
        <f>IF(A213&lt;&gt;"", VLOOKUP(A213, imdb_netflix_v5!A$2:H$7370, 5, FALSE), "")</f>
        <v>2020</v>
      </c>
      <c r="F213" s="2" t="str">
        <f>IF(A213&lt;&gt;"", VLOOKUP(A213, imdb_netflix_v5!A$2:H$7370, 7, FALSE), "")</f>
        <v>NA</v>
      </c>
    </row>
    <row r="214" ht="15.75" customHeight="1">
      <c r="A214" s="1" t="str">
        <f>IFERROR(__xludf.DUMMYFUNCTION("""COMPUTED_VALUE"""),"resurrection")</f>
        <v>resurrection</v>
      </c>
      <c r="B214" s="1" t="str">
        <f>IF(A214&lt;&gt;"", VLOOKUP(A214, imdb_netflix_v5!A$2:H$7370, 2, FALSE), "")</f>
        <v>Movie</v>
      </c>
      <c r="C214" s="2" t="str">
        <f>IF(A214&lt;&gt;"", VLOOKUP(A214, imdb_netflix_v5!A$2:H$7370, 3, FALSE), "")</f>
        <v>Drama, Family</v>
      </c>
      <c r="D214" s="2">
        <f>IF(A214&lt;&gt;"", VLOOKUP(A214, imdb_netflix_v5!A$2:H$7370, 4, FALSE), "")</f>
        <v>8.7</v>
      </c>
      <c r="E214" s="2">
        <f>IF(A214&lt;&gt;"", VLOOKUP(A214, imdb_netflix_v5!A$2:H$7370, 5, FALSE), "")</f>
        <v>2018</v>
      </c>
      <c r="F214" s="2" t="str">
        <f>IF(A214&lt;&gt;"", VLOOKUP(A214, imdb_netflix_v5!A$2:H$7370, 7, FALSE), "")</f>
        <v>NA</v>
      </c>
    </row>
    <row r="215" ht="15.75" customHeight="1">
      <c r="A215" s="1" t="str">
        <f>IFERROR(__xludf.DUMMYFUNCTION("""COMPUTED_VALUE"""),"the broken landlord")</f>
        <v>the broken landlord</v>
      </c>
      <c r="B215" s="1" t="str">
        <f>IF(A215&lt;&gt;"", VLOOKUP(A215, imdb_netflix_v5!A$2:H$7370, 2, FALSE), "")</f>
        <v>Movie</v>
      </c>
      <c r="C215" s="2" t="str">
        <f>IF(A215&lt;&gt;"", VLOOKUP(A215, imdb_netflix_v5!A$2:H$7370, 3, FALSE), "")</f>
        <v>Comedy, Drama</v>
      </c>
      <c r="D215" s="2">
        <f>IF(A215&lt;&gt;"", VLOOKUP(A215, imdb_netflix_v5!A$2:H$7370, 4, FALSE), "")</f>
        <v>8.7</v>
      </c>
      <c r="E215" s="2">
        <f>IF(A215&lt;&gt;"", VLOOKUP(A215, imdb_netflix_v5!A$2:H$7370, 5, FALSE), "")</f>
        <v>1985</v>
      </c>
      <c r="F215" s="2" t="str">
        <f>IF(A215&lt;&gt;"", VLOOKUP(A215, imdb_netflix_v5!A$2:H$7370, 7, FALSE), "")</f>
        <v>NA</v>
      </c>
    </row>
    <row r="216" ht="15.75" customHeight="1">
      <c r="A216" s="1" t="str">
        <f>IFERROR(__xludf.DUMMYFUNCTION("""COMPUTED_VALUE"""),"the bureau")</f>
        <v>the bureau</v>
      </c>
      <c r="B216" s="1" t="str">
        <f>IF(A216&lt;&gt;"", VLOOKUP(A216, imdb_netflix_v5!A$2:H$7370, 2, FALSE), "")</f>
        <v>TV Show</v>
      </c>
      <c r="C216" s="2" t="str">
        <f>IF(A216&lt;&gt;"", VLOOKUP(A216, imdb_netflix_v5!A$2:H$7370, 3, FALSE), "")</f>
        <v>Drama, Thriller</v>
      </c>
      <c r="D216" s="2">
        <f>IF(A216&lt;&gt;"", VLOOKUP(A216, imdb_netflix_v5!A$2:H$7370, 4, FALSE), "")</f>
        <v>8.7</v>
      </c>
      <c r="E216" s="2">
        <f>IF(A216&lt;&gt;"", VLOOKUP(A216, imdb_netflix_v5!A$2:H$7370, 5, FALSE), "")</f>
        <v>2015</v>
      </c>
      <c r="F216" s="2" t="str">
        <f>IF(A216&lt;&gt;"", VLOOKUP(A216, imdb_netflix_v5!A$2:H$7370, 7, FALSE), "")</f>
        <v>NA</v>
      </c>
    </row>
    <row r="217" ht="15.75" customHeight="1">
      <c r="A217" s="1" t="str">
        <f>IFERROR(__xludf.DUMMYFUNCTION("""COMPUTED_VALUE"""),"homicide life on the street")</f>
        <v>homicide life on the street</v>
      </c>
      <c r="B217" s="1" t="str">
        <f>IF(A217&lt;&gt;"", VLOOKUP(A217, imdb_netflix_v5!A$2:H$7370, 2, FALSE), "")</f>
        <v>TV Show</v>
      </c>
      <c r="C217" s="2" t="str">
        <f>IF(A217&lt;&gt;"", VLOOKUP(A217, imdb_netflix_v5!A$2:H$7370, 3, FALSE), "")</f>
        <v>Crime, Drama, Mystery</v>
      </c>
      <c r="D217" s="2">
        <f>IF(A217&lt;&gt;"", VLOOKUP(A217, imdb_netflix_v5!A$2:H$7370, 4, FALSE), "")</f>
        <v>8.7</v>
      </c>
      <c r="E217" s="2">
        <f>IF(A217&lt;&gt;"", VLOOKUP(A217, imdb_netflix_v5!A$2:H$7370, 5, FALSE), "")</f>
        <v>1993</v>
      </c>
      <c r="F217" s="2" t="str">
        <f>IF(A217&lt;&gt;"", VLOOKUP(A217, imdb_netflix_v5!A$2:H$7370, 7, FALSE), "")</f>
        <v>NA</v>
      </c>
    </row>
    <row r="218" ht="15.75" customHeight="1">
      <c r="A218" s="1" t="str">
        <f>IFERROR(__xludf.DUMMYFUNCTION("""COMPUTED_VALUE"""),"dandadan")</f>
        <v>dandadan</v>
      </c>
      <c r="B218" s="1" t="str">
        <f>IF(A218&lt;&gt;"", VLOOKUP(A218, imdb_netflix_v5!A$2:H$7370, 2, FALSE), "")</f>
        <v>TV Show</v>
      </c>
      <c r="C218" s="2" t="str">
        <f>IF(A218&lt;&gt;"", VLOOKUP(A218, imdb_netflix_v5!A$2:H$7370, 3, FALSE), "")</f>
        <v>Action, Adventure, Animation</v>
      </c>
      <c r="D218" s="2">
        <f>IF(A218&lt;&gt;"", VLOOKUP(A218, imdb_netflix_v5!A$2:H$7370, 4, FALSE), "")</f>
        <v>8.7</v>
      </c>
      <c r="E218" s="2">
        <f>IF(A218&lt;&gt;"", VLOOKUP(A218, imdb_netflix_v5!A$2:H$7370, 5, FALSE), "")</f>
        <v>2024</v>
      </c>
      <c r="F218" s="2" t="str">
        <f>IF(A218&lt;&gt;"", VLOOKUP(A218, imdb_netflix_v5!A$2:H$7370, 7, FALSE), "")</f>
        <v>NA</v>
      </c>
    </row>
    <row r="219" ht="15.75" customHeight="1">
      <c r="A219" s="1" t="str">
        <f>IFERROR(__xludf.DUMMYFUNCTION("""COMPUTED_VALUE"""),"how to with john wilson")</f>
        <v>how to with john wilson</v>
      </c>
      <c r="B219" s="1" t="str">
        <f>IF(A219&lt;&gt;"", VLOOKUP(A219, imdb_netflix_v5!A$2:H$7370, 2, FALSE), "")</f>
        <v>TV Show</v>
      </c>
      <c r="C219" s="2" t="str">
        <f>IF(A219&lt;&gt;"", VLOOKUP(A219, imdb_netflix_v5!A$2:H$7370, 3, FALSE), "")</f>
        <v>Comedy, Documentary</v>
      </c>
      <c r="D219" s="2">
        <f>IF(A219&lt;&gt;"", VLOOKUP(A219, imdb_netflix_v5!A$2:H$7370, 4, FALSE), "")</f>
        <v>8.7</v>
      </c>
      <c r="E219" s="2">
        <f>IF(A219&lt;&gt;"", VLOOKUP(A219, imdb_netflix_v5!A$2:H$7370, 5, FALSE), "")</f>
        <v>2020</v>
      </c>
      <c r="F219" s="2" t="str">
        <f>IF(A219&lt;&gt;"", VLOOKUP(A219, imdb_netflix_v5!A$2:H$7370, 7, FALSE), "")</f>
        <v>NA</v>
      </c>
    </row>
    <row r="220" ht="15.75" customHeight="1">
      <c r="A220" s="1" t="str">
        <f>IFERROR(__xludf.DUMMYFUNCTION("""COMPUTED_VALUE"""),"the return of sherlock holmes")</f>
        <v>the return of sherlock holmes</v>
      </c>
      <c r="B220" s="1" t="str">
        <f>IF(A220&lt;&gt;"", VLOOKUP(A220, imdb_netflix_v5!A$2:H$7370, 2, FALSE), "")</f>
        <v>TV Show</v>
      </c>
      <c r="C220" s="2" t="str">
        <f>IF(A220&lt;&gt;"", VLOOKUP(A220, imdb_netflix_v5!A$2:H$7370, 3, FALSE), "")</f>
        <v>Crime, Drama, Mystery</v>
      </c>
      <c r="D220" s="2">
        <f>IF(A220&lt;&gt;"", VLOOKUP(A220, imdb_netflix_v5!A$2:H$7370, 4, FALSE), "")</f>
        <v>8.7</v>
      </c>
      <c r="E220" s="2">
        <f>IF(A220&lt;&gt;"", VLOOKUP(A220, imdb_netflix_v5!A$2:H$7370, 5, FALSE), "")</f>
        <v>1986</v>
      </c>
      <c r="F220" s="2" t="str">
        <f>IF(A220&lt;&gt;"", VLOOKUP(A220, imdb_netflix_v5!A$2:H$7370, 7, FALSE), "")</f>
        <v>NA</v>
      </c>
    </row>
    <row r="221" ht="15.75" customHeight="1">
      <c r="A221" s="1" t="str">
        <f>IFERROR(__xludf.DUMMYFUNCTION("""COMPUTED_VALUE"""),"el chavo del ocho")</f>
        <v>el chavo del ocho</v>
      </c>
      <c r="B221" s="1" t="str">
        <f>IF(A221&lt;&gt;"", VLOOKUP(A221, imdb_netflix_v5!A$2:H$7370, 2, FALSE), "")</f>
        <v>TV Show</v>
      </c>
      <c r="C221" s="2" t="str">
        <f>IF(A221&lt;&gt;"", VLOOKUP(A221, imdb_netflix_v5!A$2:H$7370, 3, FALSE), "")</f>
        <v>Comedy, Family</v>
      </c>
      <c r="D221" s="2">
        <f>IF(A221&lt;&gt;"", VLOOKUP(A221, imdb_netflix_v5!A$2:H$7370, 4, FALSE), "")</f>
        <v>8.7</v>
      </c>
      <c r="E221" s="2">
        <f>IF(A221&lt;&gt;"", VLOOKUP(A221, imdb_netflix_v5!A$2:H$7370, 5, FALSE), "")</f>
        <v>1972</v>
      </c>
      <c r="F221" s="2" t="str">
        <f>IF(A221&lt;&gt;"", VLOOKUP(A221, imdb_netflix_v5!A$2:H$7370, 7, FALSE), "")</f>
        <v>NA</v>
      </c>
    </row>
    <row r="222" ht="15.75" customHeight="1">
      <c r="A222" s="1" t="str">
        <f>IFERROR(__xludf.DUMMYFUNCTION("""COMPUTED_VALUE"""),"daman")</f>
        <v>daman</v>
      </c>
      <c r="B222" s="1" t="str">
        <f>IF(A222&lt;&gt;"", VLOOKUP(A222, imdb_netflix_v5!A$2:H$7370, 2, FALSE), "")</f>
        <v>Movie</v>
      </c>
      <c r="C222" s="2" t="str">
        <f>IF(A222&lt;&gt;"", VLOOKUP(A222, imdb_netflix_v5!A$2:H$7370, 3, FALSE), "")</f>
        <v>Adventure, Drama</v>
      </c>
      <c r="D222" s="2">
        <f>IF(A222&lt;&gt;"", VLOOKUP(A222, imdb_netflix_v5!A$2:H$7370, 4, FALSE), "")</f>
        <v>8.7</v>
      </c>
      <c r="E222" s="2">
        <f>IF(A222&lt;&gt;"", VLOOKUP(A222, imdb_netflix_v5!A$2:H$7370, 5, FALSE), "")</f>
        <v>2022</v>
      </c>
      <c r="F222" s="2" t="str">
        <f>IF(A222&lt;&gt;"", VLOOKUP(A222, imdb_netflix_v5!A$2:H$7370, 7, FALSE), "")</f>
        <v>NA</v>
      </c>
    </row>
    <row r="223" ht="15.75" customHeight="1">
      <c r="A223" s="1" t="str">
        <f>IFERROR(__xludf.DUMMYFUNCTION("""COMPUTED_VALUE"""),"manichithrathazhu")</f>
        <v>manichithrathazhu</v>
      </c>
      <c r="B223" s="1" t="str">
        <f>IF(A223&lt;&gt;"", VLOOKUP(A223, imdb_netflix_v5!A$2:H$7370, 2, FALSE), "")</f>
        <v>Movie</v>
      </c>
      <c r="C223" s="2" t="str">
        <f>IF(A223&lt;&gt;"", VLOOKUP(A223, imdb_netflix_v5!A$2:H$7370, 3, FALSE), "")</f>
        <v>Comedy, Horror, Mystery</v>
      </c>
      <c r="D223" s="2">
        <f>IF(A223&lt;&gt;"", VLOOKUP(A223, imdb_netflix_v5!A$2:H$7370, 4, FALSE), "")</f>
        <v>8.7</v>
      </c>
      <c r="E223" s="2">
        <f>IF(A223&lt;&gt;"", VLOOKUP(A223, imdb_netflix_v5!A$2:H$7370, 5, FALSE), "")</f>
        <v>1993</v>
      </c>
      <c r="F223" s="2" t="str">
        <f>IF(A223&lt;&gt;"", VLOOKUP(A223, imdb_netflix_v5!A$2:H$7370, 7, FALSE), "")</f>
        <v>NA</v>
      </c>
    </row>
    <row r="224" ht="15.75" customHeight="1">
      <c r="A224" s="1" t="str">
        <f>IFERROR(__xludf.DUMMYFUNCTION("""COMPUTED_VALUE"""),"toma")</f>
        <v>toma</v>
      </c>
      <c r="B224" s="1" t="str">
        <f>IF(A224&lt;&gt;"", VLOOKUP(A224, imdb_netflix_v5!A$2:H$7370, 2, FALSE), "")</f>
        <v>Movie</v>
      </c>
      <c r="C224" s="2" t="str">
        <f>IF(A224&lt;&gt;"", VLOOKUP(A224, imdb_netflix_v5!A$2:H$7370, 3, FALSE), "")</f>
        <v>Biography, Drama, Music</v>
      </c>
      <c r="D224" s="2">
        <f>IF(A224&lt;&gt;"", VLOOKUP(A224, imdb_netflix_v5!A$2:H$7370, 4, FALSE), "")</f>
        <v>8.7</v>
      </c>
      <c r="E224" s="2">
        <f>IF(A224&lt;&gt;"", VLOOKUP(A224, imdb_netflix_v5!A$2:H$7370, 5, FALSE), "")</f>
        <v>2021</v>
      </c>
      <c r="F224" s="2" t="str">
        <f>IF(A224&lt;&gt;"", VLOOKUP(A224, imdb_netflix_v5!A$2:H$7370, 7, FALSE), "")</f>
        <v>NA</v>
      </c>
    </row>
    <row r="225" ht="15.75" customHeight="1">
      <c r="A225" s="1" t="str">
        <f>IFERROR(__xludf.DUMMYFUNCTION("""COMPUTED_VALUE"""),"content cop")</f>
        <v>content cop</v>
      </c>
      <c r="B225" s="1" t="str">
        <f>IF(A225&lt;&gt;"", VLOOKUP(A225, imdb_netflix_v5!A$2:H$7370, 2, FALSE), "")</f>
        <v>TV Show</v>
      </c>
      <c r="C225" s="2" t="str">
        <f>IF(A225&lt;&gt;"", VLOOKUP(A225, imdb_netflix_v5!A$2:H$7370, 3, FALSE), "")</f>
        <v>Comedy, Crime, Talk-Show</v>
      </c>
      <c r="D225" s="2">
        <f>IF(A225&lt;&gt;"", VLOOKUP(A225, imdb_netflix_v5!A$2:H$7370, 4, FALSE), "")</f>
        <v>8.7</v>
      </c>
      <c r="E225" s="2">
        <f>IF(A225&lt;&gt;"", VLOOKUP(A225, imdb_netflix_v5!A$2:H$7370, 5, FALSE), "")</f>
        <v>2015</v>
      </c>
      <c r="F225" s="2" t="str">
        <f>IF(A225&lt;&gt;"", VLOOKUP(A225, imdb_netflix_v5!A$2:H$7370, 7, FALSE), "")</f>
        <v>NA</v>
      </c>
    </row>
    <row r="226" ht="15.75" customHeight="1">
      <c r="A226" s="1" t="str">
        <f>IFERROR(__xludf.DUMMYFUNCTION("""COMPUTED_VALUE"""),"happy days")</f>
        <v>happy days</v>
      </c>
      <c r="B226" s="1" t="str">
        <f>IF(A226&lt;&gt;"", VLOOKUP(A226, imdb_netflix_v5!A$2:H$7370, 2, FALSE), "")</f>
        <v>Movie</v>
      </c>
      <c r="C226" s="2" t="str">
        <f>IF(A226&lt;&gt;"", VLOOKUP(A226, imdb_netflix_v5!A$2:H$7370, 3, FALSE), "")</f>
        <v>Comedy, Drama, Family</v>
      </c>
      <c r="D226" s="2">
        <f>IF(A226&lt;&gt;"", VLOOKUP(A226, imdb_netflix_v5!A$2:H$7370, 4, FALSE), "")</f>
        <v>8.7</v>
      </c>
      <c r="E226" s="2">
        <f>IF(A226&lt;&gt;"", VLOOKUP(A226, imdb_netflix_v5!A$2:H$7370, 5, FALSE), "")</f>
        <v>1978</v>
      </c>
      <c r="F226" s="2" t="str">
        <f>IF(A226&lt;&gt;"", VLOOKUP(A226, imdb_netflix_v5!A$2:H$7370, 7, FALSE), "")</f>
        <v>NA</v>
      </c>
    </row>
    <row r="227" ht="15.75" customHeight="1">
      <c r="A227" s="1" t="str">
        <f>IFERROR(__xludf.DUMMYFUNCTION("""COMPUTED_VALUE"""),"umbre")</f>
        <v>umbre</v>
      </c>
      <c r="B227" s="1" t="str">
        <f>IF(A227&lt;&gt;"", VLOOKUP(A227, imdb_netflix_v5!A$2:H$7370, 2, FALSE), "")</f>
        <v>TV Show</v>
      </c>
      <c r="C227" s="2" t="str">
        <f>IF(A227&lt;&gt;"", VLOOKUP(A227, imdb_netflix_v5!A$2:H$7370, 3, FALSE), "")</f>
        <v>Crime, Drama, Thriller</v>
      </c>
      <c r="D227" s="2">
        <f>IF(A227&lt;&gt;"", VLOOKUP(A227, imdb_netflix_v5!A$2:H$7370, 4, FALSE), "")</f>
        <v>8.7</v>
      </c>
      <c r="E227" s="2">
        <f>IF(A227&lt;&gt;"", VLOOKUP(A227, imdb_netflix_v5!A$2:H$7370, 5, FALSE), "")</f>
        <v>2014</v>
      </c>
      <c r="F227" s="2" t="str">
        <f>IF(A227&lt;&gt;"", VLOOKUP(A227, imdb_netflix_v5!A$2:H$7370, 7, FALSE), "")</f>
        <v>NA</v>
      </c>
    </row>
    <row r="228" ht="15.75" customHeight="1">
      <c r="A228" s="1" t="str">
        <f>IFERROR(__xludf.DUMMYFUNCTION("""COMPUTED_VALUE"""),"mr. sunshine")</f>
        <v>mr. sunshine</v>
      </c>
      <c r="B228" s="1" t="str">
        <f>IF(A228&lt;&gt;"", VLOOKUP(A228, imdb_netflix_v5!A$2:H$7370, 2, FALSE), "")</f>
        <v>TV Show</v>
      </c>
      <c r="C228" s="2" t="str">
        <f>IF(A228&lt;&gt;"", VLOOKUP(A228, imdb_netflix_v5!A$2:H$7370, 3, FALSE), "")</f>
        <v>Action, Drama, Romance</v>
      </c>
      <c r="D228" s="2">
        <f>IF(A228&lt;&gt;"", VLOOKUP(A228, imdb_netflix_v5!A$2:H$7370, 4, FALSE), "")</f>
        <v>8.7</v>
      </c>
      <c r="E228" s="2">
        <f>IF(A228&lt;&gt;"", VLOOKUP(A228, imdb_netflix_v5!A$2:H$7370, 5, FALSE), "")</f>
        <v>2018</v>
      </c>
      <c r="F228" s="2" t="str">
        <f>IF(A228&lt;&gt;"", VLOOKUP(A228, imdb_netflix_v5!A$2:H$7370, 7, FALSE), "")</f>
        <v>NA</v>
      </c>
    </row>
    <row r="229" ht="15.75" customHeight="1">
      <c r="A229" s="1" t="str">
        <f>IFERROR(__xludf.DUMMYFUNCTION("""COMPUTED_VALUE"""),"shoah")</f>
        <v>shoah</v>
      </c>
      <c r="B229" s="1" t="str">
        <f>IF(A229&lt;&gt;"", VLOOKUP(A229, imdb_netflix_v5!A$2:H$7370, 2, FALSE), "")</f>
        <v>Movie</v>
      </c>
      <c r="C229" s="2" t="str">
        <f>IF(A229&lt;&gt;"", VLOOKUP(A229, imdb_netflix_v5!A$2:H$7370, 3, FALSE), "")</f>
        <v>Documentary, History, War</v>
      </c>
      <c r="D229" s="2">
        <f>IF(A229&lt;&gt;"", VLOOKUP(A229, imdb_netflix_v5!A$2:H$7370, 4, FALSE), "")</f>
        <v>8.7</v>
      </c>
      <c r="E229" s="2">
        <f>IF(A229&lt;&gt;"", VLOOKUP(A229, imdb_netflix_v5!A$2:H$7370, 5, FALSE), "")</f>
        <v>1985</v>
      </c>
      <c r="F229" s="2" t="str">
        <f>IF(A229&lt;&gt;"", VLOOKUP(A229, imdb_netflix_v5!A$2:H$7370, 7, FALSE), "")</f>
        <v>NA</v>
      </c>
    </row>
    <row r="230" ht="15.75" customHeight="1">
      <c r="A230" s="1" t="str">
        <f>IFERROR(__xludf.DUMMYFUNCTION("""COMPUTED_VALUE"""),"the untamed")</f>
        <v>the untamed</v>
      </c>
      <c r="B230" s="1" t="str">
        <f>IF(A230&lt;&gt;"", VLOOKUP(A230, imdb_netflix_v5!A$2:H$7370, 2, FALSE), "")</f>
        <v>TV Show</v>
      </c>
      <c r="C230" s="2" t="str">
        <f>IF(A230&lt;&gt;"", VLOOKUP(A230, imdb_netflix_v5!A$2:H$7370, 3, FALSE), "")</f>
        <v>Action, Adventure, Drama</v>
      </c>
      <c r="D230" s="2">
        <f>IF(A230&lt;&gt;"", VLOOKUP(A230, imdb_netflix_v5!A$2:H$7370, 4, FALSE), "")</f>
        <v>8.7</v>
      </c>
      <c r="E230" s="2">
        <f>IF(A230&lt;&gt;"", VLOOKUP(A230, imdb_netflix_v5!A$2:H$7370, 5, FALSE), "")</f>
        <v>2019</v>
      </c>
      <c r="F230" s="2" t="str">
        <f>IF(A230&lt;&gt;"", VLOOKUP(A230, imdb_netflix_v5!A$2:H$7370, 7, FALSE), "")</f>
        <v>NA</v>
      </c>
    </row>
    <row r="231" ht="15.75" customHeight="1">
      <c r="A231" s="1" t="str">
        <f>IFERROR(__xludf.DUMMYFUNCTION("""COMPUTED_VALUE"""),"mind your language")</f>
        <v>mind your language</v>
      </c>
      <c r="B231" s="1" t="str">
        <f>IF(A231&lt;&gt;"", VLOOKUP(A231, imdb_netflix_v5!A$2:H$7370, 2, FALSE), "")</f>
        <v>TV Show</v>
      </c>
      <c r="C231" s="2" t="str">
        <f>IF(A231&lt;&gt;"", VLOOKUP(A231, imdb_netflix_v5!A$2:H$7370, 3, FALSE), "")</f>
        <v>Comedy</v>
      </c>
      <c r="D231" s="2">
        <f>IF(A231&lt;&gt;"", VLOOKUP(A231, imdb_netflix_v5!A$2:H$7370, 4, FALSE), "")</f>
        <v>8.7</v>
      </c>
      <c r="E231" s="2">
        <f>IF(A231&lt;&gt;"", VLOOKUP(A231, imdb_netflix_v5!A$2:H$7370, 5, FALSE), "")</f>
        <v>1977</v>
      </c>
      <c r="F231" s="2" t="str">
        <f>IF(A231&lt;&gt;"", VLOOKUP(A231, imdb_netflix_v5!A$2:H$7370, 7, FALSE), "")</f>
        <v>NA</v>
      </c>
    </row>
    <row r="232" ht="15.75" customHeight="1">
      <c r="A232" s="1" t="str">
        <f>IFERROR(__xludf.DUMMYFUNCTION("""COMPUTED_VALUE"""),"se7en")</f>
        <v>se7en</v>
      </c>
      <c r="B232" s="1" t="str">
        <f>IF(A232&lt;&gt;"", VLOOKUP(A232, imdb_netflix_v5!A$2:H$7370, 2, FALSE), "")</f>
        <v>Movie</v>
      </c>
      <c r="C232" s="2" t="str">
        <f>IF(A232&lt;&gt;"", VLOOKUP(A232, imdb_netflix_v5!A$2:H$7370, 3, FALSE), "")</f>
        <v>Crime, Drama, Mystery</v>
      </c>
      <c r="D232" s="2">
        <f>IF(A232&lt;&gt;"", VLOOKUP(A232, imdb_netflix_v5!A$2:H$7370, 4, FALSE), "")</f>
        <v>8.6</v>
      </c>
      <c r="E232" s="2">
        <f>IF(A232&lt;&gt;"", VLOOKUP(A232, imdb_netflix_v5!A$2:H$7370, 5, FALSE), "")</f>
        <v>1995</v>
      </c>
      <c r="F232" s="2" t="str">
        <f>IF(A232&lt;&gt;"", VLOOKUP(A232, imdb_netflix_v5!A$2:H$7370, 7, FALSE), "")</f>
        <v>NA</v>
      </c>
    </row>
    <row r="233" ht="15.75" customHeight="1">
      <c r="A233" s="1" t="str">
        <f>IFERROR(__xludf.DUMMYFUNCTION("""COMPUTED_VALUE"""),"the silence of the lambs")</f>
        <v>the silence of the lambs</v>
      </c>
      <c r="B233" s="1" t="str">
        <f>IF(A233&lt;&gt;"", VLOOKUP(A233, imdb_netflix_v5!A$2:H$7370, 2, FALSE), "")</f>
        <v>Movie</v>
      </c>
      <c r="C233" s="2" t="str">
        <f>IF(A233&lt;&gt;"", VLOOKUP(A233, imdb_netflix_v5!A$2:H$7370, 3, FALSE), "")</f>
        <v>Crime, Drama, Thriller</v>
      </c>
      <c r="D233" s="2">
        <f>IF(A233&lt;&gt;"", VLOOKUP(A233, imdb_netflix_v5!A$2:H$7370, 4, FALSE), "")</f>
        <v>8.6</v>
      </c>
      <c r="E233" s="2">
        <f>IF(A233&lt;&gt;"", VLOOKUP(A233, imdb_netflix_v5!A$2:H$7370, 5, FALSE), "")</f>
        <v>1991</v>
      </c>
      <c r="F233" s="2" t="str">
        <f>IF(A233&lt;&gt;"", VLOOKUP(A233, imdb_netflix_v5!A$2:H$7370, 7, FALSE), "")</f>
        <v>NA</v>
      </c>
    </row>
    <row r="234" ht="15.75" customHeight="1">
      <c r="A234" s="1" t="str">
        <f>IFERROR(__xludf.DUMMYFUNCTION("""COMPUTED_VALUE"""),"saving private ryan")</f>
        <v>saving private ryan</v>
      </c>
      <c r="B234" s="1" t="str">
        <f>IF(A234&lt;&gt;"", VLOOKUP(A234, imdb_netflix_v5!A$2:H$7370, 2, FALSE), "")</f>
        <v>Movie</v>
      </c>
      <c r="C234" s="2" t="str">
        <f>IF(A234&lt;&gt;"", VLOOKUP(A234, imdb_netflix_v5!A$2:H$7370, 3, FALSE), "")</f>
        <v>Drama, War</v>
      </c>
      <c r="D234" s="2">
        <f>IF(A234&lt;&gt;"", VLOOKUP(A234, imdb_netflix_v5!A$2:H$7370, 4, FALSE), "")</f>
        <v>8.6</v>
      </c>
      <c r="E234" s="2">
        <f>IF(A234&lt;&gt;"", VLOOKUP(A234, imdb_netflix_v5!A$2:H$7370, 5, FALSE), "")</f>
        <v>1998</v>
      </c>
      <c r="F234" s="2" t="str">
        <f>IF(A234&lt;&gt;"", VLOOKUP(A234, imdb_netflix_v5!A$2:H$7370, 7, FALSE), "")</f>
        <v>NA</v>
      </c>
    </row>
    <row r="235" ht="15.75" customHeight="1">
      <c r="A235" s="1" t="str">
        <f>IFERROR(__xludf.DUMMYFUNCTION("""COMPUTED_VALUE"""),"star wars episode iv - a new hope")</f>
        <v>star wars episode iv - a new hope</v>
      </c>
      <c r="B235" s="1" t="str">
        <f>IF(A235&lt;&gt;"", VLOOKUP(A235, imdb_netflix_v5!A$2:H$7370, 2, FALSE), "")</f>
        <v>Movie</v>
      </c>
      <c r="C235" s="2" t="str">
        <f>IF(A235&lt;&gt;"", VLOOKUP(A235, imdb_netflix_v5!A$2:H$7370, 3, FALSE), "")</f>
        <v>Action, Adventure, Fantasy</v>
      </c>
      <c r="D235" s="2">
        <f>IF(A235&lt;&gt;"", VLOOKUP(A235, imdb_netflix_v5!A$2:H$7370, 4, FALSE), "")</f>
        <v>8.6</v>
      </c>
      <c r="E235" s="2">
        <f>IF(A235&lt;&gt;"", VLOOKUP(A235, imdb_netflix_v5!A$2:H$7370, 5, FALSE), "")</f>
        <v>1977</v>
      </c>
      <c r="F235" s="2" t="str">
        <f>IF(A235&lt;&gt;"", VLOOKUP(A235, imdb_netflix_v5!A$2:H$7370, 7, FALSE), "")</f>
        <v>NA</v>
      </c>
    </row>
    <row r="236" ht="15.75" customHeight="1">
      <c r="A236" s="1" t="str">
        <f>IFERROR(__xludf.DUMMYFUNCTION("""COMPUTED_VALUE"""),"the green mile")</f>
        <v>the green mile</v>
      </c>
      <c r="B236" s="1" t="str">
        <f>IF(A236&lt;&gt;"", VLOOKUP(A236, imdb_netflix_v5!A$2:H$7370, 2, FALSE), "")</f>
        <v>Movie</v>
      </c>
      <c r="C236" s="2" t="str">
        <f>IF(A236&lt;&gt;"", VLOOKUP(A236, imdb_netflix_v5!A$2:H$7370, 3, FALSE), "")</f>
        <v>Crime, Drama, Fantasy</v>
      </c>
      <c r="D236" s="2">
        <f>IF(A236&lt;&gt;"", VLOOKUP(A236, imdb_netflix_v5!A$2:H$7370, 4, FALSE), "")</f>
        <v>8.6</v>
      </c>
      <c r="E236" s="2">
        <f>IF(A236&lt;&gt;"", VLOOKUP(A236, imdb_netflix_v5!A$2:H$7370, 5, FALSE), "")</f>
        <v>1999</v>
      </c>
      <c r="F236" s="2" t="str">
        <f>IF(A236&lt;&gt;"", VLOOKUP(A236, imdb_netflix_v5!A$2:H$7370, 7, FALSE), "")</f>
        <v>NA</v>
      </c>
    </row>
    <row r="237" ht="15.75" customHeight="1">
      <c r="A237" s="1" t="str">
        <f>IFERROR(__xludf.DUMMYFUNCTION("""COMPUTED_VALUE"""),"terminator 2 judgment day")</f>
        <v>terminator 2 judgment day</v>
      </c>
      <c r="B237" s="1" t="str">
        <f>IF(A237&lt;&gt;"", VLOOKUP(A237, imdb_netflix_v5!A$2:H$7370, 2, FALSE), "")</f>
        <v>Movie</v>
      </c>
      <c r="C237" s="2" t="str">
        <f>IF(A237&lt;&gt;"", VLOOKUP(A237, imdb_netflix_v5!A$2:H$7370, 3, FALSE), "")</f>
        <v>Action, Adventure, Sci-Fi</v>
      </c>
      <c r="D237" s="2">
        <f>IF(A237&lt;&gt;"", VLOOKUP(A237, imdb_netflix_v5!A$2:H$7370, 4, FALSE), "")</f>
        <v>8.6</v>
      </c>
      <c r="E237" s="2">
        <f>IF(A237&lt;&gt;"", VLOOKUP(A237, imdb_netflix_v5!A$2:H$7370, 5, FALSE), "")</f>
        <v>1991</v>
      </c>
      <c r="F237" s="2" t="str">
        <f>IF(A237&lt;&gt;"", VLOOKUP(A237, imdb_netflix_v5!A$2:H$7370, 7, FALSE), "")</f>
        <v>NA</v>
      </c>
    </row>
    <row r="238" ht="15.75" customHeight="1">
      <c r="A238" s="1" t="str">
        <f>IFERROR(__xludf.DUMMYFUNCTION("""COMPUTED_VALUE"""),"spirited away")</f>
        <v>spirited away</v>
      </c>
      <c r="B238" s="1" t="str">
        <f>IF(A238&lt;&gt;"", VLOOKUP(A238, imdb_netflix_v5!A$2:H$7370, 2, FALSE), "")</f>
        <v>Movie</v>
      </c>
      <c r="C238" s="2" t="str">
        <f>IF(A238&lt;&gt;"", VLOOKUP(A238, imdb_netflix_v5!A$2:H$7370, 3, FALSE), "")</f>
        <v>Adventure, Animation, Family</v>
      </c>
      <c r="D238" s="2">
        <f>IF(A238&lt;&gt;"", VLOOKUP(A238, imdb_netflix_v5!A$2:H$7370, 4, FALSE), "")</f>
        <v>8.6</v>
      </c>
      <c r="E238" s="2">
        <f>IF(A238&lt;&gt;"", VLOOKUP(A238, imdb_netflix_v5!A$2:H$7370, 5, FALSE), "")</f>
        <v>2001</v>
      </c>
      <c r="F238" s="2" t="str">
        <f>IF(A238&lt;&gt;"", VLOOKUP(A238, imdb_netflix_v5!A$2:H$7370, 7, FALSE), "")</f>
        <v>NA</v>
      </c>
    </row>
    <row r="239" ht="15.75" customHeight="1">
      <c r="A239" s="1" t="str">
        <f>IFERROR(__xludf.DUMMYFUNCTION("""COMPUTED_VALUE"""),"city of god")</f>
        <v>city of god</v>
      </c>
      <c r="B239" s="1" t="str">
        <f>IF(A239&lt;&gt;"", VLOOKUP(A239, imdb_netflix_v5!A$2:H$7370, 2, FALSE), "")</f>
        <v>Movie</v>
      </c>
      <c r="C239" s="2" t="str">
        <f>IF(A239&lt;&gt;"", VLOOKUP(A239, imdb_netflix_v5!A$2:H$7370, 3, FALSE), "")</f>
        <v>Crime, Drama</v>
      </c>
      <c r="D239" s="2">
        <f>IF(A239&lt;&gt;"", VLOOKUP(A239, imdb_netflix_v5!A$2:H$7370, 4, FALSE), "")</f>
        <v>8.6</v>
      </c>
      <c r="E239" s="2">
        <f>IF(A239&lt;&gt;"", VLOOKUP(A239, imdb_netflix_v5!A$2:H$7370, 5, FALSE), "")</f>
        <v>2002</v>
      </c>
      <c r="F239" s="2">
        <f>IF(A239&lt;&gt;"", VLOOKUP(A239, imdb_netflix_v5!A$2:H$7370, 7, FALSE), "")</f>
        <v>3050000</v>
      </c>
    </row>
    <row r="240" ht="15.75" customHeight="1">
      <c r="A240" s="1" t="str">
        <f>IFERROR(__xludf.DUMMYFUNCTION("""COMPUTED_VALUE"""),"dexter")</f>
        <v>dexter</v>
      </c>
      <c r="B240" s="1" t="str">
        <f>IF(A240&lt;&gt;"", VLOOKUP(A240, imdb_netflix_v5!A$2:H$7370, 2, FALSE), "")</f>
        <v>TV Show</v>
      </c>
      <c r="C240" s="2" t="str">
        <f>IF(A240&lt;&gt;"", VLOOKUP(A240, imdb_netflix_v5!A$2:H$7370, 3, FALSE), "")</f>
        <v>Crime, Drama, Mystery</v>
      </c>
      <c r="D240" s="2">
        <f>IF(A240&lt;&gt;"", VLOOKUP(A240, imdb_netflix_v5!A$2:H$7370, 4, FALSE), "")</f>
        <v>8.6</v>
      </c>
      <c r="E240" s="2">
        <f>IF(A240&lt;&gt;"", VLOOKUP(A240, imdb_netflix_v5!A$2:H$7370, 5, FALSE), "")</f>
        <v>2006</v>
      </c>
      <c r="F240" s="2" t="str">
        <f>IF(A240&lt;&gt;"", VLOOKUP(A240, imdb_netflix_v5!A$2:H$7370, 7, FALSE), "")</f>
        <v>NA</v>
      </c>
    </row>
    <row r="241" ht="15.75" customHeight="1">
      <c r="A241" s="1" t="str">
        <f>IFERROR(__xludf.DUMMYFUNCTION("""COMPUTED_VALUE"""),"life is beautiful")</f>
        <v>life is beautiful</v>
      </c>
      <c r="B241" s="1" t="str">
        <f>IF(A241&lt;&gt;"", VLOOKUP(A241, imdb_netflix_v5!A$2:H$7370, 2, FALSE), "")</f>
        <v>Movie</v>
      </c>
      <c r="C241" s="2" t="str">
        <f>IF(A241&lt;&gt;"", VLOOKUP(A241, imdb_netflix_v5!A$2:H$7370, 3, FALSE), "")</f>
        <v>Comedy, Drama, Romance</v>
      </c>
      <c r="D241" s="2">
        <f>IF(A241&lt;&gt;"", VLOOKUP(A241, imdb_netflix_v5!A$2:H$7370, 4, FALSE), "")</f>
        <v>8.6</v>
      </c>
      <c r="E241" s="2">
        <f>IF(A241&lt;&gt;"", VLOOKUP(A241, imdb_netflix_v5!A$2:H$7370, 5, FALSE), "")</f>
        <v>1997</v>
      </c>
      <c r="F241" s="2" t="str">
        <f>IF(A241&lt;&gt;"", VLOOKUP(A241, imdb_netflix_v5!A$2:H$7370, 7, FALSE), "")</f>
        <v>NA</v>
      </c>
    </row>
    <row r="242" ht="15.75" customHeight="1">
      <c r="A242" s="1" t="str">
        <f>IFERROR(__xludf.DUMMYFUNCTION("""COMPUTED_VALUE"""),"the mandalorian")</f>
        <v>the mandalorian</v>
      </c>
      <c r="B242" s="1" t="str">
        <f>IF(A242&lt;&gt;"", VLOOKUP(A242, imdb_netflix_v5!A$2:H$7370, 2, FALSE), "")</f>
        <v>TV Show</v>
      </c>
      <c r="C242" s="2" t="str">
        <f>IF(A242&lt;&gt;"", VLOOKUP(A242, imdb_netflix_v5!A$2:H$7370, 3, FALSE), "")</f>
        <v>Action, Adventure, Fantasy</v>
      </c>
      <c r="D242" s="2">
        <f>IF(A242&lt;&gt;"", VLOOKUP(A242, imdb_netflix_v5!A$2:H$7370, 4, FALSE), "")</f>
        <v>8.6</v>
      </c>
      <c r="E242" s="2">
        <f>IF(A242&lt;&gt;"", VLOOKUP(A242, imdb_netflix_v5!A$2:H$7370, 5, FALSE), "")</f>
        <v>2019</v>
      </c>
      <c r="F242" s="2" t="str">
        <f>IF(A242&lt;&gt;"", VLOOKUP(A242, imdb_netflix_v5!A$2:H$7370, 7, FALSE), "")</f>
        <v>NA</v>
      </c>
    </row>
    <row r="243" ht="15.75" customHeight="1">
      <c r="A243" s="1" t="str">
        <f>IFERROR(__xludf.DUMMYFUNCTION("""COMPUTED_VALUE"""),"house of cards")</f>
        <v>house of cards</v>
      </c>
      <c r="B243" s="1" t="str">
        <f>IF(A243&lt;&gt;"", VLOOKUP(A243, imdb_netflix_v5!A$2:H$7370, 2, FALSE), "")</f>
        <v>TV Show</v>
      </c>
      <c r="C243" s="2" t="str">
        <f>IF(A243&lt;&gt;"", VLOOKUP(A243, imdb_netflix_v5!A$2:H$7370, 3, FALSE), "")</f>
        <v>Drama</v>
      </c>
      <c r="D243" s="2">
        <f>IF(A243&lt;&gt;"", VLOOKUP(A243, imdb_netflix_v5!A$2:H$7370, 4, FALSE), "")</f>
        <v>8.6</v>
      </c>
      <c r="E243" s="2">
        <f>IF(A243&lt;&gt;"", VLOOKUP(A243, imdb_netflix_v5!A$2:H$7370, 5, FALSE), "")</f>
        <v>2013</v>
      </c>
      <c r="F243" s="2" t="str">
        <f>IF(A243&lt;&gt;"", VLOOKUP(A243, imdb_netflix_v5!A$2:H$7370, 7, FALSE), "")</f>
        <v>NA</v>
      </c>
    </row>
    <row r="244" ht="15.75" customHeight="1">
      <c r="A244" s="1" t="str">
        <f>IFERROR(__xludf.DUMMYFUNCTION("""COMPUTED_VALUE"""),"its a wonderful life")</f>
        <v>its a wonderful life</v>
      </c>
      <c r="B244" s="1" t="str">
        <f>IF(A244&lt;&gt;"", VLOOKUP(A244, imdb_netflix_v5!A$2:H$7370, 2, FALSE), "")</f>
        <v>Movie</v>
      </c>
      <c r="C244" s="2" t="str">
        <f>IF(A244&lt;&gt;"", VLOOKUP(A244, imdb_netflix_v5!A$2:H$7370, 3, FALSE), "")</f>
        <v>Drama, Family, Fantasy</v>
      </c>
      <c r="D244" s="2">
        <f>IF(A244&lt;&gt;"", VLOOKUP(A244, imdb_netflix_v5!A$2:H$7370, 4, FALSE), "")</f>
        <v>8.6</v>
      </c>
      <c r="E244" s="2">
        <f>IF(A244&lt;&gt;"", VLOOKUP(A244, imdb_netflix_v5!A$2:H$7370, 5, FALSE), "")</f>
        <v>1946</v>
      </c>
      <c r="F244" s="2" t="str">
        <f>IF(A244&lt;&gt;"", VLOOKUP(A244, imdb_netflix_v5!A$2:H$7370, 7, FALSE), "")</f>
        <v>NA</v>
      </c>
    </row>
    <row r="245" ht="15.75" customHeight="1">
      <c r="A245" s="1" t="str">
        <f>IFERROR(__xludf.DUMMYFUNCTION("""COMPUTED_VALUE"""),"daredevil")</f>
        <v>daredevil</v>
      </c>
      <c r="B245" s="1" t="str">
        <f>IF(A245&lt;&gt;"", VLOOKUP(A245, imdb_netflix_v5!A$2:H$7370, 2, FALSE), "")</f>
        <v>TV Show</v>
      </c>
      <c r="C245" s="2" t="str">
        <f>IF(A245&lt;&gt;"", VLOOKUP(A245, imdb_netflix_v5!A$2:H$7370, 3, FALSE), "")</f>
        <v>Action, Crime, Drama</v>
      </c>
      <c r="D245" s="2">
        <f>IF(A245&lt;&gt;"", VLOOKUP(A245, imdb_netflix_v5!A$2:H$7370, 4, FALSE), "")</f>
        <v>8.6</v>
      </c>
      <c r="E245" s="2">
        <f>IF(A245&lt;&gt;"", VLOOKUP(A245, imdb_netflix_v5!A$2:H$7370, 5, FALSE), "")</f>
        <v>2015</v>
      </c>
      <c r="F245" s="2" t="str">
        <f>IF(A245&lt;&gt;"", VLOOKUP(A245, imdb_netflix_v5!A$2:H$7370, 7, FALSE), "")</f>
        <v>NA</v>
      </c>
    </row>
    <row r="246" ht="15.75" customHeight="1">
      <c r="A246" s="1" t="str">
        <f>IFERROR(__xludf.DUMMYFUNCTION("""COMPUTED_VALUE"""),"spider-man across the spider-verse")</f>
        <v>spider-man across the spider-verse</v>
      </c>
      <c r="B246" s="1" t="str">
        <f>IF(A246&lt;&gt;"", VLOOKUP(A246, imdb_netflix_v5!A$2:H$7370, 2, FALSE), "")</f>
        <v>Movie</v>
      </c>
      <c r="C246" s="2" t="str">
        <f>IF(A246&lt;&gt;"", VLOOKUP(A246, imdb_netflix_v5!A$2:H$7370, 3, FALSE), "")</f>
        <v>Action, Adventure, Animation</v>
      </c>
      <c r="D246" s="2">
        <f>IF(A246&lt;&gt;"", VLOOKUP(A246, imdb_netflix_v5!A$2:H$7370, 4, FALSE), "")</f>
        <v>8.6</v>
      </c>
      <c r="E246" s="2">
        <f>IF(A246&lt;&gt;"", VLOOKUP(A246, imdb_netflix_v5!A$2:H$7370, 5, FALSE), "")</f>
        <v>2023</v>
      </c>
      <c r="F246" s="2">
        <f>IF(A246&lt;&gt;"", VLOOKUP(A246, imdb_netflix_v5!A$2:H$7370, 7, FALSE), "")</f>
        <v>10200000</v>
      </c>
    </row>
    <row r="247" ht="15.75" customHeight="1">
      <c r="A247" s="1" t="str">
        <f>IFERROR(__xludf.DUMMYFUNCTION("""COMPUTED_VALUE"""),"seven samurai")</f>
        <v>seven samurai</v>
      </c>
      <c r="B247" s="1" t="str">
        <f>IF(A247&lt;&gt;"", VLOOKUP(A247, imdb_netflix_v5!A$2:H$7370, 2, FALSE), "")</f>
        <v>Movie</v>
      </c>
      <c r="C247" s="2" t="str">
        <f>IF(A247&lt;&gt;"", VLOOKUP(A247, imdb_netflix_v5!A$2:H$7370, 3, FALSE), "")</f>
        <v>Action, Drama</v>
      </c>
      <c r="D247" s="2">
        <f>IF(A247&lt;&gt;"", VLOOKUP(A247, imdb_netflix_v5!A$2:H$7370, 4, FALSE), "")</f>
        <v>8.6</v>
      </c>
      <c r="E247" s="2">
        <f>IF(A247&lt;&gt;"", VLOOKUP(A247, imdb_netflix_v5!A$2:H$7370, 5, FALSE), "")</f>
        <v>1954</v>
      </c>
      <c r="F247" s="2" t="str">
        <f>IF(A247&lt;&gt;"", VLOOKUP(A247, imdb_netflix_v5!A$2:H$7370, 7, FALSE), "")</f>
        <v>NA</v>
      </c>
    </row>
    <row r="248" ht="15.75" customHeight="1">
      <c r="A248" s="1" t="str">
        <f>IFERROR(__xludf.DUMMYFUNCTION("""COMPUTED_VALUE"""),"mindhunter")</f>
        <v>mindhunter</v>
      </c>
      <c r="B248" s="1" t="str">
        <f>IF(A248&lt;&gt;"", VLOOKUP(A248, imdb_netflix_v5!A$2:H$7370, 2, FALSE), "")</f>
        <v>TV Show</v>
      </c>
      <c r="C248" s="2" t="str">
        <f>IF(A248&lt;&gt;"", VLOOKUP(A248, imdb_netflix_v5!A$2:H$7370, 3, FALSE), "")</f>
        <v>Crime, Drama, Mystery</v>
      </c>
      <c r="D248" s="2">
        <f>IF(A248&lt;&gt;"", VLOOKUP(A248, imdb_netflix_v5!A$2:H$7370, 4, FALSE), "")</f>
        <v>8.6</v>
      </c>
      <c r="E248" s="2">
        <f>IF(A248&lt;&gt;"", VLOOKUP(A248, imdb_netflix_v5!A$2:H$7370, 5, FALSE), "")</f>
        <v>2017</v>
      </c>
      <c r="F248" s="2" t="str">
        <f>IF(A248&lt;&gt;"", VLOOKUP(A248, imdb_netflix_v5!A$2:H$7370, 7, FALSE), "")</f>
        <v>NA</v>
      </c>
    </row>
    <row r="249" ht="15.75" customHeight="1">
      <c r="A249" s="1" t="str">
        <f>IFERROR(__xludf.DUMMYFUNCTION("""COMPUTED_VALUE"""),"sons of anarchy")</f>
        <v>sons of anarchy</v>
      </c>
      <c r="B249" s="1" t="str">
        <f>IF(A249&lt;&gt;"", VLOOKUP(A249, imdb_netflix_v5!A$2:H$7370, 2, FALSE), "")</f>
        <v>TV Show</v>
      </c>
      <c r="C249" s="2" t="str">
        <f>IF(A249&lt;&gt;"", VLOOKUP(A249, imdb_netflix_v5!A$2:H$7370, 3, FALSE), "")</f>
        <v>Crime, Drama, Thriller</v>
      </c>
      <c r="D249" s="2">
        <f>IF(A249&lt;&gt;"", VLOOKUP(A249, imdb_netflix_v5!A$2:H$7370, 4, FALSE), "")</f>
        <v>8.6</v>
      </c>
      <c r="E249" s="2">
        <f>IF(A249&lt;&gt;"", VLOOKUP(A249, imdb_netflix_v5!A$2:H$7370, 5, FALSE), "")</f>
        <v>2008</v>
      </c>
      <c r="F249" s="2" t="str">
        <f>IF(A249&lt;&gt;"", VLOOKUP(A249, imdb_netflix_v5!A$2:H$7370, 7, FALSE), "")</f>
        <v>NA</v>
      </c>
    </row>
    <row r="250" ht="15.75" customHeight="1">
      <c r="A250" s="1" t="str">
        <f>IFERROR(__xludf.DUMMYFUNCTION("""COMPUTED_VALUE"""),"parks and recreation")</f>
        <v>parks and recreation</v>
      </c>
      <c r="B250" s="1" t="str">
        <f>IF(A250&lt;&gt;"", VLOOKUP(A250, imdb_netflix_v5!A$2:H$7370, 2, FALSE), "")</f>
        <v>TV Show</v>
      </c>
      <c r="C250" s="2" t="str">
        <f>IF(A250&lt;&gt;"", VLOOKUP(A250, imdb_netflix_v5!A$2:H$7370, 3, FALSE), "")</f>
        <v>Comedy</v>
      </c>
      <c r="D250" s="2">
        <f>IF(A250&lt;&gt;"", VLOOKUP(A250, imdb_netflix_v5!A$2:H$7370, 4, FALSE), "")</f>
        <v>8.6</v>
      </c>
      <c r="E250" s="2">
        <f>IF(A250&lt;&gt;"", VLOOKUP(A250, imdb_netflix_v5!A$2:H$7370, 5, FALSE), "")</f>
        <v>2009</v>
      </c>
      <c r="F250" s="2" t="str">
        <f>IF(A250&lt;&gt;"", VLOOKUP(A250, imdb_netflix_v5!A$2:H$7370, 7, FALSE), "")</f>
        <v>NA</v>
      </c>
    </row>
    <row r="251" ht="15.75" customHeight="1">
      <c r="A251" s="1" t="str">
        <f>IFERROR(__xludf.DUMMYFUNCTION("""COMPUTED_VALUE"""),"the crown")</f>
        <v>the crown</v>
      </c>
      <c r="B251" s="1" t="str">
        <f>IF(A251&lt;&gt;"", VLOOKUP(A251, imdb_netflix_v5!A$2:H$7370, 2, FALSE), "")</f>
        <v>TV Show</v>
      </c>
      <c r="C251" s="2" t="str">
        <f>IF(A251&lt;&gt;"", VLOOKUP(A251, imdb_netflix_v5!A$2:H$7370, 3, FALSE), "")</f>
        <v>Biography, Drama, History</v>
      </c>
      <c r="D251" s="2">
        <f>IF(A251&lt;&gt;"", VLOOKUP(A251, imdb_netflix_v5!A$2:H$7370, 4, FALSE), "")</f>
        <v>8.6</v>
      </c>
      <c r="E251" s="2">
        <f>IF(A251&lt;&gt;"", VLOOKUP(A251, imdb_netflix_v5!A$2:H$7370, 5, FALSE), "")</f>
        <v>2016</v>
      </c>
      <c r="F251" s="2">
        <f>IF(A251&lt;&gt;"", VLOOKUP(A251, imdb_netflix_v5!A$2:H$7370, 7, FALSE), "")</f>
        <v>50900000</v>
      </c>
    </row>
    <row r="252" ht="15.75" customHeight="1">
      <c r="A252" s="1" t="str">
        <f>IFERROR(__xludf.DUMMYFUNCTION("""COMPUTED_VALUE"""),"the x-files")</f>
        <v>the x-files</v>
      </c>
      <c r="B252" s="1" t="str">
        <f>IF(A252&lt;&gt;"", VLOOKUP(A252, imdb_netflix_v5!A$2:H$7370, 2, FALSE), "")</f>
        <v>TV Show</v>
      </c>
      <c r="C252" s="2" t="str">
        <f>IF(A252&lt;&gt;"", VLOOKUP(A252, imdb_netflix_v5!A$2:H$7370, 3, FALSE), "")</f>
        <v>Adventure, Crime, Drama</v>
      </c>
      <c r="D252" s="2">
        <f>IF(A252&lt;&gt;"", VLOOKUP(A252, imdb_netflix_v5!A$2:H$7370, 4, FALSE), "")</f>
        <v>8.6</v>
      </c>
      <c r="E252" s="2">
        <f>IF(A252&lt;&gt;"", VLOOKUP(A252, imdb_netflix_v5!A$2:H$7370, 5, FALSE), "")</f>
        <v>1993</v>
      </c>
      <c r="F252" s="2" t="str">
        <f>IF(A252&lt;&gt;"", VLOOKUP(A252, imdb_netflix_v5!A$2:H$7370, 7, FALSE), "")</f>
        <v>NA</v>
      </c>
    </row>
    <row r="253" ht="15.75" customHeight="1">
      <c r="A253" s="1" t="str">
        <f>IFERROR(__xludf.DUMMYFUNCTION("""COMPUTED_VALUE"""),"yellowstone")</f>
        <v>yellowstone</v>
      </c>
      <c r="B253" s="1" t="str">
        <f>IF(A253&lt;&gt;"", VLOOKUP(A253, imdb_netflix_v5!A$2:H$7370, 2, FALSE), "")</f>
        <v>TV Show</v>
      </c>
      <c r="C253" s="2" t="str">
        <f>IF(A253&lt;&gt;"", VLOOKUP(A253, imdb_netflix_v5!A$2:H$7370, 3, FALSE), "")</f>
        <v>Drama, Western</v>
      </c>
      <c r="D253" s="2">
        <f>IF(A253&lt;&gt;"", VLOOKUP(A253, imdb_netflix_v5!A$2:H$7370, 4, FALSE), "")</f>
        <v>8.6</v>
      </c>
      <c r="E253" s="2">
        <f>IF(A253&lt;&gt;"", VLOOKUP(A253, imdb_netflix_v5!A$2:H$7370, 5, FALSE), "")</f>
        <v>2018</v>
      </c>
      <c r="F253" s="2" t="str">
        <f>IF(A253&lt;&gt;"", VLOOKUP(A253, imdb_netflix_v5!A$2:H$7370, 7, FALSE), "")</f>
        <v>NA</v>
      </c>
    </row>
    <row r="254" ht="15.75" customHeight="1">
      <c r="A254" s="1" t="str">
        <f>IFERROR(__xludf.DUMMYFUNCTION("""COMPUTED_VALUE"""),"boardwalk empire")</f>
        <v>boardwalk empire</v>
      </c>
      <c r="B254" s="1" t="str">
        <f>IF(A254&lt;&gt;"", VLOOKUP(A254, imdb_netflix_v5!A$2:H$7370, 2, FALSE), "")</f>
        <v>TV Show</v>
      </c>
      <c r="C254" s="2" t="str">
        <f>IF(A254&lt;&gt;"", VLOOKUP(A254, imdb_netflix_v5!A$2:H$7370, 3, FALSE), "")</f>
        <v>Crime, Drama</v>
      </c>
      <c r="D254" s="2">
        <f>IF(A254&lt;&gt;"", VLOOKUP(A254, imdb_netflix_v5!A$2:H$7370, 4, FALSE), "")</f>
        <v>8.6</v>
      </c>
      <c r="E254" s="2">
        <f>IF(A254&lt;&gt;"", VLOOKUP(A254, imdb_netflix_v5!A$2:H$7370, 5, FALSE), "")</f>
        <v>2010</v>
      </c>
      <c r="F254" s="2" t="str">
        <f>IF(A254&lt;&gt;"", VLOOKUP(A254, imdb_netflix_v5!A$2:H$7370, 7, FALSE), "")</f>
        <v>NA</v>
      </c>
    </row>
    <row r="255" ht="15.75" customHeight="1">
      <c r="A255" s="1" t="str">
        <f>IFERROR(__xludf.DUMMYFUNCTION("""COMPUTED_VALUE"""),"shogun")</f>
        <v>shogun</v>
      </c>
      <c r="B255" s="1" t="str">
        <f>IF(A255&lt;&gt;"", VLOOKUP(A255, imdb_netflix_v5!A$2:H$7370, 2, FALSE), "")</f>
        <v>TV Show</v>
      </c>
      <c r="C255" s="2" t="str">
        <f>IF(A255&lt;&gt;"", VLOOKUP(A255, imdb_netflix_v5!A$2:H$7370, 3, FALSE), "")</f>
        <v>Adventure, Drama, History</v>
      </c>
      <c r="D255" s="2">
        <f>IF(A255&lt;&gt;"", VLOOKUP(A255, imdb_netflix_v5!A$2:H$7370, 4, FALSE), "")</f>
        <v>8.6</v>
      </c>
      <c r="E255" s="2">
        <f>IF(A255&lt;&gt;"", VLOOKUP(A255, imdb_netflix_v5!A$2:H$7370, 5, FALSE), "")</f>
        <v>2024</v>
      </c>
      <c r="F255" s="2" t="str">
        <f>IF(A255&lt;&gt;"", VLOOKUP(A255, imdb_netflix_v5!A$2:H$7370, 7, FALSE), "")</f>
        <v>NA</v>
      </c>
    </row>
    <row r="256" ht="15.75" customHeight="1">
      <c r="A256" s="1" t="str">
        <f>IFERROR(__xludf.DUMMYFUNCTION("""COMPUTED_VALUE"""),"demon slayer kimetsu no yaiba")</f>
        <v>demon slayer kimetsu no yaiba</v>
      </c>
      <c r="B256" s="1" t="str">
        <f>IF(A256&lt;&gt;"", VLOOKUP(A256, imdb_netflix_v5!A$2:H$7370, 2, FALSE), "")</f>
        <v>TV Show</v>
      </c>
      <c r="C256" s="2" t="str">
        <f>IF(A256&lt;&gt;"", VLOOKUP(A256, imdb_netflix_v5!A$2:H$7370, 3, FALSE), "")</f>
        <v>Action, Adventure, Animation</v>
      </c>
      <c r="D256" s="2">
        <f>IF(A256&lt;&gt;"", VLOOKUP(A256, imdb_netflix_v5!A$2:H$7370, 4, FALSE), "")</f>
        <v>8.6</v>
      </c>
      <c r="E256" s="2">
        <f>IF(A256&lt;&gt;"", VLOOKUP(A256, imdb_netflix_v5!A$2:H$7370, 5, FALSE), "")</f>
        <v>2019</v>
      </c>
      <c r="F256" s="2">
        <f>IF(A256&lt;&gt;"", VLOOKUP(A256, imdb_netflix_v5!A$2:H$7370, 7, FALSE), "")</f>
        <v>7100000</v>
      </c>
    </row>
    <row r="257" ht="15.75" customHeight="1">
      <c r="A257" s="1" t="str">
        <f>IFERROR(__xludf.DUMMYFUNCTION("""COMPUTED_VALUE"""),"archer")</f>
        <v>archer</v>
      </c>
      <c r="B257" s="1" t="str">
        <f>IF(A257&lt;&gt;"", VLOOKUP(A257, imdb_netflix_v5!A$2:H$7370, 2, FALSE), "")</f>
        <v>TV Show</v>
      </c>
      <c r="C257" s="2" t="str">
        <f>IF(A257&lt;&gt;"", VLOOKUP(A257, imdb_netflix_v5!A$2:H$7370, 3, FALSE), "")</f>
        <v>Action, Animation, Comedy</v>
      </c>
      <c r="D257" s="2">
        <f>IF(A257&lt;&gt;"", VLOOKUP(A257, imdb_netflix_v5!A$2:H$7370, 4, FALSE), "")</f>
        <v>8.6</v>
      </c>
      <c r="E257" s="2">
        <f>IF(A257&lt;&gt;"", VLOOKUP(A257, imdb_netflix_v5!A$2:H$7370, 5, FALSE), "")</f>
        <v>2009</v>
      </c>
      <c r="F257" s="2" t="str">
        <f>IF(A257&lt;&gt;"", VLOOKUP(A257, imdb_netflix_v5!A$2:H$7370, 7, FALSE), "")</f>
        <v>NA</v>
      </c>
    </row>
    <row r="258" ht="15.75" customHeight="1">
      <c r="A258" s="1" t="str">
        <f>IFERROR(__xludf.DUMMYFUNCTION("""COMPUTED_VALUE"""),"mr. bean")</f>
        <v>mr. bean</v>
      </c>
      <c r="B258" s="1" t="str">
        <f>IF(A258&lt;&gt;"", VLOOKUP(A258, imdb_netflix_v5!A$2:H$7370, 2, FALSE), "")</f>
        <v>TV Show</v>
      </c>
      <c r="C258" s="2" t="str">
        <f>IF(A258&lt;&gt;"", VLOOKUP(A258, imdb_netflix_v5!A$2:H$7370, 3, FALSE), "")</f>
        <v>Comedy, Family</v>
      </c>
      <c r="D258" s="2">
        <f>IF(A258&lt;&gt;"", VLOOKUP(A258, imdb_netflix_v5!A$2:H$7370, 4, FALSE), "")</f>
        <v>8.6</v>
      </c>
      <c r="E258" s="2">
        <f>IF(A258&lt;&gt;"", VLOOKUP(A258, imdb_netflix_v5!A$2:H$7370, 5, FALSE), "")</f>
        <v>1990</v>
      </c>
      <c r="F258" s="2" t="str">
        <f>IF(A258&lt;&gt;"", VLOOKUP(A258, imdb_netflix_v5!A$2:H$7370, 7, FALSE), "")</f>
        <v>NA</v>
      </c>
    </row>
    <row r="259" ht="15.75" customHeight="1">
      <c r="A259" s="1" t="str">
        <f>IFERROR(__xludf.DUMMYFUNCTION("""COMPUTED_VALUE"""),"the newsroom")</f>
        <v>the newsroom</v>
      </c>
      <c r="B259" s="1" t="str">
        <f>IF(A259&lt;&gt;"", VLOOKUP(A259, imdb_netflix_v5!A$2:H$7370, 2, FALSE), "")</f>
        <v>TV Show</v>
      </c>
      <c r="C259" s="2" t="str">
        <f>IF(A259&lt;&gt;"", VLOOKUP(A259, imdb_netflix_v5!A$2:H$7370, 3, FALSE), "")</f>
        <v>Drama</v>
      </c>
      <c r="D259" s="2">
        <f>IF(A259&lt;&gt;"", VLOOKUP(A259, imdb_netflix_v5!A$2:H$7370, 4, FALSE), "")</f>
        <v>8.6</v>
      </c>
      <c r="E259" s="2">
        <f>IF(A259&lt;&gt;"", VLOOKUP(A259, imdb_netflix_v5!A$2:H$7370, 5, FALSE), "")</f>
        <v>2012</v>
      </c>
      <c r="F259" s="2" t="str">
        <f>IF(A259&lt;&gt;"", VLOOKUP(A259, imdb_netflix_v5!A$2:H$7370, 7, FALSE), "")</f>
        <v>NA</v>
      </c>
    </row>
    <row r="260" ht="15.75" customHeight="1">
      <c r="A260" s="1" t="str">
        <f>IFERROR(__xludf.DUMMYFUNCTION("""COMPUTED_VALUE"""),"justified")</f>
        <v>justified</v>
      </c>
      <c r="B260" s="1" t="str">
        <f>IF(A260&lt;&gt;"", VLOOKUP(A260, imdb_netflix_v5!A$2:H$7370, 2, FALSE), "")</f>
        <v>TV Show</v>
      </c>
      <c r="C260" s="2" t="str">
        <f>IF(A260&lt;&gt;"", VLOOKUP(A260, imdb_netflix_v5!A$2:H$7370, 3, FALSE), "")</f>
        <v>Action, Crime, Drama</v>
      </c>
      <c r="D260" s="2">
        <f>IF(A260&lt;&gt;"", VLOOKUP(A260, imdb_netflix_v5!A$2:H$7370, 4, FALSE), "")</f>
        <v>8.6</v>
      </c>
      <c r="E260" s="2">
        <f>IF(A260&lt;&gt;"", VLOOKUP(A260, imdb_netflix_v5!A$2:H$7370, 5, FALSE), "")</f>
        <v>2010</v>
      </c>
      <c r="F260" s="2" t="str">
        <f>IF(A260&lt;&gt;"", VLOOKUP(A260, imdb_netflix_v5!A$2:H$7370, 7, FALSE), "")</f>
        <v>NA</v>
      </c>
    </row>
    <row r="261" ht="15.75" customHeight="1">
      <c r="A261" s="1" t="str">
        <f>IFERROR(__xludf.DUMMYFUNCTION("""COMPUTED_VALUE"""),"deadwood")</f>
        <v>deadwood</v>
      </c>
      <c r="B261" s="1" t="str">
        <f>IF(A261&lt;&gt;"", VLOOKUP(A261, imdb_netflix_v5!A$2:H$7370, 2, FALSE), "")</f>
        <v>TV Show</v>
      </c>
      <c r="C261" s="2" t="str">
        <f>IF(A261&lt;&gt;"", VLOOKUP(A261, imdb_netflix_v5!A$2:H$7370, 3, FALSE), "")</f>
        <v>Crime, Drama, History</v>
      </c>
      <c r="D261" s="2">
        <f>IF(A261&lt;&gt;"", VLOOKUP(A261, imdb_netflix_v5!A$2:H$7370, 4, FALSE), "")</f>
        <v>8.6</v>
      </c>
      <c r="E261" s="2">
        <f>IF(A261&lt;&gt;"", VLOOKUP(A261, imdb_netflix_v5!A$2:H$7370, 5, FALSE), "")</f>
        <v>2004</v>
      </c>
      <c r="F261" s="2" t="str">
        <f>IF(A261&lt;&gt;"", VLOOKUP(A261, imdb_netflix_v5!A$2:H$7370, 7, FALSE), "")</f>
        <v>NA</v>
      </c>
    </row>
    <row r="262" ht="15.75" customHeight="1">
      <c r="A262" s="1" t="str">
        <f>IFERROR(__xludf.DUMMYFUNCTION("""COMPUTED_VALUE"""),"adventure time")</f>
        <v>adventure time</v>
      </c>
      <c r="B262" s="1" t="str">
        <f>IF(A262&lt;&gt;"", VLOOKUP(A262, imdb_netflix_v5!A$2:H$7370, 2, FALSE), "")</f>
        <v>TV Show</v>
      </c>
      <c r="C262" s="2" t="str">
        <f>IF(A262&lt;&gt;"", VLOOKUP(A262, imdb_netflix_v5!A$2:H$7370, 3, FALSE), "")</f>
        <v>Action, Adventure, Animation</v>
      </c>
      <c r="D262" s="2">
        <f>IF(A262&lt;&gt;"", VLOOKUP(A262, imdb_netflix_v5!A$2:H$7370, 4, FALSE), "")</f>
        <v>8.6</v>
      </c>
      <c r="E262" s="2">
        <f>IF(A262&lt;&gt;"", VLOOKUP(A262, imdb_netflix_v5!A$2:H$7370, 5, FALSE), "")</f>
        <v>2010</v>
      </c>
      <c r="F262" s="2" t="str">
        <f>IF(A262&lt;&gt;"", VLOOKUP(A262, imdb_netflix_v5!A$2:H$7370, 7, FALSE), "")</f>
        <v>NA</v>
      </c>
    </row>
    <row r="263" ht="15.75" customHeight="1">
      <c r="A263" s="1" t="str">
        <f>IFERROR(__xludf.DUMMYFUNCTION("""COMPUTED_VALUE"""),"what we do in the shadows")</f>
        <v>what we do in the shadows</v>
      </c>
      <c r="B263" s="1" t="str">
        <f>IF(A263&lt;&gt;"", VLOOKUP(A263, imdb_netflix_v5!A$2:H$7370, 2, FALSE), "")</f>
        <v>TV Show</v>
      </c>
      <c r="C263" s="2" t="str">
        <f>IF(A263&lt;&gt;"", VLOOKUP(A263, imdb_netflix_v5!A$2:H$7370, 3, FALSE), "")</f>
        <v>Comedy, Fantasy, Horror</v>
      </c>
      <c r="D263" s="2">
        <f>IF(A263&lt;&gt;"", VLOOKUP(A263, imdb_netflix_v5!A$2:H$7370, 4, FALSE), "")</f>
        <v>8.6</v>
      </c>
      <c r="E263" s="2">
        <f>IF(A263&lt;&gt;"", VLOOKUP(A263, imdb_netflix_v5!A$2:H$7370, 5, FALSE), "")</f>
        <v>2019</v>
      </c>
      <c r="F263" s="2" t="str">
        <f>IF(A263&lt;&gt;"", VLOOKUP(A263, imdb_netflix_v5!A$2:H$7370, 7, FALSE), "")</f>
        <v>NA</v>
      </c>
    </row>
    <row r="264" ht="15.75" customHeight="1">
      <c r="A264" s="1" t="str">
        <f>IFERROR(__xludf.DUMMYFUNCTION("""COMPUTED_VALUE"""),"atlanta")</f>
        <v>atlanta</v>
      </c>
      <c r="B264" s="1" t="str">
        <f>IF(A264&lt;&gt;"", VLOOKUP(A264, imdb_netflix_v5!A$2:H$7370, 2, FALSE), "")</f>
        <v>TV Show</v>
      </c>
      <c r="C264" s="2" t="str">
        <f>IF(A264&lt;&gt;"", VLOOKUP(A264, imdb_netflix_v5!A$2:H$7370, 3, FALSE), "")</f>
        <v>Comedy, Drama, Music</v>
      </c>
      <c r="D264" s="2">
        <f>IF(A264&lt;&gt;"", VLOOKUP(A264, imdb_netflix_v5!A$2:H$7370, 4, FALSE), "")</f>
        <v>8.6</v>
      </c>
      <c r="E264" s="2">
        <f>IF(A264&lt;&gt;"", VLOOKUP(A264, imdb_netflix_v5!A$2:H$7370, 5, FALSE), "")</f>
        <v>2016</v>
      </c>
      <c r="F264" s="2" t="str">
        <f>IF(A264&lt;&gt;"", VLOOKUP(A264, imdb_netflix_v5!A$2:H$7370, 7, FALSE), "")</f>
        <v>NA</v>
      </c>
    </row>
    <row r="265" ht="15.75" customHeight="1">
      <c r="A265" s="1" t="str">
        <f>IFERROR(__xludf.DUMMYFUNCTION("""COMPUTED_VALUE"""),"dopesick")</f>
        <v>dopesick</v>
      </c>
      <c r="B265" s="1" t="str">
        <f>IF(A265&lt;&gt;"", VLOOKUP(A265, imdb_netflix_v5!A$2:H$7370, 2, FALSE), "")</f>
        <v>TV Show</v>
      </c>
      <c r="C265" s="2" t="str">
        <f>IF(A265&lt;&gt;"", VLOOKUP(A265, imdb_netflix_v5!A$2:H$7370, 3, FALSE), "")</f>
        <v>Drama</v>
      </c>
      <c r="D265" s="2">
        <f>IF(A265&lt;&gt;"", VLOOKUP(A265, imdb_netflix_v5!A$2:H$7370, 4, FALSE), "")</f>
        <v>8.6</v>
      </c>
      <c r="E265" s="2">
        <f>IF(A265&lt;&gt;"", VLOOKUP(A265, imdb_netflix_v5!A$2:H$7370, 5, FALSE), "")</f>
        <v>2021</v>
      </c>
      <c r="F265" s="2" t="str">
        <f>IF(A265&lt;&gt;"", VLOOKUP(A265, imdb_netflix_v5!A$2:H$7370, 7, FALSE), "")</f>
        <v>NA</v>
      </c>
    </row>
    <row r="266" ht="15.75" customHeight="1">
      <c r="A266" s="1" t="str">
        <f>IFERROR(__xludf.DUMMYFUNCTION("""COMPUTED_VALUE"""),"the bridge")</f>
        <v>the bridge</v>
      </c>
      <c r="B266" s="1" t="str">
        <f>IF(A266&lt;&gt;"", VLOOKUP(A266, imdb_netflix_v5!A$2:H$7370, 2, FALSE), "")</f>
        <v>TV Show</v>
      </c>
      <c r="C266" s="2" t="str">
        <f>IF(A266&lt;&gt;"", VLOOKUP(A266, imdb_netflix_v5!A$2:H$7370, 3, FALSE), "")</f>
        <v>Crime, Mystery, Thriller</v>
      </c>
      <c r="D266" s="2">
        <f>IF(A266&lt;&gt;"", VLOOKUP(A266, imdb_netflix_v5!A$2:H$7370, 4, FALSE), "")</f>
        <v>8.6</v>
      </c>
      <c r="E266" s="2">
        <f>IF(A266&lt;&gt;"", VLOOKUP(A266, imdb_netflix_v5!A$2:H$7370, 5, FALSE), "")</f>
        <v>2011</v>
      </c>
      <c r="F266" s="2" t="str">
        <f>IF(A266&lt;&gt;"", VLOOKUP(A266, imdb_netflix_v5!A$2:H$7370, 7, FALSE), "")</f>
        <v>NA</v>
      </c>
    </row>
    <row r="267" ht="15.75" customHeight="1">
      <c r="A267" s="1" t="str">
        <f>IFERROR(__xludf.DUMMYFUNCTION("""COMPUTED_VALUE"""),"harakiri")</f>
        <v>harakiri</v>
      </c>
      <c r="B267" s="1" t="str">
        <f>IF(A267&lt;&gt;"", VLOOKUP(A267, imdb_netflix_v5!A$2:H$7370, 2, FALSE), "")</f>
        <v>Movie</v>
      </c>
      <c r="C267" s="2" t="str">
        <f>IF(A267&lt;&gt;"", VLOOKUP(A267, imdb_netflix_v5!A$2:H$7370, 3, FALSE), "")</f>
        <v>Drama, Mystery</v>
      </c>
      <c r="D267" s="2">
        <f>IF(A267&lt;&gt;"", VLOOKUP(A267, imdb_netflix_v5!A$2:H$7370, 4, FALSE), "")</f>
        <v>8.6</v>
      </c>
      <c r="E267" s="2">
        <f>IF(A267&lt;&gt;"", VLOOKUP(A267, imdb_netflix_v5!A$2:H$7370, 5, FALSE), "")</f>
        <v>1962</v>
      </c>
      <c r="F267" s="2" t="str">
        <f>IF(A267&lt;&gt;"", VLOOKUP(A267, imdb_netflix_v5!A$2:H$7370, 7, FALSE), "")</f>
        <v>NA</v>
      </c>
    </row>
    <row r="268" ht="15.75" customHeight="1">
      <c r="A268" s="1" t="str">
        <f>IFERROR(__xludf.DUMMYFUNCTION("""COMPUTED_VALUE"""),"anne with an e")</f>
        <v>anne with an e</v>
      </c>
      <c r="B268" s="1" t="str">
        <f>IF(A268&lt;&gt;"", VLOOKUP(A268, imdb_netflix_v5!A$2:H$7370, 2, FALSE), "")</f>
        <v>TV Show</v>
      </c>
      <c r="C268" s="2" t="str">
        <f>IF(A268&lt;&gt;"", VLOOKUP(A268, imdb_netflix_v5!A$2:H$7370, 3, FALSE), "")</f>
        <v>Drama, Family</v>
      </c>
      <c r="D268" s="2">
        <f>IF(A268&lt;&gt;"", VLOOKUP(A268, imdb_netflix_v5!A$2:H$7370, 4, FALSE), "")</f>
        <v>8.6</v>
      </c>
      <c r="E268" s="2">
        <f>IF(A268&lt;&gt;"", VLOOKUP(A268, imdb_netflix_v5!A$2:H$7370, 5, FALSE), "")</f>
        <v>2017</v>
      </c>
      <c r="F268" s="2" t="str">
        <f>IF(A268&lt;&gt;"", VLOOKUP(A268, imdb_netflix_v5!A$2:H$7370, 7, FALSE), "")</f>
        <v>NA</v>
      </c>
    </row>
    <row r="269" ht="15.75" customHeight="1">
      <c r="A269" s="1" t="str">
        <f>IFERROR(__xludf.DUMMYFUNCTION("""COMPUTED_VALUE"""),"the jinx the life and deaths of robert durst")</f>
        <v>the jinx the life and deaths of robert durst</v>
      </c>
      <c r="B269" s="1" t="str">
        <f>IF(A269&lt;&gt;"", VLOOKUP(A269, imdb_netflix_v5!A$2:H$7370, 2, FALSE), "")</f>
        <v>TV Show</v>
      </c>
      <c r="C269" s="2" t="str">
        <f>IF(A269&lt;&gt;"", VLOOKUP(A269, imdb_netflix_v5!A$2:H$7370, 3, FALSE), "")</f>
        <v>Biography, Crime, Documentary</v>
      </c>
      <c r="D269" s="2">
        <f>IF(A269&lt;&gt;"", VLOOKUP(A269, imdb_netflix_v5!A$2:H$7370, 4, FALSE), "")</f>
        <v>8.6</v>
      </c>
      <c r="E269" s="2">
        <f>IF(A269&lt;&gt;"", VLOOKUP(A269, imdb_netflix_v5!A$2:H$7370, 5, FALSE), "")</f>
        <v>2015</v>
      </c>
      <c r="F269" s="2" t="str">
        <f>IF(A269&lt;&gt;"", VLOOKUP(A269, imdb_netflix_v5!A$2:H$7370, 7, FALSE), "")</f>
        <v>NA</v>
      </c>
    </row>
    <row r="270" ht="15.75" customHeight="1">
      <c r="A270" s="1" t="str">
        <f>IFERROR(__xludf.DUMMYFUNCTION("""COMPUTED_VALUE"""),"poirot")</f>
        <v>poirot</v>
      </c>
      <c r="B270" s="1" t="str">
        <f>IF(A270&lt;&gt;"", VLOOKUP(A270, imdb_netflix_v5!A$2:H$7370, 2, FALSE), "")</f>
        <v>TV Show</v>
      </c>
      <c r="C270" s="2" t="str">
        <f>IF(A270&lt;&gt;"", VLOOKUP(A270, imdb_netflix_v5!A$2:H$7370, 3, FALSE), "")</f>
        <v>Crime, Drama, Mystery</v>
      </c>
      <c r="D270" s="2">
        <f>IF(A270&lt;&gt;"", VLOOKUP(A270, imdb_netflix_v5!A$2:H$7370, 4, FALSE), "")</f>
        <v>8.6</v>
      </c>
      <c r="E270" s="2">
        <f>IF(A270&lt;&gt;"", VLOOKUP(A270, imdb_netflix_v5!A$2:H$7370, 5, FALSE), "")</f>
        <v>1989</v>
      </c>
      <c r="F270" s="2" t="str">
        <f>IF(A270&lt;&gt;"", VLOOKUP(A270, imdb_netflix_v5!A$2:H$7370, 7, FALSE), "")</f>
        <v>NA</v>
      </c>
    </row>
    <row r="271" ht="15.75" customHeight="1">
      <c r="A271" s="1" t="str">
        <f>IFERROR(__xludf.DUMMYFUNCTION("""COMPUTED_VALUE"""),"blackadder ii")</f>
        <v>blackadder ii</v>
      </c>
      <c r="B271" s="1" t="str">
        <f>IF(A271&lt;&gt;"", VLOOKUP(A271, imdb_netflix_v5!A$2:H$7370, 2, FALSE), "")</f>
        <v>TV Show</v>
      </c>
      <c r="C271" s="2" t="str">
        <f>IF(A271&lt;&gt;"", VLOOKUP(A271, imdb_netflix_v5!A$2:H$7370, 3, FALSE), "")</f>
        <v>Comedy</v>
      </c>
      <c r="D271" s="2">
        <f>IF(A271&lt;&gt;"", VLOOKUP(A271, imdb_netflix_v5!A$2:H$7370, 4, FALSE), "")</f>
        <v>8.6</v>
      </c>
      <c r="E271" s="2">
        <f>IF(A271&lt;&gt;"", VLOOKUP(A271, imdb_netflix_v5!A$2:H$7370, 5, FALSE), "")</f>
        <v>1986</v>
      </c>
      <c r="F271" s="2" t="str">
        <f>IF(A271&lt;&gt;"", VLOOKUP(A271, imdb_netflix_v5!A$2:H$7370, 7, FALSE), "")</f>
        <v>NA</v>
      </c>
    </row>
    <row r="272" ht="15.75" customHeight="1">
      <c r="A272" s="1" t="str">
        <f>IFERROR(__xludf.DUMMYFUNCTION("""COMPUTED_VALUE"""),"blackadder the third")</f>
        <v>blackadder the third</v>
      </c>
      <c r="B272" s="1" t="str">
        <f>IF(A272&lt;&gt;"", VLOOKUP(A272, imdb_netflix_v5!A$2:H$7370, 2, FALSE), "")</f>
        <v>TV Show</v>
      </c>
      <c r="C272" s="2" t="str">
        <f>IF(A272&lt;&gt;"", VLOOKUP(A272, imdb_netflix_v5!A$2:H$7370, 3, FALSE), "")</f>
        <v>Comedy</v>
      </c>
      <c r="D272" s="2">
        <f>IF(A272&lt;&gt;"", VLOOKUP(A272, imdb_netflix_v5!A$2:H$7370, 4, FALSE), "")</f>
        <v>8.6</v>
      </c>
      <c r="E272" s="2">
        <f>IF(A272&lt;&gt;"", VLOOKUP(A272, imdb_netflix_v5!A$2:H$7370, 5, FALSE), "")</f>
        <v>1987</v>
      </c>
      <c r="F272" s="2" t="str">
        <f>IF(A272&lt;&gt;"", VLOOKUP(A272, imdb_netflix_v5!A$2:H$7370, 7, FALSE), "")</f>
        <v>NA</v>
      </c>
    </row>
    <row r="273" ht="15.75" customHeight="1">
      <c r="A273" s="1" t="str">
        <f>IFERROR(__xludf.DUMMYFUNCTION("""COMPUTED_VALUE"""),"impractical jokers")</f>
        <v>impractical jokers</v>
      </c>
      <c r="B273" s="1" t="str">
        <f>IF(A273&lt;&gt;"", VLOOKUP(A273, imdb_netflix_v5!A$2:H$7370, 2, FALSE), "")</f>
        <v>TV Show</v>
      </c>
      <c r="C273" s="2" t="str">
        <f>IF(A273&lt;&gt;"", VLOOKUP(A273, imdb_netflix_v5!A$2:H$7370, 3, FALSE), "")</f>
        <v>Comedy, Reality-TV</v>
      </c>
      <c r="D273" s="2">
        <f>IF(A273&lt;&gt;"", VLOOKUP(A273, imdb_netflix_v5!A$2:H$7370, 4, FALSE), "")</f>
        <v>8.6</v>
      </c>
      <c r="E273" s="2">
        <f>IF(A273&lt;&gt;"", VLOOKUP(A273, imdb_netflix_v5!A$2:H$7370, 5, FALSE), "")</f>
        <v>2011</v>
      </c>
      <c r="F273" s="2" t="str">
        <f>IF(A273&lt;&gt;"", VLOOKUP(A273, imdb_netflix_v5!A$2:H$7370, 7, FALSE), "")</f>
        <v>NA</v>
      </c>
    </row>
    <row r="274" ht="15.75" customHeight="1">
      <c r="A274" s="1" t="str">
        <f>IFERROR(__xludf.DUMMYFUNCTION("""COMPUTED_VALUE"""),"young justice")</f>
        <v>young justice</v>
      </c>
      <c r="B274" s="1" t="str">
        <f>IF(A274&lt;&gt;"", VLOOKUP(A274, imdb_netflix_v5!A$2:H$7370, 2, FALSE), "")</f>
        <v>TV Show</v>
      </c>
      <c r="C274" s="2" t="str">
        <f>IF(A274&lt;&gt;"", VLOOKUP(A274, imdb_netflix_v5!A$2:H$7370, 3, FALSE), "")</f>
        <v>Action, Adventure, Animation</v>
      </c>
      <c r="D274" s="2">
        <f>IF(A274&lt;&gt;"", VLOOKUP(A274, imdb_netflix_v5!A$2:H$7370, 4, FALSE), "")</f>
        <v>8.6</v>
      </c>
      <c r="E274" s="2">
        <f>IF(A274&lt;&gt;"", VLOOKUP(A274, imdb_netflix_v5!A$2:H$7370, 5, FALSE), "")</f>
        <v>2010</v>
      </c>
      <c r="F274" s="2" t="str">
        <f>IF(A274&lt;&gt;"", VLOOKUP(A274, imdb_netflix_v5!A$2:H$7370, 7, FALSE), "")</f>
        <v>NA</v>
      </c>
    </row>
    <row r="275" ht="15.75" customHeight="1">
      <c r="A275" s="1" t="str">
        <f>IFERROR(__xludf.DUMMYFUNCTION("""COMPUTED_VALUE"""),"gomorrah")</f>
        <v>gomorrah</v>
      </c>
      <c r="B275" s="1" t="str">
        <f>IF(A275&lt;&gt;"", VLOOKUP(A275, imdb_netflix_v5!A$2:H$7370, 2, FALSE), "")</f>
        <v>TV Show</v>
      </c>
      <c r="C275" s="2" t="str">
        <f>IF(A275&lt;&gt;"", VLOOKUP(A275, imdb_netflix_v5!A$2:H$7370, 3, FALSE), "")</f>
        <v>Crime, Drama, Thriller</v>
      </c>
      <c r="D275" s="2">
        <f>IF(A275&lt;&gt;"", VLOOKUP(A275, imdb_netflix_v5!A$2:H$7370, 4, FALSE), "")</f>
        <v>8.6</v>
      </c>
      <c r="E275" s="2">
        <f>IF(A275&lt;&gt;"", VLOOKUP(A275, imdb_netflix_v5!A$2:H$7370, 5, FALSE), "")</f>
        <v>2014</v>
      </c>
      <c r="F275" s="2" t="str">
        <f>IF(A275&lt;&gt;"", VLOOKUP(A275, imdb_netflix_v5!A$2:H$7370, 7, FALSE), "")</f>
        <v>NA</v>
      </c>
    </row>
    <row r="276" ht="15.75" customHeight="1">
      <c r="A276" s="1" t="str">
        <f>IFERROR(__xludf.DUMMYFUNCTION("""COMPUTED_VALUE"""),"the offer")</f>
        <v>the offer</v>
      </c>
      <c r="B276" s="1" t="str">
        <f>IF(A276&lt;&gt;"", VLOOKUP(A276, imdb_netflix_v5!A$2:H$7370, 2, FALSE), "")</f>
        <v>TV Show</v>
      </c>
      <c r="C276" s="2" t="str">
        <f>IF(A276&lt;&gt;"", VLOOKUP(A276, imdb_netflix_v5!A$2:H$7370, 3, FALSE), "")</f>
        <v>Biography, Crime, Drama</v>
      </c>
      <c r="D276" s="2">
        <f>IF(A276&lt;&gt;"", VLOOKUP(A276, imdb_netflix_v5!A$2:H$7370, 4, FALSE), "")</f>
        <v>8.6</v>
      </c>
      <c r="E276" s="2">
        <f>IF(A276&lt;&gt;"", VLOOKUP(A276, imdb_netflix_v5!A$2:H$7370, 5, FALSE), "")</f>
        <v>2022</v>
      </c>
      <c r="F276" s="2" t="str">
        <f>IF(A276&lt;&gt;"", VLOOKUP(A276, imdb_netflix_v5!A$2:H$7370, 7, FALSE), "")</f>
        <v>NA</v>
      </c>
    </row>
    <row r="277" ht="15.75" customHeight="1">
      <c r="A277" s="1" t="str">
        <f>IFERROR(__xludf.DUMMYFUNCTION("""COMPUTED_VALUE"""),"skam")</f>
        <v>skam</v>
      </c>
      <c r="B277" s="1" t="str">
        <f>IF(A277&lt;&gt;"", VLOOKUP(A277, imdb_netflix_v5!A$2:H$7370, 2, FALSE), "")</f>
        <v>TV Show</v>
      </c>
      <c r="C277" s="2" t="str">
        <f>IF(A277&lt;&gt;"", VLOOKUP(A277, imdb_netflix_v5!A$2:H$7370, 3, FALSE), "")</f>
        <v>Drama, Romance</v>
      </c>
      <c r="D277" s="2">
        <f>IF(A277&lt;&gt;"", VLOOKUP(A277, imdb_netflix_v5!A$2:H$7370, 4, FALSE), "")</f>
        <v>8.6</v>
      </c>
      <c r="E277" s="2">
        <f>IF(A277&lt;&gt;"", VLOOKUP(A277, imdb_netflix_v5!A$2:H$7370, 5, FALSE), "")</f>
        <v>2015</v>
      </c>
      <c r="F277" s="2" t="str">
        <f>IF(A277&lt;&gt;"", VLOOKUP(A277, imdb_netflix_v5!A$2:H$7370, 7, FALSE), "")</f>
        <v>NA</v>
      </c>
    </row>
    <row r="278" ht="15.75" customHeight="1">
      <c r="A278" s="1" t="str">
        <f>IFERROR(__xludf.DUMMYFUNCTION("""COMPUTED_VALUE"""),"ezel")</f>
        <v>ezel</v>
      </c>
      <c r="B278" s="1" t="str">
        <f>IF(A278&lt;&gt;"", VLOOKUP(A278, imdb_netflix_v5!A$2:H$7370, 2, FALSE), "")</f>
        <v>TV Show</v>
      </c>
      <c r="C278" s="2" t="str">
        <f>IF(A278&lt;&gt;"", VLOOKUP(A278, imdb_netflix_v5!A$2:H$7370, 3, FALSE), "")</f>
        <v>Crime, Drama, Thriller</v>
      </c>
      <c r="D278" s="2">
        <f>IF(A278&lt;&gt;"", VLOOKUP(A278, imdb_netflix_v5!A$2:H$7370, 4, FALSE), "")</f>
        <v>8.6</v>
      </c>
      <c r="E278" s="2">
        <f>IF(A278&lt;&gt;"", VLOOKUP(A278, imdb_netflix_v5!A$2:H$7370, 5, FALSE), "")</f>
        <v>2009</v>
      </c>
      <c r="F278" s="2" t="str">
        <f>IF(A278&lt;&gt;"", VLOOKUP(A278, imdb_netflix_v5!A$2:H$7370, 7, FALSE), "")</f>
        <v>NA</v>
      </c>
    </row>
    <row r="279" ht="15.75" customHeight="1">
      <c r="A279" s="1" t="str">
        <f>IFERROR(__xludf.DUMMYFUNCTION("""COMPUTED_VALUE"""),"its a sin")</f>
        <v>its a sin</v>
      </c>
      <c r="B279" s="1" t="str">
        <f>IF(A279&lt;&gt;"", VLOOKUP(A279, imdb_netflix_v5!A$2:H$7370, 2, FALSE), "")</f>
        <v>TV Show</v>
      </c>
      <c r="C279" s="2" t="str">
        <f>IF(A279&lt;&gt;"", VLOOKUP(A279, imdb_netflix_v5!A$2:H$7370, 3, FALSE), "")</f>
        <v>Drama</v>
      </c>
      <c r="D279" s="2">
        <f>IF(A279&lt;&gt;"", VLOOKUP(A279, imdb_netflix_v5!A$2:H$7370, 4, FALSE), "")</f>
        <v>8.6</v>
      </c>
      <c r="E279" s="2">
        <f>IF(A279&lt;&gt;"", VLOOKUP(A279, imdb_netflix_v5!A$2:H$7370, 5, FALSE), "")</f>
        <v>2021</v>
      </c>
      <c r="F279" s="2" t="str">
        <f>IF(A279&lt;&gt;"", VLOOKUP(A279, imdb_netflix_v5!A$2:H$7370, 7, FALSE), "")</f>
        <v>NA</v>
      </c>
    </row>
    <row r="280" ht="15.75" customHeight="1">
      <c r="A280" s="1" t="str">
        <f>IFERROR(__xludf.DUMMYFUNCTION("""COMPUTED_VALUE"""),"special ops")</f>
        <v>special ops</v>
      </c>
      <c r="B280" s="1" t="str">
        <f>IF(A280&lt;&gt;"", VLOOKUP(A280, imdb_netflix_v5!A$2:H$7370, 2, FALSE), "")</f>
        <v>TV Show</v>
      </c>
      <c r="C280" s="2" t="str">
        <f>IF(A280&lt;&gt;"", VLOOKUP(A280, imdb_netflix_v5!A$2:H$7370, 3, FALSE), "")</f>
        <v>Action, Crime, Thriller</v>
      </c>
      <c r="D280" s="2">
        <f>IF(A280&lt;&gt;"", VLOOKUP(A280, imdb_netflix_v5!A$2:H$7370, 4, FALSE), "")</f>
        <v>8.6</v>
      </c>
      <c r="E280" s="2">
        <f>IF(A280&lt;&gt;"", VLOOKUP(A280, imdb_netflix_v5!A$2:H$7370, 5, FALSE), "")</f>
        <v>2020</v>
      </c>
      <c r="F280" s="2" t="str">
        <f>IF(A280&lt;&gt;"", VLOOKUP(A280, imdb_netflix_v5!A$2:H$7370, 7, FALSE), "")</f>
        <v>NA</v>
      </c>
    </row>
    <row r="281" ht="15.75" customHeight="1">
      <c r="A281" s="1" t="str">
        <f>IFERROR(__xludf.DUMMYFUNCTION("""COMPUTED_VALUE"""),"its okay to not be okay")</f>
        <v>its okay to not be okay</v>
      </c>
      <c r="B281" s="1" t="str">
        <f>IF(A281&lt;&gt;"", VLOOKUP(A281, imdb_netflix_v5!A$2:H$7370, 2, FALSE), "")</f>
        <v>TV Show</v>
      </c>
      <c r="C281" s="2" t="str">
        <f>IF(A281&lt;&gt;"", VLOOKUP(A281, imdb_netflix_v5!A$2:H$7370, 3, FALSE), "")</f>
        <v>Comedy, Drama, Romance</v>
      </c>
      <c r="D281" s="2">
        <f>IF(A281&lt;&gt;"", VLOOKUP(A281, imdb_netflix_v5!A$2:H$7370, 4, FALSE), "")</f>
        <v>8.6</v>
      </c>
      <c r="E281" s="2">
        <f>IF(A281&lt;&gt;"", VLOOKUP(A281, imdb_netflix_v5!A$2:H$7370, 5, FALSE), "")</f>
        <v>2020</v>
      </c>
      <c r="F281" s="2" t="str">
        <f>IF(A281&lt;&gt;"", VLOOKUP(A281, imdb_netflix_v5!A$2:H$7370, 7, FALSE), "")</f>
        <v>NA</v>
      </c>
    </row>
    <row r="282" ht="15.75" customHeight="1">
      <c r="A282" s="1" t="str">
        <f>IFERROR(__xludf.DUMMYFUNCTION("""COMPUTED_VALUE"""),"the bugs bunny show")</f>
        <v>the bugs bunny show</v>
      </c>
      <c r="B282" s="1" t="str">
        <f>IF(A282&lt;&gt;"", VLOOKUP(A282, imdb_netflix_v5!A$2:H$7370, 2, FALSE), "")</f>
        <v>TV Show</v>
      </c>
      <c r="C282" s="2" t="str">
        <f>IF(A282&lt;&gt;"", VLOOKUP(A282, imdb_netflix_v5!A$2:H$7370, 3, FALSE), "")</f>
        <v>Animation, Comedy</v>
      </c>
      <c r="D282" s="2">
        <f>IF(A282&lt;&gt;"", VLOOKUP(A282, imdb_netflix_v5!A$2:H$7370, 4, FALSE), "")</f>
        <v>8.6</v>
      </c>
      <c r="E282" s="2">
        <f>IF(A282&lt;&gt;"", VLOOKUP(A282, imdb_netflix_v5!A$2:H$7370, 5, FALSE), "")</f>
        <v>1960</v>
      </c>
      <c r="F282" s="2" t="str">
        <f>IF(A282&lt;&gt;"", VLOOKUP(A282, imdb_netflix_v5!A$2:H$7370, 7, FALSE), "")</f>
        <v>NA</v>
      </c>
    </row>
    <row r="283" ht="15.75" customHeight="1">
      <c r="A283" s="1" t="str">
        <f>IFERROR(__xludf.DUMMYFUNCTION("""COMPUTED_VALUE"""),"north &amp; south")</f>
        <v>north &amp; south</v>
      </c>
      <c r="B283" s="1" t="str">
        <f>IF(A283&lt;&gt;"", VLOOKUP(A283, imdb_netflix_v5!A$2:H$7370, 2, FALSE), "")</f>
        <v>TV Show</v>
      </c>
      <c r="C283" s="2" t="str">
        <f>IF(A283&lt;&gt;"", VLOOKUP(A283, imdb_netflix_v5!A$2:H$7370, 3, FALSE), "")</f>
        <v>Drama, Romance</v>
      </c>
      <c r="D283" s="2">
        <f>IF(A283&lt;&gt;"", VLOOKUP(A283, imdb_netflix_v5!A$2:H$7370, 4, FALSE), "")</f>
        <v>8.6</v>
      </c>
      <c r="E283" s="2">
        <f>IF(A283&lt;&gt;"", VLOOKUP(A283, imdb_netflix_v5!A$2:H$7370, 5, FALSE), "")</f>
        <v>2004</v>
      </c>
      <c r="F283" s="2" t="str">
        <f>IF(A283&lt;&gt;"", VLOOKUP(A283, imdb_netflix_v5!A$2:H$7370, 7, FALSE), "")</f>
        <v>NA</v>
      </c>
    </row>
    <row r="284" ht="15.75" customHeight="1">
      <c r="A284" s="1" t="str">
        <f>IFERROR(__xludf.DUMMYFUNCTION("""COMPUTED_VALUE"""),"endeavour")</f>
        <v>endeavour</v>
      </c>
      <c r="B284" s="1" t="str">
        <f>IF(A284&lt;&gt;"", VLOOKUP(A284, imdb_netflix_v5!A$2:H$7370, 2, FALSE), "")</f>
        <v>TV Show</v>
      </c>
      <c r="C284" s="2" t="str">
        <f>IF(A284&lt;&gt;"", VLOOKUP(A284, imdb_netflix_v5!A$2:H$7370, 3, FALSE), "")</f>
        <v>Crime, Drama, Mystery</v>
      </c>
      <c r="D284" s="2">
        <f>IF(A284&lt;&gt;"", VLOOKUP(A284, imdb_netflix_v5!A$2:H$7370, 4, FALSE), "")</f>
        <v>8.6</v>
      </c>
      <c r="E284" s="2">
        <f>IF(A284&lt;&gt;"", VLOOKUP(A284, imdb_netflix_v5!A$2:H$7370, 5, FALSE), "")</f>
        <v>2012</v>
      </c>
      <c r="F284" s="2" t="str">
        <f>IF(A284&lt;&gt;"", VLOOKUP(A284, imdb_netflix_v5!A$2:H$7370, 7, FALSE), "")</f>
        <v>NA</v>
      </c>
    </row>
    <row r="285" ht="15.75" customHeight="1">
      <c r="A285" s="1" t="str">
        <f>IFERROR(__xludf.DUMMYFUNCTION("""COMPUTED_VALUE"""),"qi")</f>
        <v>qi</v>
      </c>
      <c r="B285" s="1" t="str">
        <f>IF(A285&lt;&gt;"", VLOOKUP(A285, imdb_netflix_v5!A$2:H$7370, 2, FALSE), "")</f>
        <v>TV Show</v>
      </c>
      <c r="C285" s="2" t="str">
        <f>IF(A285&lt;&gt;"", VLOOKUP(A285, imdb_netflix_v5!A$2:H$7370, 3, FALSE), "")</f>
        <v>Comedy, Game-Show</v>
      </c>
      <c r="D285" s="2">
        <f>IF(A285&lt;&gt;"", VLOOKUP(A285, imdb_netflix_v5!A$2:H$7370, 4, FALSE), "")</f>
        <v>8.6</v>
      </c>
      <c r="E285" s="2">
        <f>IF(A285&lt;&gt;"", VLOOKUP(A285, imdb_netflix_v5!A$2:H$7370, 5, FALSE), "")</f>
        <v>2003</v>
      </c>
      <c r="F285" s="2" t="str">
        <f>IF(A285&lt;&gt;"", VLOOKUP(A285, imdb_netflix_v5!A$2:H$7370, 7, FALSE), "")</f>
        <v>NA</v>
      </c>
    </row>
    <row r="286" ht="15.75" customHeight="1">
      <c r="A286" s="1" t="str">
        <f>IFERROR(__xludf.DUMMYFUNCTION("""COMPUTED_VALUE"""),"pose")</f>
        <v>pose</v>
      </c>
      <c r="B286" s="1" t="str">
        <f>IF(A286&lt;&gt;"", VLOOKUP(A286, imdb_netflix_v5!A$2:H$7370, 2, FALSE), "")</f>
        <v>TV Show</v>
      </c>
      <c r="C286" s="2" t="str">
        <f>IF(A286&lt;&gt;"", VLOOKUP(A286, imdb_netflix_v5!A$2:H$7370, 3, FALSE), "")</f>
        <v>Drama</v>
      </c>
      <c r="D286" s="2">
        <f>IF(A286&lt;&gt;"", VLOOKUP(A286, imdb_netflix_v5!A$2:H$7370, 4, FALSE), "")</f>
        <v>8.6</v>
      </c>
      <c r="E286" s="2">
        <f>IF(A286&lt;&gt;"", VLOOKUP(A286, imdb_netflix_v5!A$2:H$7370, 5, FALSE), "")</f>
        <v>2018</v>
      </c>
      <c r="F286" s="2" t="str">
        <f>IF(A286&lt;&gt;"", VLOOKUP(A286, imdb_netflix_v5!A$2:H$7370, 7, FALSE), "")</f>
        <v>NA</v>
      </c>
    </row>
    <row r="287" ht="15.75" customHeight="1">
      <c r="A287" s="1" t="str">
        <f>IFERROR(__xludf.DUMMYFUNCTION("""COMPUTED_VALUE"""),"call the midwife")</f>
        <v>call the midwife</v>
      </c>
      <c r="B287" s="1" t="str">
        <f>IF(A287&lt;&gt;"", VLOOKUP(A287, imdb_netflix_v5!A$2:H$7370, 2, FALSE), "")</f>
        <v>TV Show</v>
      </c>
      <c r="C287" s="2" t="str">
        <f>IF(A287&lt;&gt;"", VLOOKUP(A287, imdb_netflix_v5!A$2:H$7370, 3, FALSE), "")</f>
        <v>Drama, History</v>
      </c>
      <c r="D287" s="2">
        <f>IF(A287&lt;&gt;"", VLOOKUP(A287, imdb_netflix_v5!A$2:H$7370, 4, FALSE), "")</f>
        <v>8.6</v>
      </c>
      <c r="E287" s="2">
        <f>IF(A287&lt;&gt;"", VLOOKUP(A287, imdb_netflix_v5!A$2:H$7370, 5, FALSE), "")</f>
        <v>2012</v>
      </c>
      <c r="F287" s="2" t="str">
        <f>IF(A287&lt;&gt;"", VLOOKUP(A287, imdb_netflix_v5!A$2:H$7370, 7, FALSE), "")</f>
        <v>NA</v>
      </c>
    </row>
    <row r="288" ht="15.75" customHeight="1">
      <c r="A288" s="1" t="str">
        <f>IFERROR(__xludf.DUMMYFUNCTION("""COMPUTED_VALUE"""),"letterkenny")</f>
        <v>letterkenny</v>
      </c>
      <c r="B288" s="1" t="str">
        <f>IF(A288&lt;&gt;"", VLOOKUP(A288, imdb_netflix_v5!A$2:H$7370, 2, FALSE), "")</f>
        <v>TV Show</v>
      </c>
      <c r="C288" s="2" t="str">
        <f>IF(A288&lt;&gt;"", VLOOKUP(A288, imdb_netflix_v5!A$2:H$7370, 3, FALSE), "")</f>
        <v>Comedy</v>
      </c>
      <c r="D288" s="2">
        <f>IF(A288&lt;&gt;"", VLOOKUP(A288, imdb_netflix_v5!A$2:H$7370, 4, FALSE), "")</f>
        <v>8.6</v>
      </c>
      <c r="E288" s="2">
        <f>IF(A288&lt;&gt;"", VLOOKUP(A288, imdb_netflix_v5!A$2:H$7370, 5, FALSE), "")</f>
        <v>2016</v>
      </c>
      <c r="F288" s="2" t="str">
        <f>IF(A288&lt;&gt;"", VLOOKUP(A288, imdb_netflix_v5!A$2:H$7370, 7, FALSE), "")</f>
        <v>NA</v>
      </c>
    </row>
    <row r="289" ht="15.75" customHeight="1">
      <c r="A289" s="1" t="str">
        <f>IFERROR(__xludf.DUMMYFUNCTION("""COMPUTED_VALUE"""),"guardian the lonely and great god")</f>
        <v>guardian the lonely and great god</v>
      </c>
      <c r="B289" s="1" t="str">
        <f>IF(A289&lt;&gt;"", VLOOKUP(A289, imdb_netflix_v5!A$2:H$7370, 2, FALSE), "")</f>
        <v>TV Show</v>
      </c>
      <c r="C289" s="2" t="str">
        <f>IF(A289&lt;&gt;"", VLOOKUP(A289, imdb_netflix_v5!A$2:H$7370, 3, FALSE), "")</f>
        <v>Comedy, Drama, Fantasy</v>
      </c>
      <c r="D289" s="2">
        <f>IF(A289&lt;&gt;"", VLOOKUP(A289, imdb_netflix_v5!A$2:H$7370, 4, FALSE), "")</f>
        <v>8.6</v>
      </c>
      <c r="E289" s="2">
        <f>IF(A289&lt;&gt;"", VLOOKUP(A289, imdb_netflix_v5!A$2:H$7370, 5, FALSE), "")</f>
        <v>2016</v>
      </c>
      <c r="F289" s="2" t="str">
        <f>IF(A289&lt;&gt;"", VLOOKUP(A289, imdb_netflix_v5!A$2:H$7370, 7, FALSE), "")</f>
        <v>NA</v>
      </c>
    </row>
    <row r="290" ht="15.75" customHeight="1">
      <c r="A290" s="1" t="str">
        <f>IFERROR(__xludf.DUMMYFUNCTION("""COMPUTED_VALUE"""),"extraordinary attorney woo")</f>
        <v>extraordinary attorney woo</v>
      </c>
      <c r="B290" s="1" t="str">
        <f>IF(A290&lt;&gt;"", VLOOKUP(A290, imdb_netflix_v5!A$2:H$7370, 2, FALSE), "")</f>
        <v>TV Show</v>
      </c>
      <c r="C290" s="2" t="str">
        <f>IF(A290&lt;&gt;"", VLOOKUP(A290, imdb_netflix_v5!A$2:H$7370, 3, FALSE), "")</f>
        <v>Drama</v>
      </c>
      <c r="D290" s="2">
        <f>IF(A290&lt;&gt;"", VLOOKUP(A290, imdb_netflix_v5!A$2:H$7370, 4, FALSE), "")</f>
        <v>8.6</v>
      </c>
      <c r="E290" s="2">
        <f>IF(A290&lt;&gt;"", VLOOKUP(A290, imdb_netflix_v5!A$2:H$7370, 5, FALSE), "")</f>
        <v>2022</v>
      </c>
      <c r="F290" s="2">
        <f>IF(A290&lt;&gt;"", VLOOKUP(A290, imdb_netflix_v5!A$2:H$7370, 7, FALSE), "")</f>
        <v>5500000</v>
      </c>
    </row>
    <row r="291" ht="15.75" customHeight="1">
      <c r="A291" s="1" t="str">
        <f>IFERROR(__xludf.DUMMYFUNCTION("""COMPUTED_VALUE"""),"the venture bros.")</f>
        <v>the venture bros.</v>
      </c>
      <c r="B291" s="1" t="str">
        <f>IF(A291&lt;&gt;"", VLOOKUP(A291, imdb_netflix_v5!A$2:H$7370, 2, FALSE), "")</f>
        <v>TV Show</v>
      </c>
      <c r="C291" s="2" t="str">
        <f>IF(A291&lt;&gt;"", VLOOKUP(A291, imdb_netflix_v5!A$2:H$7370, 3, FALSE), "")</f>
        <v>Action, Adventure, Animation</v>
      </c>
      <c r="D291" s="2">
        <f>IF(A291&lt;&gt;"", VLOOKUP(A291, imdb_netflix_v5!A$2:H$7370, 4, FALSE), "")</f>
        <v>8.6</v>
      </c>
      <c r="E291" s="2">
        <f>IF(A291&lt;&gt;"", VLOOKUP(A291, imdb_netflix_v5!A$2:H$7370, 5, FALSE), "")</f>
        <v>2003</v>
      </c>
      <c r="F291" s="2" t="str">
        <f>IF(A291&lt;&gt;"", VLOOKUP(A291, imdb_netflix_v5!A$2:H$7370, 7, FALSE), "")</f>
        <v>NA</v>
      </c>
    </row>
    <row r="292" ht="15.75" customHeight="1">
      <c r="A292" s="1" t="str">
        <f>IFERROR(__xludf.DUMMYFUNCTION("""COMPUTED_VALUE"""),"mystery science theater 3000")</f>
        <v>mystery science theater 3000</v>
      </c>
      <c r="B292" s="1" t="str">
        <f>IF(A292&lt;&gt;"", VLOOKUP(A292, imdb_netflix_v5!A$2:H$7370, 2, FALSE), "")</f>
        <v>TV Show</v>
      </c>
      <c r="C292" s="2" t="str">
        <f>IF(A292&lt;&gt;"", VLOOKUP(A292, imdb_netflix_v5!A$2:H$7370, 3, FALSE), "")</f>
        <v>Comedy, Sci-Fi</v>
      </c>
      <c r="D292" s="2">
        <f>IF(A292&lt;&gt;"", VLOOKUP(A292, imdb_netflix_v5!A$2:H$7370, 4, FALSE), "")</f>
        <v>8.6</v>
      </c>
      <c r="E292" s="2">
        <f>IF(A292&lt;&gt;"", VLOOKUP(A292, imdb_netflix_v5!A$2:H$7370, 5, FALSE), "")</f>
        <v>1988</v>
      </c>
      <c r="F292" s="2" t="str">
        <f>IF(A292&lt;&gt;"", VLOOKUP(A292, imdb_netflix_v5!A$2:H$7370, 7, FALSE), "")</f>
        <v>NA</v>
      </c>
    </row>
    <row r="293" ht="15.75" customHeight="1">
      <c r="A293" s="1" t="str">
        <f>IFERROR(__xludf.DUMMYFUNCTION("""COMPUTED_VALUE"""),"permanent roommates")</f>
        <v>permanent roommates</v>
      </c>
      <c r="B293" s="1" t="str">
        <f>IF(A293&lt;&gt;"", VLOOKUP(A293, imdb_netflix_v5!A$2:H$7370, 2, FALSE), "")</f>
        <v>TV Show</v>
      </c>
      <c r="C293" s="2" t="str">
        <f>IF(A293&lt;&gt;"", VLOOKUP(A293, imdb_netflix_v5!A$2:H$7370, 3, FALSE), "")</f>
        <v>Comedy, Romance</v>
      </c>
      <c r="D293" s="2">
        <f>IF(A293&lt;&gt;"", VLOOKUP(A293, imdb_netflix_v5!A$2:H$7370, 4, FALSE), "")</f>
        <v>8.6</v>
      </c>
      <c r="E293" s="2">
        <f>IF(A293&lt;&gt;"", VLOOKUP(A293, imdb_netflix_v5!A$2:H$7370, 5, FALSE), "")</f>
        <v>2014</v>
      </c>
      <c r="F293" s="2" t="str">
        <f>IF(A293&lt;&gt;"", VLOOKUP(A293, imdb_netflix_v5!A$2:H$7370, 7, FALSE), "")</f>
        <v>NA</v>
      </c>
    </row>
    <row r="294" ht="15.75" customHeight="1">
      <c r="A294" s="1" t="str">
        <f>IFERROR(__xludf.DUMMYFUNCTION("""COMPUTED_VALUE"""),"anbe sivam")</f>
        <v>anbe sivam</v>
      </c>
      <c r="B294" s="1" t="str">
        <f>IF(A294&lt;&gt;"", VLOOKUP(A294, imdb_netflix_v5!A$2:H$7370, 2, FALSE), "")</f>
        <v>Movie</v>
      </c>
      <c r="C294" s="2" t="str">
        <f>IF(A294&lt;&gt;"", VLOOKUP(A294, imdb_netflix_v5!A$2:H$7370, 3, FALSE), "")</f>
        <v>Adventure, Comedy, Drama</v>
      </c>
      <c r="D294" s="2">
        <f>IF(A294&lt;&gt;"", VLOOKUP(A294, imdb_netflix_v5!A$2:H$7370, 4, FALSE), "")</f>
        <v>8.6</v>
      </c>
      <c r="E294" s="2">
        <f>IF(A294&lt;&gt;"", VLOOKUP(A294, imdb_netflix_v5!A$2:H$7370, 5, FALSE), "")</f>
        <v>2003</v>
      </c>
      <c r="F294" s="2" t="str">
        <f>IF(A294&lt;&gt;"", VLOOKUP(A294, imdb_netflix_v5!A$2:H$7370, 7, FALSE), "")</f>
        <v>NA</v>
      </c>
    </row>
    <row r="295" ht="15.75" customHeight="1">
      <c r="A295" s="1" t="str">
        <f>IFERROR(__xludf.DUMMYFUNCTION("""COMPUTED_VALUE"""),"scavengers reign")</f>
        <v>scavengers reign</v>
      </c>
      <c r="B295" s="1" t="str">
        <f>IF(A295&lt;&gt;"", VLOOKUP(A295, imdb_netflix_v5!A$2:H$7370, 2, FALSE), "")</f>
        <v>TV Show</v>
      </c>
      <c r="C295" s="2" t="str">
        <f>IF(A295&lt;&gt;"", VLOOKUP(A295, imdb_netflix_v5!A$2:H$7370, 3, FALSE), "")</f>
        <v>Adventure, Animation, Drama</v>
      </c>
      <c r="D295" s="2">
        <f>IF(A295&lt;&gt;"", VLOOKUP(A295, imdb_netflix_v5!A$2:H$7370, 4, FALSE), "")</f>
        <v>8.6</v>
      </c>
      <c r="E295" s="2">
        <f>IF(A295&lt;&gt;"", VLOOKUP(A295, imdb_netflix_v5!A$2:H$7370, 5, FALSE), "")</f>
        <v>2023</v>
      </c>
      <c r="F295" s="2" t="str">
        <f>IF(A295&lt;&gt;"", VLOOKUP(A295, imdb_netflix_v5!A$2:H$7370, 7, FALSE), "")</f>
        <v>NA</v>
      </c>
    </row>
    <row r="296" ht="15.75" customHeight="1">
      <c r="A296" s="1" t="str">
        <f>IFERROR(__xludf.DUMMYFUNCTION("""COMPUTED_VALUE"""),"wentworth")</f>
        <v>wentworth</v>
      </c>
      <c r="B296" s="1" t="str">
        <f>IF(A296&lt;&gt;"", VLOOKUP(A296, imdb_netflix_v5!A$2:H$7370, 2, FALSE), "")</f>
        <v>TV Show</v>
      </c>
      <c r="C296" s="2" t="str">
        <f>IF(A296&lt;&gt;"", VLOOKUP(A296, imdb_netflix_v5!A$2:H$7370, 3, FALSE), "")</f>
        <v>Crime, Drama, Thriller</v>
      </c>
      <c r="D296" s="2">
        <f>IF(A296&lt;&gt;"", VLOOKUP(A296, imdb_netflix_v5!A$2:H$7370, 4, FALSE), "")</f>
        <v>8.6</v>
      </c>
      <c r="E296" s="2">
        <f>IF(A296&lt;&gt;"", VLOOKUP(A296, imdb_netflix_v5!A$2:H$7370, 5, FALSE), "")</f>
        <v>2013</v>
      </c>
      <c r="F296" s="2" t="str">
        <f>IF(A296&lt;&gt;"", VLOOKUP(A296, imdb_netflix_v5!A$2:H$7370, 7, FALSE), "")</f>
        <v>NA</v>
      </c>
    </row>
    <row r="297" ht="15.75" customHeight="1">
      <c r="A297" s="1" t="str">
        <f>IFERROR(__xludf.DUMMYFUNCTION("""COMPUTED_VALUE"""),"detectorists")</f>
        <v>detectorists</v>
      </c>
      <c r="B297" s="1" t="str">
        <f>IF(A297&lt;&gt;"", VLOOKUP(A297, imdb_netflix_v5!A$2:H$7370, 2, FALSE), "")</f>
        <v>TV Show</v>
      </c>
      <c r="C297" s="2" t="str">
        <f>IF(A297&lt;&gt;"", VLOOKUP(A297, imdb_netflix_v5!A$2:H$7370, 3, FALSE), "")</f>
        <v>Comedy</v>
      </c>
      <c r="D297" s="2">
        <f>IF(A297&lt;&gt;"", VLOOKUP(A297, imdb_netflix_v5!A$2:H$7370, 4, FALSE), "")</f>
        <v>8.6</v>
      </c>
      <c r="E297" s="2">
        <f>IF(A297&lt;&gt;"", VLOOKUP(A297, imdb_netflix_v5!A$2:H$7370, 5, FALSE), "")</f>
        <v>2014</v>
      </c>
      <c r="F297" s="2" t="str">
        <f>IF(A297&lt;&gt;"", VLOOKUP(A297, imdb_netflix_v5!A$2:H$7370, 7, FALSE), "")</f>
        <v>NA</v>
      </c>
    </row>
    <row r="298" ht="15.75" customHeight="1">
      <c r="A298" s="1" t="str">
        <f>IFERROR(__xludf.DUMMYFUNCTION("""COMPUTED_VALUE"""),"im alan partridge")</f>
        <v>im alan partridge</v>
      </c>
      <c r="B298" s="1" t="str">
        <f>IF(A298&lt;&gt;"", VLOOKUP(A298, imdb_netflix_v5!A$2:H$7370, 2, FALSE), "")</f>
        <v>TV Show</v>
      </c>
      <c r="C298" s="2" t="str">
        <f>IF(A298&lt;&gt;"", VLOOKUP(A298, imdb_netflix_v5!A$2:H$7370, 3, FALSE), "")</f>
        <v>Comedy</v>
      </c>
      <c r="D298" s="2">
        <f>IF(A298&lt;&gt;"", VLOOKUP(A298, imdb_netflix_v5!A$2:H$7370, 4, FALSE), "")</f>
        <v>8.6</v>
      </c>
      <c r="E298" s="2">
        <f>IF(A298&lt;&gt;"", VLOOKUP(A298, imdb_netflix_v5!A$2:H$7370, 5, FALSE), "")</f>
        <v>1997</v>
      </c>
      <c r="F298" s="2" t="str">
        <f>IF(A298&lt;&gt;"", VLOOKUP(A298, imdb_netflix_v5!A$2:H$7370, 7, FALSE), "")</f>
        <v>NA</v>
      </c>
    </row>
    <row r="299" ht="15.75" customHeight="1">
      <c r="A299" s="1" t="str">
        <f>IFERROR(__xludf.DUMMYFUNCTION("""COMPUTED_VALUE"""),"the eric andre show")</f>
        <v>the eric andre show</v>
      </c>
      <c r="B299" s="1" t="str">
        <f>IF(A299&lt;&gt;"", VLOOKUP(A299, imdb_netflix_v5!A$2:H$7370, 2, FALSE), "")</f>
        <v>TV Show</v>
      </c>
      <c r="C299" s="2" t="str">
        <f>IF(A299&lt;&gt;"", VLOOKUP(A299, imdb_netflix_v5!A$2:H$7370, 3, FALSE), "")</f>
        <v>Comedy, Talk-Show</v>
      </c>
      <c r="D299" s="2">
        <f>IF(A299&lt;&gt;"", VLOOKUP(A299, imdb_netflix_v5!A$2:H$7370, 4, FALSE), "")</f>
        <v>8.6</v>
      </c>
      <c r="E299" s="2">
        <f>IF(A299&lt;&gt;"", VLOOKUP(A299, imdb_netflix_v5!A$2:H$7370, 5, FALSE), "")</f>
        <v>2012</v>
      </c>
      <c r="F299" s="2" t="str">
        <f>IF(A299&lt;&gt;"", VLOOKUP(A299, imdb_netflix_v5!A$2:H$7370, 7, FALSE), "")</f>
        <v>NA</v>
      </c>
    </row>
    <row r="300" ht="15.75" customHeight="1">
      <c r="A300" s="1" t="str">
        <f>IFERROR(__xludf.DUMMYFUNCTION("""COMPUTED_VALUE"""),"avrupa yakasi")</f>
        <v>avrupa yakasi</v>
      </c>
      <c r="B300" s="1" t="str">
        <f>IF(A300&lt;&gt;"", VLOOKUP(A300, imdb_netflix_v5!A$2:H$7370, 2, FALSE), "")</f>
        <v>TV Show</v>
      </c>
      <c r="C300" s="2" t="str">
        <f>IF(A300&lt;&gt;"", VLOOKUP(A300, imdb_netflix_v5!A$2:H$7370, 3, FALSE), "")</f>
        <v>Comedy</v>
      </c>
      <c r="D300" s="2">
        <f>IF(A300&lt;&gt;"", VLOOKUP(A300, imdb_netflix_v5!A$2:H$7370, 4, FALSE), "")</f>
        <v>8.6</v>
      </c>
      <c r="E300" s="2">
        <f>IF(A300&lt;&gt;"", VLOOKUP(A300, imdb_netflix_v5!A$2:H$7370, 5, FALSE), "")</f>
        <v>2004</v>
      </c>
      <c r="F300" s="2" t="str">
        <f>IF(A300&lt;&gt;"", VLOOKUP(A300, imdb_netflix_v5!A$2:H$7370, 7, FALSE), "")</f>
        <v>NA</v>
      </c>
    </row>
    <row r="301" ht="15.75" customHeight="1">
      <c r="A301" s="1" t="str">
        <f>IFERROR(__xludf.DUMMYFUNCTION("""COMPUTED_VALUE"""),"isler güçler")</f>
        <v>isler güçler</v>
      </c>
      <c r="B301" s="1" t="str">
        <f>IF(A301&lt;&gt;"", VLOOKUP(A301, imdb_netflix_v5!A$2:H$7370, 2, FALSE), "")</f>
        <v>TV Show</v>
      </c>
      <c r="C301" s="2" t="str">
        <f>IF(A301&lt;&gt;"", VLOOKUP(A301, imdb_netflix_v5!A$2:H$7370, 3, FALSE), "")</f>
        <v>Comedy</v>
      </c>
      <c r="D301" s="2">
        <f>IF(A301&lt;&gt;"", VLOOKUP(A301, imdb_netflix_v5!A$2:H$7370, 4, FALSE), "")</f>
        <v>8.6</v>
      </c>
      <c r="E301" s="2">
        <f>IF(A301&lt;&gt;"", VLOOKUP(A301, imdb_netflix_v5!A$2:H$7370, 5, FALSE), "")</f>
        <v>2012</v>
      </c>
      <c r="F301" s="2" t="str">
        <f>IF(A301&lt;&gt;"", VLOOKUP(A301, imdb_netflix_v5!A$2:H$7370, 7, FALSE), "")</f>
        <v>NA</v>
      </c>
    </row>
    <row r="302" ht="15.75" customHeight="1">
      <c r="A302" s="1" t="str">
        <f>IFERROR(__xludf.DUMMYFUNCTION("""COMPUTED_VALUE"""),"the owl house")</f>
        <v>the owl house</v>
      </c>
      <c r="B302" s="1" t="str">
        <f>IF(A302&lt;&gt;"", VLOOKUP(A302, imdb_netflix_v5!A$2:H$7370, 2, FALSE), "")</f>
        <v>TV Show</v>
      </c>
      <c r="C302" s="2" t="str">
        <f>IF(A302&lt;&gt;"", VLOOKUP(A302, imdb_netflix_v5!A$2:H$7370, 3, FALSE), "")</f>
        <v>Action, Adventure, Animation</v>
      </c>
      <c r="D302" s="2">
        <f>IF(A302&lt;&gt;"", VLOOKUP(A302, imdb_netflix_v5!A$2:H$7370, 4, FALSE), "")</f>
        <v>8.6</v>
      </c>
      <c r="E302" s="2">
        <f>IF(A302&lt;&gt;"", VLOOKUP(A302, imdb_netflix_v5!A$2:H$7370, 5, FALSE), "")</f>
        <v>2020</v>
      </c>
      <c r="F302" s="2" t="str">
        <f>IF(A302&lt;&gt;"", VLOOKUP(A302, imdb_netflix_v5!A$2:H$7370, 7, FALSE), "")</f>
        <v>NA</v>
      </c>
    </row>
    <row r="303" ht="15.75" customHeight="1">
      <c r="A303" s="1" t="str">
        <f>IFERROR(__xludf.DUMMYFUNCTION("""COMPUTED_VALUE"""),"my brilliant friend")</f>
        <v>my brilliant friend</v>
      </c>
      <c r="B303" s="1" t="str">
        <f>IF(A303&lt;&gt;"", VLOOKUP(A303, imdb_netflix_v5!A$2:H$7370, 2, FALSE), "")</f>
        <v>TV Show</v>
      </c>
      <c r="C303" s="2" t="str">
        <f>IF(A303&lt;&gt;"", VLOOKUP(A303, imdb_netflix_v5!A$2:H$7370, 3, FALSE), "")</f>
        <v>Drama</v>
      </c>
      <c r="D303" s="2">
        <f>IF(A303&lt;&gt;"", VLOOKUP(A303, imdb_netflix_v5!A$2:H$7370, 4, FALSE), "")</f>
        <v>8.6</v>
      </c>
      <c r="E303" s="2">
        <f>IF(A303&lt;&gt;"", VLOOKUP(A303, imdb_netflix_v5!A$2:H$7370, 5, FALSE), "")</f>
        <v>2018</v>
      </c>
      <c r="F303" s="2" t="str">
        <f>IF(A303&lt;&gt;"", VLOOKUP(A303, imdb_netflix_v5!A$2:H$7370, 7, FALSE), "")</f>
        <v>NA</v>
      </c>
    </row>
    <row r="304" ht="15.75" customHeight="1">
      <c r="A304" s="1" t="str">
        <f>IFERROR(__xludf.DUMMYFUNCTION("""COMPUTED_VALUE"""),"earthlings")</f>
        <v>earthlings</v>
      </c>
      <c r="B304" s="1" t="str">
        <f>IF(A304&lt;&gt;"", VLOOKUP(A304, imdb_netflix_v5!A$2:H$7370, 2, FALSE), "")</f>
        <v>Movie</v>
      </c>
      <c r="C304" s="2" t="str">
        <f>IF(A304&lt;&gt;"", VLOOKUP(A304, imdb_netflix_v5!A$2:H$7370, 3, FALSE), "")</f>
        <v>Documentary</v>
      </c>
      <c r="D304" s="2">
        <f>IF(A304&lt;&gt;"", VLOOKUP(A304, imdb_netflix_v5!A$2:H$7370, 4, FALSE), "")</f>
        <v>8.6</v>
      </c>
      <c r="E304" s="2">
        <f>IF(A304&lt;&gt;"", VLOOKUP(A304, imdb_netflix_v5!A$2:H$7370, 5, FALSE), "")</f>
        <v>2005</v>
      </c>
      <c r="F304" s="2" t="str">
        <f>IF(A304&lt;&gt;"", VLOOKUP(A304, imdb_netflix_v5!A$2:H$7370, 7, FALSE), "")</f>
        <v>NA</v>
      </c>
    </row>
    <row r="305" ht="15.75" customHeight="1">
      <c r="A305" s="1" t="str">
        <f>IFERROR(__xludf.DUMMYFUNCTION("""COMPUTED_VALUE"""),"foyles war")</f>
        <v>foyles war</v>
      </c>
      <c r="B305" s="1" t="str">
        <f>IF(A305&lt;&gt;"", VLOOKUP(A305, imdb_netflix_v5!A$2:H$7370, 2, FALSE), "")</f>
        <v>TV Show</v>
      </c>
      <c r="C305" s="2" t="str">
        <f>IF(A305&lt;&gt;"", VLOOKUP(A305, imdb_netflix_v5!A$2:H$7370, 3, FALSE), "")</f>
        <v>Crime, Drama, Mystery</v>
      </c>
      <c r="D305" s="2">
        <f>IF(A305&lt;&gt;"", VLOOKUP(A305, imdb_netflix_v5!A$2:H$7370, 4, FALSE), "")</f>
        <v>8.6</v>
      </c>
      <c r="E305" s="2">
        <f>IF(A305&lt;&gt;"", VLOOKUP(A305, imdb_netflix_v5!A$2:H$7370, 5, FALSE), "")</f>
        <v>2002</v>
      </c>
      <c r="F305" s="2" t="str">
        <f>IF(A305&lt;&gt;"", VLOOKUP(A305, imdb_netflix_v5!A$2:H$7370, 7, FALSE), "")</f>
        <v>NA</v>
      </c>
    </row>
    <row r="306" ht="15.75" customHeight="1">
      <c r="A306" s="1" t="str">
        <f>IFERROR(__xludf.DUMMYFUNCTION("""COMPUTED_VALUE"""),"the chaos class is on vacation")</f>
        <v>the chaos class is on vacation</v>
      </c>
      <c r="B306" s="1" t="str">
        <f>IF(A306&lt;&gt;"", VLOOKUP(A306, imdb_netflix_v5!A$2:H$7370, 2, FALSE), "")</f>
        <v>Movie</v>
      </c>
      <c r="C306" s="2" t="str">
        <f>IF(A306&lt;&gt;"", VLOOKUP(A306, imdb_netflix_v5!A$2:H$7370, 3, FALSE), "")</f>
        <v>Comedy</v>
      </c>
      <c r="D306" s="2">
        <f>IF(A306&lt;&gt;"", VLOOKUP(A306, imdb_netflix_v5!A$2:H$7370, 4, FALSE), "")</f>
        <v>8.6</v>
      </c>
      <c r="E306" s="2">
        <f>IF(A306&lt;&gt;"", VLOOKUP(A306, imdb_netflix_v5!A$2:H$7370, 5, FALSE), "")</f>
        <v>1977</v>
      </c>
      <c r="F306" s="2" t="str">
        <f>IF(A306&lt;&gt;"", VLOOKUP(A306, imdb_netflix_v5!A$2:H$7370, 7, FALSE), "")</f>
        <v>NA</v>
      </c>
    </row>
    <row r="307" ht="15.75" customHeight="1">
      <c r="A307" s="1" t="str">
        <f>IFERROR(__xludf.DUMMYFUNCTION("""COMPUTED_VALUE"""),"through the wormhole")</f>
        <v>through the wormhole</v>
      </c>
      <c r="B307" s="1" t="str">
        <f>IF(A307&lt;&gt;"", VLOOKUP(A307, imdb_netflix_v5!A$2:H$7370, 2, FALSE), "")</f>
        <v>TV Show</v>
      </c>
      <c r="C307" s="2" t="str">
        <f>IF(A307&lt;&gt;"", VLOOKUP(A307, imdb_netflix_v5!A$2:H$7370, 3, FALSE), "")</f>
        <v>Documentary</v>
      </c>
      <c r="D307" s="2">
        <f>IF(A307&lt;&gt;"", VLOOKUP(A307, imdb_netflix_v5!A$2:H$7370, 4, FALSE), "")</f>
        <v>8.6</v>
      </c>
      <c r="E307" s="2">
        <f>IF(A307&lt;&gt;"", VLOOKUP(A307, imdb_netflix_v5!A$2:H$7370, 5, FALSE), "")</f>
        <v>2010</v>
      </c>
      <c r="F307" s="2" t="str">
        <f>IF(A307&lt;&gt;"", VLOOKUP(A307, imdb_netflix_v5!A$2:H$7370, 7, FALSE), "")</f>
        <v>NA</v>
      </c>
    </row>
    <row r="308" ht="15.75" customHeight="1">
      <c r="A308" s="1" t="str">
        <f>IFERROR(__xludf.DUMMYFUNCTION("""COMPUTED_VALUE"""),"all creatures great &amp; small")</f>
        <v>all creatures great &amp; small</v>
      </c>
      <c r="B308" s="1" t="str">
        <f>IF(A308&lt;&gt;"", VLOOKUP(A308, imdb_netflix_v5!A$2:H$7370, 2, FALSE), "")</f>
        <v>TV Show</v>
      </c>
      <c r="C308" s="2" t="str">
        <f>IF(A308&lt;&gt;"", VLOOKUP(A308, imdb_netflix_v5!A$2:H$7370, 3, FALSE), "")</f>
        <v>Comedy, Drama</v>
      </c>
      <c r="D308" s="2">
        <f>IF(A308&lt;&gt;"", VLOOKUP(A308, imdb_netflix_v5!A$2:H$7370, 4, FALSE), "")</f>
        <v>8.6</v>
      </c>
      <c r="E308" s="2">
        <f>IF(A308&lt;&gt;"", VLOOKUP(A308, imdb_netflix_v5!A$2:H$7370, 5, FALSE), "")</f>
        <v>2020</v>
      </c>
      <c r="F308" s="2" t="str">
        <f>IF(A308&lt;&gt;"", VLOOKUP(A308, imdb_netflix_v5!A$2:H$7370, 7, FALSE), "")</f>
        <v>NA</v>
      </c>
    </row>
    <row r="309" ht="15.75" customHeight="1">
      <c r="A309" s="1" t="str">
        <f>IFERROR(__xludf.DUMMYFUNCTION("""COMPUTED_VALUE"""),"bandish bandits")</f>
        <v>bandish bandits</v>
      </c>
      <c r="B309" s="1" t="str">
        <f>IF(A309&lt;&gt;"", VLOOKUP(A309, imdb_netflix_v5!A$2:H$7370, 2, FALSE), "")</f>
        <v>TV Show</v>
      </c>
      <c r="C309" s="2" t="str">
        <f>IF(A309&lt;&gt;"", VLOOKUP(A309, imdb_netflix_v5!A$2:H$7370, 3, FALSE), "")</f>
        <v>Drama, Music, Romance</v>
      </c>
      <c r="D309" s="2">
        <f>IF(A309&lt;&gt;"", VLOOKUP(A309, imdb_netflix_v5!A$2:H$7370, 4, FALSE), "")</f>
        <v>8.6</v>
      </c>
      <c r="E309" s="2">
        <f>IF(A309&lt;&gt;"", VLOOKUP(A309, imdb_netflix_v5!A$2:H$7370, 5, FALSE), "")</f>
        <v>2020</v>
      </c>
      <c r="F309" s="2" t="str">
        <f>IF(A309&lt;&gt;"", VLOOKUP(A309, imdb_netflix_v5!A$2:H$7370, 7, FALSE), "")</f>
        <v>NA</v>
      </c>
    </row>
    <row r="310" ht="15.75" customHeight="1">
      <c r="A310" s="1" t="str">
        <f>IFERROR(__xludf.DUMMYFUNCTION("""COMPUTED_VALUE"""),"pretty village, pretty flame")</f>
        <v>pretty village, pretty flame</v>
      </c>
      <c r="B310" s="1" t="str">
        <f>IF(A310&lt;&gt;"", VLOOKUP(A310, imdb_netflix_v5!A$2:H$7370, 2, FALSE), "")</f>
        <v>Movie</v>
      </c>
      <c r="C310" s="2" t="str">
        <f>IF(A310&lt;&gt;"", VLOOKUP(A310, imdb_netflix_v5!A$2:H$7370, 3, FALSE), "")</f>
        <v>Drama, History, War</v>
      </c>
      <c r="D310" s="2">
        <f>IF(A310&lt;&gt;"", VLOOKUP(A310, imdb_netflix_v5!A$2:H$7370, 4, FALSE), "")</f>
        <v>8.6</v>
      </c>
      <c r="E310" s="2">
        <f>IF(A310&lt;&gt;"", VLOOKUP(A310, imdb_netflix_v5!A$2:H$7370, 5, FALSE), "")</f>
        <v>1996</v>
      </c>
      <c r="F310" s="2" t="str">
        <f>IF(A310&lt;&gt;"", VLOOKUP(A310, imdb_netflix_v5!A$2:H$7370, 7, FALSE), "")</f>
        <v>NA</v>
      </c>
    </row>
    <row r="311" ht="15.75" customHeight="1">
      <c r="A311" s="1" t="str">
        <f>IFERROR(__xludf.DUMMYFUNCTION("""COMPUTED_VALUE"""),"a dogs will")</f>
        <v>a dogs will</v>
      </c>
      <c r="B311" s="1" t="str">
        <f>IF(A311&lt;&gt;"", VLOOKUP(A311, imdb_netflix_v5!A$2:H$7370, 2, FALSE), "")</f>
        <v>Movie</v>
      </c>
      <c r="C311" s="2" t="str">
        <f>IF(A311&lt;&gt;"", VLOOKUP(A311, imdb_netflix_v5!A$2:H$7370, 3, FALSE), "")</f>
        <v>Comedy, Drama, Fantasy</v>
      </c>
      <c r="D311" s="2">
        <f>IF(A311&lt;&gt;"", VLOOKUP(A311, imdb_netflix_v5!A$2:H$7370, 4, FALSE), "")</f>
        <v>8.6</v>
      </c>
      <c r="E311" s="2">
        <f>IF(A311&lt;&gt;"", VLOOKUP(A311, imdb_netflix_v5!A$2:H$7370, 5, FALSE), "")</f>
        <v>2000</v>
      </c>
      <c r="F311" s="2" t="str">
        <f>IF(A311&lt;&gt;"", VLOOKUP(A311, imdb_netflix_v5!A$2:H$7370, 7, FALSE), "")</f>
        <v>NA</v>
      </c>
    </row>
    <row r="312" ht="15.75" customHeight="1">
      <c r="A312" s="1" t="str">
        <f>IFERROR(__xludf.DUMMYFUNCTION("""COMPUTED_VALUE"""),"yes minister")</f>
        <v>yes minister</v>
      </c>
      <c r="B312" s="1" t="str">
        <f>IF(A312&lt;&gt;"", VLOOKUP(A312, imdb_netflix_v5!A$2:H$7370, 2, FALSE), "")</f>
        <v>TV Show</v>
      </c>
      <c r="C312" s="2" t="str">
        <f>IF(A312&lt;&gt;"", VLOOKUP(A312, imdb_netflix_v5!A$2:H$7370, 3, FALSE), "")</f>
        <v>Comedy</v>
      </c>
      <c r="D312" s="2">
        <f>IF(A312&lt;&gt;"", VLOOKUP(A312, imdb_netflix_v5!A$2:H$7370, 4, FALSE), "")</f>
        <v>8.6</v>
      </c>
      <c r="E312" s="2">
        <f>IF(A312&lt;&gt;"", VLOOKUP(A312, imdb_netflix_v5!A$2:H$7370, 5, FALSE), "")</f>
        <v>1980</v>
      </c>
      <c r="F312" s="2" t="str">
        <f>IF(A312&lt;&gt;"", VLOOKUP(A312, imdb_netflix_v5!A$2:H$7370, 7, FALSE), "")</f>
        <v>NA</v>
      </c>
    </row>
    <row r="313" ht="15.75" customHeight="1">
      <c r="A313" s="1" t="str">
        <f>IFERROR(__xludf.DUMMYFUNCTION("""COMPUTED_VALUE"""),"kardes payi")</f>
        <v>kardes payi</v>
      </c>
      <c r="B313" s="1" t="str">
        <f>IF(A313&lt;&gt;"", VLOOKUP(A313, imdb_netflix_v5!A$2:H$7370, 2, FALSE), "")</f>
        <v>TV Show</v>
      </c>
      <c r="C313" s="2" t="str">
        <f>IF(A313&lt;&gt;"", VLOOKUP(A313, imdb_netflix_v5!A$2:H$7370, 3, FALSE), "")</f>
        <v>Comedy</v>
      </c>
      <c r="D313" s="2">
        <f>IF(A313&lt;&gt;"", VLOOKUP(A313, imdb_netflix_v5!A$2:H$7370, 4, FALSE), "")</f>
        <v>8.6</v>
      </c>
      <c r="E313" s="2">
        <f>IF(A313&lt;&gt;"", VLOOKUP(A313, imdb_netflix_v5!A$2:H$7370, 5, FALSE), "")</f>
        <v>2014</v>
      </c>
      <c r="F313" s="2" t="str">
        <f>IF(A313&lt;&gt;"", VLOOKUP(A313, imdb_netflix_v5!A$2:H$7370, 7, FALSE), "")</f>
        <v>NA</v>
      </c>
    </row>
    <row r="314" ht="15.75" customHeight="1">
      <c r="A314" s="1" t="str">
        <f>IFERROR(__xludf.DUMMYFUNCTION("""COMPUTED_VALUE"""),"broken but beautiful")</f>
        <v>broken but beautiful</v>
      </c>
      <c r="B314" s="1" t="str">
        <f>IF(A314&lt;&gt;"", VLOOKUP(A314, imdb_netflix_v5!A$2:H$7370, 2, FALSE), "")</f>
        <v>TV Show</v>
      </c>
      <c r="C314" s="2" t="str">
        <f>IF(A314&lt;&gt;"", VLOOKUP(A314, imdb_netflix_v5!A$2:H$7370, 3, FALSE), "")</f>
        <v>Drama, Romance</v>
      </c>
      <c r="D314" s="2">
        <f>IF(A314&lt;&gt;"", VLOOKUP(A314, imdb_netflix_v5!A$2:H$7370, 4, FALSE), "")</f>
        <v>8.6</v>
      </c>
      <c r="E314" s="2">
        <f>IF(A314&lt;&gt;"", VLOOKUP(A314, imdb_netflix_v5!A$2:H$7370, 5, FALSE), "")</f>
        <v>2018</v>
      </c>
      <c r="F314" s="2" t="str">
        <f>IF(A314&lt;&gt;"", VLOOKUP(A314, imdb_netflix_v5!A$2:H$7370, 7, FALSE), "")</f>
        <v>NA</v>
      </c>
    </row>
    <row r="315" ht="15.75" customHeight="1">
      <c r="A315" s="1" t="str">
        <f>IFERROR(__xludf.DUMMYFUNCTION("""COMPUTED_VALUE"""),"rurouni kenshin trust and betrayal")</f>
        <v>rurouni kenshin trust and betrayal</v>
      </c>
      <c r="B315" s="1" t="str">
        <f>IF(A315&lt;&gt;"", VLOOKUP(A315, imdb_netflix_v5!A$2:H$7370, 2, FALSE), "")</f>
        <v>TV Show</v>
      </c>
      <c r="C315" s="2" t="str">
        <f>IF(A315&lt;&gt;"", VLOOKUP(A315, imdb_netflix_v5!A$2:H$7370, 3, FALSE), "")</f>
        <v>Action, Adventure, Animation</v>
      </c>
      <c r="D315" s="2">
        <f>IF(A315&lt;&gt;"", VLOOKUP(A315, imdb_netflix_v5!A$2:H$7370, 4, FALSE), "")</f>
        <v>8.6</v>
      </c>
      <c r="E315" s="2">
        <f>IF(A315&lt;&gt;"", VLOOKUP(A315, imdb_netflix_v5!A$2:H$7370, 5, FALSE), "")</f>
        <v>1999</v>
      </c>
      <c r="F315" s="2" t="str">
        <f>IF(A315&lt;&gt;"", VLOOKUP(A315, imdb_netflix_v5!A$2:H$7370, 7, FALSE), "")</f>
        <v>NA</v>
      </c>
    </row>
    <row r="316" ht="15.75" customHeight="1">
      <c r="A316" s="1" t="str">
        <f>IFERROR(__xludf.DUMMYFUNCTION("""COMPUTED_VALUE"""),"long way round")</f>
        <v>long way round</v>
      </c>
      <c r="B316" s="1" t="str">
        <f>IF(A316&lt;&gt;"", VLOOKUP(A316, imdb_netflix_v5!A$2:H$7370, 2, FALSE), "")</f>
        <v>TV Show</v>
      </c>
      <c r="C316" s="2" t="str">
        <f>IF(A316&lt;&gt;"", VLOOKUP(A316, imdb_netflix_v5!A$2:H$7370, 3, FALSE), "")</f>
        <v>Adventure, Documentary</v>
      </c>
      <c r="D316" s="2">
        <f>IF(A316&lt;&gt;"", VLOOKUP(A316, imdb_netflix_v5!A$2:H$7370, 4, FALSE), "")</f>
        <v>8.6</v>
      </c>
      <c r="E316" s="2">
        <f>IF(A316&lt;&gt;"", VLOOKUP(A316, imdb_netflix_v5!A$2:H$7370, 5, FALSE), "")</f>
        <v>2004</v>
      </c>
      <c r="F316" s="2" t="str">
        <f>IF(A316&lt;&gt;"", VLOOKUP(A316, imdb_netflix_v5!A$2:H$7370, 7, FALSE), "")</f>
        <v>NA</v>
      </c>
    </row>
    <row r="317" ht="15.75" customHeight="1">
      <c r="A317" s="1" t="str">
        <f>IFERROR(__xludf.DUMMYFUNCTION("""COMPUTED_VALUE"""),"twenty five twenty one")</f>
        <v>twenty five twenty one</v>
      </c>
      <c r="B317" s="1" t="str">
        <f>IF(A317&lt;&gt;"", VLOOKUP(A317, imdb_netflix_v5!A$2:H$7370, 2, FALSE), "")</f>
        <v>TV Show</v>
      </c>
      <c r="C317" s="2" t="str">
        <f>IF(A317&lt;&gt;"", VLOOKUP(A317, imdb_netflix_v5!A$2:H$7370, 3, FALSE), "")</f>
        <v>Drama, Romance</v>
      </c>
      <c r="D317" s="2">
        <f>IF(A317&lt;&gt;"", VLOOKUP(A317, imdb_netflix_v5!A$2:H$7370, 4, FALSE), "")</f>
        <v>8.6</v>
      </c>
      <c r="E317" s="2">
        <f>IF(A317&lt;&gt;"", VLOOKUP(A317, imdb_netflix_v5!A$2:H$7370, 5, FALSE), "")</f>
        <v>2022</v>
      </c>
      <c r="F317" s="2">
        <f>IF(A317&lt;&gt;"", VLOOKUP(A317, imdb_netflix_v5!A$2:H$7370, 7, FALSE), "")</f>
        <v>9580000</v>
      </c>
    </row>
    <row r="318" ht="15.75" customHeight="1">
      <c r="A318" s="1" t="str">
        <f>IFERROR(__xludf.DUMMYFUNCTION("""COMPUTED_VALUE"""),"tear along the dotted line")</f>
        <v>tear along the dotted line</v>
      </c>
      <c r="B318" s="1" t="str">
        <f>IF(A318&lt;&gt;"", VLOOKUP(A318, imdb_netflix_v5!A$2:H$7370, 2, FALSE), "")</f>
        <v>TV Show</v>
      </c>
      <c r="C318" s="2" t="str">
        <f>IF(A318&lt;&gt;"", VLOOKUP(A318, imdb_netflix_v5!A$2:H$7370, 3, FALSE), "")</f>
        <v>Animation, Comedy, Drama</v>
      </c>
      <c r="D318" s="2">
        <f>IF(A318&lt;&gt;"", VLOOKUP(A318, imdb_netflix_v5!A$2:H$7370, 4, FALSE), "")</f>
        <v>8.6</v>
      </c>
      <c r="E318" s="2">
        <f>IF(A318&lt;&gt;"", VLOOKUP(A318, imdb_netflix_v5!A$2:H$7370, 5, FALSE), "")</f>
        <v>2021</v>
      </c>
      <c r="F318" s="2" t="str">
        <f>IF(A318&lt;&gt;"", VLOOKUP(A318, imdb_netflix_v5!A$2:H$7370, 7, FALSE), "")</f>
        <v>NA</v>
      </c>
    </row>
    <row r="319" ht="15.75" customHeight="1">
      <c r="A319" s="1" t="str">
        <f>IFERROR(__xludf.DUMMYFUNCTION("""COMPUTED_VALUE"""),"hilda")</f>
        <v>hilda</v>
      </c>
      <c r="B319" s="1" t="str">
        <f>IF(A319&lt;&gt;"", VLOOKUP(A319, imdb_netflix_v5!A$2:H$7370, 2, FALSE), "")</f>
        <v>TV Show</v>
      </c>
      <c r="C319" s="2" t="str">
        <f>IF(A319&lt;&gt;"", VLOOKUP(A319, imdb_netflix_v5!A$2:H$7370, 3, FALSE), "")</f>
        <v>Adventure, Animation, Drama</v>
      </c>
      <c r="D319" s="2">
        <f>IF(A319&lt;&gt;"", VLOOKUP(A319, imdb_netflix_v5!A$2:H$7370, 4, FALSE), "")</f>
        <v>8.6</v>
      </c>
      <c r="E319" s="2">
        <f>IF(A319&lt;&gt;"", VLOOKUP(A319, imdb_netflix_v5!A$2:H$7370, 5, FALSE), "")</f>
        <v>2018</v>
      </c>
      <c r="F319" s="2" t="str">
        <f>IF(A319&lt;&gt;"", VLOOKUP(A319, imdb_netflix_v5!A$2:H$7370, 7, FALSE), "")</f>
        <v>NA</v>
      </c>
    </row>
    <row r="320" ht="15.75" customHeight="1">
      <c r="A320" s="1" t="str">
        <f>IFERROR(__xludf.DUMMYFUNCTION("""COMPUTED_VALUE"""),"from the earth to the moon")</f>
        <v>from the earth to the moon</v>
      </c>
      <c r="B320" s="1" t="str">
        <f>IF(A320&lt;&gt;"", VLOOKUP(A320, imdb_netflix_v5!A$2:H$7370, 2, FALSE), "")</f>
        <v>TV Show</v>
      </c>
      <c r="C320" s="2" t="str">
        <f>IF(A320&lt;&gt;"", VLOOKUP(A320, imdb_netflix_v5!A$2:H$7370, 3, FALSE), "")</f>
        <v>Action, Drama, History</v>
      </c>
      <c r="D320" s="2">
        <f>IF(A320&lt;&gt;"", VLOOKUP(A320, imdb_netflix_v5!A$2:H$7370, 4, FALSE), "")</f>
        <v>8.6</v>
      </c>
      <c r="E320" s="2">
        <f>IF(A320&lt;&gt;"", VLOOKUP(A320, imdb_netflix_v5!A$2:H$7370, 5, FALSE), "")</f>
        <v>1998</v>
      </c>
      <c r="F320" s="2" t="str">
        <f>IF(A320&lt;&gt;"", VLOOKUP(A320, imdb_netflix_v5!A$2:H$7370, 7, FALSE), "")</f>
        <v>NA</v>
      </c>
    </row>
    <row r="321" ht="15.75" customHeight="1">
      <c r="A321" s="1" t="str">
        <f>IFERROR(__xludf.DUMMYFUNCTION("""COMPUTED_VALUE"""),"the great british baking show")</f>
        <v>the great british baking show</v>
      </c>
      <c r="B321" s="1" t="str">
        <f>IF(A321&lt;&gt;"", VLOOKUP(A321, imdb_netflix_v5!A$2:H$7370, 2, FALSE), "")</f>
        <v>TV Show</v>
      </c>
      <c r="C321" s="2" t="str">
        <f>IF(A321&lt;&gt;"", VLOOKUP(A321, imdb_netflix_v5!A$2:H$7370, 3, FALSE), "")</f>
        <v>Game-Show, Reality-TV</v>
      </c>
      <c r="D321" s="2">
        <f>IF(A321&lt;&gt;"", VLOOKUP(A321, imdb_netflix_v5!A$2:H$7370, 4, FALSE), "")</f>
        <v>8.6</v>
      </c>
      <c r="E321" s="2">
        <f>IF(A321&lt;&gt;"", VLOOKUP(A321, imdb_netflix_v5!A$2:H$7370, 5, FALSE), "")</f>
        <v>2010</v>
      </c>
      <c r="F321" s="2">
        <f>IF(A321&lt;&gt;"", VLOOKUP(A321, imdb_netflix_v5!A$2:H$7370, 7, FALSE), "")</f>
        <v>4300000</v>
      </c>
    </row>
    <row r="322" ht="15.75" customHeight="1">
      <c r="A322" s="1" t="str">
        <f>IFERROR(__xludf.DUMMYFUNCTION("""COMPUTED_VALUE"""),"yes, prime minister")</f>
        <v>yes, prime minister</v>
      </c>
      <c r="B322" s="1" t="str">
        <f>IF(A322&lt;&gt;"", VLOOKUP(A322, imdb_netflix_v5!A$2:H$7370, 2, FALSE), "")</f>
        <v>TV Show</v>
      </c>
      <c r="C322" s="2" t="str">
        <f>IF(A322&lt;&gt;"", VLOOKUP(A322, imdb_netflix_v5!A$2:H$7370, 3, FALSE), "")</f>
        <v>Comedy</v>
      </c>
      <c r="D322" s="2">
        <f>IF(A322&lt;&gt;"", VLOOKUP(A322, imdb_netflix_v5!A$2:H$7370, 4, FALSE), "")</f>
        <v>8.6</v>
      </c>
      <c r="E322" s="2">
        <f>IF(A322&lt;&gt;"", VLOOKUP(A322, imdb_netflix_v5!A$2:H$7370, 5, FALSE), "")</f>
        <v>1986</v>
      </c>
      <c r="F322" s="2" t="str">
        <f>IF(A322&lt;&gt;"", VLOOKUP(A322, imdb_netflix_v5!A$2:H$7370, 7, FALSE), "")</f>
        <v>NA</v>
      </c>
    </row>
    <row r="323" ht="15.75" customHeight="1">
      <c r="A323" s="1" t="str">
        <f>IFERROR(__xludf.DUMMYFUNCTION("""COMPUTED_VALUE"""),"mouse")</f>
        <v>mouse</v>
      </c>
      <c r="B323" s="1" t="str">
        <f>IF(A323&lt;&gt;"", VLOOKUP(A323, imdb_netflix_v5!A$2:H$7370, 2, FALSE), "")</f>
        <v>TV Show</v>
      </c>
      <c r="C323" s="2" t="str">
        <f>IF(A323&lt;&gt;"", VLOOKUP(A323, imdb_netflix_v5!A$2:H$7370, 3, FALSE), "")</f>
        <v>Action, Crime, Mystery</v>
      </c>
      <c r="D323" s="2">
        <f>IF(A323&lt;&gt;"", VLOOKUP(A323, imdb_netflix_v5!A$2:H$7370, 4, FALSE), "")</f>
        <v>8.6</v>
      </c>
      <c r="E323" s="2">
        <f>IF(A323&lt;&gt;"", VLOOKUP(A323, imdb_netflix_v5!A$2:H$7370, 5, FALSE), "")</f>
        <v>2021</v>
      </c>
      <c r="F323" s="2" t="str">
        <f>IF(A323&lt;&gt;"", VLOOKUP(A323, imdb_netflix_v5!A$2:H$7370, 7, FALSE), "")</f>
        <v>NA</v>
      </c>
    </row>
    <row r="324" ht="15.75" customHeight="1">
      <c r="A324" s="1" t="str">
        <f>IFERROR(__xludf.DUMMYFUNCTION("""COMPUTED_VALUE"""),"moon lovers scarlet heart ryeo")</f>
        <v>moon lovers scarlet heart ryeo</v>
      </c>
      <c r="B324" s="1" t="str">
        <f>IF(A324&lt;&gt;"", VLOOKUP(A324, imdb_netflix_v5!A$2:H$7370, 2, FALSE), "")</f>
        <v>TV Show</v>
      </c>
      <c r="C324" s="2" t="str">
        <f>IF(A324&lt;&gt;"", VLOOKUP(A324, imdb_netflix_v5!A$2:H$7370, 3, FALSE), "")</f>
        <v>Action, Drama, Fantasy</v>
      </c>
      <c r="D324" s="2">
        <f>IF(A324&lt;&gt;"", VLOOKUP(A324, imdb_netflix_v5!A$2:H$7370, 4, FALSE), "")</f>
        <v>8.6</v>
      </c>
      <c r="E324" s="2">
        <f>IF(A324&lt;&gt;"", VLOOKUP(A324, imdb_netflix_v5!A$2:H$7370, 5, FALSE), "")</f>
        <v>2016</v>
      </c>
      <c r="F324" s="2" t="str">
        <f>IF(A324&lt;&gt;"", VLOOKUP(A324, imdb_netflix_v5!A$2:H$7370, 7, FALSE), "")</f>
        <v>NA</v>
      </c>
    </row>
    <row r="325" ht="15.75" customHeight="1">
      <c r="A325" s="1" t="str">
        <f>IFERROR(__xludf.DUMMYFUNCTION("""COMPUTED_VALUE"""),"brass eye")</f>
        <v>brass eye</v>
      </c>
      <c r="B325" s="1" t="str">
        <f>IF(A325&lt;&gt;"", VLOOKUP(A325, imdb_netflix_v5!A$2:H$7370, 2, FALSE), "")</f>
        <v>TV Show</v>
      </c>
      <c r="C325" s="2" t="str">
        <f>IF(A325&lt;&gt;"", VLOOKUP(A325, imdb_netflix_v5!A$2:H$7370, 3, FALSE), "")</f>
        <v>Comedy</v>
      </c>
      <c r="D325" s="2">
        <f>IF(A325&lt;&gt;"", VLOOKUP(A325, imdb_netflix_v5!A$2:H$7370, 4, FALSE), "")</f>
        <v>8.6</v>
      </c>
      <c r="E325" s="2">
        <f>IF(A325&lt;&gt;"", VLOOKUP(A325, imdb_netflix_v5!A$2:H$7370, 5, FALSE), "")</f>
        <v>1997</v>
      </c>
      <c r="F325" s="2" t="str">
        <f>IF(A325&lt;&gt;"", VLOOKUP(A325, imdb_netflix_v5!A$2:H$7370, 7, FALSE), "")</f>
        <v>NA</v>
      </c>
    </row>
    <row r="326" ht="15.75" customHeight="1">
      <c r="A326" s="1" t="str">
        <f>IFERROR(__xludf.DUMMYFUNCTION("""COMPUTED_VALUE"""),"greatest events of wwii in colour")</f>
        <v>greatest events of wwii in colour</v>
      </c>
      <c r="B326" s="1" t="str">
        <f>IF(A326&lt;&gt;"", VLOOKUP(A326, imdb_netflix_v5!A$2:H$7370, 2, FALSE), "")</f>
        <v>TV Show</v>
      </c>
      <c r="C326" s="2" t="str">
        <f>IF(A326&lt;&gt;"", VLOOKUP(A326, imdb_netflix_v5!A$2:H$7370, 3, FALSE), "")</f>
        <v>Documentary, History, War</v>
      </c>
      <c r="D326" s="2">
        <f>IF(A326&lt;&gt;"", VLOOKUP(A326, imdb_netflix_v5!A$2:H$7370, 4, FALSE), "")</f>
        <v>8.6</v>
      </c>
      <c r="E326" s="2">
        <f>IF(A326&lt;&gt;"", VLOOKUP(A326, imdb_netflix_v5!A$2:H$7370, 5, FALSE), "")</f>
        <v>2019</v>
      </c>
      <c r="F326" s="2" t="str">
        <f>IF(A326&lt;&gt;"", VLOOKUP(A326, imdb_netflix_v5!A$2:H$7370, 7, FALSE), "")</f>
        <v>NA</v>
      </c>
    </row>
    <row r="327" ht="15.75" customHeight="1">
      <c r="A327" s="1" t="str">
        <f>IFERROR(__xludf.DUMMYFUNCTION("""COMPUTED_VALUE"""),"mr. queen")</f>
        <v>mr. queen</v>
      </c>
      <c r="B327" s="1" t="str">
        <f>IF(A327&lt;&gt;"", VLOOKUP(A327, imdb_netflix_v5!A$2:H$7370, 2, FALSE), "")</f>
        <v>TV Show</v>
      </c>
      <c r="C327" s="2" t="str">
        <f>IF(A327&lt;&gt;"", VLOOKUP(A327, imdb_netflix_v5!A$2:H$7370, 3, FALSE), "")</f>
        <v>Comedy, Fantasy, Romance</v>
      </c>
      <c r="D327" s="2">
        <f>IF(A327&lt;&gt;"", VLOOKUP(A327, imdb_netflix_v5!A$2:H$7370, 4, FALSE), "")</f>
        <v>8.6</v>
      </c>
      <c r="E327" s="2">
        <f>IF(A327&lt;&gt;"", VLOOKUP(A327, imdb_netflix_v5!A$2:H$7370, 5, FALSE), "")</f>
        <v>2020</v>
      </c>
      <c r="F327" s="2">
        <f>IF(A327&lt;&gt;"", VLOOKUP(A327, imdb_netflix_v5!A$2:H$7370, 7, FALSE), "")</f>
        <v>7620000</v>
      </c>
    </row>
    <row r="328" ht="15.75" customHeight="1">
      <c r="A328" s="1" t="str">
        <f>IFERROR(__xludf.DUMMYFUNCTION("""COMPUTED_VALUE"""),"the legend of maula jatt")</f>
        <v>the legend of maula jatt</v>
      </c>
      <c r="B328" s="1" t="str">
        <f>IF(A328&lt;&gt;"", VLOOKUP(A328, imdb_netflix_v5!A$2:H$7370, 2, FALSE), "")</f>
        <v>Movie</v>
      </c>
      <c r="C328" s="2" t="str">
        <f>IF(A328&lt;&gt;"", VLOOKUP(A328, imdb_netflix_v5!A$2:H$7370, 3, FALSE), "")</f>
        <v>Action, Drama, Fantasy</v>
      </c>
      <c r="D328" s="2">
        <f>IF(A328&lt;&gt;"", VLOOKUP(A328, imdb_netflix_v5!A$2:H$7370, 4, FALSE), "")</f>
        <v>8.6</v>
      </c>
      <c r="E328" s="2">
        <f>IF(A328&lt;&gt;"", VLOOKUP(A328, imdb_netflix_v5!A$2:H$7370, 5, FALSE), "")</f>
        <v>2022</v>
      </c>
      <c r="F328" s="2" t="str">
        <f>IF(A328&lt;&gt;"", VLOOKUP(A328, imdb_netflix_v5!A$2:H$7370, 7, FALSE), "")</f>
        <v>NA</v>
      </c>
    </row>
    <row r="329" ht="15.75" customHeight="1">
      <c r="A329" s="1" t="str">
        <f>IFERROR(__xludf.DUMMYFUNCTION("""COMPUTED_VALUE"""),"very parivarik")</f>
        <v>very parivarik</v>
      </c>
      <c r="B329" s="1" t="str">
        <f>IF(A329&lt;&gt;"", VLOOKUP(A329, imdb_netflix_v5!A$2:H$7370, 2, FALSE), "")</f>
        <v>TV Show</v>
      </c>
      <c r="C329" s="2" t="str">
        <f>IF(A329&lt;&gt;"", VLOOKUP(A329, imdb_netflix_v5!A$2:H$7370, 3, FALSE), "")</f>
        <v>Comedy</v>
      </c>
      <c r="D329" s="2">
        <f>IF(A329&lt;&gt;"", VLOOKUP(A329, imdb_netflix_v5!A$2:H$7370, 4, FALSE), "")</f>
        <v>8.6</v>
      </c>
      <c r="E329" s="2">
        <f>IF(A329&lt;&gt;"", VLOOKUP(A329, imdb_netflix_v5!A$2:H$7370, 5, FALSE), "")</f>
        <v>2024</v>
      </c>
      <c r="F329" s="2" t="str">
        <f>IF(A329&lt;&gt;"", VLOOKUP(A329, imdb_netflix_v5!A$2:H$7370, 7, FALSE), "")</f>
        <v>NA</v>
      </c>
    </row>
    <row r="330" ht="15.75" customHeight="1">
      <c r="A330" s="1" t="str">
        <f>IFERROR(__xludf.DUMMYFUNCTION("""COMPUTED_VALUE"""),"my dear brother")</f>
        <v>my dear brother</v>
      </c>
      <c r="B330" s="1" t="str">
        <f>IF(A330&lt;&gt;"", VLOOKUP(A330, imdb_netflix_v5!A$2:H$7370, 2, FALSE), "")</f>
        <v>Movie</v>
      </c>
      <c r="C330" s="2" t="str">
        <f>IF(A330&lt;&gt;"", VLOOKUP(A330, imdb_netflix_v5!A$2:H$7370, 3, FALSE), "")</f>
        <v>Drama</v>
      </c>
      <c r="D330" s="2">
        <f>IF(A330&lt;&gt;"", VLOOKUP(A330, imdb_netflix_v5!A$2:H$7370, 4, FALSE), "")</f>
        <v>8.6</v>
      </c>
      <c r="E330" s="2">
        <f>IF(A330&lt;&gt;"", VLOOKUP(A330, imdb_netflix_v5!A$2:H$7370, 5, FALSE), "")</f>
        <v>1973</v>
      </c>
      <c r="F330" s="2" t="str">
        <f>IF(A330&lt;&gt;"", VLOOKUP(A330, imdb_netflix_v5!A$2:H$7370, 7, FALSE), "")</f>
        <v>NA</v>
      </c>
    </row>
    <row r="331" ht="15.75" customHeight="1">
      <c r="A331" s="1" t="str">
        <f>IFERROR(__xludf.DUMMYFUNCTION("""COMPUTED_VALUE"""),"immature")</f>
        <v>immature</v>
      </c>
      <c r="B331" s="1" t="str">
        <f>IF(A331&lt;&gt;"", VLOOKUP(A331, imdb_netflix_v5!A$2:H$7370, 2, FALSE), "")</f>
        <v>TV Show</v>
      </c>
      <c r="C331" s="2" t="str">
        <f>IF(A331&lt;&gt;"", VLOOKUP(A331, imdb_netflix_v5!A$2:H$7370, 3, FALSE), "")</f>
        <v>Comedy, Drama, Romance</v>
      </c>
      <c r="D331" s="2">
        <f>IF(A331&lt;&gt;"", VLOOKUP(A331, imdb_netflix_v5!A$2:H$7370, 4, FALSE), "")</f>
        <v>8.6</v>
      </c>
      <c r="E331" s="2">
        <f>IF(A331&lt;&gt;"", VLOOKUP(A331, imdb_netflix_v5!A$2:H$7370, 5, FALSE), "")</f>
        <v>2019</v>
      </c>
      <c r="F331" s="2" t="str">
        <f>IF(A331&lt;&gt;"", VLOOKUP(A331, imdb_netflix_v5!A$2:H$7370, 7, FALSE), "")</f>
        <v>NA</v>
      </c>
    </row>
    <row r="332" ht="15.75" customHeight="1">
      <c r="A332" s="1" t="str">
        <f>IFERROR(__xludf.DUMMYFUNCTION("""COMPUTED_VALUE"""),"fruits basket")</f>
        <v>fruits basket</v>
      </c>
      <c r="B332" s="1" t="str">
        <f>IF(A332&lt;&gt;"", VLOOKUP(A332, imdb_netflix_v5!A$2:H$7370, 2, FALSE), "")</f>
        <v>TV Show</v>
      </c>
      <c r="C332" s="2" t="str">
        <f>IF(A332&lt;&gt;"", VLOOKUP(A332, imdb_netflix_v5!A$2:H$7370, 3, FALSE), "")</f>
        <v>Animation, Comedy, Drama</v>
      </c>
      <c r="D332" s="2">
        <f>IF(A332&lt;&gt;"", VLOOKUP(A332, imdb_netflix_v5!A$2:H$7370, 4, FALSE), "")</f>
        <v>8.6</v>
      </c>
      <c r="E332" s="2">
        <f>IF(A332&lt;&gt;"", VLOOKUP(A332, imdb_netflix_v5!A$2:H$7370, 5, FALSE), "")</f>
        <v>2019</v>
      </c>
      <c r="F332" s="2" t="str">
        <f>IF(A332&lt;&gt;"", VLOOKUP(A332, imdb_netflix_v5!A$2:H$7370, 7, FALSE), "")</f>
        <v>NA</v>
      </c>
    </row>
    <row r="333" ht="15.75" customHeight="1">
      <c r="A333" s="1" t="str">
        <f>IFERROR(__xludf.DUMMYFUNCTION("""COMPUTED_VALUE"""),"merlí")</f>
        <v>merlí</v>
      </c>
      <c r="B333" s="1" t="str">
        <f>IF(A333&lt;&gt;"", VLOOKUP(A333, imdb_netflix_v5!A$2:H$7370, 2, FALSE), "")</f>
        <v>TV Show</v>
      </c>
      <c r="C333" s="2" t="str">
        <f>IF(A333&lt;&gt;"", VLOOKUP(A333, imdb_netflix_v5!A$2:H$7370, 3, FALSE), "")</f>
        <v>Comedy, Drama, Romance</v>
      </c>
      <c r="D333" s="2">
        <f>IF(A333&lt;&gt;"", VLOOKUP(A333, imdb_netflix_v5!A$2:H$7370, 4, FALSE), "")</f>
        <v>8.6</v>
      </c>
      <c r="E333" s="2">
        <f>IF(A333&lt;&gt;"", VLOOKUP(A333, imdb_netflix_v5!A$2:H$7370, 5, FALSE), "")</f>
        <v>2015</v>
      </c>
      <c r="F333" s="2" t="str">
        <f>IF(A333&lt;&gt;"", VLOOKUP(A333, imdb_netflix_v5!A$2:H$7370, 7, FALSE), "")</f>
        <v>NA</v>
      </c>
    </row>
    <row r="334" ht="15.75" customHeight="1">
      <c r="A334" s="1" t="str">
        <f>IFERROR(__xludf.DUMMYFUNCTION("""COMPUTED_VALUE"""),"django unchained")</f>
        <v>django unchained</v>
      </c>
      <c r="B334" s="1" t="str">
        <f>IF(A334&lt;&gt;"", VLOOKUP(A334, imdb_netflix_v5!A$2:H$7370, 2, FALSE), "")</f>
        <v>Movie</v>
      </c>
      <c r="C334" s="2" t="str">
        <f>IF(A334&lt;&gt;"", VLOOKUP(A334, imdb_netflix_v5!A$2:H$7370, 3, FALSE), "")</f>
        <v>Comedy, Drama, Western</v>
      </c>
      <c r="D334" s="2">
        <f>IF(A334&lt;&gt;"", VLOOKUP(A334, imdb_netflix_v5!A$2:H$7370, 4, FALSE), "")</f>
        <v>8.5</v>
      </c>
      <c r="E334" s="2">
        <f>IF(A334&lt;&gt;"", VLOOKUP(A334, imdb_netflix_v5!A$2:H$7370, 5, FALSE), "")</f>
        <v>2012</v>
      </c>
      <c r="F334" s="2" t="str">
        <f>IF(A334&lt;&gt;"", VLOOKUP(A334, imdb_netflix_v5!A$2:H$7370, 7, FALSE), "")</f>
        <v>NA</v>
      </c>
    </row>
    <row r="335" ht="15.75" customHeight="1">
      <c r="A335" s="1" t="str">
        <f>IFERROR(__xludf.DUMMYFUNCTION("""COMPUTED_VALUE"""),"gladiator")</f>
        <v>gladiator</v>
      </c>
      <c r="B335" s="1" t="str">
        <f>IF(A335&lt;&gt;"", VLOOKUP(A335, imdb_netflix_v5!A$2:H$7370, 2, FALSE), "")</f>
        <v>Movie</v>
      </c>
      <c r="C335" s="2" t="str">
        <f>IF(A335&lt;&gt;"", VLOOKUP(A335, imdb_netflix_v5!A$2:H$7370, 3, FALSE), "")</f>
        <v>Action, Adventure, Drama</v>
      </c>
      <c r="D335" s="2">
        <f>IF(A335&lt;&gt;"", VLOOKUP(A335, imdb_netflix_v5!A$2:H$7370, 4, FALSE), "")</f>
        <v>8.5</v>
      </c>
      <c r="E335" s="2">
        <f>IF(A335&lt;&gt;"", VLOOKUP(A335, imdb_netflix_v5!A$2:H$7370, 5, FALSE), "")</f>
        <v>2000</v>
      </c>
      <c r="F335" s="2" t="str">
        <f>IF(A335&lt;&gt;"", VLOOKUP(A335, imdb_netflix_v5!A$2:H$7370, 7, FALSE), "")</f>
        <v>NA</v>
      </c>
    </row>
    <row r="336" ht="15.75" customHeight="1">
      <c r="A336" s="1" t="str">
        <f>IFERROR(__xludf.DUMMYFUNCTION("""COMPUTED_VALUE"""),"the prestige")</f>
        <v>the prestige</v>
      </c>
      <c r="B336" s="1" t="str">
        <f>IF(A336&lt;&gt;"", VLOOKUP(A336, imdb_netflix_v5!A$2:H$7370, 2, FALSE), "")</f>
        <v>Movie</v>
      </c>
      <c r="C336" s="2" t="str">
        <f>IF(A336&lt;&gt;"", VLOOKUP(A336, imdb_netflix_v5!A$2:H$7370, 3, FALSE), "")</f>
        <v>Drama, Mystery, Sci-Fi</v>
      </c>
      <c r="D336" s="2">
        <f>IF(A336&lt;&gt;"", VLOOKUP(A336, imdb_netflix_v5!A$2:H$7370, 4, FALSE), "")</f>
        <v>8.5</v>
      </c>
      <c r="E336" s="2">
        <f>IF(A336&lt;&gt;"", VLOOKUP(A336, imdb_netflix_v5!A$2:H$7370, 5, FALSE), "")</f>
        <v>2006</v>
      </c>
      <c r="F336" s="2" t="str">
        <f>IF(A336&lt;&gt;"", VLOOKUP(A336, imdb_netflix_v5!A$2:H$7370, 7, FALSE), "")</f>
        <v>NA</v>
      </c>
    </row>
    <row r="337" ht="15.75" customHeight="1">
      <c r="A337" s="1" t="str">
        <f>IFERROR(__xludf.DUMMYFUNCTION("""COMPUTED_VALUE"""),"the departed")</f>
        <v>the departed</v>
      </c>
      <c r="B337" s="1" t="str">
        <f>IF(A337&lt;&gt;"", VLOOKUP(A337, imdb_netflix_v5!A$2:H$7370, 2, FALSE), "")</f>
        <v>Movie</v>
      </c>
      <c r="C337" s="2" t="str">
        <f>IF(A337&lt;&gt;"", VLOOKUP(A337, imdb_netflix_v5!A$2:H$7370, 3, FALSE), "")</f>
        <v>Crime, Drama, Thriller</v>
      </c>
      <c r="D337" s="2">
        <f>IF(A337&lt;&gt;"", VLOOKUP(A337, imdb_netflix_v5!A$2:H$7370, 4, FALSE), "")</f>
        <v>8.5</v>
      </c>
      <c r="E337" s="2">
        <f>IF(A337&lt;&gt;"", VLOOKUP(A337, imdb_netflix_v5!A$2:H$7370, 5, FALSE), "")</f>
        <v>2006</v>
      </c>
      <c r="F337" s="2" t="str">
        <f>IF(A337&lt;&gt;"", VLOOKUP(A337, imdb_netflix_v5!A$2:H$7370, 7, FALSE), "")</f>
        <v>NA</v>
      </c>
    </row>
    <row r="338" ht="15.75" customHeight="1">
      <c r="A338" s="1" t="str">
        <f>IFERROR(__xludf.DUMMYFUNCTION("""COMPUTED_VALUE"""),"back to the future")</f>
        <v>back to the future</v>
      </c>
      <c r="B338" s="1" t="str">
        <f>IF(A338&lt;&gt;"", VLOOKUP(A338, imdb_netflix_v5!A$2:H$7370, 2, FALSE), "")</f>
        <v>Movie</v>
      </c>
      <c r="C338" s="2" t="str">
        <f>IF(A338&lt;&gt;"", VLOOKUP(A338, imdb_netflix_v5!A$2:H$7370, 3, FALSE), "")</f>
        <v>Adventure, Comedy, Sci-Fi</v>
      </c>
      <c r="D338" s="2">
        <f>IF(A338&lt;&gt;"", VLOOKUP(A338, imdb_netflix_v5!A$2:H$7370, 4, FALSE), "")</f>
        <v>8.5</v>
      </c>
      <c r="E338" s="2">
        <f>IF(A338&lt;&gt;"", VLOOKUP(A338, imdb_netflix_v5!A$2:H$7370, 5, FALSE), "")</f>
        <v>1985</v>
      </c>
      <c r="F338" s="2" t="str">
        <f>IF(A338&lt;&gt;"", VLOOKUP(A338, imdb_netflix_v5!A$2:H$7370, 7, FALSE), "")</f>
        <v>NA</v>
      </c>
    </row>
    <row r="339" ht="15.75" customHeight="1">
      <c r="A339" s="1" t="str">
        <f>IFERROR(__xludf.DUMMYFUNCTION("""COMPUTED_VALUE"""),"léon the professional")</f>
        <v>léon the professional</v>
      </c>
      <c r="B339" s="1" t="str">
        <f>IF(A339&lt;&gt;"", VLOOKUP(A339, imdb_netflix_v5!A$2:H$7370, 2, FALSE), "")</f>
        <v>Movie</v>
      </c>
      <c r="C339" s="2" t="str">
        <f>IF(A339&lt;&gt;"", VLOOKUP(A339, imdb_netflix_v5!A$2:H$7370, 3, FALSE), "")</f>
        <v>Action, Crime, Drama</v>
      </c>
      <c r="D339" s="2">
        <f>IF(A339&lt;&gt;"", VLOOKUP(A339, imdb_netflix_v5!A$2:H$7370, 4, FALSE), "")</f>
        <v>8.5</v>
      </c>
      <c r="E339" s="2">
        <f>IF(A339&lt;&gt;"", VLOOKUP(A339, imdb_netflix_v5!A$2:H$7370, 5, FALSE), "")</f>
        <v>1994</v>
      </c>
      <c r="F339" s="2" t="str">
        <f>IF(A339&lt;&gt;"", VLOOKUP(A339, imdb_netflix_v5!A$2:H$7370, 7, FALSE), "")</f>
        <v>NA</v>
      </c>
    </row>
    <row r="340" ht="15.75" customHeight="1">
      <c r="A340" s="1" t="str">
        <f>IFERROR(__xludf.DUMMYFUNCTION("""COMPUTED_VALUE"""),"american history x")</f>
        <v>american history x</v>
      </c>
      <c r="B340" s="1" t="str">
        <f>IF(A340&lt;&gt;"", VLOOKUP(A340, imdb_netflix_v5!A$2:H$7370, 2, FALSE), "")</f>
        <v>Movie</v>
      </c>
      <c r="C340" s="2" t="str">
        <f>IF(A340&lt;&gt;"", VLOOKUP(A340, imdb_netflix_v5!A$2:H$7370, 3, FALSE), "")</f>
        <v>Crime, Drama</v>
      </c>
      <c r="D340" s="2">
        <f>IF(A340&lt;&gt;"", VLOOKUP(A340, imdb_netflix_v5!A$2:H$7370, 4, FALSE), "")</f>
        <v>8.5</v>
      </c>
      <c r="E340" s="2">
        <f>IF(A340&lt;&gt;"", VLOOKUP(A340, imdb_netflix_v5!A$2:H$7370, 5, FALSE), "")</f>
        <v>1998</v>
      </c>
      <c r="F340" s="2" t="str">
        <f>IF(A340&lt;&gt;"", VLOOKUP(A340, imdb_netflix_v5!A$2:H$7370, 7, FALSE), "")</f>
        <v>NA</v>
      </c>
    </row>
    <row r="341" ht="15.75" customHeight="1">
      <c r="A341" s="1" t="str">
        <f>IFERROR(__xludf.DUMMYFUNCTION("""COMPUTED_VALUE"""),"the lion king")</f>
        <v>the lion king</v>
      </c>
      <c r="B341" s="1" t="str">
        <f>IF(A341&lt;&gt;"", VLOOKUP(A341, imdb_netflix_v5!A$2:H$7370, 2, FALSE), "")</f>
        <v>Movie</v>
      </c>
      <c r="C341" s="2" t="str">
        <f>IF(A341&lt;&gt;"", VLOOKUP(A341, imdb_netflix_v5!A$2:H$7370, 3, FALSE), "")</f>
        <v>Adventure, Animation, Drama</v>
      </c>
      <c r="D341" s="2">
        <f>IF(A341&lt;&gt;"", VLOOKUP(A341, imdb_netflix_v5!A$2:H$7370, 4, FALSE), "")</f>
        <v>8.5</v>
      </c>
      <c r="E341" s="2">
        <f>IF(A341&lt;&gt;"", VLOOKUP(A341, imdb_netflix_v5!A$2:H$7370, 5, FALSE), "")</f>
        <v>1994</v>
      </c>
      <c r="F341" s="2" t="str">
        <f>IF(A341&lt;&gt;"", VLOOKUP(A341, imdb_netflix_v5!A$2:H$7370, 7, FALSE), "")</f>
        <v>NA</v>
      </c>
    </row>
    <row r="342" ht="15.75" customHeight="1">
      <c r="A342" s="1" t="str">
        <f>IFERROR(__xludf.DUMMYFUNCTION("""COMPUTED_VALUE"""),"the usual suspects")</f>
        <v>the usual suspects</v>
      </c>
      <c r="B342" s="1" t="str">
        <f>IF(A342&lt;&gt;"", VLOOKUP(A342, imdb_netflix_v5!A$2:H$7370, 2, FALSE), "")</f>
        <v>Movie</v>
      </c>
      <c r="C342" s="2" t="str">
        <f>IF(A342&lt;&gt;"", VLOOKUP(A342, imdb_netflix_v5!A$2:H$7370, 3, FALSE), "")</f>
        <v>Crime, Drama, Mystery</v>
      </c>
      <c r="D342" s="2">
        <f>IF(A342&lt;&gt;"", VLOOKUP(A342, imdb_netflix_v5!A$2:H$7370, 4, FALSE), "")</f>
        <v>8.5</v>
      </c>
      <c r="E342" s="2">
        <f>IF(A342&lt;&gt;"", VLOOKUP(A342, imdb_netflix_v5!A$2:H$7370, 5, FALSE), "")</f>
        <v>1995</v>
      </c>
      <c r="F342" s="2" t="str">
        <f>IF(A342&lt;&gt;"", VLOOKUP(A342, imdb_netflix_v5!A$2:H$7370, 7, FALSE), "")</f>
        <v>NA</v>
      </c>
    </row>
    <row r="343" ht="15.75" customHeight="1">
      <c r="A343" s="1" t="str">
        <f>IFERROR(__xludf.DUMMYFUNCTION("""COMPUTED_VALUE"""),"whiplash")</f>
        <v>whiplash</v>
      </c>
      <c r="B343" s="1" t="str">
        <f>IF(A343&lt;&gt;"", VLOOKUP(A343, imdb_netflix_v5!A$2:H$7370, 2, FALSE), "")</f>
        <v>Movie</v>
      </c>
      <c r="C343" s="2" t="str">
        <f>IF(A343&lt;&gt;"", VLOOKUP(A343, imdb_netflix_v5!A$2:H$7370, 3, FALSE), "")</f>
        <v>Drama, Music</v>
      </c>
      <c r="D343" s="2">
        <f>IF(A343&lt;&gt;"", VLOOKUP(A343, imdb_netflix_v5!A$2:H$7370, 4, FALSE), "")</f>
        <v>8.5</v>
      </c>
      <c r="E343" s="2">
        <f>IF(A343&lt;&gt;"", VLOOKUP(A343, imdb_netflix_v5!A$2:H$7370, 5, FALSE), "")</f>
        <v>2014</v>
      </c>
      <c r="F343" s="2" t="str">
        <f>IF(A343&lt;&gt;"", VLOOKUP(A343, imdb_netflix_v5!A$2:H$7370, 7, FALSE), "")</f>
        <v>NA</v>
      </c>
    </row>
    <row r="344" ht="15.75" customHeight="1">
      <c r="A344" s="1" t="str">
        <f>IFERROR(__xludf.DUMMYFUNCTION("""COMPUTED_VALUE"""),"parasite")</f>
        <v>parasite</v>
      </c>
      <c r="B344" s="1" t="str">
        <f>IF(A344&lt;&gt;"", VLOOKUP(A344, imdb_netflix_v5!A$2:H$7370, 2, FALSE), "")</f>
        <v>Movie</v>
      </c>
      <c r="C344" s="2" t="str">
        <f>IF(A344&lt;&gt;"", VLOOKUP(A344, imdb_netflix_v5!A$2:H$7370, 3, FALSE), "")</f>
        <v>Drama, Thriller</v>
      </c>
      <c r="D344" s="2">
        <f>IF(A344&lt;&gt;"", VLOOKUP(A344, imdb_netflix_v5!A$2:H$7370, 4, FALSE), "")</f>
        <v>8.5</v>
      </c>
      <c r="E344" s="2">
        <f>IF(A344&lt;&gt;"", VLOOKUP(A344, imdb_netflix_v5!A$2:H$7370, 5, FALSE), "")</f>
        <v>2019</v>
      </c>
      <c r="F344" s="2" t="str">
        <f>IF(A344&lt;&gt;"", VLOOKUP(A344, imdb_netflix_v5!A$2:H$7370, 7, FALSE), "")</f>
        <v>NA</v>
      </c>
    </row>
    <row r="345" ht="15.75" customHeight="1">
      <c r="A345" s="1" t="str">
        <f>IFERROR(__xludf.DUMMYFUNCTION("""COMPUTED_VALUE"""),"alien")</f>
        <v>alien</v>
      </c>
      <c r="B345" s="1" t="str">
        <f>IF(A345&lt;&gt;"", VLOOKUP(A345, imdb_netflix_v5!A$2:H$7370, 2, FALSE), "")</f>
        <v>Movie</v>
      </c>
      <c r="C345" s="2" t="str">
        <f>IF(A345&lt;&gt;"", VLOOKUP(A345, imdb_netflix_v5!A$2:H$7370, 3, FALSE), "")</f>
        <v>Horror, Sci-Fi</v>
      </c>
      <c r="D345" s="2">
        <f>IF(A345&lt;&gt;"", VLOOKUP(A345, imdb_netflix_v5!A$2:H$7370, 4, FALSE), "")</f>
        <v>8.5</v>
      </c>
      <c r="E345" s="2">
        <f>IF(A345&lt;&gt;"", VLOOKUP(A345, imdb_netflix_v5!A$2:H$7370, 5, FALSE), "")</f>
        <v>1979</v>
      </c>
      <c r="F345" s="2" t="str">
        <f>IF(A345&lt;&gt;"", VLOOKUP(A345, imdb_netflix_v5!A$2:H$7370, 7, FALSE), "")</f>
        <v>NA</v>
      </c>
    </row>
    <row r="346" ht="15.75" customHeight="1">
      <c r="A346" s="1" t="str">
        <f>IFERROR(__xludf.DUMMYFUNCTION("""COMPUTED_VALUE"""),"the intouchables")</f>
        <v>the intouchables</v>
      </c>
      <c r="B346" s="1" t="str">
        <f>IF(A346&lt;&gt;"", VLOOKUP(A346, imdb_netflix_v5!A$2:H$7370, 2, FALSE), "")</f>
        <v>Movie</v>
      </c>
      <c r="C346" s="2" t="str">
        <f>IF(A346&lt;&gt;"", VLOOKUP(A346, imdb_netflix_v5!A$2:H$7370, 3, FALSE), "")</f>
        <v>Comedy, Drama</v>
      </c>
      <c r="D346" s="2">
        <f>IF(A346&lt;&gt;"", VLOOKUP(A346, imdb_netflix_v5!A$2:H$7370, 4, FALSE), "")</f>
        <v>8.5</v>
      </c>
      <c r="E346" s="2">
        <f>IF(A346&lt;&gt;"", VLOOKUP(A346, imdb_netflix_v5!A$2:H$7370, 5, FALSE), "")</f>
        <v>2011</v>
      </c>
      <c r="F346" s="2" t="str">
        <f>IF(A346&lt;&gt;"", VLOOKUP(A346, imdb_netflix_v5!A$2:H$7370, 7, FALSE), "")</f>
        <v>NA</v>
      </c>
    </row>
    <row r="347" ht="15.75" customHeight="1">
      <c r="A347" s="1" t="str">
        <f>IFERROR(__xludf.DUMMYFUNCTION("""COMPUTED_VALUE"""),"the pianist")</f>
        <v>the pianist</v>
      </c>
      <c r="B347" s="1" t="str">
        <f>IF(A347&lt;&gt;"", VLOOKUP(A347, imdb_netflix_v5!A$2:H$7370, 2, FALSE), "")</f>
        <v>Movie</v>
      </c>
      <c r="C347" s="2" t="str">
        <f>IF(A347&lt;&gt;"", VLOOKUP(A347, imdb_netflix_v5!A$2:H$7370, 3, FALSE), "")</f>
        <v>Biography, Drama, Music</v>
      </c>
      <c r="D347" s="2">
        <f>IF(A347&lt;&gt;"", VLOOKUP(A347, imdb_netflix_v5!A$2:H$7370, 4, FALSE), "")</f>
        <v>8.5</v>
      </c>
      <c r="E347" s="2">
        <f>IF(A347&lt;&gt;"", VLOOKUP(A347, imdb_netflix_v5!A$2:H$7370, 5, FALSE), "")</f>
        <v>2002</v>
      </c>
      <c r="F347" s="2" t="str">
        <f>IF(A347&lt;&gt;"", VLOOKUP(A347, imdb_netflix_v5!A$2:H$7370, 7, FALSE), "")</f>
        <v>NA</v>
      </c>
    </row>
    <row r="348" ht="15.75" customHeight="1">
      <c r="A348" s="1" t="str">
        <f>IFERROR(__xludf.DUMMYFUNCTION("""COMPUTED_VALUE"""),"psycho")</f>
        <v>psycho</v>
      </c>
      <c r="B348" s="1" t="str">
        <f>IF(A348&lt;&gt;"", VLOOKUP(A348, imdb_netflix_v5!A$2:H$7370, 2, FALSE), "")</f>
        <v>Movie</v>
      </c>
      <c r="C348" s="2" t="str">
        <f>IF(A348&lt;&gt;"", VLOOKUP(A348, imdb_netflix_v5!A$2:H$7370, 3, FALSE), "")</f>
        <v>Horror, Mystery, Thriller</v>
      </c>
      <c r="D348" s="2">
        <f>IF(A348&lt;&gt;"", VLOOKUP(A348, imdb_netflix_v5!A$2:H$7370, 4, FALSE), "")</f>
        <v>8.5</v>
      </c>
      <c r="E348" s="2">
        <f>IF(A348&lt;&gt;"", VLOOKUP(A348, imdb_netflix_v5!A$2:H$7370, 5, FALSE), "")</f>
        <v>1960</v>
      </c>
      <c r="F348" s="2" t="str">
        <f>IF(A348&lt;&gt;"", VLOOKUP(A348, imdb_netflix_v5!A$2:H$7370, 7, FALSE), "")</f>
        <v>NA</v>
      </c>
    </row>
    <row r="349" ht="15.75" customHeight="1">
      <c r="A349" s="1" t="str">
        <f>IFERROR(__xludf.DUMMYFUNCTION("""COMPUTED_VALUE"""),"casablanca")</f>
        <v>casablanca</v>
      </c>
      <c r="B349" s="1" t="str">
        <f>IF(A349&lt;&gt;"", VLOOKUP(A349, imdb_netflix_v5!A$2:H$7370, 2, FALSE), "")</f>
        <v>Movie</v>
      </c>
      <c r="C349" s="2" t="str">
        <f>IF(A349&lt;&gt;"", VLOOKUP(A349, imdb_netflix_v5!A$2:H$7370, 3, FALSE), "")</f>
        <v>Drama, Romance, War</v>
      </c>
      <c r="D349" s="2">
        <f>IF(A349&lt;&gt;"", VLOOKUP(A349, imdb_netflix_v5!A$2:H$7370, 4, FALSE), "")</f>
        <v>8.5</v>
      </c>
      <c r="E349" s="2">
        <f>IF(A349&lt;&gt;"", VLOOKUP(A349, imdb_netflix_v5!A$2:H$7370, 5, FALSE), "")</f>
        <v>1942</v>
      </c>
      <c r="F349" s="2" t="str">
        <f>IF(A349&lt;&gt;"", VLOOKUP(A349, imdb_netflix_v5!A$2:H$7370, 7, FALSE), "")</f>
        <v>NA</v>
      </c>
    </row>
    <row r="350" ht="15.75" customHeight="1">
      <c r="A350" s="1" t="str">
        <f>IFERROR(__xludf.DUMMYFUNCTION("""COMPUTED_VALUE"""),"vikings")</f>
        <v>vikings</v>
      </c>
      <c r="B350" s="1" t="str">
        <f>IF(A350&lt;&gt;"", VLOOKUP(A350, imdb_netflix_v5!A$2:H$7370, 2, FALSE), "")</f>
        <v>TV Show</v>
      </c>
      <c r="C350" s="2" t="str">
        <f>IF(A350&lt;&gt;"", VLOOKUP(A350, imdb_netflix_v5!A$2:H$7370, 3, FALSE), "")</f>
        <v>Action, Adventure, Drama</v>
      </c>
      <c r="D350" s="2">
        <f>IF(A350&lt;&gt;"", VLOOKUP(A350, imdb_netflix_v5!A$2:H$7370, 4, FALSE), "")</f>
        <v>8.5</v>
      </c>
      <c r="E350" s="2">
        <f>IF(A350&lt;&gt;"", VLOOKUP(A350, imdb_netflix_v5!A$2:H$7370, 5, FALSE), "")</f>
        <v>2013</v>
      </c>
      <c r="F350" s="2" t="str">
        <f>IF(A350&lt;&gt;"", VLOOKUP(A350, imdb_netflix_v5!A$2:H$7370, 7, FALSE), "")</f>
        <v>NA</v>
      </c>
    </row>
    <row r="351" ht="15.75" customHeight="1">
      <c r="A351" s="1" t="str">
        <f>IFERROR(__xludf.DUMMYFUNCTION("""COMPUTED_VALUE"""),"the queens gambit")</f>
        <v>the queens gambit</v>
      </c>
      <c r="B351" s="1" t="str">
        <f>IF(A351&lt;&gt;"", VLOOKUP(A351, imdb_netflix_v5!A$2:H$7370, 2, FALSE), "")</f>
        <v>TV Show</v>
      </c>
      <c r="C351" s="2" t="str">
        <f>IF(A351&lt;&gt;"", VLOOKUP(A351, imdb_netflix_v5!A$2:H$7370, 3, FALSE), "")</f>
        <v>Drama</v>
      </c>
      <c r="D351" s="2">
        <f>IF(A351&lt;&gt;"", VLOOKUP(A351, imdb_netflix_v5!A$2:H$7370, 4, FALSE), "")</f>
        <v>8.5</v>
      </c>
      <c r="E351" s="2">
        <f>IF(A351&lt;&gt;"", VLOOKUP(A351, imdb_netflix_v5!A$2:H$7370, 5, FALSE), "")</f>
        <v>2020</v>
      </c>
      <c r="F351" s="2" t="str">
        <f>IF(A351&lt;&gt;"", VLOOKUP(A351, imdb_netflix_v5!A$2:H$7370, 7, FALSE), "")</f>
        <v>NA</v>
      </c>
    </row>
    <row r="352" ht="15.75" customHeight="1">
      <c r="A352" s="1" t="str">
        <f>IFERROR(__xludf.DUMMYFUNCTION("""COMPUTED_VALUE"""),"the kashmir files")</f>
        <v>the kashmir files</v>
      </c>
      <c r="B352" s="1" t="str">
        <f>IF(A352&lt;&gt;"", VLOOKUP(A352, imdb_netflix_v5!A$2:H$7370, 2, FALSE), "")</f>
        <v>Movie</v>
      </c>
      <c r="C352" s="2" t="str">
        <f>IF(A352&lt;&gt;"", VLOOKUP(A352, imdb_netflix_v5!A$2:H$7370, 3, FALSE), "")</f>
        <v>Drama</v>
      </c>
      <c r="D352" s="2">
        <f>IF(A352&lt;&gt;"", VLOOKUP(A352, imdb_netflix_v5!A$2:H$7370, 4, FALSE), "")</f>
        <v>8.5</v>
      </c>
      <c r="E352" s="2">
        <f>IF(A352&lt;&gt;"", VLOOKUP(A352, imdb_netflix_v5!A$2:H$7370, 5, FALSE), "")</f>
        <v>2022</v>
      </c>
      <c r="F352" s="2" t="str">
        <f>IF(A352&lt;&gt;"", VLOOKUP(A352, imdb_netflix_v5!A$2:H$7370, 7, FALSE), "")</f>
        <v>NA</v>
      </c>
    </row>
    <row r="353" ht="15.75" customHeight="1">
      <c r="A353" s="1" t="str">
        <f>IFERROR(__xludf.DUMMYFUNCTION("""COMPUTED_VALUE"""),"dune part two")</f>
        <v>dune part two</v>
      </c>
      <c r="B353" s="1" t="str">
        <f>IF(A353&lt;&gt;"", VLOOKUP(A353, imdb_netflix_v5!A$2:H$7370, 2, FALSE), "")</f>
        <v>Movie</v>
      </c>
      <c r="C353" s="2" t="str">
        <f>IF(A353&lt;&gt;"", VLOOKUP(A353, imdb_netflix_v5!A$2:H$7370, 3, FALSE), "")</f>
        <v>Action, Adventure, Drama</v>
      </c>
      <c r="D353" s="2">
        <f>IF(A353&lt;&gt;"", VLOOKUP(A353, imdb_netflix_v5!A$2:H$7370, 4, FALSE), "")</f>
        <v>8.5</v>
      </c>
      <c r="E353" s="2">
        <f>IF(A353&lt;&gt;"", VLOOKUP(A353, imdb_netflix_v5!A$2:H$7370, 5, FALSE), "")</f>
        <v>2024</v>
      </c>
      <c r="F353" s="2" t="str">
        <f>IF(A353&lt;&gt;"", VLOOKUP(A353, imdb_netflix_v5!A$2:H$7370, 7, FALSE), "")</f>
        <v>NA</v>
      </c>
    </row>
    <row r="354" ht="15.75" customHeight="1">
      <c r="A354" s="1" t="str">
        <f>IFERROR(__xludf.DUMMYFUNCTION("""COMPUTED_VALUE"""),"westworld")</f>
        <v>westworld</v>
      </c>
      <c r="B354" s="1" t="str">
        <f>IF(A354&lt;&gt;"", VLOOKUP(A354, imdb_netflix_v5!A$2:H$7370, 2, FALSE), "")</f>
        <v>TV Show</v>
      </c>
      <c r="C354" s="2" t="str">
        <f>IF(A354&lt;&gt;"", VLOOKUP(A354, imdb_netflix_v5!A$2:H$7370, 3, FALSE), "")</f>
        <v>Drama, Mystery, Sci-Fi</v>
      </c>
      <c r="D354" s="2">
        <f>IF(A354&lt;&gt;"", VLOOKUP(A354, imdb_netflix_v5!A$2:H$7370, 4, FALSE), "")</f>
        <v>8.5</v>
      </c>
      <c r="E354" s="2">
        <f>IF(A354&lt;&gt;"", VLOOKUP(A354, imdb_netflix_v5!A$2:H$7370, 5, FALSE), "")</f>
        <v>2016</v>
      </c>
      <c r="F354" s="2" t="str">
        <f>IF(A354&lt;&gt;"", VLOOKUP(A354, imdb_netflix_v5!A$2:H$7370, 7, FALSE), "")</f>
        <v>NA</v>
      </c>
    </row>
    <row r="355" ht="15.75" customHeight="1">
      <c r="A355" s="1" t="str">
        <f>IFERROR(__xludf.DUMMYFUNCTION("""COMPUTED_VALUE"""),"rear window")</f>
        <v>rear window</v>
      </c>
      <c r="B355" s="1" t="str">
        <f>IF(A355&lt;&gt;"", VLOOKUP(A355, imdb_netflix_v5!A$2:H$7370, 2, FALSE), "")</f>
        <v>Movie</v>
      </c>
      <c r="C355" s="2" t="str">
        <f>IF(A355&lt;&gt;"", VLOOKUP(A355, imdb_netflix_v5!A$2:H$7370, 3, FALSE), "")</f>
        <v>Drama, Mystery, Thriller</v>
      </c>
      <c r="D355" s="2">
        <f>IF(A355&lt;&gt;"", VLOOKUP(A355, imdb_netflix_v5!A$2:H$7370, 4, FALSE), "")</f>
        <v>8.5</v>
      </c>
      <c r="E355" s="2">
        <f>IF(A355&lt;&gt;"", VLOOKUP(A355, imdb_netflix_v5!A$2:H$7370, 5, FALSE), "")</f>
        <v>1954</v>
      </c>
      <c r="F355" s="2" t="str">
        <f>IF(A355&lt;&gt;"", VLOOKUP(A355, imdb_netflix_v5!A$2:H$7370, 7, FALSE), "")</f>
        <v>NA</v>
      </c>
    </row>
    <row r="356" ht="15.75" customHeight="1">
      <c r="A356" s="1" t="str">
        <f>IFERROR(__xludf.DUMMYFUNCTION("""COMPUTED_VALUE"""),"modern family")</f>
        <v>modern family</v>
      </c>
      <c r="B356" s="1" t="str">
        <f>IF(A356&lt;&gt;"", VLOOKUP(A356, imdb_netflix_v5!A$2:H$7370, 2, FALSE), "")</f>
        <v>TV Show</v>
      </c>
      <c r="C356" s="2" t="str">
        <f>IF(A356&lt;&gt;"", VLOOKUP(A356, imdb_netflix_v5!A$2:H$7370, 3, FALSE), "")</f>
        <v>Comedy, Drama, Romance</v>
      </c>
      <c r="D356" s="2">
        <f>IF(A356&lt;&gt;"", VLOOKUP(A356, imdb_netflix_v5!A$2:H$7370, 4, FALSE), "")</f>
        <v>8.5</v>
      </c>
      <c r="E356" s="2">
        <f>IF(A356&lt;&gt;"", VLOOKUP(A356, imdb_netflix_v5!A$2:H$7370, 5, FALSE), "")</f>
        <v>2009</v>
      </c>
      <c r="F356" s="2" t="str">
        <f>IF(A356&lt;&gt;"", VLOOKUP(A356, imdb_netflix_v5!A$2:H$7370, 7, FALSE), "")</f>
        <v>NA</v>
      </c>
    </row>
    <row r="357" ht="15.75" customHeight="1">
      <c r="A357" s="1" t="str">
        <f>IFERROR(__xludf.DUMMYFUNCTION("""COMPUTED_VALUE"""),"mr. robot")</f>
        <v>mr. robot</v>
      </c>
      <c r="B357" s="1" t="str">
        <f>IF(A357&lt;&gt;"", VLOOKUP(A357, imdb_netflix_v5!A$2:H$7370, 2, FALSE), "")</f>
        <v>TV Show</v>
      </c>
      <c r="C357" s="2" t="str">
        <f>IF(A357&lt;&gt;"", VLOOKUP(A357, imdb_netflix_v5!A$2:H$7370, 3, FALSE), "")</f>
        <v>Crime, Drama, Thriller</v>
      </c>
      <c r="D357" s="2">
        <f>IF(A357&lt;&gt;"", VLOOKUP(A357, imdb_netflix_v5!A$2:H$7370, 4, FALSE), "")</f>
        <v>8.5</v>
      </c>
      <c r="E357" s="2">
        <f>IF(A357&lt;&gt;"", VLOOKUP(A357, imdb_netflix_v5!A$2:H$7370, 5, FALSE), "")</f>
        <v>2015</v>
      </c>
      <c r="F357" s="2" t="str">
        <f>IF(A357&lt;&gt;"", VLOOKUP(A357, imdb_netflix_v5!A$2:H$7370, 7, FALSE), "")</f>
        <v>NA</v>
      </c>
    </row>
    <row r="358" ht="15.75" customHeight="1">
      <c r="A358" s="1" t="str">
        <f>IFERROR(__xludf.DUMMYFUNCTION("""COMPUTED_VALUE"""),"ozark")</f>
        <v>ozark</v>
      </c>
      <c r="B358" s="1" t="str">
        <f>IF(A358&lt;&gt;"", VLOOKUP(A358, imdb_netflix_v5!A$2:H$7370, 2, FALSE), "")</f>
        <v>TV Show</v>
      </c>
      <c r="C358" s="2" t="str">
        <f>IF(A358&lt;&gt;"", VLOOKUP(A358, imdb_netflix_v5!A$2:H$7370, 3, FALSE), "")</f>
        <v>Crime, Drama, Thriller</v>
      </c>
      <c r="D358" s="2">
        <f>IF(A358&lt;&gt;"", VLOOKUP(A358, imdb_netflix_v5!A$2:H$7370, 4, FALSE), "")</f>
        <v>8.5</v>
      </c>
      <c r="E358" s="2">
        <f>IF(A358&lt;&gt;"", VLOOKUP(A358, imdb_netflix_v5!A$2:H$7370, 5, FALSE), "")</f>
        <v>2017</v>
      </c>
      <c r="F358" s="2">
        <f>IF(A358&lt;&gt;"", VLOOKUP(A358, imdb_netflix_v5!A$2:H$7370, 7, FALSE), "")</f>
        <v>16770000</v>
      </c>
    </row>
    <row r="359" ht="15.75" customHeight="1">
      <c r="A359" s="1" t="str">
        <f>IFERROR(__xludf.DUMMYFUNCTION("""COMPUTED_VALUE"""),"once upon a time in the west")</f>
        <v>once upon a time in the west</v>
      </c>
      <c r="B359" s="1" t="str">
        <f>IF(A359&lt;&gt;"", VLOOKUP(A359, imdb_netflix_v5!A$2:H$7370, 2, FALSE), "")</f>
        <v>Movie</v>
      </c>
      <c r="C359" s="2" t="str">
        <f>IF(A359&lt;&gt;"", VLOOKUP(A359, imdb_netflix_v5!A$2:H$7370, 3, FALSE), "")</f>
        <v>Drama, Western</v>
      </c>
      <c r="D359" s="2">
        <f>IF(A359&lt;&gt;"", VLOOKUP(A359, imdb_netflix_v5!A$2:H$7370, 4, FALSE), "")</f>
        <v>8.5</v>
      </c>
      <c r="E359" s="2">
        <f>IF(A359&lt;&gt;"", VLOOKUP(A359, imdb_netflix_v5!A$2:H$7370, 5, FALSE), "")</f>
        <v>1968</v>
      </c>
      <c r="F359" s="2" t="str">
        <f>IF(A359&lt;&gt;"", VLOOKUP(A359, imdb_netflix_v5!A$2:H$7370, 7, FALSE), "")</f>
        <v>NA</v>
      </c>
    </row>
    <row r="360" ht="15.75" customHeight="1">
      <c r="A360" s="1" t="str">
        <f>IFERROR(__xludf.DUMMYFUNCTION("""COMPUTED_VALUE"""),"grave of the fireflies")</f>
        <v>grave of the fireflies</v>
      </c>
      <c r="B360" s="1" t="str">
        <f>IF(A360&lt;&gt;"", VLOOKUP(A360, imdb_netflix_v5!A$2:H$7370, 2, FALSE), "")</f>
        <v>Movie</v>
      </c>
      <c r="C360" s="2" t="str">
        <f>IF(A360&lt;&gt;"", VLOOKUP(A360, imdb_netflix_v5!A$2:H$7370, 3, FALSE), "")</f>
        <v>Animation, Drama, War</v>
      </c>
      <c r="D360" s="2">
        <f>IF(A360&lt;&gt;"", VLOOKUP(A360, imdb_netflix_v5!A$2:H$7370, 4, FALSE), "")</f>
        <v>8.5</v>
      </c>
      <c r="E360" s="2">
        <f>IF(A360&lt;&gt;"", VLOOKUP(A360, imdb_netflix_v5!A$2:H$7370, 5, FALSE), "")</f>
        <v>1988</v>
      </c>
      <c r="F360" s="2" t="str">
        <f>IF(A360&lt;&gt;"", VLOOKUP(A360, imdb_netflix_v5!A$2:H$7370, 7, FALSE), "")</f>
        <v>NA</v>
      </c>
    </row>
    <row r="361" ht="15.75" customHeight="1">
      <c r="A361" s="1" t="str">
        <f>IFERROR(__xludf.DUMMYFUNCTION("""COMPUTED_VALUE"""),"the haunting of hill house")</f>
        <v>the haunting of hill house</v>
      </c>
      <c r="B361" s="1" t="str">
        <f>IF(A361&lt;&gt;"", VLOOKUP(A361, imdb_netflix_v5!A$2:H$7370, 2, FALSE), "")</f>
        <v>TV Show</v>
      </c>
      <c r="C361" s="2" t="str">
        <f>IF(A361&lt;&gt;"", VLOOKUP(A361, imdb_netflix_v5!A$2:H$7370, 3, FALSE), "")</f>
        <v>Drama, Horror, Mystery</v>
      </c>
      <c r="D361" s="2">
        <f>IF(A361&lt;&gt;"", VLOOKUP(A361, imdb_netflix_v5!A$2:H$7370, 4, FALSE), "")</f>
        <v>8.5</v>
      </c>
      <c r="E361" s="2">
        <f>IF(A361&lt;&gt;"", VLOOKUP(A361, imdb_netflix_v5!A$2:H$7370, 5, FALSE), "")</f>
        <v>2018</v>
      </c>
      <c r="F361" s="2" t="str">
        <f>IF(A361&lt;&gt;"", VLOOKUP(A361, imdb_netflix_v5!A$2:H$7370, 7, FALSE), "")</f>
        <v>NA</v>
      </c>
    </row>
    <row r="362" ht="15.75" customHeight="1">
      <c r="A362" s="1" t="str">
        <f>IFERROR(__xludf.DUMMYFUNCTION("""COMPUTED_VALUE"""),"shameless")</f>
        <v>shameless</v>
      </c>
      <c r="B362" s="1" t="str">
        <f>IF(A362&lt;&gt;"", VLOOKUP(A362, imdb_netflix_v5!A$2:H$7370, 2, FALSE), "")</f>
        <v>TV Show</v>
      </c>
      <c r="C362" s="2" t="str">
        <f>IF(A362&lt;&gt;"", VLOOKUP(A362, imdb_netflix_v5!A$2:H$7370, 3, FALSE), "")</f>
        <v>Comedy, Drama</v>
      </c>
      <c r="D362" s="2">
        <f>IF(A362&lt;&gt;"", VLOOKUP(A362, imdb_netflix_v5!A$2:H$7370, 4, FALSE), "")</f>
        <v>8.5</v>
      </c>
      <c r="E362" s="2">
        <f>IF(A362&lt;&gt;"", VLOOKUP(A362, imdb_netflix_v5!A$2:H$7370, 5, FALSE), "")</f>
        <v>2011</v>
      </c>
      <c r="F362" s="2" t="str">
        <f>IF(A362&lt;&gt;"", VLOOKUP(A362, imdb_netflix_v5!A$2:H$7370, 7, FALSE), "")</f>
        <v>NA</v>
      </c>
    </row>
    <row r="363" ht="15.75" customHeight="1">
      <c r="A363" s="1" t="str">
        <f>IFERROR(__xludf.DUMMYFUNCTION("""COMPUTED_VALUE"""),"community")</f>
        <v>community</v>
      </c>
      <c r="B363" s="1" t="str">
        <f>IF(A363&lt;&gt;"", VLOOKUP(A363, imdb_netflix_v5!A$2:H$7370, 2, FALSE), "")</f>
        <v>TV Show</v>
      </c>
      <c r="C363" s="2" t="str">
        <f>IF(A363&lt;&gt;"", VLOOKUP(A363, imdb_netflix_v5!A$2:H$7370, 3, FALSE), "")</f>
        <v>Comedy</v>
      </c>
      <c r="D363" s="2">
        <f>IF(A363&lt;&gt;"", VLOOKUP(A363, imdb_netflix_v5!A$2:H$7370, 4, FALSE), "")</f>
        <v>8.5</v>
      </c>
      <c r="E363" s="2">
        <f>IF(A363&lt;&gt;"", VLOOKUP(A363, imdb_netflix_v5!A$2:H$7370, 5, FALSE), "")</f>
        <v>2009</v>
      </c>
      <c r="F363" s="2" t="str">
        <f>IF(A363&lt;&gt;"", VLOOKUP(A363, imdb_netflix_v5!A$2:H$7370, 7, FALSE), "")</f>
        <v>NA</v>
      </c>
    </row>
    <row r="364" ht="15.75" customHeight="1">
      <c r="A364" s="1" t="str">
        <f>IFERROR(__xludf.DUMMYFUNCTION("""COMPUTED_VALUE"""),"cinema paradiso")</f>
        <v>cinema paradiso</v>
      </c>
      <c r="B364" s="1" t="str">
        <f>IF(A364&lt;&gt;"", VLOOKUP(A364, imdb_netflix_v5!A$2:H$7370, 2, FALSE), "")</f>
        <v>Movie</v>
      </c>
      <c r="C364" s="2" t="str">
        <f>IF(A364&lt;&gt;"", VLOOKUP(A364, imdb_netflix_v5!A$2:H$7370, 3, FALSE), "")</f>
        <v>Drama, Romance</v>
      </c>
      <c r="D364" s="2">
        <f>IF(A364&lt;&gt;"", VLOOKUP(A364, imdb_netflix_v5!A$2:H$7370, 4, FALSE), "")</f>
        <v>8.5</v>
      </c>
      <c r="E364" s="2">
        <f>IF(A364&lt;&gt;"", VLOOKUP(A364, imdb_netflix_v5!A$2:H$7370, 5, FALSE), "")</f>
        <v>1988</v>
      </c>
      <c r="F364" s="2" t="str">
        <f>IF(A364&lt;&gt;"", VLOOKUP(A364, imdb_netflix_v5!A$2:H$7370, 7, FALSE), "")</f>
        <v>NA</v>
      </c>
    </row>
    <row r="365" ht="15.75" customHeight="1">
      <c r="A365" s="1" t="str">
        <f>IFERROR(__xludf.DUMMYFUNCTION("""COMPUTED_VALUE"""),"hannibal")</f>
        <v>hannibal</v>
      </c>
      <c r="B365" s="1" t="str">
        <f>IF(A365&lt;&gt;"", VLOOKUP(A365, imdb_netflix_v5!A$2:H$7370, 2, FALSE), "")</f>
        <v>TV Show</v>
      </c>
      <c r="C365" s="2" t="str">
        <f>IF(A365&lt;&gt;"", VLOOKUP(A365, imdb_netflix_v5!A$2:H$7370, 3, FALSE), "")</f>
        <v>Crime, Drama, Horror</v>
      </c>
      <c r="D365" s="2">
        <f>IF(A365&lt;&gt;"", VLOOKUP(A365, imdb_netflix_v5!A$2:H$7370, 4, FALSE), "")</f>
        <v>8.5</v>
      </c>
      <c r="E365" s="2">
        <f>IF(A365&lt;&gt;"", VLOOKUP(A365, imdb_netflix_v5!A$2:H$7370, 5, FALSE), "")</f>
        <v>2013</v>
      </c>
      <c r="F365" s="2" t="str">
        <f>IF(A365&lt;&gt;"", VLOOKUP(A365, imdb_netflix_v5!A$2:H$7370, 7, FALSE), "")</f>
        <v>NA</v>
      </c>
    </row>
    <row r="366" ht="15.75" customHeight="1">
      <c r="A366" s="1" t="str">
        <f>IFERROR(__xludf.DUMMYFUNCTION("""COMPUTED_VALUE"""),"modern times")</f>
        <v>modern times</v>
      </c>
      <c r="B366" s="1" t="str">
        <f>IF(A366&lt;&gt;"", VLOOKUP(A366, imdb_netflix_v5!A$2:H$7370, 2, FALSE), "")</f>
        <v>Movie</v>
      </c>
      <c r="C366" s="2" t="str">
        <f>IF(A366&lt;&gt;"", VLOOKUP(A366, imdb_netflix_v5!A$2:H$7370, 3, FALSE), "")</f>
        <v>Comedy, Drama, Romance</v>
      </c>
      <c r="D366" s="2">
        <f>IF(A366&lt;&gt;"", VLOOKUP(A366, imdb_netflix_v5!A$2:H$7370, 4, FALSE), "")</f>
        <v>8.5</v>
      </c>
      <c r="E366" s="2">
        <f>IF(A366&lt;&gt;"", VLOOKUP(A366, imdb_netflix_v5!A$2:H$7370, 5, FALSE), "")</f>
        <v>1936</v>
      </c>
      <c r="F366" s="2" t="str">
        <f>IF(A366&lt;&gt;"", VLOOKUP(A366, imdb_netflix_v5!A$2:H$7370, 7, FALSE), "")</f>
        <v>NA</v>
      </c>
    </row>
    <row r="367" ht="15.75" customHeight="1">
      <c r="A367" s="1" t="str">
        <f>IFERROR(__xludf.DUMMYFUNCTION("""COMPUTED_VALUE"""),"futurama")</f>
        <v>futurama</v>
      </c>
      <c r="B367" s="1" t="str">
        <f>IF(A367&lt;&gt;"", VLOOKUP(A367, imdb_netflix_v5!A$2:H$7370, 2, FALSE), "")</f>
        <v>TV Show</v>
      </c>
      <c r="C367" s="2" t="str">
        <f>IF(A367&lt;&gt;"", VLOOKUP(A367, imdb_netflix_v5!A$2:H$7370, 3, FALSE), "")</f>
        <v>Adventure, Animation, Comedy</v>
      </c>
      <c r="D367" s="2">
        <f>IF(A367&lt;&gt;"", VLOOKUP(A367, imdb_netflix_v5!A$2:H$7370, 4, FALSE), "")</f>
        <v>8.5</v>
      </c>
      <c r="E367" s="2">
        <f>IF(A367&lt;&gt;"", VLOOKUP(A367, imdb_netflix_v5!A$2:H$7370, 5, FALSE), "")</f>
        <v>1999</v>
      </c>
      <c r="F367" s="2" t="str">
        <f>IF(A367&lt;&gt;"", VLOOKUP(A367, imdb_netflix_v5!A$2:H$7370, 7, FALSE), "")</f>
        <v>NA</v>
      </c>
    </row>
    <row r="368" ht="15.75" customHeight="1">
      <c r="A368" s="1" t="str">
        <f>IFERROR(__xludf.DUMMYFUNCTION("""COMPUTED_VALUE"""),"spartacus")</f>
        <v>spartacus</v>
      </c>
      <c r="B368" s="1" t="str">
        <f>IF(A368&lt;&gt;"", VLOOKUP(A368, imdb_netflix_v5!A$2:H$7370, 2, FALSE), "")</f>
        <v>TV Show</v>
      </c>
      <c r="C368" s="2" t="str">
        <f>IF(A368&lt;&gt;"", VLOOKUP(A368, imdb_netflix_v5!A$2:H$7370, 3, FALSE), "")</f>
        <v>Action, Adventure, Biography</v>
      </c>
      <c r="D368" s="2">
        <f>IF(A368&lt;&gt;"", VLOOKUP(A368, imdb_netflix_v5!A$2:H$7370, 4, FALSE), "")</f>
        <v>8.5</v>
      </c>
      <c r="E368" s="2">
        <f>IF(A368&lt;&gt;"", VLOOKUP(A368, imdb_netflix_v5!A$2:H$7370, 5, FALSE), "")</f>
        <v>2010</v>
      </c>
      <c r="F368" s="2" t="str">
        <f>IF(A368&lt;&gt;"", VLOOKUP(A368, imdb_netflix_v5!A$2:H$7370, 7, FALSE), "")</f>
        <v>NA</v>
      </c>
    </row>
    <row r="369" ht="15.75" customHeight="1">
      <c r="A369" s="1" t="str">
        <f>IFERROR(__xludf.DUMMYFUNCTION("""COMPUTED_VALUE"""),"the bear")</f>
        <v>the bear</v>
      </c>
      <c r="B369" s="1" t="str">
        <f>IF(A369&lt;&gt;"", VLOOKUP(A369, imdb_netflix_v5!A$2:H$7370, 2, FALSE), "")</f>
        <v>TV Show</v>
      </c>
      <c r="C369" s="2" t="str">
        <f>IF(A369&lt;&gt;"", VLOOKUP(A369, imdb_netflix_v5!A$2:H$7370, 3, FALSE), "")</f>
        <v>Comedy, Drama</v>
      </c>
      <c r="D369" s="2">
        <f>IF(A369&lt;&gt;"", VLOOKUP(A369, imdb_netflix_v5!A$2:H$7370, 4, FALSE), "")</f>
        <v>8.5</v>
      </c>
      <c r="E369" s="2">
        <f>IF(A369&lt;&gt;"", VLOOKUP(A369, imdb_netflix_v5!A$2:H$7370, 5, FALSE), "")</f>
        <v>2022</v>
      </c>
      <c r="F369" s="2" t="str">
        <f>IF(A369&lt;&gt;"", VLOOKUP(A369, imdb_netflix_v5!A$2:H$7370, 7, FALSE), "")</f>
        <v>NA</v>
      </c>
    </row>
    <row r="370" ht="15.75" customHeight="1">
      <c r="A370" s="1" t="str">
        <f>IFERROR(__xludf.DUMMYFUNCTION("""COMPUTED_VALUE"""),"doctor who")</f>
        <v>doctor who</v>
      </c>
      <c r="B370" s="1" t="str">
        <f>IF(A370&lt;&gt;"", VLOOKUP(A370, imdb_netflix_v5!A$2:H$7370, 2, FALSE), "")</f>
        <v>TV Show</v>
      </c>
      <c r="C370" s="2" t="str">
        <f>IF(A370&lt;&gt;"", VLOOKUP(A370, imdb_netflix_v5!A$2:H$7370, 3, FALSE), "")</f>
        <v>Adventure, Drama, Sci-Fi</v>
      </c>
      <c r="D370" s="2">
        <f>IF(A370&lt;&gt;"", VLOOKUP(A370, imdb_netflix_v5!A$2:H$7370, 4, FALSE), "")</f>
        <v>8.5</v>
      </c>
      <c r="E370" s="2">
        <f>IF(A370&lt;&gt;"", VLOOKUP(A370, imdb_netflix_v5!A$2:H$7370, 5, FALSE), "")</f>
        <v>2005</v>
      </c>
      <c r="F370" s="2" t="str">
        <f>IF(A370&lt;&gt;"", VLOOKUP(A370, imdb_netflix_v5!A$2:H$7370, 7, FALSE), "")</f>
        <v>NA</v>
      </c>
    </row>
    <row r="371" ht="15.75" customHeight="1">
      <c r="A371" s="1" t="str">
        <f>IFERROR(__xludf.DUMMYFUNCTION("""COMPUTED_VALUE"""),"city lights")</f>
        <v>city lights</v>
      </c>
      <c r="B371" s="1" t="str">
        <f>IF(A371&lt;&gt;"", VLOOKUP(A371, imdb_netflix_v5!A$2:H$7370, 2, FALSE), "")</f>
        <v>Movie</v>
      </c>
      <c r="C371" s="2" t="str">
        <f>IF(A371&lt;&gt;"", VLOOKUP(A371, imdb_netflix_v5!A$2:H$7370, 3, FALSE), "")</f>
        <v>Comedy, Drama, Romance</v>
      </c>
      <c r="D371" s="2">
        <f>IF(A371&lt;&gt;"", VLOOKUP(A371, imdb_netflix_v5!A$2:H$7370, 4, FALSE), "")</f>
        <v>8.5</v>
      </c>
      <c r="E371" s="2">
        <f>IF(A371&lt;&gt;"", VLOOKUP(A371, imdb_netflix_v5!A$2:H$7370, 5, FALSE), "")</f>
        <v>1931</v>
      </c>
      <c r="F371" s="2" t="str">
        <f>IF(A371&lt;&gt;"", VLOOKUP(A371, imdb_netflix_v5!A$2:H$7370, 7, FALSE), "")</f>
        <v>NA</v>
      </c>
    </row>
    <row r="372" ht="15.75" customHeight="1">
      <c r="A372" s="1" t="str">
        <f>IFERROR(__xludf.DUMMYFUNCTION("""COMPUTED_VALUE"""),"person of interest")</f>
        <v>person of interest</v>
      </c>
      <c r="B372" s="1" t="str">
        <f>IF(A372&lt;&gt;"", VLOOKUP(A372, imdb_netflix_v5!A$2:H$7370, 2, FALSE), "")</f>
        <v>TV Show</v>
      </c>
      <c r="C372" s="2" t="str">
        <f>IF(A372&lt;&gt;"", VLOOKUP(A372, imdb_netflix_v5!A$2:H$7370, 3, FALSE), "")</f>
        <v>Action, Crime, Drama</v>
      </c>
      <c r="D372" s="2">
        <f>IF(A372&lt;&gt;"", VLOOKUP(A372, imdb_netflix_v5!A$2:H$7370, 4, FALSE), "")</f>
        <v>8.5</v>
      </c>
      <c r="E372" s="2">
        <f>IF(A372&lt;&gt;"", VLOOKUP(A372, imdb_netflix_v5!A$2:H$7370, 5, FALSE), "")</f>
        <v>2011</v>
      </c>
      <c r="F372" s="2" t="str">
        <f>IF(A372&lt;&gt;"", VLOOKUP(A372, imdb_netflix_v5!A$2:H$7370, 7, FALSE), "")</f>
        <v>NA</v>
      </c>
    </row>
    <row r="373" ht="15.75" customHeight="1">
      <c r="A373" s="1" t="str">
        <f>IFERROR(__xludf.DUMMYFUNCTION("""COMPUTED_VALUE"""),"the expanse")</f>
        <v>the expanse</v>
      </c>
      <c r="B373" s="1" t="str">
        <f>IF(A373&lt;&gt;"", VLOOKUP(A373, imdb_netflix_v5!A$2:H$7370, 2, FALSE), "")</f>
        <v>TV Show</v>
      </c>
      <c r="C373" s="2" t="str">
        <f>IF(A373&lt;&gt;"", VLOOKUP(A373, imdb_netflix_v5!A$2:H$7370, 3, FALSE), "")</f>
        <v>Drama, Mystery, Sci-Fi</v>
      </c>
      <c r="D373" s="2">
        <f>IF(A373&lt;&gt;"", VLOOKUP(A373, imdb_netflix_v5!A$2:H$7370, 4, FALSE), "")</f>
        <v>8.5</v>
      </c>
      <c r="E373" s="2">
        <f>IF(A373&lt;&gt;"", VLOOKUP(A373, imdb_netflix_v5!A$2:H$7370, 5, FALSE), "")</f>
        <v>2015</v>
      </c>
      <c r="F373" s="2" t="str">
        <f>IF(A373&lt;&gt;"", VLOOKUP(A373, imdb_netflix_v5!A$2:H$7370, 7, FALSE), "")</f>
        <v>NA</v>
      </c>
    </row>
    <row r="374" ht="15.75" customHeight="1">
      <c r="A374" s="1" t="str">
        <f>IFERROR(__xludf.DUMMYFUNCTION("""COMPUTED_VALUE"""),"the last kingdom")</f>
        <v>the last kingdom</v>
      </c>
      <c r="B374" s="1" t="str">
        <f>IF(A374&lt;&gt;"", VLOOKUP(A374, imdb_netflix_v5!A$2:H$7370, 2, FALSE), "")</f>
        <v>TV Show</v>
      </c>
      <c r="C374" s="2" t="str">
        <f>IF(A374&lt;&gt;"", VLOOKUP(A374, imdb_netflix_v5!A$2:H$7370, 3, FALSE), "")</f>
        <v>Action, Drama, History</v>
      </c>
      <c r="D374" s="2">
        <f>IF(A374&lt;&gt;"", VLOOKUP(A374, imdb_netflix_v5!A$2:H$7370, 4, FALSE), "")</f>
        <v>8.5</v>
      </c>
      <c r="E374" s="2">
        <f>IF(A374&lt;&gt;"", VLOOKUP(A374, imdb_netflix_v5!A$2:H$7370, 5, FALSE), "")</f>
        <v>2015</v>
      </c>
      <c r="F374" s="2">
        <f>IF(A374&lt;&gt;"", VLOOKUP(A374, imdb_netflix_v5!A$2:H$7370, 7, FALSE), "")</f>
        <v>12970000</v>
      </c>
    </row>
    <row r="375" ht="15.75" customHeight="1">
      <c r="A375" s="1" t="str">
        <f>IFERROR(__xludf.DUMMYFUNCTION("""COMPUTED_VALUE"""),"silicon valley")</f>
        <v>silicon valley</v>
      </c>
      <c r="B375" s="1" t="str">
        <f>IF(A375&lt;&gt;"", VLOOKUP(A375, imdb_netflix_v5!A$2:H$7370, 2, FALSE), "")</f>
        <v>TV Show</v>
      </c>
      <c r="C375" s="2" t="str">
        <f>IF(A375&lt;&gt;"", VLOOKUP(A375, imdb_netflix_v5!A$2:H$7370, 3, FALSE), "")</f>
        <v>Comedy</v>
      </c>
      <c r="D375" s="2">
        <f>IF(A375&lt;&gt;"", VLOOKUP(A375, imdb_netflix_v5!A$2:H$7370, 4, FALSE), "")</f>
        <v>8.5</v>
      </c>
      <c r="E375" s="2">
        <f>IF(A375&lt;&gt;"", VLOOKUP(A375, imdb_netflix_v5!A$2:H$7370, 5, FALSE), "")</f>
        <v>2014</v>
      </c>
      <c r="F375" s="2" t="str">
        <f>IF(A375&lt;&gt;"", VLOOKUP(A375, imdb_netflix_v5!A$2:H$7370, 7, FALSE), "")</f>
        <v>NA</v>
      </c>
    </row>
    <row r="376" ht="15.75" customHeight="1">
      <c r="A376" s="1" t="str">
        <f>IFERROR(__xludf.DUMMYFUNCTION("""COMPUTED_VALUE"""),"the it crowd")</f>
        <v>the it crowd</v>
      </c>
      <c r="B376" s="1" t="str">
        <f>IF(A376&lt;&gt;"", VLOOKUP(A376, imdb_netflix_v5!A$2:H$7370, 2, FALSE), "")</f>
        <v>TV Show</v>
      </c>
      <c r="C376" s="2" t="str">
        <f>IF(A376&lt;&gt;"", VLOOKUP(A376, imdb_netflix_v5!A$2:H$7370, 3, FALSE), "")</f>
        <v>Comedy</v>
      </c>
      <c r="D376" s="2">
        <f>IF(A376&lt;&gt;"", VLOOKUP(A376, imdb_netflix_v5!A$2:H$7370, 4, FALSE), "")</f>
        <v>8.5</v>
      </c>
      <c r="E376" s="2">
        <f>IF(A376&lt;&gt;"", VLOOKUP(A376, imdb_netflix_v5!A$2:H$7370, 5, FALSE), "")</f>
        <v>2006</v>
      </c>
      <c r="F376" s="2" t="str">
        <f>IF(A376&lt;&gt;"", VLOOKUP(A376, imdb_netflix_v5!A$2:H$7370, 7, FALSE), "")</f>
        <v>NA</v>
      </c>
    </row>
    <row r="377" ht="15.75" customHeight="1">
      <c r="A377" s="1" t="str">
        <f>IFERROR(__xludf.DUMMYFUNCTION("""COMPUTED_VALUE"""),"schitts creek")</f>
        <v>schitts creek</v>
      </c>
      <c r="B377" s="1" t="str">
        <f>IF(A377&lt;&gt;"", VLOOKUP(A377, imdb_netflix_v5!A$2:H$7370, 2, FALSE), "")</f>
        <v>TV Show</v>
      </c>
      <c r="C377" s="2" t="str">
        <f>IF(A377&lt;&gt;"", VLOOKUP(A377, imdb_netflix_v5!A$2:H$7370, 3, FALSE), "")</f>
        <v>Comedy</v>
      </c>
      <c r="D377" s="2">
        <f>IF(A377&lt;&gt;"", VLOOKUP(A377, imdb_netflix_v5!A$2:H$7370, 4, FALSE), "")</f>
        <v>8.5</v>
      </c>
      <c r="E377" s="2">
        <f>IF(A377&lt;&gt;"", VLOOKUP(A377, imdb_netflix_v5!A$2:H$7370, 5, FALSE), "")</f>
        <v>2015</v>
      </c>
      <c r="F377" s="2" t="str">
        <f>IF(A377&lt;&gt;"", VLOOKUP(A377, imdb_netflix_v5!A$2:H$7370, 7, FALSE), "")</f>
        <v>NA</v>
      </c>
    </row>
    <row r="378" ht="15.75" customHeight="1">
      <c r="A378" s="1" t="str">
        <f>IFERROR(__xludf.DUMMYFUNCTION("""COMPUTED_VALUE"""),"spartacus gods of the arena")</f>
        <v>spartacus gods of the arena</v>
      </c>
      <c r="B378" s="1" t="str">
        <f>IF(A378&lt;&gt;"", VLOOKUP(A378, imdb_netflix_v5!A$2:H$7370, 2, FALSE), "")</f>
        <v>TV Show</v>
      </c>
      <c r="C378" s="2" t="str">
        <f>IF(A378&lt;&gt;"", VLOOKUP(A378, imdb_netflix_v5!A$2:H$7370, 3, FALSE), "")</f>
        <v>Action, Adventure, Biography</v>
      </c>
      <c r="D378" s="2">
        <f>IF(A378&lt;&gt;"", VLOOKUP(A378, imdb_netflix_v5!A$2:H$7370, 4, FALSE), "")</f>
        <v>8.5</v>
      </c>
      <c r="E378" s="2">
        <f>IF(A378&lt;&gt;"", VLOOKUP(A378, imdb_netflix_v5!A$2:H$7370, 5, FALSE), "")</f>
        <v>2011</v>
      </c>
      <c r="F378" s="2" t="str">
        <f>IF(A378&lt;&gt;"", VLOOKUP(A378, imdb_netflix_v5!A$2:H$7370, 7, FALSE), "")</f>
        <v>NA</v>
      </c>
    </row>
    <row r="379" ht="15.75" customHeight="1">
      <c r="A379" s="1" t="str">
        <f>IFERROR(__xludf.DUMMYFUNCTION("""COMPUTED_VALUE"""),"jujutsu kaisen")</f>
        <v>jujutsu kaisen</v>
      </c>
      <c r="B379" s="1" t="str">
        <f>IF(A379&lt;&gt;"", VLOOKUP(A379, imdb_netflix_v5!A$2:H$7370, 2, FALSE), "")</f>
        <v>TV Show</v>
      </c>
      <c r="C379" s="2" t="str">
        <f>IF(A379&lt;&gt;"", VLOOKUP(A379, imdb_netflix_v5!A$2:H$7370, 3, FALSE), "")</f>
        <v>Action, Adventure, Animation</v>
      </c>
      <c r="D379" s="2">
        <f>IF(A379&lt;&gt;"", VLOOKUP(A379, imdb_netflix_v5!A$2:H$7370, 4, FALSE), "")</f>
        <v>8.5</v>
      </c>
      <c r="E379" s="2">
        <f>IF(A379&lt;&gt;"", VLOOKUP(A379, imdb_netflix_v5!A$2:H$7370, 5, FALSE), "")</f>
        <v>2020</v>
      </c>
      <c r="F379" s="2">
        <f>IF(A379&lt;&gt;"", VLOOKUP(A379, imdb_netflix_v5!A$2:H$7370, 7, FALSE), "")</f>
        <v>2600000</v>
      </c>
    </row>
    <row r="380" ht="15.75" customHeight="1">
      <c r="A380" s="1" t="str">
        <f>IFERROR(__xludf.DUMMYFUNCTION("""COMPUTED_VALUE"""),"making a murderer")</f>
        <v>making a murderer</v>
      </c>
      <c r="B380" s="1" t="str">
        <f>IF(A380&lt;&gt;"", VLOOKUP(A380, imdb_netflix_v5!A$2:H$7370, 2, FALSE), "")</f>
        <v>TV Show</v>
      </c>
      <c r="C380" s="2" t="str">
        <f>IF(A380&lt;&gt;"", VLOOKUP(A380, imdb_netflix_v5!A$2:H$7370, 3, FALSE), "")</f>
        <v>Crime, Documentary</v>
      </c>
      <c r="D380" s="2">
        <f>IF(A380&lt;&gt;"", VLOOKUP(A380, imdb_netflix_v5!A$2:H$7370, 4, FALSE), "")</f>
        <v>8.5</v>
      </c>
      <c r="E380" s="2">
        <f>IF(A380&lt;&gt;"", VLOOKUP(A380, imdb_netflix_v5!A$2:H$7370, 5, FALSE), "")</f>
        <v>2015</v>
      </c>
      <c r="F380" s="2" t="str">
        <f>IF(A380&lt;&gt;"", VLOOKUP(A380, imdb_netflix_v5!A$2:H$7370, 7, FALSE), "")</f>
        <v>NA</v>
      </c>
    </row>
    <row r="381" ht="15.75" customHeight="1">
      <c r="A381" s="1" t="str">
        <f>IFERROR(__xludf.DUMMYFUNCTION("""COMPUTED_VALUE"""),"sacred games")</f>
        <v>sacred games</v>
      </c>
      <c r="B381" s="1" t="str">
        <f>IF(A381&lt;&gt;"", VLOOKUP(A381, imdb_netflix_v5!A$2:H$7370, 2, FALSE), "")</f>
        <v>TV Show</v>
      </c>
      <c r="C381" s="2" t="str">
        <f>IF(A381&lt;&gt;"", VLOOKUP(A381, imdb_netflix_v5!A$2:H$7370, 3, FALSE), "")</f>
        <v>Action, Crime, Drama</v>
      </c>
      <c r="D381" s="2">
        <f>IF(A381&lt;&gt;"", VLOOKUP(A381, imdb_netflix_v5!A$2:H$7370, 4, FALSE), "")</f>
        <v>8.5</v>
      </c>
      <c r="E381" s="2">
        <f>IF(A381&lt;&gt;"", VLOOKUP(A381, imdb_netflix_v5!A$2:H$7370, 5, FALSE), "")</f>
        <v>2018</v>
      </c>
      <c r="F381" s="2" t="str">
        <f>IF(A381&lt;&gt;"", VLOOKUP(A381, imdb_netflix_v5!A$2:H$7370, 7, FALSE), "")</f>
        <v>NA</v>
      </c>
    </row>
    <row r="382" ht="15.75" customHeight="1">
      <c r="A382" s="1" t="str">
        <f>IFERROR(__xludf.DUMMYFUNCTION("""COMPUTED_VALUE"""),"neon genesis evangelion")</f>
        <v>neon genesis evangelion</v>
      </c>
      <c r="B382" s="1" t="str">
        <f>IF(A382&lt;&gt;"", VLOOKUP(A382, imdb_netflix_v5!A$2:H$7370, 2, FALSE), "")</f>
        <v>TV Show</v>
      </c>
      <c r="C382" s="2" t="str">
        <f>IF(A382&lt;&gt;"", VLOOKUP(A382, imdb_netflix_v5!A$2:H$7370, 3, FALSE), "")</f>
        <v>Action, Animation, Drama</v>
      </c>
      <c r="D382" s="2">
        <f>IF(A382&lt;&gt;"", VLOOKUP(A382, imdb_netflix_v5!A$2:H$7370, 4, FALSE), "")</f>
        <v>8.5</v>
      </c>
      <c r="E382" s="2">
        <f>IF(A382&lt;&gt;"", VLOOKUP(A382, imdb_netflix_v5!A$2:H$7370, 5, FALSE), "")</f>
        <v>1995</v>
      </c>
      <c r="F382" s="2" t="str">
        <f>IF(A382&lt;&gt;"", VLOOKUP(A382, imdb_netflix_v5!A$2:H$7370, 7, FALSE), "")</f>
        <v>NA</v>
      </c>
    </row>
    <row r="383" ht="15.75" customHeight="1">
      <c r="A383" s="1" t="str">
        <f>IFERROR(__xludf.DUMMYFUNCTION("""COMPUTED_VALUE"""),"bosch")</f>
        <v>bosch</v>
      </c>
      <c r="B383" s="1" t="str">
        <f>IF(A383&lt;&gt;"", VLOOKUP(A383, imdb_netflix_v5!A$2:H$7370, 2, FALSE), "")</f>
        <v>TV Show</v>
      </c>
      <c r="C383" s="2" t="str">
        <f>IF(A383&lt;&gt;"", VLOOKUP(A383, imdb_netflix_v5!A$2:H$7370, 3, FALSE), "")</f>
        <v>Crime, Drama</v>
      </c>
      <c r="D383" s="2">
        <f>IF(A383&lt;&gt;"", VLOOKUP(A383, imdb_netflix_v5!A$2:H$7370, 4, FALSE), "")</f>
        <v>8.5</v>
      </c>
      <c r="E383" s="2">
        <f>IF(A383&lt;&gt;"", VLOOKUP(A383, imdb_netflix_v5!A$2:H$7370, 5, FALSE), "")</f>
        <v>2014</v>
      </c>
      <c r="F383" s="2" t="str">
        <f>IF(A383&lt;&gt;"", VLOOKUP(A383, imdb_netflix_v5!A$2:H$7370, 7, FALSE), "")</f>
        <v>NA</v>
      </c>
    </row>
    <row r="384" ht="15.75" customHeight="1">
      <c r="A384" s="1" t="str">
        <f>IFERROR(__xludf.DUMMYFUNCTION("""COMPUTED_VALUE"""),"heartstopper")</f>
        <v>heartstopper</v>
      </c>
      <c r="B384" s="1" t="str">
        <f>IF(A384&lt;&gt;"", VLOOKUP(A384, imdb_netflix_v5!A$2:H$7370, 2, FALSE), "")</f>
        <v>TV Show</v>
      </c>
      <c r="C384" s="2" t="str">
        <f>IF(A384&lt;&gt;"", VLOOKUP(A384, imdb_netflix_v5!A$2:H$7370, 3, FALSE), "")</f>
        <v>Drama, Romance</v>
      </c>
      <c r="D384" s="2">
        <f>IF(A384&lt;&gt;"", VLOOKUP(A384, imdb_netflix_v5!A$2:H$7370, 4, FALSE), "")</f>
        <v>8.5</v>
      </c>
      <c r="E384" s="2">
        <f>IF(A384&lt;&gt;"", VLOOKUP(A384, imdb_netflix_v5!A$2:H$7370, 5, FALSE), "")</f>
        <v>2022</v>
      </c>
      <c r="F384" s="2">
        <f>IF(A384&lt;&gt;"", VLOOKUP(A384, imdb_netflix_v5!A$2:H$7370, 7, FALSE), "")</f>
        <v>8300000</v>
      </c>
    </row>
    <row r="385" ht="15.75" customHeight="1">
      <c r="A385" s="1" t="str">
        <f>IFERROR(__xludf.DUMMYFUNCTION("""COMPUTED_VALUE"""),"louie")</f>
        <v>louie</v>
      </c>
      <c r="B385" s="1" t="str">
        <f>IF(A385&lt;&gt;"", VLOOKUP(A385, imdb_netflix_v5!A$2:H$7370, 2, FALSE), "")</f>
        <v>TV Show</v>
      </c>
      <c r="C385" s="2" t="str">
        <f>IF(A385&lt;&gt;"", VLOOKUP(A385, imdb_netflix_v5!A$2:H$7370, 3, FALSE), "")</f>
        <v>Comedy, Drama</v>
      </c>
      <c r="D385" s="2">
        <f>IF(A385&lt;&gt;"", VLOOKUP(A385, imdb_netflix_v5!A$2:H$7370, 4, FALSE), "")</f>
        <v>8.5</v>
      </c>
      <c r="E385" s="2">
        <f>IF(A385&lt;&gt;"", VLOOKUP(A385, imdb_netflix_v5!A$2:H$7370, 5, FALSE), "")</f>
        <v>2010</v>
      </c>
      <c r="F385" s="2" t="str">
        <f>IF(A385&lt;&gt;"", VLOOKUP(A385, imdb_netflix_v5!A$2:H$7370, 7, FALSE), "")</f>
        <v>NA</v>
      </c>
    </row>
    <row r="386" ht="15.75" customHeight="1">
      <c r="A386" s="1" t="str">
        <f>IFERROR(__xludf.DUMMYFUNCTION("""COMPUTED_VALUE"""),"fullmetal alchemist")</f>
        <v>fullmetal alchemist</v>
      </c>
      <c r="B386" s="1" t="str">
        <f>IF(A386&lt;&gt;"", VLOOKUP(A386, imdb_netflix_v5!A$2:H$7370, 2, FALSE), "")</f>
        <v>TV Show</v>
      </c>
      <c r="C386" s="2" t="str">
        <f>IF(A386&lt;&gt;"", VLOOKUP(A386, imdb_netflix_v5!A$2:H$7370, 3, FALSE), "")</f>
        <v>Action, Adventure, Animation</v>
      </c>
      <c r="D386" s="2">
        <f>IF(A386&lt;&gt;"", VLOOKUP(A386, imdb_netflix_v5!A$2:H$7370, 4, FALSE), "")</f>
        <v>8.5</v>
      </c>
      <c r="E386" s="2">
        <f>IF(A386&lt;&gt;"", VLOOKUP(A386, imdb_netflix_v5!A$2:H$7370, 5, FALSE), "")</f>
        <v>2003</v>
      </c>
      <c r="F386" s="2" t="str">
        <f>IF(A386&lt;&gt;"", VLOOKUP(A386, imdb_netflix_v5!A$2:H$7370, 7, FALSE), "")</f>
        <v>NA</v>
      </c>
    </row>
    <row r="387" ht="15.75" customHeight="1">
      <c r="A387" s="1" t="str">
        <f>IFERROR(__xludf.DUMMYFUNCTION("""COMPUTED_VALUE"""),"senna")</f>
        <v>senna</v>
      </c>
      <c r="B387" s="1" t="str">
        <f>IF(A387&lt;&gt;"", VLOOKUP(A387, imdb_netflix_v5!A$2:H$7370, 2, FALSE), "")</f>
        <v>Movie</v>
      </c>
      <c r="C387" s="2" t="str">
        <f>IF(A387&lt;&gt;"", VLOOKUP(A387, imdb_netflix_v5!A$2:H$7370, 3, FALSE), "")</f>
        <v>Biography, Documentary, Sport</v>
      </c>
      <c r="D387" s="2">
        <f>IF(A387&lt;&gt;"", VLOOKUP(A387, imdb_netflix_v5!A$2:H$7370, 4, FALSE), "")</f>
        <v>8.5</v>
      </c>
      <c r="E387" s="2">
        <f>IF(A387&lt;&gt;"", VLOOKUP(A387, imdb_netflix_v5!A$2:H$7370, 5, FALSE), "")</f>
        <v>2010</v>
      </c>
      <c r="F387" s="2" t="str">
        <f>IF(A387&lt;&gt;"", VLOOKUP(A387, imdb_netflix_v5!A$2:H$7370, 7, FALSE), "")</f>
        <v>NA</v>
      </c>
    </row>
    <row r="388" ht="15.75" customHeight="1">
      <c r="A388" s="1" t="str">
        <f>IFERROR(__xludf.DUMMYFUNCTION("""COMPUTED_VALUE"""),"sita ramam")</f>
        <v>sita ramam</v>
      </c>
      <c r="B388" s="1" t="str">
        <f>IF(A388&lt;&gt;"", VLOOKUP(A388, imdb_netflix_v5!A$2:H$7370, 2, FALSE), "")</f>
        <v>Movie</v>
      </c>
      <c r="C388" s="2" t="str">
        <f>IF(A388&lt;&gt;"", VLOOKUP(A388, imdb_netflix_v5!A$2:H$7370, 3, FALSE), "")</f>
        <v>Action, Drama, Mystery</v>
      </c>
      <c r="D388" s="2">
        <f>IF(A388&lt;&gt;"", VLOOKUP(A388, imdb_netflix_v5!A$2:H$7370, 4, FALSE), "")</f>
        <v>8.5</v>
      </c>
      <c r="E388" s="2">
        <f>IF(A388&lt;&gt;"", VLOOKUP(A388, imdb_netflix_v5!A$2:H$7370, 5, FALSE), "")</f>
        <v>2022</v>
      </c>
      <c r="F388" s="2" t="str">
        <f>IF(A388&lt;&gt;"", VLOOKUP(A388, imdb_netflix_v5!A$2:H$7370, 7, FALSE), "")</f>
        <v>NA</v>
      </c>
    </row>
    <row r="389" ht="15.75" customHeight="1">
      <c r="A389" s="1" t="str">
        <f>IFERROR(__xludf.DUMMYFUNCTION("""COMPUTED_VALUE"""),"dragon ball")</f>
        <v>dragon ball</v>
      </c>
      <c r="B389" s="1" t="str">
        <f>IF(A389&lt;&gt;"", VLOOKUP(A389, imdb_netflix_v5!A$2:H$7370, 2, FALSE), "")</f>
        <v>TV Show</v>
      </c>
      <c r="C389" s="2" t="str">
        <f>IF(A389&lt;&gt;"", VLOOKUP(A389, imdb_netflix_v5!A$2:H$7370, 3, FALSE), "")</f>
        <v>Action, Adventure, Animation</v>
      </c>
      <c r="D389" s="2">
        <f>IF(A389&lt;&gt;"", VLOOKUP(A389, imdb_netflix_v5!A$2:H$7370, 4, FALSE), "")</f>
        <v>8.5</v>
      </c>
      <c r="E389" s="2">
        <f>IF(A389&lt;&gt;"", VLOOKUP(A389, imdb_netflix_v5!A$2:H$7370, 5, FALSE), "")</f>
        <v>1986</v>
      </c>
      <c r="F389" s="2" t="str">
        <f>IF(A389&lt;&gt;"", VLOOKUP(A389, imdb_netflix_v5!A$2:H$7370, 7, FALSE), "")</f>
        <v>NA</v>
      </c>
    </row>
    <row r="390" ht="15.75" customHeight="1">
      <c r="A390" s="1" t="str">
        <f>IFERROR(__xludf.DUMMYFUNCTION("""COMPUTED_VALUE"""),"kaiva")</f>
        <v>kaiva</v>
      </c>
      <c r="B390" s="1" t="str">
        <f>IF(A390&lt;&gt;"", VLOOKUP(A390, imdb_netflix_v5!A$2:H$7370, 2, FALSE), "")</f>
        <v>Movie</v>
      </c>
      <c r="C390" s="2" t="str">
        <f>IF(A390&lt;&gt;"", VLOOKUP(A390, imdb_netflix_v5!A$2:H$7370, 3, FALSE), "")</f>
        <v>Action, Drama, Romance</v>
      </c>
      <c r="D390" s="2">
        <f>IF(A390&lt;&gt;"", VLOOKUP(A390, imdb_netflix_v5!A$2:H$7370, 4, FALSE), "")</f>
        <v>8.5</v>
      </c>
      <c r="E390" s="2">
        <f>IF(A390&lt;&gt;"", VLOOKUP(A390, imdb_netflix_v5!A$2:H$7370, 5, FALSE), "")</f>
        <v>2023</v>
      </c>
      <c r="F390" s="2" t="str">
        <f>IF(A390&lt;&gt;"", VLOOKUP(A390, imdb_netflix_v5!A$2:H$7370, 7, FALSE), "")</f>
        <v>NA</v>
      </c>
    </row>
    <row r="391" ht="15.75" customHeight="1">
      <c r="A391" s="1" t="str">
        <f>IFERROR(__xludf.DUMMYFUNCTION("""COMPUTED_VALUE"""),"happy valley")</f>
        <v>happy valley</v>
      </c>
      <c r="B391" s="1" t="str">
        <f>IF(A391&lt;&gt;"", VLOOKUP(A391, imdb_netflix_v5!A$2:H$7370, 2, FALSE), "")</f>
        <v>TV Show</v>
      </c>
      <c r="C391" s="2" t="str">
        <f>IF(A391&lt;&gt;"", VLOOKUP(A391, imdb_netflix_v5!A$2:H$7370, 3, FALSE), "")</f>
        <v>Crime, Drama, Thriller</v>
      </c>
      <c r="D391" s="2">
        <f>IF(A391&lt;&gt;"", VLOOKUP(A391, imdb_netflix_v5!A$2:H$7370, 4, FALSE), "")</f>
        <v>8.5</v>
      </c>
      <c r="E391" s="2">
        <f>IF(A391&lt;&gt;"", VLOOKUP(A391, imdb_netflix_v5!A$2:H$7370, 5, FALSE), "")</f>
        <v>2014</v>
      </c>
      <c r="F391" s="2" t="str">
        <f>IF(A391&lt;&gt;"", VLOOKUP(A391, imdb_netflix_v5!A$2:H$7370, 7, FALSE), "")</f>
        <v>NA</v>
      </c>
    </row>
    <row r="392" ht="15.75" customHeight="1">
      <c r="A392" s="1" t="str">
        <f>IFERROR(__xludf.DUMMYFUNCTION("""COMPUTED_VALUE"""),"flight of the conchords")</f>
        <v>flight of the conchords</v>
      </c>
      <c r="B392" s="1" t="str">
        <f>IF(A392&lt;&gt;"", VLOOKUP(A392, imdb_netflix_v5!A$2:H$7370, 2, FALSE), "")</f>
        <v>TV Show</v>
      </c>
      <c r="C392" s="2" t="str">
        <f>IF(A392&lt;&gt;"", VLOOKUP(A392, imdb_netflix_v5!A$2:H$7370, 3, FALSE), "")</f>
        <v>Comedy, Music, Musical</v>
      </c>
      <c r="D392" s="2">
        <f>IF(A392&lt;&gt;"", VLOOKUP(A392, imdb_netflix_v5!A$2:H$7370, 4, FALSE), "")</f>
        <v>8.5</v>
      </c>
      <c r="E392" s="2">
        <f>IF(A392&lt;&gt;"", VLOOKUP(A392, imdb_netflix_v5!A$2:H$7370, 5, FALSE), "")</f>
        <v>2007</v>
      </c>
      <c r="F392" s="2" t="str">
        <f>IF(A392&lt;&gt;"", VLOOKUP(A392, imdb_netflix_v5!A$2:H$7370, 7, FALSE), "")</f>
        <v>NA</v>
      </c>
    </row>
    <row r="393" ht="15.75" customHeight="1">
      <c r="A393" s="1" t="str">
        <f>IFERROR(__xludf.DUMMYFUNCTION("""COMPUTED_VALUE"""),"asur welcome to your dark side")</f>
        <v>asur welcome to your dark side</v>
      </c>
      <c r="B393" s="1" t="str">
        <f>IF(A393&lt;&gt;"", VLOOKUP(A393, imdb_netflix_v5!A$2:H$7370, 2, FALSE), "")</f>
        <v>TV Show</v>
      </c>
      <c r="C393" s="2" t="str">
        <f>IF(A393&lt;&gt;"", VLOOKUP(A393, imdb_netflix_v5!A$2:H$7370, 3, FALSE), "")</f>
        <v>Crime, Drama, Mystery</v>
      </c>
      <c r="D393" s="2">
        <f>IF(A393&lt;&gt;"", VLOOKUP(A393, imdb_netflix_v5!A$2:H$7370, 4, FALSE), "")</f>
        <v>8.5</v>
      </c>
      <c r="E393" s="2">
        <f>IF(A393&lt;&gt;"", VLOOKUP(A393, imdb_netflix_v5!A$2:H$7370, 5, FALSE), "")</f>
        <v>2020</v>
      </c>
      <c r="F393" s="2" t="str">
        <f>IF(A393&lt;&gt;"", VLOOKUP(A393, imdb_netflix_v5!A$2:H$7370, 7, FALSE), "")</f>
        <v>NA</v>
      </c>
    </row>
    <row r="394" ht="15.75" customHeight="1">
      <c r="A394" s="1" t="str">
        <f>IFERROR(__xludf.DUMMYFUNCTION("""COMPUTED_VALUE"""),"derry girls")</f>
        <v>derry girls</v>
      </c>
      <c r="B394" s="1" t="str">
        <f>IF(A394&lt;&gt;"", VLOOKUP(A394, imdb_netflix_v5!A$2:H$7370, 2, FALSE), "")</f>
        <v>TV Show</v>
      </c>
      <c r="C394" s="2" t="str">
        <f>IF(A394&lt;&gt;"", VLOOKUP(A394, imdb_netflix_v5!A$2:H$7370, 3, FALSE), "")</f>
        <v>Comedy</v>
      </c>
      <c r="D394" s="2">
        <f>IF(A394&lt;&gt;"", VLOOKUP(A394, imdb_netflix_v5!A$2:H$7370, 4, FALSE), "")</f>
        <v>8.5</v>
      </c>
      <c r="E394" s="2">
        <f>IF(A394&lt;&gt;"", VLOOKUP(A394, imdb_netflix_v5!A$2:H$7370, 5, FALSE), "")</f>
        <v>2018</v>
      </c>
      <c r="F394" s="2" t="str">
        <f>IF(A394&lt;&gt;"", VLOOKUP(A394, imdb_netflix_v5!A$2:H$7370, 7, FALSE), "")</f>
        <v>NA</v>
      </c>
    </row>
    <row r="395" ht="15.75" customHeight="1">
      <c r="A395" s="1" t="str">
        <f>IFERROR(__xludf.DUMMYFUNCTION("""COMPUTED_VALUE"""),"m*a*s*h")</f>
        <v>m*a*s*h</v>
      </c>
      <c r="B395" s="1" t="str">
        <f>IF(A395&lt;&gt;"", VLOOKUP(A395, imdb_netflix_v5!A$2:H$7370, 2, FALSE), "")</f>
        <v>TV Show</v>
      </c>
      <c r="C395" s="2" t="str">
        <f>IF(A395&lt;&gt;"", VLOOKUP(A395, imdb_netflix_v5!A$2:H$7370, 3, FALSE), "")</f>
        <v>Comedy, Drama, War</v>
      </c>
      <c r="D395" s="2">
        <f>IF(A395&lt;&gt;"", VLOOKUP(A395, imdb_netflix_v5!A$2:H$7370, 4, FALSE), "")</f>
        <v>8.5</v>
      </c>
      <c r="E395" s="2">
        <f>IF(A395&lt;&gt;"", VLOOKUP(A395, imdb_netflix_v5!A$2:H$7370, 5, FALSE), "")</f>
        <v>1972</v>
      </c>
      <c r="F395" s="2" t="str">
        <f>IF(A395&lt;&gt;"", VLOOKUP(A395, imdb_netflix_v5!A$2:H$7370, 7, FALSE), "")</f>
        <v>NA</v>
      </c>
    </row>
    <row r="396" ht="15.75" customHeight="1">
      <c r="A396" s="1" t="str">
        <f>IFERROR(__xludf.DUMMYFUNCTION("""COMPUTED_VALUE"""),"regular show")</f>
        <v>regular show</v>
      </c>
      <c r="B396" s="1" t="str">
        <f>IF(A396&lt;&gt;"", VLOOKUP(A396, imdb_netflix_v5!A$2:H$7370, 2, FALSE), "")</f>
        <v>TV Show</v>
      </c>
      <c r="C396" s="2" t="str">
        <f>IF(A396&lt;&gt;"", VLOOKUP(A396, imdb_netflix_v5!A$2:H$7370, 3, FALSE), "")</f>
        <v>Action, Adventure, Animation</v>
      </c>
      <c r="D396" s="2">
        <f>IF(A396&lt;&gt;"", VLOOKUP(A396, imdb_netflix_v5!A$2:H$7370, 4, FALSE), "")</f>
        <v>8.5</v>
      </c>
      <c r="E396" s="2">
        <f>IF(A396&lt;&gt;"", VLOOKUP(A396, imdb_netflix_v5!A$2:H$7370, 5, FALSE), "")</f>
        <v>2010</v>
      </c>
      <c r="F396" s="2" t="str">
        <f>IF(A396&lt;&gt;"", VLOOKUP(A396, imdb_netflix_v5!A$2:H$7370, 7, FALSE), "")</f>
        <v>NA</v>
      </c>
    </row>
    <row r="397" ht="15.75" customHeight="1">
      <c r="A397" s="1" t="str">
        <f>IFERROR(__xludf.DUMMYFUNCTION("""COMPUTED_VALUE"""),"samurai jack")</f>
        <v>samurai jack</v>
      </c>
      <c r="B397" s="1" t="str">
        <f>IF(A397&lt;&gt;"", VLOOKUP(A397, imdb_netflix_v5!A$2:H$7370, 2, FALSE), "")</f>
        <v>TV Show</v>
      </c>
      <c r="C397" s="2" t="str">
        <f>IF(A397&lt;&gt;"", VLOOKUP(A397, imdb_netflix_v5!A$2:H$7370, 3, FALSE), "")</f>
        <v>Action, Adventure, Animation</v>
      </c>
      <c r="D397" s="2">
        <f>IF(A397&lt;&gt;"", VLOOKUP(A397, imdb_netflix_v5!A$2:H$7370, 4, FALSE), "")</f>
        <v>8.5</v>
      </c>
      <c r="E397" s="2">
        <f>IF(A397&lt;&gt;"", VLOOKUP(A397, imdb_netflix_v5!A$2:H$7370, 5, FALSE), "")</f>
        <v>2001</v>
      </c>
      <c r="F397" s="2" t="str">
        <f>IF(A397&lt;&gt;"", VLOOKUP(A397, imdb_netflix_v5!A$2:H$7370, 7, FALSE), "")</f>
        <v>NA</v>
      </c>
    </row>
    <row r="398" ht="15.75" customHeight="1">
      <c r="A398" s="1" t="str">
        <f>IFERROR(__xludf.DUMMYFUNCTION("""COMPUTED_VALUE"""),"spaced")</f>
        <v>spaced</v>
      </c>
      <c r="B398" s="1" t="str">
        <f>IF(A398&lt;&gt;"", VLOOKUP(A398, imdb_netflix_v5!A$2:H$7370, 2, FALSE), "")</f>
        <v>TV Show</v>
      </c>
      <c r="C398" s="2" t="str">
        <f>IF(A398&lt;&gt;"", VLOOKUP(A398, imdb_netflix_v5!A$2:H$7370, 3, FALSE), "")</f>
        <v>Comedy</v>
      </c>
      <c r="D398" s="2">
        <f>IF(A398&lt;&gt;"", VLOOKUP(A398, imdb_netflix_v5!A$2:H$7370, 4, FALSE), "")</f>
        <v>8.5</v>
      </c>
      <c r="E398" s="2">
        <f>IF(A398&lt;&gt;"", VLOOKUP(A398, imdb_netflix_v5!A$2:H$7370, 5, FALSE), "")</f>
        <v>1999</v>
      </c>
      <c r="F398" s="2" t="str">
        <f>IF(A398&lt;&gt;"", VLOOKUP(A398, imdb_netflix_v5!A$2:H$7370, 7, FALSE), "")</f>
        <v>NA</v>
      </c>
    </row>
    <row r="399" ht="15.75" customHeight="1">
      <c r="A399" s="1" t="str">
        <f>IFERROR(__xludf.DUMMYFUNCTION("""COMPUTED_VALUE"""),"samurai champloo")</f>
        <v>samurai champloo</v>
      </c>
      <c r="B399" s="1" t="str">
        <f>IF(A399&lt;&gt;"", VLOOKUP(A399, imdb_netflix_v5!A$2:H$7370, 2, FALSE), "")</f>
        <v>TV Show</v>
      </c>
      <c r="C399" s="2" t="str">
        <f>IF(A399&lt;&gt;"", VLOOKUP(A399, imdb_netflix_v5!A$2:H$7370, 3, FALSE), "")</f>
        <v>Action, Adventure, Animation</v>
      </c>
      <c r="D399" s="2">
        <f>IF(A399&lt;&gt;"", VLOOKUP(A399, imdb_netflix_v5!A$2:H$7370, 4, FALSE), "")</f>
        <v>8.5</v>
      </c>
      <c r="E399" s="2">
        <f>IF(A399&lt;&gt;"", VLOOKUP(A399, imdb_netflix_v5!A$2:H$7370, 5, FALSE), "")</f>
        <v>2004</v>
      </c>
      <c r="F399" s="2" t="str">
        <f>IF(A399&lt;&gt;"", VLOOKUP(A399, imdb_netflix_v5!A$2:H$7370, 7, FALSE), "")</f>
        <v>NA</v>
      </c>
    </row>
    <row r="400" ht="15.75" customHeight="1">
      <c r="A400" s="1" t="str">
        <f>IFERROR(__xludf.DUMMYFUNCTION("""COMPUTED_VALUE"""),"maharaja")</f>
        <v>maharaja</v>
      </c>
      <c r="B400" s="1" t="str">
        <f>IF(A400&lt;&gt;"", VLOOKUP(A400, imdb_netflix_v5!A$2:H$7370, 2, FALSE), "")</f>
        <v>Movie</v>
      </c>
      <c r="C400" s="2" t="str">
        <f>IF(A400&lt;&gt;"", VLOOKUP(A400, imdb_netflix_v5!A$2:H$7370, 3, FALSE), "")</f>
        <v>Action, Crime, Drama</v>
      </c>
      <c r="D400" s="2">
        <f>IF(A400&lt;&gt;"", VLOOKUP(A400, imdb_netflix_v5!A$2:H$7370, 4, FALSE), "")</f>
        <v>8.5</v>
      </c>
      <c r="E400" s="2">
        <f>IF(A400&lt;&gt;"", VLOOKUP(A400, imdb_netflix_v5!A$2:H$7370, 5, FALSE), "")</f>
        <v>2024</v>
      </c>
      <c r="F400" s="2" t="str">
        <f>IF(A400&lt;&gt;"", VLOOKUP(A400, imdb_netflix_v5!A$2:H$7370, 7, FALSE), "")</f>
        <v>NA</v>
      </c>
    </row>
    <row r="401" ht="15.75" customHeight="1">
      <c r="A401" s="1" t="str">
        <f>IFERROR(__xludf.DUMMYFUNCTION("""COMPUTED_VALUE"""),"justice league")</f>
        <v>justice league</v>
      </c>
      <c r="B401" s="1" t="str">
        <f>IF(A401&lt;&gt;"", VLOOKUP(A401, imdb_netflix_v5!A$2:H$7370, 2, FALSE), "")</f>
        <v>TV Show</v>
      </c>
      <c r="C401" s="2" t="str">
        <f>IF(A401&lt;&gt;"", VLOOKUP(A401, imdb_netflix_v5!A$2:H$7370, 3, FALSE), "")</f>
        <v>Action, Adventure, Animation</v>
      </c>
      <c r="D401" s="2">
        <f>IF(A401&lt;&gt;"", VLOOKUP(A401, imdb_netflix_v5!A$2:H$7370, 4, FALSE), "")</f>
        <v>8.5</v>
      </c>
      <c r="E401" s="2">
        <f>IF(A401&lt;&gt;"", VLOOKUP(A401, imdb_netflix_v5!A$2:H$7370, 5, FALSE), "")</f>
        <v>2001</v>
      </c>
      <c r="F401" s="2" t="str">
        <f>IF(A401&lt;&gt;"", VLOOKUP(A401, imdb_netflix_v5!A$2:H$7370, 7, FALSE), "")</f>
        <v>NA</v>
      </c>
    </row>
    <row r="402" ht="15.75" customHeight="1">
      <c r="A402" s="1" t="str">
        <f>IFERROR(__xludf.DUMMYFUNCTION("""COMPUTED_VALUE"""),"formula 1 drive to survive")</f>
        <v>formula 1 drive to survive</v>
      </c>
      <c r="B402" s="1" t="str">
        <f>IF(A402&lt;&gt;"", VLOOKUP(A402, imdb_netflix_v5!A$2:H$7370, 2, FALSE), "")</f>
        <v>TV Show</v>
      </c>
      <c r="C402" s="2" t="str">
        <f>IF(A402&lt;&gt;"", VLOOKUP(A402, imdb_netflix_v5!A$2:H$7370, 3, FALSE), "")</f>
        <v>Documentary, Sport</v>
      </c>
      <c r="D402" s="2">
        <f>IF(A402&lt;&gt;"", VLOOKUP(A402, imdb_netflix_v5!A$2:H$7370, 4, FALSE), "")</f>
        <v>8.5</v>
      </c>
      <c r="E402" s="2">
        <f>IF(A402&lt;&gt;"", VLOOKUP(A402, imdb_netflix_v5!A$2:H$7370, 5, FALSE), "")</f>
        <v>2019</v>
      </c>
      <c r="F402" s="2">
        <f>IF(A402&lt;&gt;"", VLOOKUP(A402, imdb_netflix_v5!A$2:H$7370, 7, FALSE), "")</f>
        <v>26230000</v>
      </c>
    </row>
    <row r="403" ht="15.75" customHeight="1">
      <c r="A403" s="1" t="str">
        <f>IFERROR(__xludf.DUMMYFUNCTION("""COMPUTED_VALUE"""),"the knick")</f>
        <v>the knick</v>
      </c>
      <c r="B403" s="1" t="str">
        <f>IF(A403&lt;&gt;"", VLOOKUP(A403, imdb_netflix_v5!A$2:H$7370, 2, FALSE), "")</f>
        <v>TV Show</v>
      </c>
      <c r="C403" s="2" t="str">
        <f>IF(A403&lt;&gt;"", VLOOKUP(A403, imdb_netflix_v5!A$2:H$7370, 3, FALSE), "")</f>
        <v>Drama, History</v>
      </c>
      <c r="D403" s="2">
        <f>IF(A403&lt;&gt;"", VLOOKUP(A403, imdb_netflix_v5!A$2:H$7370, 4, FALSE), "")</f>
        <v>8.5</v>
      </c>
      <c r="E403" s="2">
        <f>IF(A403&lt;&gt;"", VLOOKUP(A403, imdb_netflix_v5!A$2:H$7370, 5, FALSE), "")</f>
        <v>2014</v>
      </c>
      <c r="F403" s="2" t="str">
        <f>IF(A403&lt;&gt;"", VLOOKUP(A403, imdb_netflix_v5!A$2:H$7370, 7, FALSE), "")</f>
        <v>NA</v>
      </c>
    </row>
    <row r="404" ht="15.75" customHeight="1">
      <c r="A404" s="1" t="str">
        <f>IFERROR(__xludf.DUMMYFUNCTION("""COMPUTED_VALUE"""),"trailer park boys")</f>
        <v>trailer park boys</v>
      </c>
      <c r="B404" s="1" t="str">
        <f>IF(A404&lt;&gt;"", VLOOKUP(A404, imdb_netflix_v5!A$2:H$7370, 2, FALSE), "")</f>
        <v>TV Show</v>
      </c>
      <c r="C404" s="2" t="str">
        <f>IF(A404&lt;&gt;"", VLOOKUP(A404, imdb_netflix_v5!A$2:H$7370, 3, FALSE), "")</f>
        <v>Comedy, Crime</v>
      </c>
      <c r="D404" s="2">
        <f>IF(A404&lt;&gt;"", VLOOKUP(A404, imdb_netflix_v5!A$2:H$7370, 4, FALSE), "")</f>
        <v>8.5</v>
      </c>
      <c r="E404" s="2">
        <f>IF(A404&lt;&gt;"", VLOOKUP(A404, imdb_netflix_v5!A$2:H$7370, 5, FALSE), "")</f>
        <v>2001</v>
      </c>
      <c r="F404" s="2" t="str">
        <f>IF(A404&lt;&gt;"", VLOOKUP(A404, imdb_netflix_v5!A$2:H$7370, 7, FALSE), "")</f>
        <v>NA</v>
      </c>
    </row>
    <row r="405" ht="15.75" customHeight="1">
      <c r="A405" s="1" t="str">
        <f>IFERROR(__xludf.DUMMYFUNCTION("""COMPUTED_VALUE"""),"mob psycho 100")</f>
        <v>mob psycho 100</v>
      </c>
      <c r="B405" s="1" t="str">
        <f>IF(A405&lt;&gt;"", VLOOKUP(A405, imdb_netflix_v5!A$2:H$7370, 2, FALSE), "")</f>
        <v>TV Show</v>
      </c>
      <c r="C405" s="2" t="str">
        <f>IF(A405&lt;&gt;"", VLOOKUP(A405, imdb_netflix_v5!A$2:H$7370, 3, FALSE), "")</f>
        <v>Action, Animation, Comedy</v>
      </c>
      <c r="D405" s="2">
        <f>IF(A405&lt;&gt;"", VLOOKUP(A405, imdb_netflix_v5!A$2:H$7370, 4, FALSE), "")</f>
        <v>8.5</v>
      </c>
      <c r="E405" s="2">
        <f>IF(A405&lt;&gt;"", VLOOKUP(A405, imdb_netflix_v5!A$2:H$7370, 5, FALSE), "")</f>
        <v>2016</v>
      </c>
      <c r="F405" s="2" t="str">
        <f>IF(A405&lt;&gt;"", VLOOKUP(A405, imdb_netflix_v5!A$2:H$7370, 7, FALSE), "")</f>
        <v>NA</v>
      </c>
    </row>
    <row r="406" ht="15.75" customHeight="1">
      <c r="A406" s="1" t="str">
        <f>IFERROR(__xludf.DUMMYFUNCTION("""COMPUTED_VALUE"""),"boston legal")</f>
        <v>boston legal</v>
      </c>
      <c r="B406" s="1" t="str">
        <f>IF(A406&lt;&gt;"", VLOOKUP(A406, imdb_netflix_v5!A$2:H$7370, 2, FALSE), "")</f>
        <v>TV Show</v>
      </c>
      <c r="C406" s="2" t="str">
        <f>IF(A406&lt;&gt;"", VLOOKUP(A406, imdb_netflix_v5!A$2:H$7370, 3, FALSE), "")</f>
        <v>Comedy, Crime, Drama</v>
      </c>
      <c r="D406" s="2">
        <f>IF(A406&lt;&gt;"", VLOOKUP(A406, imdb_netflix_v5!A$2:H$7370, 4, FALSE), "")</f>
        <v>8.5</v>
      </c>
      <c r="E406" s="2">
        <f>IF(A406&lt;&gt;"", VLOOKUP(A406, imdb_netflix_v5!A$2:H$7370, 5, FALSE), "")</f>
        <v>2004</v>
      </c>
      <c r="F406" s="2" t="str">
        <f>IF(A406&lt;&gt;"", VLOOKUP(A406, imdb_netflix_v5!A$2:H$7370, 7, FALSE), "")</f>
        <v>NA</v>
      </c>
    </row>
    <row r="407" ht="15.75" customHeight="1">
      <c r="A407" s="1" t="str">
        <f>IFERROR(__xludf.DUMMYFUNCTION("""COMPUTED_VALUE"""),"coupling")</f>
        <v>coupling</v>
      </c>
      <c r="B407" s="1" t="str">
        <f>IF(A407&lt;&gt;"", VLOOKUP(A407, imdb_netflix_v5!A$2:H$7370, 2, FALSE), "")</f>
        <v>TV Show</v>
      </c>
      <c r="C407" s="2" t="str">
        <f>IF(A407&lt;&gt;"", VLOOKUP(A407, imdb_netflix_v5!A$2:H$7370, 3, FALSE), "")</f>
        <v>Comedy, Romance</v>
      </c>
      <c r="D407" s="2">
        <f>IF(A407&lt;&gt;"", VLOOKUP(A407, imdb_netflix_v5!A$2:H$7370, 4, FALSE), "")</f>
        <v>8.5</v>
      </c>
      <c r="E407" s="2">
        <f>IF(A407&lt;&gt;"", VLOOKUP(A407, imdb_netflix_v5!A$2:H$7370, 5, FALSE), "")</f>
        <v>2000</v>
      </c>
      <c r="F407" s="2" t="str">
        <f>IF(A407&lt;&gt;"", VLOOKUP(A407, imdb_netflix_v5!A$2:H$7370, 7, FALSE), "")</f>
        <v>NA</v>
      </c>
    </row>
    <row r="408" ht="15.75" customHeight="1">
      <c r="A408" s="1" t="str">
        <f>IFERROR(__xludf.DUMMYFUNCTION("""COMPUTED_VALUE"""),"whose line is it anyway?")</f>
        <v>whose line is it anyway?</v>
      </c>
      <c r="B408" s="1" t="str">
        <f>IF(A408&lt;&gt;"", VLOOKUP(A408, imdb_netflix_v5!A$2:H$7370, 2, FALSE), "")</f>
        <v>TV Show</v>
      </c>
      <c r="C408" s="2" t="str">
        <f>IF(A408&lt;&gt;"", VLOOKUP(A408, imdb_netflix_v5!A$2:H$7370, 3, FALSE), "")</f>
        <v>Comedy, Game-Show</v>
      </c>
      <c r="D408" s="2">
        <f>IF(A408&lt;&gt;"", VLOOKUP(A408, imdb_netflix_v5!A$2:H$7370, 4, FALSE), "")</f>
        <v>8.5</v>
      </c>
      <c r="E408" s="2">
        <f>IF(A408&lt;&gt;"", VLOOKUP(A408, imdb_netflix_v5!A$2:H$7370, 5, FALSE), "")</f>
        <v>1998</v>
      </c>
      <c r="F408" s="2" t="str">
        <f>IF(A408&lt;&gt;"", VLOOKUP(A408, imdb_netflix_v5!A$2:H$7370, 7, FALSE), "")</f>
        <v>NA</v>
      </c>
    </row>
    <row r="409" ht="15.75" customHeight="1">
      <c r="A409" s="1" t="str">
        <f>IFERROR(__xludf.DUMMYFUNCTION("""COMPUTED_VALUE"""),"dear zachary a letter to a son about his father")</f>
        <v>dear zachary a letter to a son about his father</v>
      </c>
      <c r="B409" s="1" t="str">
        <f>IF(A409&lt;&gt;"", VLOOKUP(A409, imdb_netflix_v5!A$2:H$7370, 2, FALSE), "")</f>
        <v>Movie</v>
      </c>
      <c r="C409" s="2" t="str">
        <f>IF(A409&lt;&gt;"", VLOOKUP(A409, imdb_netflix_v5!A$2:H$7370, 3, FALSE), "")</f>
        <v>Biography, Crime, Documentary</v>
      </c>
      <c r="D409" s="2">
        <f>IF(A409&lt;&gt;"", VLOOKUP(A409, imdb_netflix_v5!A$2:H$7370, 4, FALSE), "")</f>
        <v>8.5</v>
      </c>
      <c r="E409" s="2">
        <f>IF(A409&lt;&gt;"", VLOOKUP(A409, imdb_netflix_v5!A$2:H$7370, 5, FALSE), "")</f>
        <v>2008</v>
      </c>
      <c r="F409" s="2" t="str">
        <f>IF(A409&lt;&gt;"", VLOOKUP(A409, imdb_netflix_v5!A$2:H$7370, 7, FALSE), "")</f>
        <v>NA</v>
      </c>
    </row>
    <row r="410" ht="15.75" customHeight="1">
      <c r="A410" s="1" t="str">
        <f>IFERROR(__xludf.DUMMYFUNCTION("""COMPUTED_VALUE"""),"baraka")</f>
        <v>baraka</v>
      </c>
      <c r="B410" s="1" t="str">
        <f>IF(A410&lt;&gt;"", VLOOKUP(A410, imdb_netflix_v5!A$2:H$7370, 2, FALSE), "")</f>
        <v>Movie</v>
      </c>
      <c r="C410" s="2" t="str">
        <f>IF(A410&lt;&gt;"", VLOOKUP(A410, imdb_netflix_v5!A$2:H$7370, 3, FALSE), "")</f>
        <v>Documentary</v>
      </c>
      <c r="D410" s="2">
        <f>IF(A410&lt;&gt;"", VLOOKUP(A410, imdb_netflix_v5!A$2:H$7370, 4, FALSE), "")</f>
        <v>8.5</v>
      </c>
      <c r="E410" s="2">
        <f>IF(A410&lt;&gt;"", VLOOKUP(A410, imdb_netflix_v5!A$2:H$7370, 5, FALSE), "")</f>
        <v>1992</v>
      </c>
      <c r="F410" s="2" t="str">
        <f>IF(A410&lt;&gt;"", VLOOKUP(A410, imdb_netflix_v5!A$2:H$7370, 7, FALSE), "")</f>
        <v>NA</v>
      </c>
    </row>
    <row r="411" ht="15.75" customHeight="1">
      <c r="A411" s="1" t="str">
        <f>IFERROR(__xludf.DUMMYFUNCTION("""COMPUTED_VALUE"""),"your lie in april")</f>
        <v>your lie in april</v>
      </c>
      <c r="B411" s="1" t="str">
        <f>IF(A411&lt;&gt;"", VLOOKUP(A411, imdb_netflix_v5!A$2:H$7370, 2, FALSE), "")</f>
        <v>TV Show</v>
      </c>
      <c r="C411" s="2" t="str">
        <f>IF(A411&lt;&gt;"", VLOOKUP(A411, imdb_netflix_v5!A$2:H$7370, 3, FALSE), "")</f>
        <v>Animation, Comedy, Drama</v>
      </c>
      <c r="D411" s="2">
        <f>IF(A411&lt;&gt;"", VLOOKUP(A411, imdb_netflix_v5!A$2:H$7370, 4, FALSE), "")</f>
        <v>8.5</v>
      </c>
      <c r="E411" s="2">
        <f>IF(A411&lt;&gt;"", VLOOKUP(A411, imdb_netflix_v5!A$2:H$7370, 5, FALSE), "")</f>
        <v>2014</v>
      </c>
      <c r="F411" s="2" t="str">
        <f>IF(A411&lt;&gt;"", VLOOKUP(A411, imdb_netflix_v5!A$2:H$7370, 7, FALSE), "")</f>
        <v>NA</v>
      </c>
    </row>
    <row r="412" ht="15.75" customHeight="1">
      <c r="A412" s="1">
        <f>IFERROR(__xludf.DUMMYFUNCTION("""COMPUTED_VALUE"""),96.0)</f>
        <v>96</v>
      </c>
      <c r="B412" s="1" t="str">
        <f>IF(A412&lt;&gt;"", VLOOKUP(A412, imdb_netflix_v5!A$2:H$7370, 2, FALSE), "")</f>
        <v>Movie</v>
      </c>
      <c r="C412" s="2" t="str">
        <f>IF(A412&lt;&gt;"", VLOOKUP(A412, imdb_netflix_v5!A$2:H$7370, 3, FALSE), "")</f>
        <v>Drama, Romance</v>
      </c>
      <c r="D412" s="2">
        <f>IF(A412&lt;&gt;"", VLOOKUP(A412, imdb_netflix_v5!A$2:H$7370, 4, FALSE), "")</f>
        <v>8.5</v>
      </c>
      <c r="E412" s="2">
        <f>IF(A412&lt;&gt;"", VLOOKUP(A412, imdb_netflix_v5!A$2:H$7370, 5, FALSE), "")</f>
        <v>2018</v>
      </c>
      <c r="F412" s="2" t="str">
        <f>IF(A412&lt;&gt;"", VLOOKUP(A412, imdb_netflix_v5!A$2:H$7370, 7, FALSE), "")</f>
        <v>NA</v>
      </c>
    </row>
    <row r="413" ht="15.75" customHeight="1">
      <c r="A413" s="1" t="str">
        <f>IFERROR(__xludf.DUMMYFUNCTION("""COMPUTED_VALUE"""),"jojos bizarre adventure")</f>
        <v>jojos bizarre adventure</v>
      </c>
      <c r="B413" s="1" t="str">
        <f>IF(A413&lt;&gt;"", VLOOKUP(A413, imdb_netflix_v5!A$2:H$7370, 2, FALSE), "")</f>
        <v>TV Show</v>
      </c>
      <c r="C413" s="2" t="str">
        <f>IF(A413&lt;&gt;"", VLOOKUP(A413, imdb_netflix_v5!A$2:H$7370, 3, FALSE), "")</f>
        <v>Action, Adventure, Animation</v>
      </c>
      <c r="D413" s="2">
        <f>IF(A413&lt;&gt;"", VLOOKUP(A413, imdb_netflix_v5!A$2:H$7370, 4, FALSE), "")</f>
        <v>8.5</v>
      </c>
      <c r="E413" s="2">
        <f>IF(A413&lt;&gt;"", VLOOKUP(A413, imdb_netflix_v5!A$2:H$7370, 5, FALSE), "")</f>
        <v>2012</v>
      </c>
      <c r="F413" s="2">
        <f>IF(A413&lt;&gt;"", VLOOKUP(A413, imdb_netflix_v5!A$2:H$7370, 7, FALSE), "")</f>
        <v>8770000</v>
      </c>
    </row>
    <row r="414" ht="15.75" customHeight="1">
      <c r="A414" s="1" t="str">
        <f>IFERROR(__xludf.DUMMYFUNCTION("""COMPUTED_VALUE"""),"the boondocks")</f>
        <v>the boondocks</v>
      </c>
      <c r="B414" s="1" t="str">
        <f>IF(A414&lt;&gt;"", VLOOKUP(A414, imdb_netflix_v5!A$2:H$7370, 2, FALSE), "")</f>
        <v>TV Show</v>
      </c>
      <c r="C414" s="2" t="str">
        <f>IF(A414&lt;&gt;"", VLOOKUP(A414, imdb_netflix_v5!A$2:H$7370, 3, FALSE), "")</f>
        <v>Action, Animation, Comedy</v>
      </c>
      <c r="D414" s="2">
        <f>IF(A414&lt;&gt;"", VLOOKUP(A414, imdb_netflix_v5!A$2:H$7370, 4, FALSE), "")</f>
        <v>8.5</v>
      </c>
      <c r="E414" s="2">
        <f>IF(A414&lt;&gt;"", VLOOKUP(A414, imdb_netflix_v5!A$2:H$7370, 5, FALSE), "")</f>
        <v>2005</v>
      </c>
      <c r="F414" s="2" t="str">
        <f>IF(A414&lt;&gt;"", VLOOKUP(A414, imdb_netflix_v5!A$2:H$7370, 7, FALSE), "")</f>
        <v>NA</v>
      </c>
    </row>
    <row r="415" ht="15.75" customHeight="1">
      <c r="A415" s="1" t="str">
        <f>IFERROR(__xludf.DUMMYFUNCTION("""COMPUTED_VALUE"""),"mumbai diaries")</f>
        <v>mumbai diaries</v>
      </c>
      <c r="B415" s="1" t="str">
        <f>IF(A415&lt;&gt;"", VLOOKUP(A415, imdb_netflix_v5!A$2:H$7370, 2, FALSE), "")</f>
        <v>TV Show</v>
      </c>
      <c r="C415" s="2" t="str">
        <f>IF(A415&lt;&gt;"", VLOOKUP(A415, imdb_netflix_v5!A$2:H$7370, 3, FALSE), "")</f>
        <v>Drama, Thriller</v>
      </c>
      <c r="D415" s="2">
        <f>IF(A415&lt;&gt;"", VLOOKUP(A415, imdb_netflix_v5!A$2:H$7370, 4, FALSE), "")</f>
        <v>8.5</v>
      </c>
      <c r="E415" s="2">
        <f>IF(A415&lt;&gt;"", VLOOKUP(A415, imdb_netflix_v5!A$2:H$7370, 5, FALSE), "")</f>
        <v>2021</v>
      </c>
      <c r="F415" s="2" t="str">
        <f>IF(A415&lt;&gt;"", VLOOKUP(A415, imdb_netflix_v5!A$2:H$7370, 7, FALSE), "")</f>
        <v>NA</v>
      </c>
    </row>
    <row r="416" ht="15.75" customHeight="1">
      <c r="A416" s="1" t="str">
        <f>IFERROR(__xludf.DUMMYFUNCTION("""COMPUTED_VALUE"""),"borgen")</f>
        <v>borgen</v>
      </c>
      <c r="B416" s="1" t="str">
        <f>IF(A416&lt;&gt;"", VLOOKUP(A416, imdb_netflix_v5!A$2:H$7370, 2, FALSE), "")</f>
        <v>TV Show</v>
      </c>
      <c r="C416" s="2" t="str">
        <f>IF(A416&lt;&gt;"", VLOOKUP(A416, imdb_netflix_v5!A$2:H$7370, 3, FALSE), "")</f>
        <v>Drama</v>
      </c>
      <c r="D416" s="2">
        <f>IF(A416&lt;&gt;"", VLOOKUP(A416, imdb_netflix_v5!A$2:H$7370, 4, FALSE), "")</f>
        <v>8.5</v>
      </c>
      <c r="E416" s="2">
        <f>IF(A416&lt;&gt;"", VLOOKUP(A416, imdb_netflix_v5!A$2:H$7370, 5, FALSE), "")</f>
        <v>2010</v>
      </c>
      <c r="F416" s="2" t="str">
        <f>IF(A416&lt;&gt;"", VLOOKUP(A416, imdb_netflix_v5!A$2:H$7370, 7, FALSE), "")</f>
        <v>NA</v>
      </c>
    </row>
    <row r="417" ht="15.75" customHeight="1">
      <c r="A417" s="1" t="str">
        <f>IFERROR(__xludf.DUMMYFUNCTION("""COMPUTED_VALUE"""),"ethos")</f>
        <v>ethos</v>
      </c>
      <c r="B417" s="1" t="str">
        <f>IF(A417&lt;&gt;"", VLOOKUP(A417, imdb_netflix_v5!A$2:H$7370, 2, FALSE), "")</f>
        <v>TV Show</v>
      </c>
      <c r="C417" s="2" t="str">
        <f>IF(A417&lt;&gt;"", VLOOKUP(A417, imdb_netflix_v5!A$2:H$7370, 3, FALSE), "")</f>
        <v>Drama, Thriller</v>
      </c>
      <c r="D417" s="2">
        <f>IF(A417&lt;&gt;"", VLOOKUP(A417, imdb_netflix_v5!A$2:H$7370, 4, FALSE), "")</f>
        <v>8.5</v>
      </c>
      <c r="E417" s="2">
        <f>IF(A417&lt;&gt;"", VLOOKUP(A417, imdb_netflix_v5!A$2:H$7370, 5, FALSE), "")</f>
        <v>2020</v>
      </c>
      <c r="F417" s="2" t="str">
        <f>IF(A417&lt;&gt;"", VLOOKUP(A417, imdb_netflix_v5!A$2:H$7370, 7, FALSE), "")</f>
        <v>NA</v>
      </c>
    </row>
    <row r="418" ht="15.75" customHeight="1">
      <c r="A418" s="1" t="str">
        <f>IFERROR(__xludf.DUMMYFUNCTION("""COMPUTED_VALUE"""),"southland")</f>
        <v>southland</v>
      </c>
      <c r="B418" s="1" t="str">
        <f>IF(A418&lt;&gt;"", VLOOKUP(A418, imdb_netflix_v5!A$2:H$7370, 2, FALSE), "")</f>
        <v>TV Show</v>
      </c>
      <c r="C418" s="2" t="str">
        <f>IF(A418&lt;&gt;"", VLOOKUP(A418, imdb_netflix_v5!A$2:H$7370, 3, FALSE), "")</f>
        <v>Crime, Drama, Thriller</v>
      </c>
      <c r="D418" s="2">
        <f>IF(A418&lt;&gt;"", VLOOKUP(A418, imdb_netflix_v5!A$2:H$7370, 4, FALSE), "")</f>
        <v>8.5</v>
      </c>
      <c r="E418" s="2">
        <f>IF(A418&lt;&gt;"", VLOOKUP(A418, imdb_netflix_v5!A$2:H$7370, 5, FALSE), "")</f>
        <v>2009</v>
      </c>
      <c r="F418" s="2" t="str">
        <f>IF(A418&lt;&gt;"", VLOOKUP(A418, imdb_netflix_v5!A$2:H$7370, 7, FALSE), "")</f>
        <v>NA</v>
      </c>
    </row>
    <row r="419" ht="15.75" customHeight="1">
      <c r="A419" s="1" t="str">
        <f>IFERROR(__xludf.DUMMYFUNCTION("""COMPUTED_VALUE"""),"i love lucy")</f>
        <v>i love lucy</v>
      </c>
      <c r="B419" s="1" t="str">
        <f>IF(A419&lt;&gt;"", VLOOKUP(A419, imdb_netflix_v5!A$2:H$7370, 2, FALSE), "")</f>
        <v>TV Show</v>
      </c>
      <c r="C419" s="2" t="str">
        <f>IF(A419&lt;&gt;"", VLOOKUP(A419, imdb_netflix_v5!A$2:H$7370, 3, FALSE), "")</f>
        <v>Comedy</v>
      </c>
      <c r="D419" s="2">
        <f>IF(A419&lt;&gt;"", VLOOKUP(A419, imdb_netflix_v5!A$2:H$7370, 4, FALSE), "")</f>
        <v>8.5</v>
      </c>
      <c r="E419" s="2">
        <f>IF(A419&lt;&gt;"", VLOOKUP(A419, imdb_netflix_v5!A$2:H$7370, 5, FALSE), "")</f>
        <v>1951</v>
      </c>
      <c r="F419" s="2" t="str">
        <f>IF(A419&lt;&gt;"", VLOOKUP(A419, imdb_netflix_v5!A$2:H$7370, 7, FALSE), "")</f>
        <v>NA</v>
      </c>
    </row>
    <row r="420" ht="15.75" customHeight="1">
      <c r="A420" s="1" t="str">
        <f>IFERROR(__xludf.DUMMYFUNCTION("""COMPUTED_VALUE"""),"the rehearsal")</f>
        <v>the rehearsal</v>
      </c>
      <c r="B420" s="1" t="str">
        <f>IF(A420&lt;&gt;"", VLOOKUP(A420, imdb_netflix_v5!A$2:H$7370, 2, FALSE), "")</f>
        <v>TV Show</v>
      </c>
      <c r="C420" s="2" t="str">
        <f>IF(A420&lt;&gt;"", VLOOKUP(A420, imdb_netflix_v5!A$2:H$7370, 3, FALSE), "")</f>
        <v>Comedy, Documentary</v>
      </c>
      <c r="D420" s="2">
        <f>IF(A420&lt;&gt;"", VLOOKUP(A420, imdb_netflix_v5!A$2:H$7370, 4, FALSE), "")</f>
        <v>8.5</v>
      </c>
      <c r="E420" s="2">
        <f>IF(A420&lt;&gt;"", VLOOKUP(A420, imdb_netflix_v5!A$2:H$7370, 5, FALSE), "")</f>
        <v>2022</v>
      </c>
      <c r="F420" s="2" t="str">
        <f>IF(A420&lt;&gt;"", VLOOKUP(A420, imdb_netflix_v5!A$2:H$7370, 7, FALSE), "")</f>
        <v>NA</v>
      </c>
    </row>
    <row r="421" ht="15.75" customHeight="1">
      <c r="A421" s="1" t="str">
        <f>IFERROR(__xludf.DUMMYFUNCTION("""COMPUTED_VALUE"""),"delhi crime")</f>
        <v>delhi crime</v>
      </c>
      <c r="B421" s="1" t="str">
        <f>IF(A421&lt;&gt;"", VLOOKUP(A421, imdb_netflix_v5!A$2:H$7370, 2, FALSE), "")</f>
        <v>TV Show</v>
      </c>
      <c r="C421" s="2" t="str">
        <f>IF(A421&lt;&gt;"", VLOOKUP(A421, imdb_netflix_v5!A$2:H$7370, 3, FALSE), "")</f>
        <v>Crime, Drama</v>
      </c>
      <c r="D421" s="2">
        <f>IF(A421&lt;&gt;"", VLOOKUP(A421, imdb_netflix_v5!A$2:H$7370, 4, FALSE), "")</f>
        <v>8.5</v>
      </c>
      <c r="E421" s="2">
        <f>IF(A421&lt;&gt;"", VLOOKUP(A421, imdb_netflix_v5!A$2:H$7370, 5, FALSE), "")</f>
        <v>2019</v>
      </c>
      <c r="F421" s="2" t="str">
        <f>IF(A421&lt;&gt;"", VLOOKUP(A421, imdb_netflix_v5!A$2:H$7370, 7, FALSE), "")</f>
        <v>NA</v>
      </c>
    </row>
    <row r="422" ht="15.75" customHeight="1">
      <c r="A422" s="1" t="str">
        <f>IFERROR(__xludf.DUMMYFUNCTION("""COMPUTED_VALUE"""),"sarpatta parambarai")</f>
        <v>sarpatta parambarai</v>
      </c>
      <c r="B422" s="1" t="str">
        <f>IF(A422&lt;&gt;"", VLOOKUP(A422, imdb_netflix_v5!A$2:H$7370, 2, FALSE), "")</f>
        <v>Movie</v>
      </c>
      <c r="C422" s="2" t="str">
        <f>IF(A422&lt;&gt;"", VLOOKUP(A422, imdb_netflix_v5!A$2:H$7370, 3, FALSE), "")</f>
        <v>Action, Drama, Sport</v>
      </c>
      <c r="D422" s="2">
        <f>IF(A422&lt;&gt;"", VLOOKUP(A422, imdb_netflix_v5!A$2:H$7370, 4, FALSE), "")</f>
        <v>8.5</v>
      </c>
      <c r="E422" s="2">
        <f>IF(A422&lt;&gt;"", VLOOKUP(A422, imdb_netflix_v5!A$2:H$7370, 5, FALSE), "")</f>
        <v>2021</v>
      </c>
      <c r="F422" s="2" t="str">
        <f>IF(A422&lt;&gt;"", VLOOKUP(A422, imdb_netflix_v5!A$2:H$7370, 7, FALSE), "")</f>
        <v>NA</v>
      </c>
    </row>
    <row r="423" ht="15.75" customHeight="1">
      <c r="A423" s="1" t="str">
        <f>IFERROR(__xludf.DUMMYFUNCTION("""COMPUTED_VALUE"""),"the railway men")</f>
        <v>the railway men</v>
      </c>
      <c r="B423" s="1" t="str">
        <f>IF(A423&lt;&gt;"", VLOOKUP(A423, imdb_netflix_v5!A$2:H$7370, 2, FALSE), "")</f>
        <v>TV Show</v>
      </c>
      <c r="C423" s="2" t="str">
        <f>IF(A423&lt;&gt;"", VLOOKUP(A423, imdb_netflix_v5!A$2:H$7370, 3, FALSE), "")</f>
        <v>Drama, History, Thriller</v>
      </c>
      <c r="D423" s="2">
        <f>IF(A423&lt;&gt;"", VLOOKUP(A423, imdb_netflix_v5!A$2:H$7370, 4, FALSE), "")</f>
        <v>8.5</v>
      </c>
      <c r="E423" s="2">
        <f>IF(A423&lt;&gt;"", VLOOKUP(A423, imdb_netflix_v5!A$2:H$7370, 5, FALSE), "")</f>
        <v>2023</v>
      </c>
      <c r="F423" s="2" t="str">
        <f>IF(A423&lt;&gt;"", VLOOKUP(A423, imdb_netflix_v5!A$2:H$7370, 7, FALSE), "")</f>
        <v>NA</v>
      </c>
    </row>
    <row r="424" ht="15.75" customHeight="1">
      <c r="A424" s="1" t="str">
        <f>IFERROR(__xludf.DUMMYFUNCTION("""COMPUTED_VALUE"""),"jesus of nazareth")</f>
        <v>jesus of nazareth</v>
      </c>
      <c r="B424" s="1" t="str">
        <f>IF(A424&lt;&gt;"", VLOOKUP(A424, imdb_netflix_v5!A$2:H$7370, 2, FALSE), "")</f>
        <v>TV Show</v>
      </c>
      <c r="C424" s="2" t="str">
        <f>IF(A424&lt;&gt;"", VLOOKUP(A424, imdb_netflix_v5!A$2:H$7370, 3, FALSE), "")</f>
        <v>Biography, Drama, History</v>
      </c>
      <c r="D424" s="2">
        <f>IF(A424&lt;&gt;"", VLOOKUP(A424, imdb_netflix_v5!A$2:H$7370, 4, FALSE), "")</f>
        <v>8.5</v>
      </c>
      <c r="E424" s="2">
        <f>IF(A424&lt;&gt;"", VLOOKUP(A424, imdb_netflix_v5!A$2:H$7370, 5, FALSE), "")</f>
        <v>1977</v>
      </c>
      <c r="F424" s="2" t="str">
        <f>IF(A424&lt;&gt;"", VLOOKUP(A424, imdb_netflix_v5!A$2:H$7370, 7, FALSE), "")</f>
        <v>NA</v>
      </c>
    </row>
    <row r="425" ht="15.75" customHeight="1">
      <c r="A425" s="1" t="str">
        <f>IFERROR(__xludf.DUMMYFUNCTION("""COMPUTED_VALUE"""),"the best of youth")</f>
        <v>the best of youth</v>
      </c>
      <c r="B425" s="1" t="str">
        <f>IF(A425&lt;&gt;"", VLOOKUP(A425, imdb_netflix_v5!A$2:H$7370, 2, FALSE), "")</f>
        <v>Movie</v>
      </c>
      <c r="C425" s="2" t="str">
        <f>IF(A425&lt;&gt;"", VLOOKUP(A425, imdb_netflix_v5!A$2:H$7370, 3, FALSE), "")</f>
        <v>Drama, Romance</v>
      </c>
      <c r="D425" s="2">
        <f>IF(A425&lt;&gt;"", VLOOKUP(A425, imdb_netflix_v5!A$2:H$7370, 4, FALSE), "")</f>
        <v>8.5</v>
      </c>
      <c r="E425" s="2">
        <f>IF(A425&lt;&gt;"", VLOOKUP(A425, imdb_netflix_v5!A$2:H$7370, 5, FALSE), "")</f>
        <v>2003</v>
      </c>
      <c r="F425" s="2" t="str">
        <f>IF(A425&lt;&gt;"", VLOOKUP(A425, imdb_netflix_v5!A$2:H$7370, 7, FALSE), "")</f>
        <v>NA</v>
      </c>
    </row>
    <row r="426" ht="15.75" customHeight="1">
      <c r="A426" s="1" t="str">
        <f>IFERROR(__xludf.DUMMYFUNCTION("""COMPUTED_VALUE"""),"rupauls drag race")</f>
        <v>rupauls drag race</v>
      </c>
      <c r="B426" s="1" t="str">
        <f>IF(A426&lt;&gt;"", VLOOKUP(A426, imdb_netflix_v5!A$2:H$7370, 2, FALSE), "")</f>
        <v>TV Show</v>
      </c>
      <c r="C426" s="2" t="str">
        <f>IF(A426&lt;&gt;"", VLOOKUP(A426, imdb_netflix_v5!A$2:H$7370, 3, FALSE), "")</f>
        <v>Game-Show, Reality-TV</v>
      </c>
      <c r="D426" s="2">
        <f>IF(A426&lt;&gt;"", VLOOKUP(A426, imdb_netflix_v5!A$2:H$7370, 4, FALSE), "")</f>
        <v>8.5</v>
      </c>
      <c r="E426" s="2">
        <f>IF(A426&lt;&gt;"", VLOOKUP(A426, imdb_netflix_v5!A$2:H$7370, 5, FALSE), "")</f>
        <v>2009</v>
      </c>
      <c r="F426" s="2" t="str">
        <f>IF(A426&lt;&gt;"", VLOOKUP(A426, imdb_netflix_v5!A$2:H$7370, 7, FALSE), "")</f>
        <v>NA</v>
      </c>
    </row>
    <row r="427" ht="15.75" customHeight="1">
      <c r="A427" s="1" t="str">
        <f>IFERROR(__xludf.DUMMYFUNCTION("""COMPUTED_VALUE"""),"20 days in mariupol")</f>
        <v>20 days in mariupol</v>
      </c>
      <c r="B427" s="1" t="str">
        <f>IF(A427&lt;&gt;"", VLOOKUP(A427, imdb_netflix_v5!A$2:H$7370, 2, FALSE), "")</f>
        <v>Movie</v>
      </c>
      <c r="C427" s="2" t="str">
        <f>IF(A427&lt;&gt;"", VLOOKUP(A427, imdb_netflix_v5!A$2:H$7370, 3, FALSE), "")</f>
        <v>Documentary, War</v>
      </c>
      <c r="D427" s="2">
        <f>IF(A427&lt;&gt;"", VLOOKUP(A427, imdb_netflix_v5!A$2:H$7370, 4, FALSE), "")</f>
        <v>8.5</v>
      </c>
      <c r="E427" s="2">
        <f>IF(A427&lt;&gt;"", VLOOKUP(A427, imdb_netflix_v5!A$2:H$7370, 5, FALSE), "")</f>
        <v>2023</v>
      </c>
      <c r="F427" s="2" t="str">
        <f>IF(A427&lt;&gt;"", VLOOKUP(A427, imdb_netflix_v5!A$2:H$7370, 7, FALSE), "")</f>
        <v>NA</v>
      </c>
    </row>
    <row r="428" ht="15.75" customHeight="1">
      <c r="A428" s="1" t="str">
        <f>IFERROR(__xludf.DUMMYFUNCTION("""COMPUTED_VALUE"""),"jersey")</f>
        <v>jersey</v>
      </c>
      <c r="B428" s="1" t="str">
        <f>IF(A428&lt;&gt;"", VLOOKUP(A428, imdb_netflix_v5!A$2:H$7370, 2, FALSE), "")</f>
        <v>Movie</v>
      </c>
      <c r="C428" s="2" t="str">
        <f>IF(A428&lt;&gt;"", VLOOKUP(A428, imdb_netflix_v5!A$2:H$7370, 3, FALSE), "")</f>
        <v>Drama, Sport</v>
      </c>
      <c r="D428" s="2">
        <f>IF(A428&lt;&gt;"", VLOOKUP(A428, imdb_netflix_v5!A$2:H$7370, 4, FALSE), "")</f>
        <v>8.5</v>
      </c>
      <c r="E428" s="2">
        <f>IF(A428&lt;&gt;"", VLOOKUP(A428, imdb_netflix_v5!A$2:H$7370, 5, FALSE), "")</f>
        <v>2019</v>
      </c>
      <c r="F428" s="2">
        <f>IF(A428&lt;&gt;"", VLOOKUP(A428, imdb_netflix_v5!A$2:H$7370, 7, FALSE), "")</f>
        <v>2110000</v>
      </c>
    </row>
    <row r="429" ht="15.75" customHeight="1">
      <c r="A429" s="1" t="str">
        <f>IFERROR(__xludf.DUMMYFUNCTION("""COMPUTED_VALUE"""),"woman in the dunes")</f>
        <v>woman in the dunes</v>
      </c>
      <c r="B429" s="1" t="str">
        <f>IF(A429&lt;&gt;"", VLOOKUP(A429, imdb_netflix_v5!A$2:H$7370, 2, FALSE), "")</f>
        <v>Movie</v>
      </c>
      <c r="C429" s="2" t="str">
        <f>IF(A429&lt;&gt;"", VLOOKUP(A429, imdb_netflix_v5!A$2:H$7370, 3, FALSE), "")</f>
        <v>Drama, Thriller</v>
      </c>
      <c r="D429" s="2">
        <f>IF(A429&lt;&gt;"", VLOOKUP(A429, imdb_netflix_v5!A$2:H$7370, 4, FALSE), "")</f>
        <v>8.5</v>
      </c>
      <c r="E429" s="2">
        <f>IF(A429&lt;&gt;"", VLOOKUP(A429, imdb_netflix_v5!A$2:H$7370, 5, FALSE), "")</f>
        <v>1964</v>
      </c>
      <c r="F429" s="2" t="str">
        <f>IF(A429&lt;&gt;"", VLOOKUP(A429, imdb_netflix_v5!A$2:H$7370, 7, FALSE), "")</f>
        <v>NA</v>
      </c>
    </row>
    <row r="430" ht="15.75" customHeight="1">
      <c r="A430" s="1" t="str">
        <f>IFERROR(__xludf.DUMMYFUNCTION("""COMPUTED_VALUE"""),"anne of green gables")</f>
        <v>anne of green gables</v>
      </c>
      <c r="B430" s="1" t="str">
        <f>IF(A430&lt;&gt;"", VLOOKUP(A430, imdb_netflix_v5!A$2:H$7370, 2, FALSE), "")</f>
        <v>TV Show</v>
      </c>
      <c r="C430" s="2" t="str">
        <f>IF(A430&lt;&gt;"", VLOOKUP(A430, imdb_netflix_v5!A$2:H$7370, 3, FALSE), "")</f>
        <v>Drama, Family</v>
      </c>
      <c r="D430" s="2">
        <f>IF(A430&lt;&gt;"", VLOOKUP(A430, imdb_netflix_v5!A$2:H$7370, 4, FALSE), "")</f>
        <v>8.5</v>
      </c>
      <c r="E430" s="2">
        <f>IF(A430&lt;&gt;"", VLOOKUP(A430, imdb_netflix_v5!A$2:H$7370, 5, FALSE), "")</f>
        <v>1985</v>
      </c>
      <c r="F430" s="2" t="str">
        <f>IF(A430&lt;&gt;"", VLOOKUP(A430, imdb_netflix_v5!A$2:H$7370, 7, FALSE), "")</f>
        <v>NA</v>
      </c>
    </row>
    <row r="431" ht="15.75" customHeight="1">
      <c r="A431" s="1" t="str">
        <f>IFERROR(__xludf.DUMMYFUNCTION("""COMPUTED_VALUE"""),"home")</f>
        <v>home</v>
      </c>
      <c r="B431" s="1" t="str">
        <f>IF(A431&lt;&gt;"", VLOOKUP(A431, imdb_netflix_v5!A$2:H$7370, 2, FALSE), "")</f>
        <v>Movie</v>
      </c>
      <c r="C431" s="2" t="str">
        <f>IF(A431&lt;&gt;"", VLOOKUP(A431, imdb_netflix_v5!A$2:H$7370, 3, FALSE), "")</f>
        <v>Documentary, Family</v>
      </c>
      <c r="D431" s="2">
        <f>IF(A431&lt;&gt;"", VLOOKUP(A431, imdb_netflix_v5!A$2:H$7370, 4, FALSE), "")</f>
        <v>8.5</v>
      </c>
      <c r="E431" s="2">
        <f>IF(A431&lt;&gt;"", VLOOKUP(A431, imdb_netflix_v5!A$2:H$7370, 5, FALSE), "")</f>
        <v>2009</v>
      </c>
      <c r="F431" s="2">
        <f>IF(A431&lt;&gt;"", VLOOKUP(A431, imdb_netflix_v5!A$2:H$7370, 7, FALSE), "")</f>
        <v>8070000</v>
      </c>
    </row>
    <row r="432" ht="15.75" customHeight="1">
      <c r="A432" s="1" t="str">
        <f>IFERROR(__xludf.DUMMYFUNCTION("""COMPUTED_VALUE"""),"queer as folk")</f>
        <v>queer as folk</v>
      </c>
      <c r="B432" s="1" t="str">
        <f>IF(A432&lt;&gt;"", VLOOKUP(A432, imdb_netflix_v5!A$2:H$7370, 2, FALSE), "")</f>
        <v>TV Show</v>
      </c>
      <c r="C432" s="2" t="str">
        <f>IF(A432&lt;&gt;"", VLOOKUP(A432, imdb_netflix_v5!A$2:H$7370, 3, FALSE), "")</f>
        <v>Drama, Romance</v>
      </c>
      <c r="D432" s="2">
        <f>IF(A432&lt;&gt;"", VLOOKUP(A432, imdb_netflix_v5!A$2:H$7370, 4, FALSE), "")</f>
        <v>8.5</v>
      </c>
      <c r="E432" s="2">
        <f>IF(A432&lt;&gt;"", VLOOKUP(A432, imdb_netflix_v5!A$2:H$7370, 5, FALSE), "")</f>
        <v>2000</v>
      </c>
      <c r="F432" s="2" t="str">
        <f>IF(A432&lt;&gt;"", VLOOKUP(A432, imdb_netflix_v5!A$2:H$7370, 7, FALSE), "")</f>
        <v>NA</v>
      </c>
    </row>
    <row r="433" ht="15.75" customHeight="1">
      <c r="A433" s="1" t="str">
        <f>IFERROR(__xludf.DUMMYFUNCTION("""COMPUTED_VALUE"""),"kaguya-sama love is war")</f>
        <v>kaguya-sama love is war</v>
      </c>
      <c r="B433" s="1" t="str">
        <f>IF(A433&lt;&gt;"", VLOOKUP(A433, imdb_netflix_v5!A$2:H$7370, 2, FALSE), "")</f>
        <v>TV Show</v>
      </c>
      <c r="C433" s="2" t="str">
        <f>IF(A433&lt;&gt;"", VLOOKUP(A433, imdb_netflix_v5!A$2:H$7370, 3, FALSE), "")</f>
        <v>Animation, Comedy, Romance</v>
      </c>
      <c r="D433" s="2">
        <f>IF(A433&lt;&gt;"", VLOOKUP(A433, imdb_netflix_v5!A$2:H$7370, 4, FALSE), "")</f>
        <v>8.5</v>
      </c>
      <c r="E433" s="2">
        <f>IF(A433&lt;&gt;"", VLOOKUP(A433, imdb_netflix_v5!A$2:H$7370, 5, FALSE), "")</f>
        <v>2019</v>
      </c>
      <c r="F433" s="2" t="str">
        <f>IF(A433&lt;&gt;"", VLOOKUP(A433, imdb_netflix_v5!A$2:H$7370, 7, FALSE), "")</f>
        <v>NA</v>
      </c>
    </row>
    <row r="434" ht="15.75" customHeight="1">
      <c r="A434" s="1" t="str">
        <f>IFERROR(__xludf.DUMMYFUNCTION("""COMPUTED_VALUE"""),"the king of the street cleaners")</f>
        <v>the king of the street cleaners</v>
      </c>
      <c r="B434" s="1" t="str">
        <f>IF(A434&lt;&gt;"", VLOOKUP(A434, imdb_netflix_v5!A$2:H$7370, 2, FALSE), "")</f>
        <v>Movie</v>
      </c>
      <c r="C434" s="2" t="str">
        <f>IF(A434&lt;&gt;"", VLOOKUP(A434, imdb_netflix_v5!A$2:H$7370, 3, FALSE), "")</f>
        <v>Comedy, Romance</v>
      </c>
      <c r="D434" s="2">
        <f>IF(A434&lt;&gt;"", VLOOKUP(A434, imdb_netflix_v5!A$2:H$7370, 4, FALSE), "")</f>
        <v>8.5</v>
      </c>
      <c r="E434" s="2">
        <f>IF(A434&lt;&gt;"", VLOOKUP(A434, imdb_netflix_v5!A$2:H$7370, 5, FALSE), "")</f>
        <v>1977</v>
      </c>
      <c r="F434" s="2" t="str">
        <f>IF(A434&lt;&gt;"", VLOOKUP(A434, imdb_netflix_v5!A$2:H$7370, 7, FALSE), "")</f>
        <v>NA</v>
      </c>
    </row>
    <row r="435" ht="15.75" customHeight="1">
      <c r="A435" s="1" t="str">
        <f>IFERROR(__xludf.DUMMYFUNCTION("""COMPUTED_VALUE"""),"inside no. 9")</f>
        <v>inside no. 9</v>
      </c>
      <c r="B435" s="1" t="str">
        <f>IF(A435&lt;&gt;"", VLOOKUP(A435, imdb_netflix_v5!A$2:H$7370, 2, FALSE), "")</f>
        <v>TV Show</v>
      </c>
      <c r="C435" s="2" t="str">
        <f>IF(A435&lt;&gt;"", VLOOKUP(A435, imdb_netflix_v5!A$2:H$7370, 3, FALSE), "")</f>
        <v>Comedy, Crime, Drama</v>
      </c>
      <c r="D435" s="2">
        <f>IF(A435&lt;&gt;"", VLOOKUP(A435, imdb_netflix_v5!A$2:H$7370, 4, FALSE), "")</f>
        <v>8.5</v>
      </c>
      <c r="E435" s="2">
        <f>IF(A435&lt;&gt;"", VLOOKUP(A435, imdb_netflix_v5!A$2:H$7370, 5, FALSE), "")</f>
        <v>2014</v>
      </c>
      <c r="F435" s="2" t="str">
        <f>IF(A435&lt;&gt;"", VLOOKUP(A435, imdb_netflix_v5!A$2:H$7370, 7, FALSE), "")</f>
        <v>NA</v>
      </c>
    </row>
    <row r="436" ht="15.75" customHeight="1">
      <c r="A436" s="1" t="str">
        <f>IFERROR(__xludf.DUMMYFUNCTION("""COMPUTED_VALUE"""),"hostel daze")</f>
        <v>hostel daze</v>
      </c>
      <c r="B436" s="1" t="str">
        <f>IF(A436&lt;&gt;"", VLOOKUP(A436, imdb_netflix_v5!A$2:H$7370, 2, FALSE), "")</f>
        <v>TV Show</v>
      </c>
      <c r="C436" s="2" t="str">
        <f>IF(A436&lt;&gt;"", VLOOKUP(A436, imdb_netflix_v5!A$2:H$7370, 3, FALSE), "")</f>
        <v>Comedy, Drama</v>
      </c>
      <c r="D436" s="2">
        <f>IF(A436&lt;&gt;"", VLOOKUP(A436, imdb_netflix_v5!A$2:H$7370, 4, FALSE), "")</f>
        <v>8.5</v>
      </c>
      <c r="E436" s="2">
        <f>IF(A436&lt;&gt;"", VLOOKUP(A436, imdb_netflix_v5!A$2:H$7370, 5, FALSE), "")</f>
        <v>2019</v>
      </c>
      <c r="F436" s="2" t="str">
        <f>IF(A436&lt;&gt;"", VLOOKUP(A436, imdb_netflix_v5!A$2:H$7370, 7, FALSE), "")</f>
        <v>NA</v>
      </c>
    </row>
    <row r="437" ht="15.75" customHeight="1">
      <c r="A437" s="1" t="str">
        <f>IFERROR(__xludf.DUMMYFUNCTION("""COMPUTED_VALUE"""),"queer eye")</f>
        <v>queer eye</v>
      </c>
      <c r="B437" s="1" t="str">
        <f>IF(A437&lt;&gt;"", VLOOKUP(A437, imdb_netflix_v5!A$2:H$7370, 2, FALSE), "")</f>
        <v>TV Show</v>
      </c>
      <c r="C437" s="2" t="str">
        <f>IF(A437&lt;&gt;"", VLOOKUP(A437, imdb_netflix_v5!A$2:H$7370, 3, FALSE), "")</f>
        <v>Reality-TV</v>
      </c>
      <c r="D437" s="2">
        <f>IF(A437&lt;&gt;"", VLOOKUP(A437, imdb_netflix_v5!A$2:H$7370, 4, FALSE), "")</f>
        <v>8.5</v>
      </c>
      <c r="E437" s="2">
        <f>IF(A437&lt;&gt;"", VLOOKUP(A437, imdb_netflix_v5!A$2:H$7370, 5, FALSE), "")</f>
        <v>2018</v>
      </c>
      <c r="F437" s="2">
        <f>IF(A437&lt;&gt;"", VLOOKUP(A437, imdb_netflix_v5!A$2:H$7370, 7, FALSE), "")</f>
        <v>23060000</v>
      </c>
    </row>
    <row r="438" ht="15.75" customHeight="1">
      <c r="A438" s="1" t="str">
        <f>IFERROR(__xludf.DUMMYFUNCTION("""COMPUTED_VALUE"""),"ghost in the shell stand alone complex")</f>
        <v>ghost in the shell stand alone complex</v>
      </c>
      <c r="B438" s="1" t="str">
        <f>IF(A438&lt;&gt;"", VLOOKUP(A438, imdb_netflix_v5!A$2:H$7370, 2, FALSE), "")</f>
        <v>TV Show</v>
      </c>
      <c r="C438" s="2" t="str">
        <f>IF(A438&lt;&gt;"", VLOOKUP(A438, imdb_netflix_v5!A$2:H$7370, 3, FALSE), "")</f>
        <v>Action, Animation, Crime</v>
      </c>
      <c r="D438" s="2">
        <f>IF(A438&lt;&gt;"", VLOOKUP(A438, imdb_netflix_v5!A$2:H$7370, 4, FALSE), "")</f>
        <v>8.5</v>
      </c>
      <c r="E438" s="2">
        <f>IF(A438&lt;&gt;"", VLOOKUP(A438, imdb_netflix_v5!A$2:H$7370, 5, FALSE), "")</f>
        <v>2002</v>
      </c>
      <c r="F438" s="2" t="str">
        <f>IF(A438&lt;&gt;"", VLOOKUP(A438, imdb_netflix_v5!A$2:H$7370, 7, FALSE), "")</f>
        <v>NA</v>
      </c>
    </row>
    <row r="439" ht="15.75" customHeight="1">
      <c r="A439" s="1" t="str">
        <f>IFERROR(__xludf.DUMMYFUNCTION("""COMPUTED_VALUE"""),"the hole")</f>
        <v>the hole</v>
      </c>
      <c r="B439" s="1" t="str">
        <f>IF(A439&lt;&gt;"", VLOOKUP(A439, imdb_netflix_v5!A$2:H$7370, 2, FALSE), "")</f>
        <v>Movie</v>
      </c>
      <c r="C439" s="2" t="str">
        <f>IF(A439&lt;&gt;"", VLOOKUP(A439, imdb_netflix_v5!A$2:H$7370, 3, FALSE), "")</f>
        <v>Crime, Drama, Thriller</v>
      </c>
      <c r="D439" s="2">
        <f>IF(A439&lt;&gt;"", VLOOKUP(A439, imdb_netflix_v5!A$2:H$7370, 4, FALSE), "")</f>
        <v>8.5</v>
      </c>
      <c r="E439" s="2">
        <f>IF(A439&lt;&gt;"", VLOOKUP(A439, imdb_netflix_v5!A$2:H$7370, 5, FALSE), "")</f>
        <v>1960</v>
      </c>
      <c r="F439" s="2" t="str">
        <f>IF(A439&lt;&gt;"", VLOOKUP(A439, imdb_netflix_v5!A$2:H$7370, 7, FALSE), "")</f>
        <v>NA</v>
      </c>
    </row>
    <row r="440" ht="15.75" customHeight="1">
      <c r="A440" s="1" t="str">
        <f>IFERROR(__xludf.DUMMYFUNCTION("""COMPUTED_VALUE"""),"rurouni kenshin")</f>
        <v>rurouni kenshin</v>
      </c>
      <c r="B440" s="1" t="str">
        <f>IF(A440&lt;&gt;"", VLOOKUP(A440, imdb_netflix_v5!A$2:H$7370, 2, FALSE), "")</f>
        <v>TV Show</v>
      </c>
      <c r="C440" s="2" t="str">
        <f>IF(A440&lt;&gt;"", VLOOKUP(A440, imdb_netflix_v5!A$2:H$7370, 3, FALSE), "")</f>
        <v>Action, Adventure, Animation</v>
      </c>
      <c r="D440" s="2">
        <f>IF(A440&lt;&gt;"", VLOOKUP(A440, imdb_netflix_v5!A$2:H$7370, 4, FALSE), "")</f>
        <v>8.5</v>
      </c>
      <c r="E440" s="2">
        <f>IF(A440&lt;&gt;"", VLOOKUP(A440, imdb_netflix_v5!A$2:H$7370, 5, FALSE), "")</f>
        <v>1996</v>
      </c>
      <c r="F440" s="2" t="str">
        <f>IF(A440&lt;&gt;"", VLOOKUP(A440, imdb_netflix_v5!A$2:H$7370, 7, FALSE), "")</f>
        <v>NA</v>
      </c>
    </row>
    <row r="441" ht="15.75" customHeight="1">
      <c r="A441" s="1" t="str">
        <f>IFERROR(__xludf.DUMMYFUNCTION("""COMPUTED_VALUE"""),"heartland")</f>
        <v>heartland</v>
      </c>
      <c r="B441" s="1" t="str">
        <f>IF(A441&lt;&gt;"", VLOOKUP(A441, imdb_netflix_v5!A$2:H$7370, 2, FALSE), "")</f>
        <v>TV Show</v>
      </c>
      <c r="C441" s="2" t="str">
        <f>IF(A441&lt;&gt;"", VLOOKUP(A441, imdb_netflix_v5!A$2:H$7370, 3, FALSE), "")</f>
        <v>Drama, Family</v>
      </c>
      <c r="D441" s="2">
        <f>IF(A441&lt;&gt;"", VLOOKUP(A441, imdb_netflix_v5!A$2:H$7370, 4, FALSE), "")</f>
        <v>8.5</v>
      </c>
      <c r="E441" s="2">
        <f>IF(A441&lt;&gt;"", VLOOKUP(A441, imdb_netflix_v5!A$2:H$7370, 5, FALSE), "")</f>
        <v>2007</v>
      </c>
      <c r="F441" s="2" t="str">
        <f>IF(A441&lt;&gt;"", VLOOKUP(A441, imdb_netflix_v5!A$2:H$7370, 7, FALSE), "")</f>
        <v>NA</v>
      </c>
    </row>
    <row r="442" ht="15.75" customHeight="1">
      <c r="A442" s="1" t="str">
        <f>IFERROR(__xludf.DUMMYFUNCTION("""COMPUTED_VALUE"""),"tvf tripling")</f>
        <v>tvf tripling</v>
      </c>
      <c r="B442" s="1" t="str">
        <f>IF(A442&lt;&gt;"", VLOOKUP(A442, imdb_netflix_v5!A$2:H$7370, 2, FALSE), "")</f>
        <v>TV Show</v>
      </c>
      <c r="C442" s="2" t="str">
        <f>IF(A442&lt;&gt;"", VLOOKUP(A442, imdb_netflix_v5!A$2:H$7370, 3, FALSE), "")</f>
        <v>Comedy, Drama</v>
      </c>
      <c r="D442" s="2">
        <f>IF(A442&lt;&gt;"", VLOOKUP(A442, imdb_netflix_v5!A$2:H$7370, 4, FALSE), "")</f>
        <v>8.5</v>
      </c>
      <c r="E442" s="2">
        <f>IF(A442&lt;&gt;"", VLOOKUP(A442, imdb_netflix_v5!A$2:H$7370, 5, FALSE), "")</f>
        <v>2016</v>
      </c>
      <c r="F442" s="2" t="str">
        <f>IF(A442&lt;&gt;"", VLOOKUP(A442, imdb_netflix_v5!A$2:H$7370, 7, FALSE), "")</f>
        <v>NA</v>
      </c>
    </row>
    <row r="443" ht="15.75" customHeight="1">
      <c r="A443" s="1" t="str">
        <f>IFERROR(__xludf.DUMMYFUNCTION("""COMPUTED_VALUE"""),"garth marenghis darkplace")</f>
        <v>garth marenghis darkplace</v>
      </c>
      <c r="B443" s="1" t="str">
        <f>IF(A443&lt;&gt;"", VLOOKUP(A443, imdb_netflix_v5!A$2:H$7370, 2, FALSE), "")</f>
        <v>TV Show</v>
      </c>
      <c r="C443" s="2" t="str">
        <f>IF(A443&lt;&gt;"", VLOOKUP(A443, imdb_netflix_v5!A$2:H$7370, 3, FALSE), "")</f>
        <v>Comedy, Fantasy, Horror</v>
      </c>
      <c r="D443" s="2">
        <f>IF(A443&lt;&gt;"", VLOOKUP(A443, imdb_netflix_v5!A$2:H$7370, 4, FALSE), "")</f>
        <v>8.5</v>
      </c>
      <c r="E443" s="2">
        <f>IF(A443&lt;&gt;"", VLOOKUP(A443, imdb_netflix_v5!A$2:H$7370, 5, FALSE), "")</f>
        <v>2004</v>
      </c>
      <c r="F443" s="2" t="str">
        <f>IF(A443&lt;&gt;"", VLOOKUP(A443, imdb_netflix_v5!A$2:H$7370, 7, FALSE), "")</f>
        <v>NA</v>
      </c>
    </row>
    <row r="444" ht="15.75" customHeight="1">
      <c r="A444" s="1" t="str">
        <f>IFERROR(__xludf.DUMMYFUNCTION("""COMPUTED_VALUE"""),"gol maal")</f>
        <v>gol maal</v>
      </c>
      <c r="B444" s="1" t="str">
        <f>IF(A444&lt;&gt;"", VLOOKUP(A444, imdb_netflix_v5!A$2:H$7370, 2, FALSE), "")</f>
        <v>Movie</v>
      </c>
      <c r="C444" s="2" t="str">
        <f>IF(A444&lt;&gt;"", VLOOKUP(A444, imdb_netflix_v5!A$2:H$7370, 3, FALSE), "")</f>
        <v>Comedy, Romance</v>
      </c>
      <c r="D444" s="2">
        <f>IF(A444&lt;&gt;"", VLOOKUP(A444, imdb_netflix_v5!A$2:H$7370, 4, FALSE), "")</f>
        <v>8.5</v>
      </c>
      <c r="E444" s="2">
        <f>IF(A444&lt;&gt;"", VLOOKUP(A444, imdb_netflix_v5!A$2:H$7370, 5, FALSE), "")</f>
        <v>1979</v>
      </c>
      <c r="F444" s="2" t="str">
        <f>IF(A444&lt;&gt;"", VLOOKUP(A444, imdb_netflix_v5!A$2:H$7370, 7, FALSE), "")</f>
        <v>NA</v>
      </c>
    </row>
    <row r="445" ht="15.75" customHeight="1">
      <c r="A445" s="1" t="str">
        <f>IFERROR(__xludf.DUMMYFUNCTION("""COMPUTED_VALUE"""),"kingdom")</f>
        <v>kingdom</v>
      </c>
      <c r="B445" s="1" t="str">
        <f>IF(A445&lt;&gt;"", VLOOKUP(A445, imdb_netflix_v5!A$2:H$7370, 2, FALSE), "")</f>
        <v>TV Show</v>
      </c>
      <c r="C445" s="2" t="str">
        <f>IF(A445&lt;&gt;"", VLOOKUP(A445, imdb_netflix_v5!A$2:H$7370, 3, FALSE), "")</f>
        <v>Drama, Sport</v>
      </c>
      <c r="D445" s="2">
        <f>IF(A445&lt;&gt;"", VLOOKUP(A445, imdb_netflix_v5!A$2:H$7370, 4, FALSE), "")</f>
        <v>8.5</v>
      </c>
      <c r="E445" s="2">
        <f>IF(A445&lt;&gt;"", VLOOKUP(A445, imdb_netflix_v5!A$2:H$7370, 5, FALSE), "")</f>
        <v>2014</v>
      </c>
      <c r="F445" s="2">
        <f>IF(A445&lt;&gt;"", VLOOKUP(A445, imdb_netflix_v5!A$2:H$7370, 7, FALSE), "")</f>
        <v>3300000</v>
      </c>
    </row>
    <row r="446" ht="15.75" customHeight="1">
      <c r="A446" s="1" t="str">
        <f>IFERROR(__xludf.DUMMYFUNCTION("""COMPUTED_VALUE"""),"please like me")</f>
        <v>please like me</v>
      </c>
      <c r="B446" s="1" t="str">
        <f>IF(A446&lt;&gt;"", VLOOKUP(A446, imdb_netflix_v5!A$2:H$7370, 2, FALSE), "")</f>
        <v>TV Show</v>
      </c>
      <c r="C446" s="2" t="str">
        <f>IF(A446&lt;&gt;"", VLOOKUP(A446, imdb_netflix_v5!A$2:H$7370, 3, FALSE), "")</f>
        <v>Comedy, Drama, Romance</v>
      </c>
      <c r="D446" s="2">
        <f>IF(A446&lt;&gt;"", VLOOKUP(A446, imdb_netflix_v5!A$2:H$7370, 4, FALSE), "")</f>
        <v>8.5</v>
      </c>
      <c r="E446" s="2">
        <f>IF(A446&lt;&gt;"", VLOOKUP(A446, imdb_netflix_v5!A$2:H$7370, 5, FALSE), "")</f>
        <v>2013</v>
      </c>
      <c r="F446" s="2" t="str">
        <f>IF(A446&lt;&gt;"", VLOOKUP(A446, imdb_netflix_v5!A$2:H$7370, 7, FALSE), "")</f>
        <v>NA</v>
      </c>
    </row>
    <row r="447" ht="15.75" customHeight="1">
      <c r="A447" s="1" t="str">
        <f>IFERROR(__xludf.DUMMYFUNCTION("""COMPUTED_VALUE"""),"smiling friends")</f>
        <v>smiling friends</v>
      </c>
      <c r="B447" s="1" t="str">
        <f>IF(A447&lt;&gt;"", VLOOKUP(A447, imdb_netflix_v5!A$2:H$7370, 2, FALSE), "")</f>
        <v>TV Show</v>
      </c>
      <c r="C447" s="2" t="str">
        <f>IF(A447&lt;&gt;"", VLOOKUP(A447, imdb_netflix_v5!A$2:H$7370, 3, FALSE), "")</f>
        <v>Animation, Comedy, Short</v>
      </c>
      <c r="D447" s="2">
        <f>IF(A447&lt;&gt;"", VLOOKUP(A447, imdb_netflix_v5!A$2:H$7370, 4, FALSE), "")</f>
        <v>8.5</v>
      </c>
      <c r="E447" s="2">
        <f>IF(A447&lt;&gt;"", VLOOKUP(A447, imdb_netflix_v5!A$2:H$7370, 5, FALSE), "")</f>
        <v>2020</v>
      </c>
      <c r="F447" s="2" t="str">
        <f>IF(A447&lt;&gt;"", VLOOKUP(A447, imdb_netflix_v5!A$2:H$7370, 7, FALSE), "")</f>
        <v>NA</v>
      </c>
    </row>
    <row r="448" ht="15.75" customHeight="1">
      <c r="A448" s="1" t="str">
        <f>IFERROR(__xludf.DUMMYFUNCTION("""COMPUTED_VALUE"""),"alfred hitchcock presents")</f>
        <v>alfred hitchcock presents</v>
      </c>
      <c r="B448" s="1" t="str">
        <f>IF(A448&lt;&gt;"", VLOOKUP(A448, imdb_netflix_v5!A$2:H$7370, 2, FALSE), "")</f>
        <v>TV Show</v>
      </c>
      <c r="C448" s="2" t="str">
        <f>IF(A448&lt;&gt;"", VLOOKUP(A448, imdb_netflix_v5!A$2:H$7370, 3, FALSE), "")</f>
        <v>Crime, Drama, Mystery</v>
      </c>
      <c r="D448" s="2">
        <f>IF(A448&lt;&gt;"", VLOOKUP(A448, imdb_netflix_v5!A$2:H$7370, 4, FALSE), "")</f>
        <v>8.5</v>
      </c>
      <c r="E448" s="2">
        <f>IF(A448&lt;&gt;"", VLOOKUP(A448, imdb_netflix_v5!A$2:H$7370, 5, FALSE), "")</f>
        <v>1955</v>
      </c>
      <c r="F448" s="2" t="str">
        <f>IF(A448&lt;&gt;"", VLOOKUP(A448, imdb_netflix_v5!A$2:H$7370, 7, FALSE), "")</f>
        <v>NA</v>
      </c>
    </row>
    <row r="449" ht="15.75" customHeight="1">
      <c r="A449" s="1" t="str">
        <f>IFERROR(__xludf.DUMMYFUNCTION("""COMPUTED_VALUE"""),"kumbalangi nights")</f>
        <v>kumbalangi nights</v>
      </c>
      <c r="B449" s="1" t="str">
        <f>IF(A449&lt;&gt;"", VLOOKUP(A449, imdb_netflix_v5!A$2:H$7370, 2, FALSE), "")</f>
        <v>Movie</v>
      </c>
      <c r="C449" s="2" t="str">
        <f>IF(A449&lt;&gt;"", VLOOKUP(A449, imdb_netflix_v5!A$2:H$7370, 3, FALSE), "")</f>
        <v>Comedy, Drama, Romance</v>
      </c>
      <c r="D449" s="2">
        <f>IF(A449&lt;&gt;"", VLOOKUP(A449, imdb_netflix_v5!A$2:H$7370, 4, FALSE), "")</f>
        <v>8.5</v>
      </c>
      <c r="E449" s="2">
        <f>IF(A449&lt;&gt;"", VLOOKUP(A449, imdb_netflix_v5!A$2:H$7370, 5, FALSE), "")</f>
        <v>2019</v>
      </c>
      <c r="F449" s="2" t="str">
        <f>IF(A449&lt;&gt;"", VLOOKUP(A449, imdb_netflix_v5!A$2:H$7370, 7, FALSE), "")</f>
        <v>NA</v>
      </c>
    </row>
    <row r="450" ht="15.75" customHeight="1">
      <c r="A450" s="1" t="str">
        <f>IFERROR(__xludf.DUMMYFUNCTION("""COMPUTED_VALUE"""),"barareh nights")</f>
        <v>barareh nights</v>
      </c>
      <c r="B450" s="1" t="str">
        <f>IF(A450&lt;&gt;"", VLOOKUP(A450, imdb_netflix_v5!A$2:H$7370, 2, FALSE), "")</f>
        <v>TV Show</v>
      </c>
      <c r="C450" s="2" t="str">
        <f>IF(A450&lt;&gt;"", VLOOKUP(A450, imdb_netflix_v5!A$2:H$7370, 3, FALSE), "")</f>
        <v>Comedy</v>
      </c>
      <c r="D450" s="2">
        <f>IF(A450&lt;&gt;"", VLOOKUP(A450, imdb_netflix_v5!A$2:H$7370, 4, FALSE), "")</f>
        <v>8.5</v>
      </c>
      <c r="E450" s="2">
        <f>IF(A450&lt;&gt;"", VLOOKUP(A450, imdb_netflix_v5!A$2:H$7370, 5, FALSE), "")</f>
        <v>2005</v>
      </c>
      <c r="F450" s="2" t="str">
        <f>IF(A450&lt;&gt;"", VLOOKUP(A450, imdb_netflix_v5!A$2:H$7370, 7, FALSE), "")</f>
        <v>NA</v>
      </c>
    </row>
    <row r="451" ht="15.75" customHeight="1">
      <c r="A451" s="1" t="str">
        <f>IFERROR(__xludf.DUMMYFUNCTION("""COMPUTED_VALUE"""),"horace and pete")</f>
        <v>horace and pete</v>
      </c>
      <c r="B451" s="1" t="str">
        <f>IF(A451&lt;&gt;"", VLOOKUP(A451, imdb_netflix_v5!A$2:H$7370, 2, FALSE), "")</f>
        <v>TV Show</v>
      </c>
      <c r="C451" s="2" t="str">
        <f>IF(A451&lt;&gt;"", VLOOKUP(A451, imdb_netflix_v5!A$2:H$7370, 3, FALSE), "")</f>
        <v>Comedy, Drama</v>
      </c>
      <c r="D451" s="2">
        <f>IF(A451&lt;&gt;"", VLOOKUP(A451, imdb_netflix_v5!A$2:H$7370, 4, FALSE), "")</f>
        <v>8.5</v>
      </c>
      <c r="E451" s="2">
        <f>IF(A451&lt;&gt;"", VLOOKUP(A451, imdb_netflix_v5!A$2:H$7370, 5, FALSE), "")</f>
        <v>2016</v>
      </c>
      <c r="F451" s="2" t="str">
        <f>IF(A451&lt;&gt;"", VLOOKUP(A451, imdb_netflix_v5!A$2:H$7370, 7, FALSE), "")</f>
        <v>NA</v>
      </c>
    </row>
    <row r="452" ht="15.75" customHeight="1">
      <c r="A452" s="1" t="str">
        <f>IFERROR(__xludf.DUMMYFUNCTION("""COMPUTED_VALUE"""),"scenes from a marriage")</f>
        <v>scenes from a marriage</v>
      </c>
      <c r="B452" s="1" t="str">
        <f>IF(A452&lt;&gt;"", VLOOKUP(A452, imdb_netflix_v5!A$2:H$7370, 2, FALSE), "")</f>
        <v>TV Show</v>
      </c>
      <c r="C452" s="2" t="str">
        <f>IF(A452&lt;&gt;"", VLOOKUP(A452, imdb_netflix_v5!A$2:H$7370, 3, FALSE), "")</f>
        <v>Drama</v>
      </c>
      <c r="D452" s="2">
        <f>IF(A452&lt;&gt;"", VLOOKUP(A452, imdb_netflix_v5!A$2:H$7370, 4, FALSE), "")</f>
        <v>8.5</v>
      </c>
      <c r="E452" s="2">
        <f>IF(A452&lt;&gt;"", VLOOKUP(A452, imdb_netflix_v5!A$2:H$7370, 5, FALSE), "")</f>
        <v>1973</v>
      </c>
      <c r="F452" s="2" t="str">
        <f>IF(A452&lt;&gt;"", VLOOKUP(A452, imdb_netflix_v5!A$2:H$7370, 7, FALSE), "")</f>
        <v>NA</v>
      </c>
    </row>
    <row r="453" ht="15.75" customHeight="1">
      <c r="A453" s="1" t="str">
        <f>IFERROR(__xludf.DUMMYFUNCTION("""COMPUTED_VALUE"""),"the girl with the red scarf")</f>
        <v>the girl with the red scarf</v>
      </c>
      <c r="B453" s="1" t="str">
        <f>IF(A453&lt;&gt;"", VLOOKUP(A453, imdb_netflix_v5!A$2:H$7370, 2, FALSE), "")</f>
        <v>Movie</v>
      </c>
      <c r="C453" s="2" t="str">
        <f>IF(A453&lt;&gt;"", VLOOKUP(A453, imdb_netflix_v5!A$2:H$7370, 3, FALSE), "")</f>
        <v>Drama, Romance</v>
      </c>
      <c r="D453" s="2">
        <f>IF(A453&lt;&gt;"", VLOOKUP(A453, imdb_netflix_v5!A$2:H$7370, 4, FALSE), "")</f>
        <v>8.5</v>
      </c>
      <c r="E453" s="2">
        <f>IF(A453&lt;&gt;"", VLOOKUP(A453, imdb_netflix_v5!A$2:H$7370, 5, FALSE), "")</f>
        <v>1977</v>
      </c>
      <c r="F453" s="2" t="str">
        <f>IF(A453&lt;&gt;"", VLOOKUP(A453, imdb_netflix_v5!A$2:H$7370, 7, FALSE), "")</f>
        <v>NA</v>
      </c>
    </row>
    <row r="454" ht="15.75" customHeight="1">
      <c r="A454" s="1" t="str">
        <f>IFERROR(__xludf.DUMMYFUNCTION("""COMPUTED_VALUE"""),"chefs table")</f>
        <v>chefs table</v>
      </c>
      <c r="B454" s="1" t="str">
        <f>IF(A454&lt;&gt;"", VLOOKUP(A454, imdb_netflix_v5!A$2:H$7370, 2, FALSE), "")</f>
        <v>TV Show</v>
      </c>
      <c r="C454" s="2" t="str">
        <f>IF(A454&lt;&gt;"", VLOOKUP(A454, imdb_netflix_v5!A$2:H$7370, 3, FALSE), "")</f>
        <v>Biography, Documentary</v>
      </c>
      <c r="D454" s="2">
        <f>IF(A454&lt;&gt;"", VLOOKUP(A454, imdb_netflix_v5!A$2:H$7370, 4, FALSE), "")</f>
        <v>8.5</v>
      </c>
      <c r="E454" s="2">
        <f>IF(A454&lt;&gt;"", VLOOKUP(A454, imdb_netflix_v5!A$2:H$7370, 5, FALSE), "")</f>
        <v>2015</v>
      </c>
      <c r="F454" s="2" t="str">
        <f>IF(A454&lt;&gt;"", VLOOKUP(A454, imdb_netflix_v5!A$2:H$7370, 7, FALSE), "")</f>
        <v>NA</v>
      </c>
    </row>
    <row r="455" ht="15.75" customHeight="1">
      <c r="A455" s="1" t="str">
        <f>IFERROR(__xludf.DUMMYFUNCTION("""COMPUTED_VALUE"""),"yu yu hakusho ghost files")</f>
        <v>yu yu hakusho ghost files</v>
      </c>
      <c r="B455" s="1" t="str">
        <f>IF(A455&lt;&gt;"", VLOOKUP(A455, imdb_netflix_v5!A$2:H$7370, 2, FALSE), "")</f>
        <v>TV Show</v>
      </c>
      <c r="C455" s="2" t="str">
        <f>IF(A455&lt;&gt;"", VLOOKUP(A455, imdb_netflix_v5!A$2:H$7370, 3, FALSE), "")</f>
        <v>Action, Adventure, Animation</v>
      </c>
      <c r="D455" s="2">
        <f>IF(A455&lt;&gt;"", VLOOKUP(A455, imdb_netflix_v5!A$2:H$7370, 4, FALSE), "")</f>
        <v>8.5</v>
      </c>
      <c r="E455" s="2">
        <f>IF(A455&lt;&gt;"", VLOOKUP(A455, imdb_netflix_v5!A$2:H$7370, 5, FALSE), "")</f>
        <v>1992</v>
      </c>
      <c r="F455" s="2" t="str">
        <f>IF(A455&lt;&gt;"", VLOOKUP(A455, imdb_netflix_v5!A$2:H$7370, 7, FALSE), "")</f>
        <v>NA</v>
      </c>
    </row>
    <row r="456" ht="15.75" customHeight="1">
      <c r="A456" s="1" t="str">
        <f>IFERROR(__xludf.DUMMYFUNCTION("""COMPUTED_VALUE"""),"detective conan")</f>
        <v>detective conan</v>
      </c>
      <c r="B456" s="1" t="str">
        <f>IF(A456&lt;&gt;"", VLOOKUP(A456, imdb_netflix_v5!A$2:H$7370, 2, FALSE), "")</f>
        <v>TV Show</v>
      </c>
      <c r="C456" s="2" t="str">
        <f>IF(A456&lt;&gt;"", VLOOKUP(A456, imdb_netflix_v5!A$2:H$7370, 3, FALSE), "")</f>
        <v>Action, Animation, Comedy</v>
      </c>
      <c r="D456" s="2">
        <f>IF(A456&lt;&gt;"", VLOOKUP(A456, imdb_netflix_v5!A$2:H$7370, 4, FALSE), "")</f>
        <v>8.5</v>
      </c>
      <c r="E456" s="2">
        <f>IF(A456&lt;&gt;"", VLOOKUP(A456, imdb_netflix_v5!A$2:H$7370, 5, FALSE), "")</f>
        <v>1996</v>
      </c>
      <c r="F456" s="2" t="str">
        <f>IF(A456&lt;&gt;"", VLOOKUP(A456, imdb_netflix_v5!A$2:H$7370, 7, FALSE), "")</f>
        <v>NA</v>
      </c>
    </row>
    <row r="457" ht="15.75" customHeight="1">
      <c r="A457" s="1" t="str">
        <f>IFERROR(__xludf.DUMMYFUNCTION("""COMPUTED_VALUE"""),"the angry video game nerd")</f>
        <v>the angry video game nerd</v>
      </c>
      <c r="B457" s="1" t="str">
        <f>IF(A457&lt;&gt;"", VLOOKUP(A457, imdb_netflix_v5!A$2:H$7370, 2, FALSE), "")</f>
        <v>TV Show</v>
      </c>
      <c r="C457" s="2" t="str">
        <f>IF(A457&lt;&gt;"", VLOOKUP(A457, imdb_netflix_v5!A$2:H$7370, 3, FALSE), "")</f>
        <v>Action, Comedy, Fantasy</v>
      </c>
      <c r="D457" s="2">
        <f>IF(A457&lt;&gt;"", VLOOKUP(A457, imdb_netflix_v5!A$2:H$7370, 4, FALSE), "")</f>
        <v>8.5</v>
      </c>
      <c r="E457" s="2">
        <f>IF(A457&lt;&gt;"", VLOOKUP(A457, imdb_netflix_v5!A$2:H$7370, 5, FALSE), "")</f>
        <v>2004</v>
      </c>
      <c r="F457" s="2" t="str">
        <f>IF(A457&lt;&gt;"", VLOOKUP(A457, imdb_netflix_v5!A$2:H$7370, 7, FALSE), "")</f>
        <v>NA</v>
      </c>
    </row>
    <row r="458" ht="15.75" customHeight="1">
      <c r="A458" s="1" t="str">
        <f>IFERROR(__xludf.DUMMYFUNCTION("""COMPUTED_VALUE"""),"the defiant ones")</f>
        <v>the defiant ones</v>
      </c>
      <c r="B458" s="1" t="str">
        <f>IF(A458&lt;&gt;"", VLOOKUP(A458, imdb_netflix_v5!A$2:H$7370, 2, FALSE), "")</f>
        <v>TV Show</v>
      </c>
      <c r="C458" s="2" t="str">
        <f>IF(A458&lt;&gt;"", VLOOKUP(A458, imdb_netflix_v5!A$2:H$7370, 3, FALSE), "")</f>
        <v>Biography, Crime, Documentary</v>
      </c>
      <c r="D458" s="2">
        <f>IF(A458&lt;&gt;"", VLOOKUP(A458, imdb_netflix_v5!A$2:H$7370, 4, FALSE), "")</f>
        <v>8.5</v>
      </c>
      <c r="E458" s="2">
        <f>IF(A458&lt;&gt;"", VLOOKUP(A458, imdb_netflix_v5!A$2:H$7370, 5, FALSE), "")</f>
        <v>2017</v>
      </c>
      <c r="F458" s="2" t="str">
        <f>IF(A458&lt;&gt;"", VLOOKUP(A458, imdb_netflix_v5!A$2:H$7370, 7, FALSE), "")</f>
        <v>NA</v>
      </c>
    </row>
    <row r="459" ht="15.75" customHeight="1">
      <c r="A459" s="1" t="str">
        <f>IFERROR(__xludf.DUMMYFUNCTION("""COMPUTED_VALUE"""),"deaths game")</f>
        <v>deaths game</v>
      </c>
      <c r="B459" s="1" t="str">
        <f>IF(A459&lt;&gt;"", VLOOKUP(A459, imdb_netflix_v5!A$2:H$7370, 2, FALSE), "")</f>
        <v>TV Show</v>
      </c>
      <c r="C459" s="2" t="str">
        <f>IF(A459&lt;&gt;"", VLOOKUP(A459, imdb_netflix_v5!A$2:H$7370, 3, FALSE), "")</f>
        <v>Drama, Fantasy</v>
      </c>
      <c r="D459" s="2">
        <f>IF(A459&lt;&gt;"", VLOOKUP(A459, imdb_netflix_v5!A$2:H$7370, 4, FALSE), "")</f>
        <v>8.5</v>
      </c>
      <c r="E459" s="2">
        <f>IF(A459&lt;&gt;"", VLOOKUP(A459, imdb_netflix_v5!A$2:H$7370, 5, FALSE), "")</f>
        <v>2023</v>
      </c>
      <c r="F459" s="2" t="str">
        <f>IF(A459&lt;&gt;"", VLOOKUP(A459, imdb_netflix_v5!A$2:H$7370, 7, FALSE), "")</f>
        <v>NA</v>
      </c>
    </row>
    <row r="460" ht="15.75" customHeight="1">
      <c r="A460" s="1" t="str">
        <f>IFERROR(__xludf.DUMMYFUNCTION("""COMPUTED_VALUE"""),"flower of evil")</f>
        <v>flower of evil</v>
      </c>
      <c r="B460" s="1" t="str">
        <f>IF(A460&lt;&gt;"", VLOOKUP(A460, imdb_netflix_v5!A$2:H$7370, 2, FALSE), "")</f>
        <v>TV Show</v>
      </c>
      <c r="C460" s="2" t="str">
        <f>IF(A460&lt;&gt;"", VLOOKUP(A460, imdb_netflix_v5!A$2:H$7370, 3, FALSE), "")</f>
        <v>Crime, Mystery, Romance</v>
      </c>
      <c r="D460" s="2">
        <f>IF(A460&lt;&gt;"", VLOOKUP(A460, imdb_netflix_v5!A$2:H$7370, 4, FALSE), "")</f>
        <v>8.5</v>
      </c>
      <c r="E460" s="2">
        <f>IF(A460&lt;&gt;"", VLOOKUP(A460, imdb_netflix_v5!A$2:H$7370, 5, FALSE), "")</f>
        <v>2020</v>
      </c>
      <c r="F460" s="2" t="str">
        <f>IF(A460&lt;&gt;"", VLOOKUP(A460, imdb_netflix_v5!A$2:H$7370, 7, FALSE), "")</f>
        <v>NA</v>
      </c>
    </row>
    <row r="461" ht="15.75" customHeight="1">
      <c r="A461" s="1" t="str">
        <f>IFERROR(__xludf.DUMMYFUNCTION("""COMPUTED_VALUE"""),"the prisoner")</f>
        <v>the prisoner</v>
      </c>
      <c r="B461" s="1" t="str">
        <f>IF(A461&lt;&gt;"", VLOOKUP(A461, imdb_netflix_v5!A$2:H$7370, 2, FALSE), "")</f>
        <v>TV Show</v>
      </c>
      <c r="C461" s="2" t="str">
        <f>IF(A461&lt;&gt;"", VLOOKUP(A461, imdb_netflix_v5!A$2:H$7370, 3, FALSE), "")</f>
        <v>Drama, Mystery, Sci-Fi</v>
      </c>
      <c r="D461" s="2">
        <f>IF(A461&lt;&gt;"", VLOOKUP(A461, imdb_netflix_v5!A$2:H$7370, 4, FALSE), "")</f>
        <v>8.5</v>
      </c>
      <c r="E461" s="2">
        <f>IF(A461&lt;&gt;"", VLOOKUP(A461, imdb_netflix_v5!A$2:H$7370, 5, FALSE), "")</f>
        <v>1967</v>
      </c>
      <c r="F461" s="2" t="str">
        <f>IF(A461&lt;&gt;"", VLOOKUP(A461, imdb_netflix_v5!A$2:H$7370, 7, FALSE), "")</f>
        <v>NA</v>
      </c>
    </row>
    <row r="462" ht="15.75" customHeight="1">
      <c r="A462" s="1" t="str">
        <f>IFERROR(__xludf.DUMMYFUNCTION("""COMPUTED_VALUE"""),"summer heights high")</f>
        <v>summer heights high</v>
      </c>
      <c r="B462" s="1" t="str">
        <f>IF(A462&lt;&gt;"", VLOOKUP(A462, imdb_netflix_v5!A$2:H$7370, 2, FALSE), "")</f>
        <v>TV Show</v>
      </c>
      <c r="C462" s="2" t="str">
        <f>IF(A462&lt;&gt;"", VLOOKUP(A462, imdb_netflix_v5!A$2:H$7370, 3, FALSE), "")</f>
        <v>Comedy, Drama, Family</v>
      </c>
      <c r="D462" s="2">
        <f>IF(A462&lt;&gt;"", VLOOKUP(A462, imdb_netflix_v5!A$2:H$7370, 4, FALSE), "")</f>
        <v>8.5</v>
      </c>
      <c r="E462" s="2">
        <f>IF(A462&lt;&gt;"", VLOOKUP(A462, imdb_netflix_v5!A$2:H$7370, 5, FALSE), "")</f>
        <v>2007</v>
      </c>
      <c r="F462" s="2" t="str">
        <f>IF(A462&lt;&gt;"", VLOOKUP(A462, imdb_netflix_v5!A$2:H$7370, 7, FALSE), "")</f>
        <v>NA</v>
      </c>
    </row>
    <row r="463" ht="15.75" customHeight="1">
      <c r="A463" s="1" t="str">
        <f>IFERROR(__xludf.DUMMYFUNCTION("""COMPUTED_VALUE"""),"mushi-shi")</f>
        <v>mushi-shi</v>
      </c>
      <c r="B463" s="1" t="str">
        <f>IF(A463&lt;&gt;"", VLOOKUP(A463, imdb_netflix_v5!A$2:H$7370, 2, FALSE), "")</f>
        <v>TV Show</v>
      </c>
      <c r="C463" s="2" t="str">
        <f>IF(A463&lt;&gt;"", VLOOKUP(A463, imdb_netflix_v5!A$2:H$7370, 3, FALSE), "")</f>
        <v>Animation, Drama, Fantasy</v>
      </c>
      <c r="D463" s="2">
        <f>IF(A463&lt;&gt;"", VLOOKUP(A463, imdb_netflix_v5!A$2:H$7370, 4, FALSE), "")</f>
        <v>8.5</v>
      </c>
      <c r="E463" s="2">
        <f>IF(A463&lt;&gt;"", VLOOKUP(A463, imdb_netflix_v5!A$2:H$7370, 5, FALSE), "")</f>
        <v>2005</v>
      </c>
      <c r="F463" s="2" t="str">
        <f>IF(A463&lt;&gt;"", VLOOKUP(A463, imdb_netflix_v5!A$2:H$7370, 7, FALSE), "")</f>
        <v>NA</v>
      </c>
    </row>
    <row r="464" ht="15.75" customHeight="1">
      <c r="A464" s="1" t="str">
        <f>IFERROR(__xludf.DUMMYFUNCTION("""COMPUTED_VALUE"""),"sixer")</f>
        <v>sixer</v>
      </c>
      <c r="B464" s="1" t="str">
        <f>IF(A464&lt;&gt;"", VLOOKUP(A464, imdb_netflix_v5!A$2:H$7370, 2, FALSE), "")</f>
        <v>TV Show</v>
      </c>
      <c r="C464" s="2" t="str">
        <f>IF(A464&lt;&gt;"", VLOOKUP(A464, imdb_netflix_v5!A$2:H$7370, 3, FALSE), "")</f>
        <v>Drama, Sport</v>
      </c>
      <c r="D464" s="2">
        <f>IF(A464&lt;&gt;"", VLOOKUP(A464, imdb_netflix_v5!A$2:H$7370, 4, FALSE), "")</f>
        <v>8.5</v>
      </c>
      <c r="E464" s="2">
        <f>IF(A464&lt;&gt;"", VLOOKUP(A464, imdb_netflix_v5!A$2:H$7370, 5, FALSE), "")</f>
        <v>2022</v>
      </c>
      <c r="F464" s="2" t="str">
        <f>IF(A464&lt;&gt;"", VLOOKUP(A464, imdb_netflix_v5!A$2:H$7370, 7, FALSE), "")</f>
        <v>NA</v>
      </c>
    </row>
    <row r="465" ht="15.75" customHeight="1">
      <c r="A465" s="1" t="str">
        <f>IFERROR(__xludf.DUMMYFUNCTION("""COMPUTED_VALUE"""),"thalapathi")</f>
        <v>thalapathi</v>
      </c>
      <c r="B465" s="1" t="str">
        <f>IF(A465&lt;&gt;"", VLOOKUP(A465, imdb_netflix_v5!A$2:H$7370, 2, FALSE), "")</f>
        <v>Movie</v>
      </c>
      <c r="C465" s="2" t="str">
        <f>IF(A465&lt;&gt;"", VLOOKUP(A465, imdb_netflix_v5!A$2:H$7370, 3, FALSE), "")</f>
        <v>Action, Crime, Drama</v>
      </c>
      <c r="D465" s="2">
        <f>IF(A465&lt;&gt;"", VLOOKUP(A465, imdb_netflix_v5!A$2:H$7370, 4, FALSE), "")</f>
        <v>8.5</v>
      </c>
      <c r="E465" s="2">
        <f>IF(A465&lt;&gt;"", VLOOKUP(A465, imdb_netflix_v5!A$2:H$7370, 5, FALSE), "")</f>
        <v>1991</v>
      </c>
      <c r="F465" s="2" t="str">
        <f>IF(A465&lt;&gt;"", VLOOKUP(A465, imdb_netflix_v5!A$2:H$7370, 7, FALSE), "")</f>
        <v>NA</v>
      </c>
    </row>
    <row r="466" ht="15.75" customHeight="1">
      <c r="A466" s="1" t="str">
        <f>IFERROR(__xludf.DUMMYFUNCTION("""COMPUTED_VALUE"""),"for sama")</f>
        <v>for sama</v>
      </c>
      <c r="B466" s="1" t="str">
        <f>IF(A466&lt;&gt;"", VLOOKUP(A466, imdb_netflix_v5!A$2:H$7370, 2, FALSE), "")</f>
        <v>Movie</v>
      </c>
      <c r="C466" s="2" t="str">
        <f>IF(A466&lt;&gt;"", VLOOKUP(A466, imdb_netflix_v5!A$2:H$7370, 3, FALSE), "")</f>
        <v>Biography, Documentary, War</v>
      </c>
      <c r="D466" s="2">
        <f>IF(A466&lt;&gt;"", VLOOKUP(A466, imdb_netflix_v5!A$2:H$7370, 4, FALSE), "")</f>
        <v>8.5</v>
      </c>
      <c r="E466" s="2">
        <f>IF(A466&lt;&gt;"", VLOOKUP(A466, imdb_netflix_v5!A$2:H$7370, 5, FALSE), "")</f>
        <v>2019</v>
      </c>
      <c r="F466" s="2" t="str">
        <f>IF(A466&lt;&gt;"", VLOOKUP(A466, imdb_netflix_v5!A$2:H$7370, 7, FALSE), "")</f>
        <v>NA</v>
      </c>
    </row>
    <row r="467" ht="15.75" customHeight="1">
      <c r="A467" s="1" t="str">
        <f>IFERROR(__xludf.DUMMYFUNCTION("""COMPUTED_VALUE"""),"mr bates vs. the post office")</f>
        <v>mr bates vs. the post office</v>
      </c>
      <c r="B467" s="1" t="str">
        <f>IF(A467&lt;&gt;"", VLOOKUP(A467, imdb_netflix_v5!A$2:H$7370, 2, FALSE), "")</f>
        <v>TV Show</v>
      </c>
      <c r="C467" s="2" t="str">
        <f>IF(A467&lt;&gt;"", VLOOKUP(A467, imdb_netflix_v5!A$2:H$7370, 3, FALSE), "")</f>
        <v>Biography, Drama</v>
      </c>
      <c r="D467" s="2">
        <f>IF(A467&lt;&gt;"", VLOOKUP(A467, imdb_netflix_v5!A$2:H$7370, 4, FALSE), "")</f>
        <v>8.5</v>
      </c>
      <c r="E467" s="2">
        <f>IF(A467&lt;&gt;"", VLOOKUP(A467, imdb_netflix_v5!A$2:H$7370, 5, FALSE), "")</f>
        <v>2024</v>
      </c>
      <c r="F467" s="2" t="str">
        <f>IF(A467&lt;&gt;"", VLOOKUP(A467, imdb_netflix_v5!A$2:H$7370, 7, FALSE), "")</f>
        <v>NA</v>
      </c>
    </row>
    <row r="468" ht="15.75" customHeight="1">
      <c r="A468" s="1" t="str">
        <f>IFERROR(__xludf.DUMMYFUNCTION("""COMPUTED_VALUE"""),"great teacher onizuka")</f>
        <v>great teacher onizuka</v>
      </c>
      <c r="B468" s="1" t="str">
        <f>IF(A468&lt;&gt;"", VLOOKUP(A468, imdb_netflix_v5!A$2:H$7370, 2, FALSE), "")</f>
        <v>TV Show</v>
      </c>
      <c r="C468" s="2" t="str">
        <f>IF(A468&lt;&gt;"", VLOOKUP(A468, imdb_netflix_v5!A$2:H$7370, 3, FALSE), "")</f>
        <v>Animation, Comedy, Drama</v>
      </c>
      <c r="D468" s="2">
        <f>IF(A468&lt;&gt;"", VLOOKUP(A468, imdb_netflix_v5!A$2:H$7370, 4, FALSE), "")</f>
        <v>8.5</v>
      </c>
      <c r="E468" s="2">
        <f>IF(A468&lt;&gt;"", VLOOKUP(A468, imdb_netflix_v5!A$2:H$7370, 5, FALSE), "")</f>
        <v>1999</v>
      </c>
      <c r="F468" s="2" t="str">
        <f>IF(A468&lt;&gt;"", VLOOKUP(A468, imdb_netflix_v5!A$2:H$7370, 7, FALSE), "")</f>
        <v>NA</v>
      </c>
    </row>
    <row r="469" ht="15.75" customHeight="1">
      <c r="A469" s="1" t="str">
        <f>IFERROR(__xludf.DUMMYFUNCTION("""COMPUTED_VALUE"""),"zübük")</f>
        <v>zübük</v>
      </c>
      <c r="B469" s="1" t="str">
        <f>IF(A469&lt;&gt;"", VLOOKUP(A469, imdb_netflix_v5!A$2:H$7370, 2, FALSE), "")</f>
        <v>Movie</v>
      </c>
      <c r="C469" s="2" t="str">
        <f>IF(A469&lt;&gt;"", VLOOKUP(A469, imdb_netflix_v5!A$2:H$7370, 3, FALSE), "")</f>
        <v>Comedy</v>
      </c>
      <c r="D469" s="2">
        <f>IF(A469&lt;&gt;"", VLOOKUP(A469, imdb_netflix_v5!A$2:H$7370, 4, FALSE), "")</f>
        <v>8.5</v>
      </c>
      <c r="E469" s="2">
        <f>IF(A469&lt;&gt;"", VLOOKUP(A469, imdb_netflix_v5!A$2:H$7370, 5, FALSE), "")</f>
        <v>1980</v>
      </c>
      <c r="F469" s="2" t="str">
        <f>IF(A469&lt;&gt;"", VLOOKUP(A469, imdb_netflix_v5!A$2:H$7370, 7, FALSE), "")</f>
        <v>NA</v>
      </c>
    </row>
    <row r="470" ht="15.75" customHeight="1">
      <c r="A470" s="1" t="str">
        <f>IFERROR(__xludf.DUMMYFUNCTION("""COMPUTED_VALUE"""),"staged")</f>
        <v>staged</v>
      </c>
      <c r="B470" s="1" t="str">
        <f>IF(A470&lt;&gt;"", VLOOKUP(A470, imdb_netflix_v5!A$2:H$7370, 2, FALSE), "")</f>
        <v>TV Show</v>
      </c>
      <c r="C470" s="2" t="str">
        <f>IF(A470&lt;&gt;"", VLOOKUP(A470, imdb_netflix_v5!A$2:H$7370, 3, FALSE), "")</f>
        <v>Comedy, Drama</v>
      </c>
      <c r="D470" s="2">
        <f>IF(A470&lt;&gt;"", VLOOKUP(A470, imdb_netflix_v5!A$2:H$7370, 4, FALSE), "")</f>
        <v>8.5</v>
      </c>
      <c r="E470" s="2">
        <f>IF(A470&lt;&gt;"", VLOOKUP(A470, imdb_netflix_v5!A$2:H$7370, 5, FALSE), "")</f>
        <v>2020</v>
      </c>
      <c r="F470" s="2" t="str">
        <f>IF(A470&lt;&gt;"", VLOOKUP(A470, imdb_netflix_v5!A$2:H$7370, 7, FALSE), "")</f>
        <v>NA</v>
      </c>
    </row>
    <row r="471" ht="15.75" customHeight="1">
      <c r="A471" s="1" t="str">
        <f>IFERROR(__xludf.DUMMYFUNCTION("""COMPUTED_VALUE"""),"move to heaven")</f>
        <v>move to heaven</v>
      </c>
      <c r="B471" s="1" t="str">
        <f>IF(A471&lt;&gt;"", VLOOKUP(A471, imdb_netflix_v5!A$2:H$7370, 2, FALSE), "")</f>
        <v>TV Show</v>
      </c>
      <c r="C471" s="2" t="str">
        <f>IF(A471&lt;&gt;"", VLOOKUP(A471, imdb_netflix_v5!A$2:H$7370, 3, FALSE), "")</f>
        <v>Drama</v>
      </c>
      <c r="D471" s="2">
        <f>IF(A471&lt;&gt;"", VLOOKUP(A471, imdb_netflix_v5!A$2:H$7370, 4, FALSE), "")</f>
        <v>8.5</v>
      </c>
      <c r="E471" s="2">
        <f>IF(A471&lt;&gt;"", VLOOKUP(A471, imdb_netflix_v5!A$2:H$7370, 5, FALSE), "")</f>
        <v>2021</v>
      </c>
      <c r="F471" s="2" t="str">
        <f>IF(A471&lt;&gt;"", VLOOKUP(A471, imdb_netflix_v5!A$2:H$7370, 7, FALSE), "")</f>
        <v>NA</v>
      </c>
    </row>
    <row r="472" ht="15.75" customHeight="1">
      <c r="A472" s="1" t="str">
        <f>IFERROR(__xludf.DUMMYFUNCTION("""COMPUTED_VALUE"""),"the bugs bunny/road runner hour")</f>
        <v>the bugs bunny/road runner hour</v>
      </c>
      <c r="B472" s="1" t="str">
        <f>IF(A472&lt;&gt;"", VLOOKUP(A472, imdb_netflix_v5!A$2:H$7370, 2, FALSE), "")</f>
        <v>TV Show</v>
      </c>
      <c r="C472" s="2" t="str">
        <f>IF(A472&lt;&gt;"", VLOOKUP(A472, imdb_netflix_v5!A$2:H$7370, 3, FALSE), "")</f>
        <v>Animation, Comedy</v>
      </c>
      <c r="D472" s="2">
        <f>IF(A472&lt;&gt;"", VLOOKUP(A472, imdb_netflix_v5!A$2:H$7370, 4, FALSE), "")</f>
        <v>8.5</v>
      </c>
      <c r="E472" s="2">
        <f>IF(A472&lt;&gt;"", VLOOKUP(A472, imdb_netflix_v5!A$2:H$7370, 5, FALSE), "")</f>
        <v>1968</v>
      </c>
      <c r="F472" s="2" t="str">
        <f>IF(A472&lt;&gt;"", VLOOKUP(A472, imdb_netflix_v5!A$2:H$7370, 7, FALSE), "")</f>
        <v>NA</v>
      </c>
    </row>
    <row r="473" ht="15.75" customHeight="1">
      <c r="A473" s="1" t="str">
        <f>IFERROR(__xludf.DUMMYFUNCTION("""COMPUTED_VALUE"""),"rupauls drag race all stars")</f>
        <v>rupauls drag race all stars</v>
      </c>
      <c r="B473" s="1" t="str">
        <f>IF(A473&lt;&gt;"", VLOOKUP(A473, imdb_netflix_v5!A$2:H$7370, 2, FALSE), "")</f>
        <v>TV Show</v>
      </c>
      <c r="C473" s="2" t="str">
        <f>IF(A473&lt;&gt;"", VLOOKUP(A473, imdb_netflix_v5!A$2:H$7370, 3, FALSE), "")</f>
        <v>Game-Show, Reality-TV</v>
      </c>
      <c r="D473" s="2">
        <f>IF(A473&lt;&gt;"", VLOOKUP(A473, imdb_netflix_v5!A$2:H$7370, 4, FALSE), "")</f>
        <v>8.5</v>
      </c>
      <c r="E473" s="2">
        <f>IF(A473&lt;&gt;"", VLOOKUP(A473, imdb_netflix_v5!A$2:H$7370, 5, FALSE), "")</f>
        <v>2012</v>
      </c>
      <c r="F473" s="2" t="str">
        <f>IF(A473&lt;&gt;"", VLOOKUP(A473, imdb_netflix_v5!A$2:H$7370, 7, FALSE), "")</f>
        <v>NA</v>
      </c>
    </row>
    <row r="474" ht="15.75" customHeight="1">
      <c r="A474" s="1" t="str">
        <f>IFERROR(__xludf.DUMMYFUNCTION("""COMPUTED_VALUE"""),"signal")</f>
        <v>signal</v>
      </c>
      <c r="B474" s="1" t="str">
        <f>IF(A474&lt;&gt;"", VLOOKUP(A474, imdb_netflix_v5!A$2:H$7370, 2, FALSE), "")</f>
        <v>TV Show</v>
      </c>
      <c r="C474" s="2" t="str">
        <f>IF(A474&lt;&gt;"", VLOOKUP(A474, imdb_netflix_v5!A$2:H$7370, 3, FALSE), "")</f>
        <v>Crime, Drama, Fantasy</v>
      </c>
      <c r="D474" s="2">
        <f>IF(A474&lt;&gt;"", VLOOKUP(A474, imdb_netflix_v5!A$2:H$7370, 4, FALSE), "")</f>
        <v>8.5</v>
      </c>
      <c r="E474" s="2">
        <f>IF(A474&lt;&gt;"", VLOOKUP(A474, imdb_netflix_v5!A$2:H$7370, 5, FALSE), "")</f>
        <v>2016</v>
      </c>
      <c r="F474" s="2" t="str">
        <f>IF(A474&lt;&gt;"", VLOOKUP(A474, imdb_netflix_v5!A$2:H$7370, 7, FALSE), "")</f>
        <v>NA</v>
      </c>
    </row>
    <row r="475" ht="15.75" customHeight="1">
      <c r="A475" s="1" t="str">
        <f>IFERROR(__xludf.DUMMYFUNCTION("""COMPUTED_VALUE"""),"the dark knight rises")</f>
        <v>the dark knight rises</v>
      </c>
      <c r="B475" s="1" t="str">
        <f>IF(A475&lt;&gt;"", VLOOKUP(A475, imdb_netflix_v5!A$2:H$7370, 2, FALSE), "")</f>
        <v>Movie</v>
      </c>
      <c r="C475" s="2" t="str">
        <f>IF(A475&lt;&gt;"", VLOOKUP(A475, imdb_netflix_v5!A$2:H$7370, 3, FALSE), "")</f>
        <v>Action, Drama, Thriller</v>
      </c>
      <c r="D475" s="2">
        <f>IF(A475&lt;&gt;"", VLOOKUP(A475, imdb_netflix_v5!A$2:H$7370, 4, FALSE), "")</f>
        <v>8.4</v>
      </c>
      <c r="E475" s="2">
        <f>IF(A475&lt;&gt;"", VLOOKUP(A475, imdb_netflix_v5!A$2:H$7370, 5, FALSE), "")</f>
        <v>2012</v>
      </c>
      <c r="F475" s="2">
        <f>IF(A475&lt;&gt;"", VLOOKUP(A475, imdb_netflix_v5!A$2:H$7370, 7, FALSE), "")</f>
        <v>7750000</v>
      </c>
    </row>
    <row r="476" ht="15.75" customHeight="1">
      <c r="A476" s="1" t="str">
        <f>IFERROR(__xludf.DUMMYFUNCTION("""COMPUTED_VALUE"""),"inglourious basterds")</f>
        <v>inglourious basterds</v>
      </c>
      <c r="B476" s="1" t="str">
        <f>IF(A476&lt;&gt;"", VLOOKUP(A476, imdb_netflix_v5!A$2:H$7370, 2, FALSE), "")</f>
        <v>Movie</v>
      </c>
      <c r="C476" s="2" t="str">
        <f>IF(A476&lt;&gt;"", VLOOKUP(A476, imdb_netflix_v5!A$2:H$7370, 3, FALSE), "")</f>
        <v>Adventure, Drama, War</v>
      </c>
      <c r="D476" s="2">
        <f>IF(A476&lt;&gt;"", VLOOKUP(A476, imdb_netflix_v5!A$2:H$7370, 4, FALSE), "")</f>
        <v>8.4</v>
      </c>
      <c r="E476" s="2">
        <f>IF(A476&lt;&gt;"", VLOOKUP(A476, imdb_netflix_v5!A$2:H$7370, 5, FALSE), "")</f>
        <v>2009</v>
      </c>
      <c r="F476" s="2" t="str">
        <f>IF(A476&lt;&gt;"", VLOOKUP(A476, imdb_netflix_v5!A$2:H$7370, 7, FALSE), "")</f>
        <v>NA</v>
      </c>
    </row>
    <row r="477" ht="15.75" customHeight="1">
      <c r="A477" s="1" t="str">
        <f>IFERROR(__xludf.DUMMYFUNCTION("""COMPUTED_VALUE"""),"joker")</f>
        <v>joker</v>
      </c>
      <c r="B477" s="1" t="str">
        <f>IF(A477&lt;&gt;"", VLOOKUP(A477, imdb_netflix_v5!A$2:H$7370, 2, FALSE), "")</f>
        <v>Movie</v>
      </c>
      <c r="C477" s="2" t="str">
        <f>IF(A477&lt;&gt;"", VLOOKUP(A477, imdb_netflix_v5!A$2:H$7370, 3, FALSE), "")</f>
        <v>Crime, Drama, Thriller</v>
      </c>
      <c r="D477" s="2">
        <f>IF(A477&lt;&gt;"", VLOOKUP(A477, imdb_netflix_v5!A$2:H$7370, 4, FALSE), "")</f>
        <v>8.4</v>
      </c>
      <c r="E477" s="2">
        <f>IF(A477&lt;&gt;"", VLOOKUP(A477, imdb_netflix_v5!A$2:H$7370, 5, FALSE), "")</f>
        <v>2019</v>
      </c>
      <c r="F477" s="2" t="str">
        <f>IF(A477&lt;&gt;"", VLOOKUP(A477, imdb_netflix_v5!A$2:H$7370, 7, FALSE), "")</f>
        <v>NA</v>
      </c>
    </row>
    <row r="478" ht="15.75" customHeight="1">
      <c r="A478" s="1" t="str">
        <f>IFERROR(__xludf.DUMMYFUNCTION("""COMPUTED_VALUE"""),"memento")</f>
        <v>memento</v>
      </c>
      <c r="B478" s="1" t="str">
        <f>IF(A478&lt;&gt;"", VLOOKUP(A478, imdb_netflix_v5!A$2:H$7370, 2, FALSE), "")</f>
        <v>Movie</v>
      </c>
      <c r="C478" s="2" t="str">
        <f>IF(A478&lt;&gt;"", VLOOKUP(A478, imdb_netflix_v5!A$2:H$7370, 3, FALSE), "")</f>
        <v>Mystery, Thriller</v>
      </c>
      <c r="D478" s="2">
        <f>IF(A478&lt;&gt;"", VLOOKUP(A478, imdb_netflix_v5!A$2:H$7370, 4, FALSE), "")</f>
        <v>8.4</v>
      </c>
      <c r="E478" s="2">
        <f>IF(A478&lt;&gt;"", VLOOKUP(A478, imdb_netflix_v5!A$2:H$7370, 5, FALSE), "")</f>
        <v>2000</v>
      </c>
      <c r="F478" s="2" t="str">
        <f>IF(A478&lt;&gt;"", VLOOKUP(A478, imdb_netflix_v5!A$2:H$7370, 7, FALSE), "")</f>
        <v>NA</v>
      </c>
    </row>
    <row r="479" ht="15.75" customHeight="1">
      <c r="A479" s="1" t="str">
        <f>IFERROR(__xludf.DUMMYFUNCTION("""COMPUTED_VALUE"""),"avengers endgame")</f>
        <v>avengers endgame</v>
      </c>
      <c r="B479" s="1" t="str">
        <f>IF(A479&lt;&gt;"", VLOOKUP(A479, imdb_netflix_v5!A$2:H$7370, 2, FALSE), "")</f>
        <v>Movie</v>
      </c>
      <c r="C479" s="2" t="str">
        <f>IF(A479&lt;&gt;"", VLOOKUP(A479, imdb_netflix_v5!A$2:H$7370, 3, FALSE), "")</f>
        <v>Action, Adventure, Drama</v>
      </c>
      <c r="D479" s="2">
        <f>IF(A479&lt;&gt;"", VLOOKUP(A479, imdb_netflix_v5!A$2:H$7370, 4, FALSE), "")</f>
        <v>8.4</v>
      </c>
      <c r="E479" s="2">
        <f>IF(A479&lt;&gt;"", VLOOKUP(A479, imdb_netflix_v5!A$2:H$7370, 5, FALSE), "")</f>
        <v>2019</v>
      </c>
      <c r="F479" s="2" t="str">
        <f>IF(A479&lt;&gt;"", VLOOKUP(A479, imdb_netflix_v5!A$2:H$7370, 7, FALSE), "")</f>
        <v>NA</v>
      </c>
    </row>
    <row r="480" ht="15.75" customHeight="1">
      <c r="A480" s="1" t="str">
        <f>IFERROR(__xludf.DUMMYFUNCTION("""COMPUTED_VALUE"""),"avengers infinity war")</f>
        <v>avengers infinity war</v>
      </c>
      <c r="B480" s="1" t="str">
        <f>IF(A480&lt;&gt;"", VLOOKUP(A480, imdb_netflix_v5!A$2:H$7370, 2, FALSE), "")</f>
        <v>Movie</v>
      </c>
      <c r="C480" s="2" t="str">
        <f>IF(A480&lt;&gt;"", VLOOKUP(A480, imdb_netflix_v5!A$2:H$7370, 3, FALSE), "")</f>
        <v>Action, Adventure, Sci-Fi</v>
      </c>
      <c r="D480" s="2">
        <f>IF(A480&lt;&gt;"", VLOOKUP(A480, imdb_netflix_v5!A$2:H$7370, 4, FALSE), "")</f>
        <v>8.4</v>
      </c>
      <c r="E480" s="2">
        <f>IF(A480&lt;&gt;"", VLOOKUP(A480, imdb_netflix_v5!A$2:H$7370, 5, FALSE), "")</f>
        <v>2018</v>
      </c>
      <c r="F480" s="2" t="str">
        <f>IF(A480&lt;&gt;"", VLOOKUP(A480, imdb_netflix_v5!A$2:H$7370, 7, FALSE), "")</f>
        <v>NA</v>
      </c>
    </row>
    <row r="481" ht="15.75" customHeight="1">
      <c r="A481" s="1" t="str">
        <f>IFERROR(__xludf.DUMMYFUNCTION("""COMPUTED_VALUE"""),"wall·e")</f>
        <v>wall·e</v>
      </c>
      <c r="B481" s="1" t="str">
        <f>IF(A481&lt;&gt;"", VLOOKUP(A481, imdb_netflix_v5!A$2:H$7370, 2, FALSE), "")</f>
        <v>Movie</v>
      </c>
      <c r="C481" s="2" t="str">
        <f>IF(A481&lt;&gt;"", VLOOKUP(A481, imdb_netflix_v5!A$2:H$7370, 3, FALSE), "")</f>
        <v>Adventure, Animation, Family</v>
      </c>
      <c r="D481" s="2">
        <f>IF(A481&lt;&gt;"", VLOOKUP(A481, imdb_netflix_v5!A$2:H$7370, 4, FALSE), "")</f>
        <v>8.4</v>
      </c>
      <c r="E481" s="2">
        <f>IF(A481&lt;&gt;"", VLOOKUP(A481, imdb_netflix_v5!A$2:H$7370, 5, FALSE), "")</f>
        <v>2008</v>
      </c>
      <c r="F481" s="2" t="str">
        <f>IF(A481&lt;&gt;"", VLOOKUP(A481, imdb_netflix_v5!A$2:H$7370, 7, FALSE), "")</f>
        <v>NA</v>
      </c>
    </row>
    <row r="482" ht="15.75" customHeight="1">
      <c r="A482" s="1" t="str">
        <f>IFERROR(__xludf.DUMMYFUNCTION("""COMPUTED_VALUE"""),"the shining")</f>
        <v>the shining</v>
      </c>
      <c r="B482" s="1" t="str">
        <f>IF(A482&lt;&gt;"", VLOOKUP(A482, imdb_netflix_v5!A$2:H$7370, 2, FALSE), "")</f>
        <v>Movie</v>
      </c>
      <c r="C482" s="2" t="str">
        <f>IF(A482&lt;&gt;"", VLOOKUP(A482, imdb_netflix_v5!A$2:H$7370, 3, FALSE), "")</f>
        <v>Drama, Horror</v>
      </c>
      <c r="D482" s="2">
        <f>IF(A482&lt;&gt;"", VLOOKUP(A482, imdb_netflix_v5!A$2:H$7370, 4, FALSE), "")</f>
        <v>8.4</v>
      </c>
      <c r="E482" s="2">
        <f>IF(A482&lt;&gt;"", VLOOKUP(A482, imdb_netflix_v5!A$2:H$7370, 5, FALSE), "")</f>
        <v>1980</v>
      </c>
      <c r="F482" s="2" t="str">
        <f>IF(A482&lt;&gt;"", VLOOKUP(A482, imdb_netflix_v5!A$2:H$7370, 7, FALSE), "")</f>
        <v>NA</v>
      </c>
    </row>
    <row r="483" ht="15.75" customHeight="1">
      <c r="A483" s="1" t="str">
        <f>IFERROR(__xludf.DUMMYFUNCTION("""COMPUTED_VALUE"""),"raiders of the lost ark")</f>
        <v>raiders of the lost ark</v>
      </c>
      <c r="B483" s="1" t="str">
        <f>IF(A483&lt;&gt;"", VLOOKUP(A483, imdb_netflix_v5!A$2:H$7370, 2, FALSE), "")</f>
        <v>Movie</v>
      </c>
      <c r="C483" s="2" t="str">
        <f>IF(A483&lt;&gt;"", VLOOKUP(A483, imdb_netflix_v5!A$2:H$7370, 3, FALSE), "")</f>
        <v>Action, Adventure</v>
      </c>
      <c r="D483" s="2">
        <f>IF(A483&lt;&gt;"", VLOOKUP(A483, imdb_netflix_v5!A$2:H$7370, 4, FALSE), "")</f>
        <v>8.4</v>
      </c>
      <c r="E483" s="2">
        <f>IF(A483&lt;&gt;"", VLOOKUP(A483, imdb_netflix_v5!A$2:H$7370, 5, FALSE), "")</f>
        <v>1981</v>
      </c>
      <c r="F483" s="2" t="str">
        <f>IF(A483&lt;&gt;"", VLOOKUP(A483, imdb_netflix_v5!A$2:H$7370, 7, FALSE), "")</f>
        <v>NA</v>
      </c>
    </row>
    <row r="484" ht="15.75" customHeight="1">
      <c r="A484" s="1" t="str">
        <f>IFERROR(__xludf.DUMMYFUNCTION("""COMPUTED_VALUE"""),"aliens")</f>
        <v>aliens</v>
      </c>
      <c r="B484" s="1" t="str">
        <f>IF(A484&lt;&gt;"", VLOOKUP(A484, imdb_netflix_v5!A$2:H$7370, 2, FALSE), "")</f>
        <v>Movie</v>
      </c>
      <c r="C484" s="2" t="str">
        <f>IF(A484&lt;&gt;"", VLOOKUP(A484, imdb_netflix_v5!A$2:H$7370, 3, FALSE), "")</f>
        <v>Action, Adventure, Sci-Fi</v>
      </c>
      <c r="D484" s="2">
        <f>IF(A484&lt;&gt;"", VLOOKUP(A484, imdb_netflix_v5!A$2:H$7370, 4, FALSE), "")</f>
        <v>8.4</v>
      </c>
      <c r="E484" s="2">
        <f>IF(A484&lt;&gt;"", VLOOKUP(A484, imdb_netflix_v5!A$2:H$7370, 5, FALSE), "")</f>
        <v>1986</v>
      </c>
      <c r="F484" s="2" t="str">
        <f>IF(A484&lt;&gt;"", VLOOKUP(A484, imdb_netflix_v5!A$2:H$7370, 7, FALSE), "")</f>
        <v>NA</v>
      </c>
    </row>
    <row r="485" ht="15.75" customHeight="1">
      <c r="A485" s="1" t="str">
        <f>IFERROR(__xludf.DUMMYFUNCTION("""COMPUTED_VALUE"""),"apocalypse now")</f>
        <v>apocalypse now</v>
      </c>
      <c r="B485" s="1" t="str">
        <f>IF(A485&lt;&gt;"", VLOOKUP(A485, imdb_netflix_v5!A$2:H$7370, 2, FALSE), "")</f>
        <v>Movie</v>
      </c>
      <c r="C485" s="2" t="str">
        <f>IF(A485&lt;&gt;"", VLOOKUP(A485, imdb_netflix_v5!A$2:H$7370, 3, FALSE), "")</f>
        <v>Drama, Mystery, War</v>
      </c>
      <c r="D485" s="2">
        <f>IF(A485&lt;&gt;"", VLOOKUP(A485, imdb_netflix_v5!A$2:H$7370, 4, FALSE), "")</f>
        <v>8.4</v>
      </c>
      <c r="E485" s="2">
        <f>IF(A485&lt;&gt;"", VLOOKUP(A485, imdb_netflix_v5!A$2:H$7370, 5, FALSE), "")</f>
        <v>1979</v>
      </c>
      <c r="F485" s="2" t="str">
        <f>IF(A485&lt;&gt;"", VLOOKUP(A485, imdb_netflix_v5!A$2:H$7370, 7, FALSE), "")</f>
        <v>NA</v>
      </c>
    </row>
    <row r="486" ht="15.75" customHeight="1">
      <c r="A486" s="1" t="str">
        <f>IFERROR(__xludf.DUMMYFUNCTION("""COMPUTED_VALUE"""),"spider-man into the spider-verse")</f>
        <v>spider-man into the spider-verse</v>
      </c>
      <c r="B486" s="1" t="str">
        <f>IF(A486&lt;&gt;"", VLOOKUP(A486, imdb_netflix_v5!A$2:H$7370, 2, FALSE), "")</f>
        <v>Movie</v>
      </c>
      <c r="C486" s="2" t="str">
        <f>IF(A486&lt;&gt;"", VLOOKUP(A486, imdb_netflix_v5!A$2:H$7370, 3, FALSE), "")</f>
        <v>Action, Adventure, Animation</v>
      </c>
      <c r="D486" s="2">
        <f>IF(A486&lt;&gt;"", VLOOKUP(A486, imdb_netflix_v5!A$2:H$7370, 4, FALSE), "")</f>
        <v>8.4</v>
      </c>
      <c r="E486" s="2">
        <f>IF(A486&lt;&gt;"", VLOOKUP(A486, imdb_netflix_v5!A$2:H$7370, 5, FALSE), "")</f>
        <v>2018</v>
      </c>
      <c r="F486" s="2">
        <f>IF(A486&lt;&gt;"", VLOOKUP(A486, imdb_netflix_v5!A$2:H$7370, 7, FALSE), "")</f>
        <v>5910000</v>
      </c>
    </row>
    <row r="487" ht="15.75" customHeight="1">
      <c r="A487" s="1" t="str">
        <f>IFERROR(__xludf.DUMMYFUNCTION("""COMPUTED_VALUE"""),"coco")</f>
        <v>coco</v>
      </c>
      <c r="B487" s="1" t="str">
        <f>IF(A487&lt;&gt;"", VLOOKUP(A487, imdb_netflix_v5!A$2:H$7370, 2, FALSE), "")</f>
        <v>Movie</v>
      </c>
      <c r="C487" s="2" t="str">
        <f>IF(A487&lt;&gt;"", VLOOKUP(A487, imdb_netflix_v5!A$2:H$7370, 3, FALSE), "")</f>
        <v>Adventure, Animation, Drama</v>
      </c>
      <c r="D487" s="2">
        <f>IF(A487&lt;&gt;"", VLOOKUP(A487, imdb_netflix_v5!A$2:H$7370, 4, FALSE), "")</f>
        <v>8.4</v>
      </c>
      <c r="E487" s="2">
        <f>IF(A487&lt;&gt;"", VLOOKUP(A487, imdb_netflix_v5!A$2:H$7370, 5, FALSE), "")</f>
        <v>2017</v>
      </c>
      <c r="F487" s="2" t="str">
        <f>IF(A487&lt;&gt;"", VLOOKUP(A487, imdb_netflix_v5!A$2:H$7370, 7, FALSE), "")</f>
        <v>NA</v>
      </c>
    </row>
    <row r="488" ht="15.75" customHeight="1">
      <c r="A488" s="1" t="str">
        <f>IFERROR(__xludf.DUMMYFUNCTION("""COMPUTED_VALUE"""),"suits")</f>
        <v>suits</v>
      </c>
      <c r="B488" s="1" t="str">
        <f>IF(A488&lt;&gt;"", VLOOKUP(A488, imdb_netflix_v5!A$2:H$7370, 2, FALSE), "")</f>
        <v>TV Show</v>
      </c>
      <c r="C488" s="2" t="str">
        <f>IF(A488&lt;&gt;"", VLOOKUP(A488, imdb_netflix_v5!A$2:H$7370, 3, FALSE), "")</f>
        <v>Comedy, Drama</v>
      </c>
      <c r="D488" s="2">
        <f>IF(A488&lt;&gt;"", VLOOKUP(A488, imdb_netflix_v5!A$2:H$7370, 4, FALSE), "")</f>
        <v>8.4</v>
      </c>
      <c r="E488" s="2">
        <f>IF(A488&lt;&gt;"", VLOOKUP(A488, imdb_netflix_v5!A$2:H$7370, 5, FALSE), "")</f>
        <v>2011</v>
      </c>
      <c r="F488" s="2">
        <f>IF(A488&lt;&gt;"", VLOOKUP(A488, imdb_netflix_v5!A$2:H$7370, 7, FALSE), "")</f>
        <v>20300000</v>
      </c>
    </row>
    <row r="489" ht="15.75" customHeight="1">
      <c r="A489" s="1" t="str">
        <f>IFERROR(__xludf.DUMMYFUNCTION("""COMPUTED_VALUE"""),"supernatural")</f>
        <v>supernatural</v>
      </c>
      <c r="B489" s="1" t="str">
        <f>IF(A489&lt;&gt;"", VLOOKUP(A489, imdb_netflix_v5!A$2:H$7370, 2, FALSE), "")</f>
        <v>TV Show</v>
      </c>
      <c r="C489" s="2" t="str">
        <f>IF(A489&lt;&gt;"", VLOOKUP(A489, imdb_netflix_v5!A$2:H$7370, 3, FALSE), "")</f>
        <v>Drama, Fantasy, Horror</v>
      </c>
      <c r="D489" s="2">
        <f>IF(A489&lt;&gt;"", VLOOKUP(A489, imdb_netflix_v5!A$2:H$7370, 4, FALSE), "")</f>
        <v>8.4</v>
      </c>
      <c r="E489" s="2">
        <f>IF(A489&lt;&gt;"", VLOOKUP(A489, imdb_netflix_v5!A$2:H$7370, 5, FALSE), "")</f>
        <v>2005</v>
      </c>
      <c r="F489" s="2" t="str">
        <f>IF(A489&lt;&gt;"", VLOOKUP(A489, imdb_netflix_v5!A$2:H$7370, 7, FALSE), "")</f>
        <v>NA</v>
      </c>
    </row>
    <row r="490" ht="15.75" customHeight="1">
      <c r="A490" s="1" t="str">
        <f>IFERROR(__xludf.DUMMYFUNCTION("""COMPUTED_VALUE"""),"3 idiots")</f>
        <v>3 idiots</v>
      </c>
      <c r="B490" s="1" t="str">
        <f>IF(A490&lt;&gt;"", VLOOKUP(A490, imdb_netflix_v5!A$2:H$7370, 2, FALSE), "")</f>
        <v>Movie</v>
      </c>
      <c r="C490" s="2" t="str">
        <f>IF(A490&lt;&gt;"", VLOOKUP(A490, imdb_netflix_v5!A$2:H$7370, 3, FALSE), "")</f>
        <v>Comedy, Drama</v>
      </c>
      <c r="D490" s="2">
        <f>IF(A490&lt;&gt;"", VLOOKUP(A490, imdb_netflix_v5!A$2:H$7370, 4, FALSE), "")</f>
        <v>8.4</v>
      </c>
      <c r="E490" s="2">
        <f>IF(A490&lt;&gt;"", VLOOKUP(A490, imdb_netflix_v5!A$2:H$7370, 5, FALSE), "")</f>
        <v>2009</v>
      </c>
      <c r="F490" s="2" t="str">
        <f>IF(A490&lt;&gt;"", VLOOKUP(A490, imdb_netflix_v5!A$2:H$7370, 7, FALSE), "")</f>
        <v>NA</v>
      </c>
    </row>
    <row r="491" ht="15.75" customHeight="1">
      <c r="A491" s="1" t="str">
        <f>IFERROR(__xludf.DUMMYFUNCTION("""COMPUTED_VALUE"""),"amadeus")</f>
        <v>amadeus</v>
      </c>
      <c r="B491" s="1" t="str">
        <f>IF(A491&lt;&gt;"", VLOOKUP(A491, imdb_netflix_v5!A$2:H$7370, 2, FALSE), "")</f>
        <v>Movie</v>
      </c>
      <c r="C491" s="2" t="str">
        <f>IF(A491&lt;&gt;"", VLOOKUP(A491, imdb_netflix_v5!A$2:H$7370, 3, FALSE), "")</f>
        <v>Biography, Drama, Music</v>
      </c>
      <c r="D491" s="2">
        <f>IF(A491&lt;&gt;"", VLOOKUP(A491, imdb_netflix_v5!A$2:H$7370, 4, FALSE), "")</f>
        <v>8.4</v>
      </c>
      <c r="E491" s="2">
        <f>IF(A491&lt;&gt;"", VLOOKUP(A491, imdb_netflix_v5!A$2:H$7370, 5, FALSE), "")</f>
        <v>1984</v>
      </c>
      <c r="F491" s="2" t="str">
        <f>IF(A491&lt;&gt;"", VLOOKUP(A491, imdb_netflix_v5!A$2:H$7370, 7, FALSE), "")</f>
        <v>NA</v>
      </c>
    </row>
    <row r="492" ht="15.75" customHeight="1">
      <c r="A492" s="1" t="str">
        <f>IFERROR(__xludf.DUMMYFUNCTION("""COMPUTED_VALUE"""),"the lives of others")</f>
        <v>the lives of others</v>
      </c>
      <c r="B492" s="1" t="str">
        <f>IF(A492&lt;&gt;"", VLOOKUP(A492, imdb_netflix_v5!A$2:H$7370, 2, FALSE), "")</f>
        <v>Movie</v>
      </c>
      <c r="C492" s="2" t="str">
        <f>IF(A492&lt;&gt;"", VLOOKUP(A492, imdb_netflix_v5!A$2:H$7370, 3, FALSE), "")</f>
        <v>Drama, Mystery, Thriller</v>
      </c>
      <c r="D492" s="2">
        <f>IF(A492&lt;&gt;"", VLOOKUP(A492, imdb_netflix_v5!A$2:H$7370, 4, FALSE), "")</f>
        <v>8.4</v>
      </c>
      <c r="E492" s="2">
        <f>IF(A492&lt;&gt;"", VLOOKUP(A492, imdb_netflix_v5!A$2:H$7370, 5, FALSE), "")</f>
        <v>2006</v>
      </c>
      <c r="F492" s="2" t="str">
        <f>IF(A492&lt;&gt;"", VLOOKUP(A492, imdb_netflix_v5!A$2:H$7370, 7, FALSE), "")</f>
        <v>NA</v>
      </c>
    </row>
    <row r="493" ht="15.75" customHeight="1">
      <c r="A493" s="1" t="str">
        <f>IFERROR(__xludf.DUMMYFUNCTION("""COMPUTED_VALUE"""),"brooklyn nine-nine")</f>
        <v>brooklyn nine-nine</v>
      </c>
      <c r="B493" s="1" t="str">
        <f>IF(A493&lt;&gt;"", VLOOKUP(A493, imdb_netflix_v5!A$2:H$7370, 2, FALSE), "")</f>
        <v>TV Show</v>
      </c>
      <c r="C493" s="2" t="str">
        <f>IF(A493&lt;&gt;"", VLOOKUP(A493, imdb_netflix_v5!A$2:H$7370, 3, FALSE), "")</f>
        <v>Comedy, Crime</v>
      </c>
      <c r="D493" s="2">
        <f>IF(A493&lt;&gt;"", VLOOKUP(A493, imdb_netflix_v5!A$2:H$7370, 4, FALSE), "")</f>
        <v>8.4</v>
      </c>
      <c r="E493" s="2">
        <f>IF(A493&lt;&gt;"", VLOOKUP(A493, imdb_netflix_v5!A$2:H$7370, 5, FALSE), "")</f>
        <v>2013</v>
      </c>
      <c r="F493" s="2" t="str">
        <f>IF(A493&lt;&gt;"", VLOOKUP(A493, imdb_netflix_v5!A$2:H$7370, 7, FALSE), "")</f>
        <v>NA</v>
      </c>
    </row>
    <row r="494" ht="15.75" customHeight="1">
      <c r="A494" s="1" t="str">
        <f>IFERROR(__xludf.DUMMYFUNCTION("""COMPUTED_VALUE"""),"your name.")</f>
        <v>your name.</v>
      </c>
      <c r="B494" s="1" t="str">
        <f>IF(A494&lt;&gt;"", VLOOKUP(A494, imdb_netflix_v5!A$2:H$7370, 2, FALSE), "")</f>
        <v>Movie</v>
      </c>
      <c r="C494" s="2" t="str">
        <f>IF(A494&lt;&gt;"", VLOOKUP(A494, imdb_netflix_v5!A$2:H$7370, 3, FALSE), "")</f>
        <v>Animation, Drama, Fantasy</v>
      </c>
      <c r="D494" s="2">
        <f>IF(A494&lt;&gt;"", VLOOKUP(A494, imdb_netflix_v5!A$2:H$7370, 4, FALSE), "")</f>
        <v>8.4</v>
      </c>
      <c r="E494" s="2">
        <f>IF(A494&lt;&gt;"", VLOOKUP(A494, imdb_netflix_v5!A$2:H$7370, 5, FALSE), "")</f>
        <v>2016</v>
      </c>
      <c r="F494" s="2" t="str">
        <f>IF(A494&lt;&gt;"", VLOOKUP(A494, imdb_netflix_v5!A$2:H$7370, 7, FALSE), "")</f>
        <v>NA</v>
      </c>
    </row>
    <row r="495" ht="15.75" customHeight="1">
      <c r="A495" s="1" t="str">
        <f>IFERROR(__xludf.DUMMYFUNCTION("""COMPUTED_VALUE"""),"the punisher")</f>
        <v>the punisher</v>
      </c>
      <c r="B495" s="1" t="str">
        <f>IF(A495&lt;&gt;"", VLOOKUP(A495, imdb_netflix_v5!A$2:H$7370, 2, FALSE), "")</f>
        <v>TV Show</v>
      </c>
      <c r="C495" s="2" t="str">
        <f>IF(A495&lt;&gt;"", VLOOKUP(A495, imdb_netflix_v5!A$2:H$7370, 3, FALSE), "")</f>
        <v>Action, Crime, Drama</v>
      </c>
      <c r="D495" s="2">
        <f>IF(A495&lt;&gt;"", VLOOKUP(A495, imdb_netflix_v5!A$2:H$7370, 4, FALSE), "")</f>
        <v>8.4</v>
      </c>
      <c r="E495" s="2">
        <f>IF(A495&lt;&gt;"", VLOOKUP(A495, imdb_netflix_v5!A$2:H$7370, 5, FALSE), "")</f>
        <v>2017</v>
      </c>
      <c r="F495" s="2" t="str">
        <f>IF(A495&lt;&gt;"", VLOOKUP(A495, imdb_netflix_v5!A$2:H$7370, 7, FALSE), "")</f>
        <v>NA</v>
      </c>
    </row>
    <row r="496" ht="15.75" customHeight="1">
      <c r="A496" s="1" t="str">
        <f>IFERROR(__xludf.DUMMYFUNCTION("""COMPUTED_VALUE"""),"scrubs")</f>
        <v>scrubs</v>
      </c>
      <c r="B496" s="1" t="str">
        <f>IF(A496&lt;&gt;"", VLOOKUP(A496, imdb_netflix_v5!A$2:H$7370, 2, FALSE), "")</f>
        <v>TV Show</v>
      </c>
      <c r="C496" s="2" t="str">
        <f>IF(A496&lt;&gt;"", VLOOKUP(A496, imdb_netflix_v5!A$2:H$7370, 3, FALSE), "")</f>
        <v>Comedy, Drama</v>
      </c>
      <c r="D496" s="2">
        <f>IF(A496&lt;&gt;"", VLOOKUP(A496, imdb_netflix_v5!A$2:H$7370, 4, FALSE), "")</f>
        <v>8.4</v>
      </c>
      <c r="E496" s="2">
        <f>IF(A496&lt;&gt;"", VLOOKUP(A496, imdb_netflix_v5!A$2:H$7370, 5, FALSE), "")</f>
        <v>2001</v>
      </c>
      <c r="F496" s="2" t="str">
        <f>IF(A496&lt;&gt;"", VLOOKUP(A496, imdb_netflix_v5!A$2:H$7370, 7, FALSE), "")</f>
        <v>NA</v>
      </c>
    </row>
    <row r="497" ht="15.75" customHeight="1">
      <c r="A497" s="1" t="str">
        <f>IFERROR(__xludf.DUMMYFUNCTION("""COMPUTED_VALUE"""),"the handmaids tale")</f>
        <v>the handmaids tale</v>
      </c>
      <c r="B497" s="1" t="str">
        <f>IF(A497&lt;&gt;"", VLOOKUP(A497, imdb_netflix_v5!A$2:H$7370, 2, FALSE), "")</f>
        <v>TV Show</v>
      </c>
      <c r="C497" s="2" t="str">
        <f>IF(A497&lt;&gt;"", VLOOKUP(A497, imdb_netflix_v5!A$2:H$7370, 3, FALSE), "")</f>
        <v>Drama, Sci-Fi, Thriller</v>
      </c>
      <c r="D497" s="2">
        <f>IF(A497&lt;&gt;"", VLOOKUP(A497, imdb_netflix_v5!A$2:H$7370, 4, FALSE), "")</f>
        <v>8.4</v>
      </c>
      <c r="E497" s="2">
        <f>IF(A497&lt;&gt;"", VLOOKUP(A497, imdb_netflix_v5!A$2:H$7370, 5, FALSE), "")</f>
        <v>2017</v>
      </c>
      <c r="F497" s="2" t="str">
        <f>IF(A497&lt;&gt;"", VLOOKUP(A497, imdb_netflix_v5!A$2:H$7370, 7, FALSE), "")</f>
        <v>NA</v>
      </c>
    </row>
    <row r="498" ht="15.75" customHeight="1">
      <c r="A498" s="1" t="str">
        <f>IFERROR(__xludf.DUMMYFUNCTION("""COMPUTED_VALUE"""),"fringe")</f>
        <v>fringe</v>
      </c>
      <c r="B498" s="1" t="str">
        <f>IF(A498&lt;&gt;"", VLOOKUP(A498, imdb_netflix_v5!A$2:H$7370, 2, FALSE), "")</f>
        <v>TV Show</v>
      </c>
      <c r="C498" s="2" t="str">
        <f>IF(A498&lt;&gt;"", VLOOKUP(A498, imdb_netflix_v5!A$2:H$7370, 3, FALSE), "")</f>
        <v>Drama, Mystery, Sci-Fi</v>
      </c>
      <c r="D498" s="2">
        <f>IF(A498&lt;&gt;"", VLOOKUP(A498, imdb_netflix_v5!A$2:H$7370, 4, FALSE), "")</f>
        <v>8.4</v>
      </c>
      <c r="E498" s="2">
        <f>IF(A498&lt;&gt;"", VLOOKUP(A498, imdb_netflix_v5!A$2:H$7370, 5, FALSE), "")</f>
        <v>2008</v>
      </c>
      <c r="F498" s="2" t="str">
        <f>IF(A498&lt;&gt;"", VLOOKUP(A498, imdb_netflix_v5!A$2:H$7370, 7, FALSE), "")</f>
        <v>NA</v>
      </c>
    </row>
    <row r="499" ht="15.75" customHeight="1">
      <c r="A499" s="1" t="str">
        <f>IFERROR(__xludf.DUMMYFUNCTION("""COMPUTED_VALUE"""),"the great dictator")</f>
        <v>the great dictator</v>
      </c>
      <c r="B499" s="1" t="str">
        <f>IF(A499&lt;&gt;"", VLOOKUP(A499, imdb_netflix_v5!A$2:H$7370, 2, FALSE), "")</f>
        <v>Movie</v>
      </c>
      <c r="C499" s="2" t="str">
        <f>IF(A499&lt;&gt;"", VLOOKUP(A499, imdb_netflix_v5!A$2:H$7370, 3, FALSE), "")</f>
        <v>Comedy, Drama, War</v>
      </c>
      <c r="D499" s="2">
        <f>IF(A499&lt;&gt;"", VLOOKUP(A499, imdb_netflix_v5!A$2:H$7370, 4, FALSE), "")</f>
        <v>8.4</v>
      </c>
      <c r="E499" s="2">
        <f>IF(A499&lt;&gt;"", VLOOKUP(A499, imdb_netflix_v5!A$2:H$7370, 5, FALSE), "")</f>
        <v>1940</v>
      </c>
      <c r="F499" s="2" t="str">
        <f>IF(A499&lt;&gt;"", VLOOKUP(A499, imdb_netflix_v5!A$2:H$7370, 7, FALSE), "")</f>
        <v>NA</v>
      </c>
    </row>
    <row r="500" ht="15.75" customHeight="1">
      <c r="A500" s="1" t="str">
        <f>IFERROR(__xludf.DUMMYFUNCTION("""COMPUTED_VALUE"""),"sunset boulevard")</f>
        <v>sunset boulevard</v>
      </c>
      <c r="B500" s="1" t="str">
        <f>IF(A500&lt;&gt;"", VLOOKUP(A500, imdb_netflix_v5!A$2:H$7370, 2, FALSE), "")</f>
        <v>Movie</v>
      </c>
      <c r="C500" s="2" t="str">
        <f>IF(A500&lt;&gt;"", VLOOKUP(A500, imdb_netflix_v5!A$2:H$7370, 3, FALSE), "")</f>
        <v>Drama, Film-Noir</v>
      </c>
      <c r="D500" s="2">
        <f>IF(A500&lt;&gt;"", VLOOKUP(A500, imdb_netflix_v5!A$2:H$7370, 4, FALSE), "")</f>
        <v>8.4</v>
      </c>
      <c r="E500" s="2">
        <f>IF(A500&lt;&gt;"", VLOOKUP(A500, imdb_netflix_v5!A$2:H$7370, 5, FALSE), "")</f>
        <v>1950</v>
      </c>
      <c r="F500" s="2" t="str">
        <f>IF(A500&lt;&gt;"", VLOOKUP(A500, imdb_netflix_v5!A$2:H$7370, 7, FALSE), "")</f>
        <v>NA</v>
      </c>
    </row>
    <row r="501" ht="15.75" customHeight="1">
      <c r="A501" s="1" t="str">
        <f>IFERROR(__xludf.DUMMYFUNCTION("""COMPUTED_VALUE"""),"big little lies")</f>
        <v>big little lies</v>
      </c>
      <c r="B501" s="1" t="str">
        <f>IF(A501&lt;&gt;"", VLOOKUP(A501, imdb_netflix_v5!A$2:H$7370, 2, FALSE), "")</f>
        <v>TV Show</v>
      </c>
      <c r="C501" s="2" t="str">
        <f>IF(A501&lt;&gt;"", VLOOKUP(A501, imdb_netflix_v5!A$2:H$7370, 3, FALSE), "")</f>
        <v>Crime, Drama, Mystery</v>
      </c>
      <c r="D501" s="2">
        <f>IF(A501&lt;&gt;"", VLOOKUP(A501, imdb_netflix_v5!A$2:H$7370, 4, FALSE), "")</f>
        <v>8.4</v>
      </c>
      <c r="E501" s="2">
        <f>IF(A501&lt;&gt;"", VLOOKUP(A501, imdb_netflix_v5!A$2:H$7370, 5, FALSE), "")</f>
        <v>2017</v>
      </c>
      <c r="F501" s="2" t="str">
        <f>IF(A501&lt;&gt;"", VLOOKUP(A501, imdb_netflix_v5!A$2:H$7370, 7, FALSE), "")</f>
        <v>NA</v>
      </c>
    </row>
    <row r="502" ht="15.75" customHeight="1">
      <c r="A502" s="1" t="str">
        <f>IFERROR(__xludf.DUMMYFUNCTION("""COMPUTED_VALUE"""),"paths of glory")</f>
        <v>paths of glory</v>
      </c>
      <c r="B502" s="1" t="str">
        <f>IF(A502&lt;&gt;"", VLOOKUP(A502, imdb_netflix_v5!A$2:H$7370, 2, FALSE), "")</f>
        <v>Movie</v>
      </c>
      <c r="C502" s="2" t="str">
        <f>IF(A502&lt;&gt;"", VLOOKUP(A502, imdb_netflix_v5!A$2:H$7370, 3, FALSE), "")</f>
        <v>Drama, War</v>
      </c>
      <c r="D502" s="2">
        <f>IF(A502&lt;&gt;"", VLOOKUP(A502, imdb_netflix_v5!A$2:H$7370, 4, FALSE), "")</f>
        <v>8.4</v>
      </c>
      <c r="E502" s="2">
        <f>IF(A502&lt;&gt;"", VLOOKUP(A502, imdb_netflix_v5!A$2:H$7370, 5, FALSE), "")</f>
        <v>1957</v>
      </c>
      <c r="F502" s="2" t="str">
        <f>IF(A502&lt;&gt;"", VLOOKUP(A502, imdb_netflix_v5!A$2:H$7370, 7, FALSE), "")</f>
        <v>NA</v>
      </c>
    </row>
    <row r="503" ht="15.75" customHeight="1">
      <c r="A503" s="1" t="str">
        <f>IFERROR(__xludf.DUMMYFUNCTION("""COMPUTED_VALUE"""),"cobra kai")</f>
        <v>cobra kai</v>
      </c>
      <c r="B503" s="1" t="str">
        <f>IF(A503&lt;&gt;"", VLOOKUP(A503, imdb_netflix_v5!A$2:H$7370, 2, FALSE), "")</f>
        <v>TV Show</v>
      </c>
      <c r="C503" s="2" t="str">
        <f>IF(A503&lt;&gt;"", VLOOKUP(A503, imdb_netflix_v5!A$2:H$7370, 3, FALSE), "")</f>
        <v>Action, Comedy, Drama</v>
      </c>
      <c r="D503" s="2">
        <f>IF(A503&lt;&gt;"", VLOOKUP(A503, imdb_netflix_v5!A$2:H$7370, 4, FALSE), "")</f>
        <v>8.4</v>
      </c>
      <c r="E503" s="2">
        <f>IF(A503&lt;&gt;"", VLOOKUP(A503, imdb_netflix_v5!A$2:H$7370, 5, FALSE), "")</f>
        <v>2018</v>
      </c>
      <c r="F503" s="2">
        <f>IF(A503&lt;&gt;"", VLOOKUP(A503, imdb_netflix_v5!A$2:H$7370, 7, FALSE), "")</f>
        <v>13530000</v>
      </c>
    </row>
    <row r="504" ht="15.75" customHeight="1">
      <c r="A504" s="1" t="str">
        <f>IFERROR(__xludf.DUMMYFUNCTION("""COMPUTED_VALUE"""),"love, death &amp; robots")</f>
        <v>love, death &amp; robots</v>
      </c>
      <c r="B504" s="1" t="str">
        <f>IF(A504&lt;&gt;"", VLOOKUP(A504, imdb_netflix_v5!A$2:H$7370, 2, FALSE), "")</f>
        <v>TV Show</v>
      </c>
      <c r="C504" s="2" t="str">
        <f>IF(A504&lt;&gt;"", VLOOKUP(A504, imdb_netflix_v5!A$2:H$7370, 3, FALSE), "")</f>
        <v>Action, Adventure, Animation</v>
      </c>
      <c r="D504" s="2">
        <f>IF(A504&lt;&gt;"", VLOOKUP(A504, imdb_netflix_v5!A$2:H$7370, 4, FALSE), "")</f>
        <v>8.4</v>
      </c>
      <c r="E504" s="2">
        <f>IF(A504&lt;&gt;"", VLOOKUP(A504, imdb_netflix_v5!A$2:H$7370, 5, FALSE), "")</f>
        <v>2019</v>
      </c>
      <c r="F504" s="2">
        <f>IF(A504&lt;&gt;"", VLOOKUP(A504, imdb_netflix_v5!A$2:H$7370, 7, FALSE), "")</f>
        <v>15390000</v>
      </c>
    </row>
    <row r="505" ht="15.75" customHeight="1">
      <c r="A505" s="1">
        <f>IFERROR(__xludf.DUMMYFUNCTION("""COMPUTED_VALUE"""),24.0)</f>
        <v>24</v>
      </c>
      <c r="B505" s="1" t="str">
        <f>IF(A505&lt;&gt;"", VLOOKUP(A505, imdb_netflix_v5!A$2:H$7370, 2, FALSE), "")</f>
        <v>TV Show</v>
      </c>
      <c r="C505" s="2" t="str">
        <f>IF(A505&lt;&gt;"", VLOOKUP(A505, imdb_netflix_v5!A$2:H$7370, 3, FALSE), "")</f>
        <v>Action, Crime, Drama</v>
      </c>
      <c r="D505" s="2">
        <f>IF(A505&lt;&gt;"", VLOOKUP(A505, imdb_netflix_v5!A$2:H$7370, 4, FALSE), "")</f>
        <v>8.4</v>
      </c>
      <c r="E505" s="2">
        <f>IF(A505&lt;&gt;"", VLOOKUP(A505, imdb_netflix_v5!A$2:H$7370, 5, FALSE), "")</f>
        <v>2001</v>
      </c>
      <c r="F505" s="2" t="str">
        <f>IF(A505&lt;&gt;"", VLOOKUP(A505, imdb_netflix_v5!A$2:H$7370, 7, FALSE), "")</f>
        <v>NA</v>
      </c>
    </row>
    <row r="506" ht="15.75" customHeight="1">
      <c r="A506" s="1" t="str">
        <f>IFERROR(__xludf.DUMMYFUNCTION("""COMPUTED_VALUE"""),"mare of easttown")</f>
        <v>mare of easttown</v>
      </c>
      <c r="B506" s="1" t="str">
        <f>IF(A506&lt;&gt;"", VLOOKUP(A506, imdb_netflix_v5!A$2:H$7370, 2, FALSE), "")</f>
        <v>TV Show</v>
      </c>
      <c r="C506" s="2" t="str">
        <f>IF(A506&lt;&gt;"", VLOOKUP(A506, imdb_netflix_v5!A$2:H$7370, 3, FALSE), "")</f>
        <v>Crime, Drama, Mystery</v>
      </c>
      <c r="D506" s="2">
        <f>IF(A506&lt;&gt;"", VLOOKUP(A506, imdb_netflix_v5!A$2:H$7370, 4, FALSE), "")</f>
        <v>8.4</v>
      </c>
      <c r="E506" s="2">
        <f>IF(A506&lt;&gt;"", VLOOKUP(A506, imdb_netflix_v5!A$2:H$7370, 5, FALSE), "")</f>
        <v>2021</v>
      </c>
      <c r="F506" s="2" t="str">
        <f>IF(A506&lt;&gt;"", VLOOKUP(A506, imdb_netflix_v5!A$2:H$7370, 7, FALSE), "")</f>
        <v>NA</v>
      </c>
    </row>
    <row r="507" ht="15.75" customHeight="1">
      <c r="A507" s="1" t="str">
        <f>IFERROR(__xludf.DUMMYFUNCTION("""COMPUTED_VALUE"""),"andor")</f>
        <v>andor</v>
      </c>
      <c r="B507" s="1" t="str">
        <f>IF(A507&lt;&gt;"", VLOOKUP(A507, imdb_netflix_v5!A$2:H$7370, 2, FALSE), "")</f>
        <v>TV Show</v>
      </c>
      <c r="C507" s="2" t="str">
        <f>IF(A507&lt;&gt;"", VLOOKUP(A507, imdb_netflix_v5!A$2:H$7370, 3, FALSE), "")</f>
        <v>Action, Adventure, Drama</v>
      </c>
      <c r="D507" s="2">
        <f>IF(A507&lt;&gt;"", VLOOKUP(A507, imdb_netflix_v5!A$2:H$7370, 4, FALSE), "")</f>
        <v>8.4</v>
      </c>
      <c r="E507" s="2">
        <f>IF(A507&lt;&gt;"", VLOOKUP(A507, imdb_netflix_v5!A$2:H$7370, 5, FALSE), "")</f>
        <v>2022</v>
      </c>
      <c r="F507" s="2" t="str">
        <f>IF(A507&lt;&gt;"", VLOOKUP(A507, imdb_netflix_v5!A$2:H$7370, 7, FALSE), "")</f>
        <v>NA</v>
      </c>
    </row>
    <row r="508" ht="15.75" customHeight="1">
      <c r="A508" s="1" t="str">
        <f>IFERROR(__xludf.DUMMYFUNCTION("""COMPUTED_VALUE"""),"entourage")</f>
        <v>entourage</v>
      </c>
      <c r="B508" s="1" t="str">
        <f>IF(A508&lt;&gt;"", VLOOKUP(A508, imdb_netflix_v5!A$2:H$7370, 2, FALSE), "")</f>
        <v>TV Show</v>
      </c>
      <c r="C508" s="2" t="str">
        <f>IF(A508&lt;&gt;"", VLOOKUP(A508, imdb_netflix_v5!A$2:H$7370, 3, FALSE), "")</f>
        <v>Comedy, Drama</v>
      </c>
      <c r="D508" s="2">
        <f>IF(A508&lt;&gt;"", VLOOKUP(A508, imdb_netflix_v5!A$2:H$7370, 4, FALSE), "")</f>
        <v>8.4</v>
      </c>
      <c r="E508" s="2">
        <f>IF(A508&lt;&gt;"", VLOOKUP(A508, imdb_netflix_v5!A$2:H$7370, 5, FALSE), "")</f>
        <v>2004</v>
      </c>
      <c r="F508" s="2" t="str">
        <f>IF(A508&lt;&gt;"", VLOOKUP(A508, imdb_netflix_v5!A$2:H$7370, 7, FALSE), "")</f>
        <v>NA</v>
      </c>
    </row>
    <row r="509" ht="15.75" customHeight="1">
      <c r="A509" s="1" t="str">
        <f>IFERROR(__xludf.DUMMYFUNCTION("""COMPUTED_VALUE"""),"the night of")</f>
        <v>the night of</v>
      </c>
      <c r="B509" s="1" t="str">
        <f>IF(A509&lt;&gt;"", VLOOKUP(A509, imdb_netflix_v5!A$2:H$7370, 2, FALSE), "")</f>
        <v>TV Show</v>
      </c>
      <c r="C509" s="2" t="str">
        <f>IF(A509&lt;&gt;"", VLOOKUP(A509, imdb_netflix_v5!A$2:H$7370, 3, FALSE), "")</f>
        <v>Crime, Drama, Mystery</v>
      </c>
      <c r="D509" s="2">
        <f>IF(A509&lt;&gt;"", VLOOKUP(A509, imdb_netflix_v5!A$2:H$7370, 4, FALSE), "")</f>
        <v>8.4</v>
      </c>
      <c r="E509" s="2">
        <f>IF(A509&lt;&gt;"", VLOOKUP(A509, imdb_netflix_v5!A$2:H$7370, 5, FALSE), "")</f>
        <v>2016</v>
      </c>
      <c r="F509" s="2" t="str">
        <f>IF(A509&lt;&gt;"", VLOOKUP(A509, imdb_netflix_v5!A$2:H$7370, 7, FALSE), "")</f>
        <v>NA</v>
      </c>
    </row>
    <row r="510" ht="15.75" customHeight="1">
      <c r="A510" s="1" t="str">
        <f>IFERROR(__xludf.DUMMYFUNCTION("""COMPUTED_VALUE"""),"the heroes")</f>
        <v>the heroes</v>
      </c>
      <c r="B510" s="1" t="str">
        <f>IF(A510&lt;&gt;"", VLOOKUP(A510, imdb_netflix_v5!A$2:H$7370, 2, FALSE), "")</f>
        <v>TV Show</v>
      </c>
      <c r="C510" s="2" t="str">
        <f>IF(A510&lt;&gt;"", VLOOKUP(A510, imdb_netflix_v5!A$2:H$7370, 3, FALSE), "")</f>
        <v>Animation, Drama, History</v>
      </c>
      <c r="D510" s="2">
        <f>IF(A510&lt;&gt;"", VLOOKUP(A510, imdb_netflix_v5!A$2:H$7370, 4, FALSE), "")</f>
        <v>8.4</v>
      </c>
      <c r="E510" s="2">
        <f>IF(A510&lt;&gt;"", VLOOKUP(A510, imdb_netflix_v5!A$2:H$7370, 5, FALSE), "")</f>
        <v>2008</v>
      </c>
      <c r="F510" s="2" t="str">
        <f>IF(A510&lt;&gt;"", VLOOKUP(A510, imdb_netflix_v5!A$2:H$7370, 7, FALSE), "")</f>
        <v>NA</v>
      </c>
    </row>
    <row r="511" ht="15.75" customHeight="1">
      <c r="A511" s="1" t="str">
        <f>IFERROR(__xludf.DUMMYFUNCTION("""COMPUTED_VALUE"""),"after life")</f>
        <v>after life</v>
      </c>
      <c r="B511" s="1" t="str">
        <f>IF(A511&lt;&gt;"", VLOOKUP(A511, imdb_netflix_v5!A$2:H$7370, 2, FALSE), "")</f>
        <v>TV Show</v>
      </c>
      <c r="C511" s="2" t="str">
        <f>IF(A511&lt;&gt;"", VLOOKUP(A511, imdb_netflix_v5!A$2:H$7370, 3, FALSE), "")</f>
        <v>Comedy, Drama</v>
      </c>
      <c r="D511" s="2">
        <f>IF(A511&lt;&gt;"", VLOOKUP(A511, imdb_netflix_v5!A$2:H$7370, 4, FALSE), "")</f>
        <v>8.4</v>
      </c>
      <c r="E511" s="2">
        <f>IF(A511&lt;&gt;"", VLOOKUP(A511, imdb_netflix_v5!A$2:H$7370, 5, FALSE), "")</f>
        <v>2019</v>
      </c>
      <c r="F511" s="2" t="str">
        <f>IF(A511&lt;&gt;"", VLOOKUP(A511, imdb_netflix_v5!A$2:H$7370, 7, FALSE), "")</f>
        <v>NA</v>
      </c>
    </row>
    <row r="512" ht="15.75" customHeight="1">
      <c r="A512" s="1" t="str">
        <f>IFERROR(__xludf.DUMMYFUNCTION("""COMPUTED_VALUE"""),"luther")</f>
        <v>luther</v>
      </c>
      <c r="B512" s="1" t="str">
        <f>IF(A512&lt;&gt;"", VLOOKUP(A512, imdb_netflix_v5!A$2:H$7370, 2, FALSE), "")</f>
        <v>TV Show</v>
      </c>
      <c r="C512" s="2" t="str">
        <f>IF(A512&lt;&gt;"", VLOOKUP(A512, imdb_netflix_v5!A$2:H$7370, 3, FALSE), "")</f>
        <v>Crime, Drama, Mystery</v>
      </c>
      <c r="D512" s="2">
        <f>IF(A512&lt;&gt;"", VLOOKUP(A512, imdb_netflix_v5!A$2:H$7370, 4, FALSE), "")</f>
        <v>8.4</v>
      </c>
      <c r="E512" s="2">
        <f>IF(A512&lt;&gt;"", VLOOKUP(A512, imdb_netflix_v5!A$2:H$7370, 5, FALSE), "")</f>
        <v>2010</v>
      </c>
      <c r="F512" s="2" t="str">
        <f>IF(A512&lt;&gt;"", VLOOKUP(A512, imdb_netflix_v5!A$2:H$7370, 7, FALSE), "")</f>
        <v>NA</v>
      </c>
    </row>
    <row r="513" ht="15.75" customHeight="1">
      <c r="A513" s="1" t="str">
        <f>IFERROR(__xludf.DUMMYFUNCTION("""COMPUTED_VALUE"""),"witness for the prosecution")</f>
        <v>witness for the prosecution</v>
      </c>
      <c r="B513" s="1" t="str">
        <f>IF(A513&lt;&gt;"", VLOOKUP(A513, imdb_netflix_v5!A$2:H$7370, 2, FALSE), "")</f>
        <v>Movie</v>
      </c>
      <c r="C513" s="2" t="str">
        <f>IF(A513&lt;&gt;"", VLOOKUP(A513, imdb_netflix_v5!A$2:H$7370, 3, FALSE), "")</f>
        <v>Crime, Drama, Mystery</v>
      </c>
      <c r="D513" s="2">
        <f>IF(A513&lt;&gt;"", VLOOKUP(A513, imdb_netflix_v5!A$2:H$7370, 4, FALSE), "")</f>
        <v>8.4</v>
      </c>
      <c r="E513" s="2">
        <f>IF(A513&lt;&gt;"", VLOOKUP(A513, imdb_netflix_v5!A$2:H$7370, 5, FALSE), "")</f>
        <v>1957</v>
      </c>
      <c r="F513" s="2" t="str">
        <f>IF(A513&lt;&gt;"", VLOOKUP(A513, imdb_netflix_v5!A$2:H$7370, 7, FALSE), "")</f>
        <v>NA</v>
      </c>
    </row>
    <row r="514" ht="15.75" customHeight="1">
      <c r="A514" s="1" t="str">
        <f>IFERROR(__xludf.DUMMYFUNCTION("""COMPUTED_VALUE"""),"naruto")</f>
        <v>naruto</v>
      </c>
      <c r="B514" s="1" t="str">
        <f>IF(A514&lt;&gt;"", VLOOKUP(A514, imdb_netflix_v5!A$2:H$7370, 2, FALSE), "")</f>
        <v>TV Show</v>
      </c>
      <c r="C514" s="2" t="str">
        <f>IF(A514&lt;&gt;"", VLOOKUP(A514, imdb_netflix_v5!A$2:H$7370, 3, FALSE), "")</f>
        <v>Action, Adventure, Animation</v>
      </c>
      <c r="D514" s="2">
        <f>IF(A514&lt;&gt;"", VLOOKUP(A514, imdb_netflix_v5!A$2:H$7370, 4, FALSE), "")</f>
        <v>8.4</v>
      </c>
      <c r="E514" s="2">
        <f>IF(A514&lt;&gt;"", VLOOKUP(A514, imdb_netflix_v5!A$2:H$7370, 5, FALSE), "")</f>
        <v>2002</v>
      </c>
      <c r="F514" s="2" t="str">
        <f>IF(A514&lt;&gt;"", VLOOKUP(A514, imdb_netflix_v5!A$2:H$7370, 7, FALSE), "")</f>
        <v>NA</v>
      </c>
    </row>
    <row r="515" ht="15.75" customHeight="1">
      <c r="A515" s="1" t="str">
        <f>IFERROR(__xludf.DUMMYFUNCTION("""COMPUTED_VALUE"""),"broadchurch")</f>
        <v>broadchurch</v>
      </c>
      <c r="B515" s="1" t="str">
        <f>IF(A515&lt;&gt;"", VLOOKUP(A515, imdb_netflix_v5!A$2:H$7370, 2, FALSE), "")</f>
        <v>TV Show</v>
      </c>
      <c r="C515" s="2" t="str">
        <f>IF(A515&lt;&gt;"", VLOOKUP(A515, imdb_netflix_v5!A$2:H$7370, 3, FALSE), "")</f>
        <v>Crime, Drama, Mystery</v>
      </c>
      <c r="D515" s="2">
        <f>IF(A515&lt;&gt;"", VLOOKUP(A515, imdb_netflix_v5!A$2:H$7370, 4, FALSE), "")</f>
        <v>8.4</v>
      </c>
      <c r="E515" s="2">
        <f>IF(A515&lt;&gt;"", VLOOKUP(A515, imdb_netflix_v5!A$2:H$7370, 5, FALSE), "")</f>
        <v>2013</v>
      </c>
      <c r="F515" s="2" t="str">
        <f>IF(A515&lt;&gt;"", VLOOKUP(A515, imdb_netflix_v5!A$2:H$7370, 7, FALSE), "")</f>
        <v>NA</v>
      </c>
    </row>
    <row r="516" ht="15.75" customHeight="1">
      <c r="A516" s="1" t="str">
        <f>IFERROR(__xludf.DUMMYFUNCTION("""COMPUTED_VALUE"""),"banshee")</f>
        <v>banshee</v>
      </c>
      <c r="B516" s="1" t="str">
        <f>IF(A516&lt;&gt;"", VLOOKUP(A516, imdb_netflix_v5!A$2:H$7370, 2, FALSE), "")</f>
        <v>TV Show</v>
      </c>
      <c r="C516" s="2" t="str">
        <f>IF(A516&lt;&gt;"", VLOOKUP(A516, imdb_netflix_v5!A$2:H$7370, 3, FALSE), "")</f>
        <v>Action, Crime, Drama</v>
      </c>
      <c r="D516" s="2">
        <f>IF(A516&lt;&gt;"", VLOOKUP(A516, imdb_netflix_v5!A$2:H$7370, 4, FALSE), "")</f>
        <v>8.4</v>
      </c>
      <c r="E516" s="2">
        <f>IF(A516&lt;&gt;"", VLOOKUP(A516, imdb_netflix_v5!A$2:H$7370, 5, FALSE), "")</f>
        <v>2013</v>
      </c>
      <c r="F516" s="2" t="str">
        <f>IF(A516&lt;&gt;"", VLOOKUP(A516, imdb_netflix_v5!A$2:H$7370, 7, FALSE), "")</f>
        <v>NA</v>
      </c>
    </row>
    <row r="517" ht="15.75" customHeight="1">
      <c r="A517" s="1" t="str">
        <f>IFERROR(__xludf.DUMMYFUNCTION("""COMPUTED_VALUE"""),"star wars the clone wars")</f>
        <v>star wars the clone wars</v>
      </c>
      <c r="B517" s="1" t="str">
        <f>IF(A517&lt;&gt;"", VLOOKUP(A517, imdb_netflix_v5!A$2:H$7370, 2, FALSE), "")</f>
        <v>TV Show</v>
      </c>
      <c r="C517" s="2" t="str">
        <f>IF(A517&lt;&gt;"", VLOOKUP(A517, imdb_netflix_v5!A$2:H$7370, 3, FALSE), "")</f>
        <v>Action, Adventure, Animation</v>
      </c>
      <c r="D517" s="2">
        <f>IF(A517&lt;&gt;"", VLOOKUP(A517, imdb_netflix_v5!A$2:H$7370, 4, FALSE), "")</f>
        <v>8.4</v>
      </c>
      <c r="E517" s="2">
        <f>IF(A517&lt;&gt;"", VLOOKUP(A517, imdb_netflix_v5!A$2:H$7370, 5, FALSE), "")</f>
        <v>2008</v>
      </c>
      <c r="F517" s="2" t="str">
        <f>IF(A517&lt;&gt;"", VLOOKUP(A517, imdb_netflix_v5!A$2:H$7370, 7, FALSE), "")</f>
        <v>NA</v>
      </c>
    </row>
    <row r="518" ht="15.75" customHeight="1">
      <c r="A518" s="1" t="str">
        <f>IFERROR(__xludf.DUMMYFUNCTION("""COMPUTED_VALUE"""),"the americans")</f>
        <v>the americans</v>
      </c>
      <c r="B518" s="1" t="str">
        <f>IF(A518&lt;&gt;"", VLOOKUP(A518, imdb_netflix_v5!A$2:H$7370, 2, FALSE), "")</f>
        <v>TV Show</v>
      </c>
      <c r="C518" s="2" t="str">
        <f>IF(A518&lt;&gt;"", VLOOKUP(A518, imdb_netflix_v5!A$2:H$7370, 3, FALSE), "")</f>
        <v>Crime, Drama, Mystery</v>
      </c>
      <c r="D518" s="2">
        <f>IF(A518&lt;&gt;"", VLOOKUP(A518, imdb_netflix_v5!A$2:H$7370, 4, FALSE), "")</f>
        <v>8.4</v>
      </c>
      <c r="E518" s="2">
        <f>IF(A518&lt;&gt;"", VLOOKUP(A518, imdb_netflix_v5!A$2:H$7370, 5, FALSE), "")</f>
        <v>2013</v>
      </c>
      <c r="F518" s="2" t="str">
        <f>IF(A518&lt;&gt;"", VLOOKUP(A518, imdb_netflix_v5!A$2:H$7370, 7, FALSE), "")</f>
        <v>NA</v>
      </c>
    </row>
    <row r="519" ht="15.75" customHeight="1">
      <c r="A519" s="1" t="str">
        <f>IFERROR(__xludf.DUMMYFUNCTION("""COMPUTED_VALUE"""),"psych")</f>
        <v>psych</v>
      </c>
      <c r="B519" s="1" t="str">
        <f>IF(A519&lt;&gt;"", VLOOKUP(A519, imdb_netflix_v5!A$2:H$7370, 2, FALSE), "")</f>
        <v>TV Show</v>
      </c>
      <c r="C519" s="2" t="str">
        <f>IF(A519&lt;&gt;"", VLOOKUP(A519, imdb_netflix_v5!A$2:H$7370, 3, FALSE), "")</f>
        <v>Comedy, Crime, Mystery</v>
      </c>
      <c r="D519" s="2">
        <f>IF(A519&lt;&gt;"", VLOOKUP(A519, imdb_netflix_v5!A$2:H$7370, 4, FALSE), "")</f>
        <v>8.4</v>
      </c>
      <c r="E519" s="2">
        <f>IF(A519&lt;&gt;"", VLOOKUP(A519, imdb_netflix_v5!A$2:H$7370, 5, FALSE), "")</f>
        <v>2006</v>
      </c>
      <c r="F519" s="2" t="str">
        <f>IF(A519&lt;&gt;"", VLOOKUP(A519, imdb_netflix_v5!A$2:H$7370, 7, FALSE), "")</f>
        <v>NA</v>
      </c>
    </row>
    <row r="520" ht="15.75" customHeight="1">
      <c r="A520" s="1" t="str">
        <f>IFERROR(__xludf.DUMMYFUNCTION("""COMPUTED_VALUE"""),"capernaum")</f>
        <v>capernaum</v>
      </c>
      <c r="B520" s="1" t="str">
        <f>IF(A520&lt;&gt;"", VLOOKUP(A520, imdb_netflix_v5!A$2:H$7370, 2, FALSE), "")</f>
        <v>Movie</v>
      </c>
      <c r="C520" s="2" t="str">
        <f>IF(A520&lt;&gt;"", VLOOKUP(A520, imdb_netflix_v5!A$2:H$7370, 3, FALSE), "")</f>
        <v>Drama</v>
      </c>
      <c r="D520" s="2">
        <f>IF(A520&lt;&gt;"", VLOOKUP(A520, imdb_netflix_v5!A$2:H$7370, 4, FALSE), "")</f>
        <v>8.4</v>
      </c>
      <c r="E520" s="2">
        <f>IF(A520&lt;&gt;"", VLOOKUP(A520, imdb_netflix_v5!A$2:H$7370, 5, FALSE), "")</f>
        <v>2018</v>
      </c>
      <c r="F520" s="2" t="str">
        <f>IF(A520&lt;&gt;"", VLOOKUP(A520, imdb_netflix_v5!A$2:H$7370, 7, FALSE), "")</f>
        <v>NA</v>
      </c>
    </row>
    <row r="521" ht="15.75" customHeight="1">
      <c r="A521" s="1" t="str">
        <f>IFERROR(__xludf.DUMMYFUNCTION("""COMPUTED_VALUE"""),"stargate sg-1")</f>
        <v>stargate sg-1</v>
      </c>
      <c r="B521" s="1" t="str">
        <f>IF(A521&lt;&gt;"", VLOOKUP(A521, imdb_netflix_v5!A$2:H$7370, 2, FALSE), "")</f>
        <v>TV Show</v>
      </c>
      <c r="C521" s="2" t="str">
        <f>IF(A521&lt;&gt;"", VLOOKUP(A521, imdb_netflix_v5!A$2:H$7370, 3, FALSE), "")</f>
        <v>Action, Adventure, Drama</v>
      </c>
      <c r="D521" s="2">
        <f>IF(A521&lt;&gt;"", VLOOKUP(A521, imdb_netflix_v5!A$2:H$7370, 4, FALSE), "")</f>
        <v>8.4</v>
      </c>
      <c r="E521" s="2">
        <f>IF(A521&lt;&gt;"", VLOOKUP(A521, imdb_netflix_v5!A$2:H$7370, 5, FALSE), "")</f>
        <v>1997</v>
      </c>
      <c r="F521" s="2" t="str">
        <f>IF(A521&lt;&gt;"", VLOOKUP(A521, imdb_netflix_v5!A$2:H$7370, 7, FALSE), "")</f>
        <v>NA</v>
      </c>
    </row>
    <row r="522" ht="15.75" customHeight="1">
      <c r="A522" s="1" t="str">
        <f>IFERROR(__xludf.DUMMYFUNCTION("""COMPUTED_VALUE"""),"american crime story")</f>
        <v>american crime story</v>
      </c>
      <c r="B522" s="1" t="str">
        <f>IF(A522&lt;&gt;"", VLOOKUP(A522, imdb_netflix_v5!A$2:H$7370, 2, FALSE), "")</f>
        <v>TV Show</v>
      </c>
      <c r="C522" s="2" t="str">
        <f>IF(A522&lt;&gt;"", VLOOKUP(A522, imdb_netflix_v5!A$2:H$7370, 3, FALSE), "")</f>
        <v>Biography, Crime, Drama</v>
      </c>
      <c r="D522" s="2">
        <f>IF(A522&lt;&gt;"", VLOOKUP(A522, imdb_netflix_v5!A$2:H$7370, 4, FALSE), "")</f>
        <v>8.4</v>
      </c>
      <c r="E522" s="2">
        <f>IF(A522&lt;&gt;"", VLOOKUP(A522, imdb_netflix_v5!A$2:H$7370, 5, FALSE), "")</f>
        <v>2016</v>
      </c>
      <c r="F522" s="2" t="str">
        <f>IF(A522&lt;&gt;"", VLOOKUP(A522, imdb_netflix_v5!A$2:H$7370, 7, FALSE), "")</f>
        <v>NA</v>
      </c>
    </row>
    <row r="523" ht="15.75" customHeight="1">
      <c r="A523" s="1" t="str">
        <f>IFERROR(__xludf.DUMMYFUNCTION("""COMPUTED_VALUE"""),"normal people")</f>
        <v>normal people</v>
      </c>
      <c r="B523" s="1" t="str">
        <f>IF(A523&lt;&gt;"", VLOOKUP(A523, imdb_netflix_v5!A$2:H$7370, 2, FALSE), "")</f>
        <v>TV Show</v>
      </c>
      <c r="C523" s="2" t="str">
        <f>IF(A523&lt;&gt;"", VLOOKUP(A523, imdb_netflix_v5!A$2:H$7370, 3, FALSE), "")</f>
        <v>Drama, Romance</v>
      </c>
      <c r="D523" s="2">
        <f>IF(A523&lt;&gt;"", VLOOKUP(A523, imdb_netflix_v5!A$2:H$7370, 4, FALSE), "")</f>
        <v>8.4</v>
      </c>
      <c r="E523" s="2">
        <f>IF(A523&lt;&gt;"", VLOOKUP(A523, imdb_netflix_v5!A$2:H$7370, 5, FALSE), "")</f>
        <v>2020</v>
      </c>
      <c r="F523" s="2" t="str">
        <f>IF(A523&lt;&gt;"", VLOOKUP(A523, imdb_netflix_v5!A$2:H$7370, 7, FALSE), "")</f>
        <v>NA</v>
      </c>
    </row>
    <row r="524" ht="15.75" customHeight="1">
      <c r="A524" s="1" t="str">
        <f>IFERROR(__xludf.DUMMYFUNCTION("""COMPUTED_VALUE"""),"the inbetweeners")</f>
        <v>the inbetweeners</v>
      </c>
      <c r="B524" s="1" t="str">
        <f>IF(A524&lt;&gt;"", VLOOKUP(A524, imdb_netflix_v5!A$2:H$7370, 2, FALSE), "")</f>
        <v>TV Show</v>
      </c>
      <c r="C524" s="2" t="str">
        <f>IF(A524&lt;&gt;"", VLOOKUP(A524, imdb_netflix_v5!A$2:H$7370, 3, FALSE), "")</f>
        <v>Comedy</v>
      </c>
      <c r="D524" s="2">
        <f>IF(A524&lt;&gt;"", VLOOKUP(A524, imdb_netflix_v5!A$2:H$7370, 4, FALSE), "")</f>
        <v>8.4</v>
      </c>
      <c r="E524" s="2">
        <f>IF(A524&lt;&gt;"", VLOOKUP(A524, imdb_netflix_v5!A$2:H$7370, 5, FALSE), "")</f>
        <v>2008</v>
      </c>
      <c r="F524" s="2" t="str">
        <f>IF(A524&lt;&gt;"", VLOOKUP(A524, imdb_netflix_v5!A$2:H$7370, 7, FALSE), "")</f>
        <v>NA</v>
      </c>
    </row>
    <row r="525" ht="15.75" customHeight="1">
      <c r="A525" s="1" t="str">
        <f>IFERROR(__xludf.DUMMYFUNCTION("""COMPUTED_VALUE"""),"star trek")</f>
        <v>star trek</v>
      </c>
      <c r="B525" s="1" t="str">
        <f>IF(A525&lt;&gt;"", VLOOKUP(A525, imdb_netflix_v5!A$2:H$7370, 2, FALSE), "")</f>
        <v>TV Show</v>
      </c>
      <c r="C525" s="2" t="str">
        <f>IF(A525&lt;&gt;"", VLOOKUP(A525, imdb_netflix_v5!A$2:H$7370, 3, FALSE), "")</f>
        <v>Action, Adventure, Sci-Fi</v>
      </c>
      <c r="D525" s="2">
        <f>IF(A525&lt;&gt;"", VLOOKUP(A525, imdb_netflix_v5!A$2:H$7370, 4, FALSE), "")</f>
        <v>8.4</v>
      </c>
      <c r="E525" s="2">
        <f>IF(A525&lt;&gt;"", VLOOKUP(A525, imdb_netflix_v5!A$2:H$7370, 5, FALSE), "")</f>
        <v>1966</v>
      </c>
      <c r="F525" s="2" t="str">
        <f>IF(A525&lt;&gt;"", VLOOKUP(A525, imdb_netflix_v5!A$2:H$7370, 7, FALSE), "")</f>
        <v>NA</v>
      </c>
    </row>
    <row r="526" ht="15.75" customHeight="1">
      <c r="A526" s="1" t="str">
        <f>IFERROR(__xludf.DUMMYFUNCTION("""COMPUTED_VALUE"""),"mirzapur")</f>
        <v>mirzapur</v>
      </c>
      <c r="B526" s="1" t="str">
        <f>IF(A526&lt;&gt;"", VLOOKUP(A526, imdb_netflix_v5!A$2:H$7370, 2, FALSE), "")</f>
        <v>TV Show</v>
      </c>
      <c r="C526" s="2" t="str">
        <f>IF(A526&lt;&gt;"", VLOOKUP(A526, imdb_netflix_v5!A$2:H$7370, 3, FALSE), "")</f>
        <v>Crime, Drama, Thriller</v>
      </c>
      <c r="D526" s="2">
        <f>IF(A526&lt;&gt;"", VLOOKUP(A526, imdb_netflix_v5!A$2:H$7370, 4, FALSE), "")</f>
        <v>8.4</v>
      </c>
      <c r="E526" s="2">
        <f>IF(A526&lt;&gt;"", VLOOKUP(A526, imdb_netflix_v5!A$2:H$7370, 5, FALSE), "")</f>
        <v>2018</v>
      </c>
      <c r="F526" s="2" t="str">
        <f>IF(A526&lt;&gt;"", VLOOKUP(A526, imdb_netflix_v5!A$2:H$7370, 7, FALSE), "")</f>
        <v>NA</v>
      </c>
    </row>
    <row r="527" ht="15.75" customHeight="1">
      <c r="A527" s="1" t="str">
        <f>IFERROR(__xludf.DUMMYFUNCTION("""COMPUTED_VALUE"""),"the good wife")</f>
        <v>the good wife</v>
      </c>
      <c r="B527" s="1" t="str">
        <f>IF(A527&lt;&gt;"", VLOOKUP(A527, imdb_netflix_v5!A$2:H$7370, 2, FALSE), "")</f>
        <v>TV Show</v>
      </c>
      <c r="C527" s="2" t="str">
        <f>IF(A527&lt;&gt;"", VLOOKUP(A527, imdb_netflix_v5!A$2:H$7370, 3, FALSE), "")</f>
        <v>Crime, Drama, Mystery</v>
      </c>
      <c r="D527" s="2">
        <f>IF(A527&lt;&gt;"", VLOOKUP(A527, imdb_netflix_v5!A$2:H$7370, 4, FALSE), "")</f>
        <v>8.4</v>
      </c>
      <c r="E527" s="2">
        <f>IF(A527&lt;&gt;"", VLOOKUP(A527, imdb_netflix_v5!A$2:H$7370, 5, FALSE), "")</f>
        <v>2009</v>
      </c>
      <c r="F527" s="2" t="str">
        <f>IF(A527&lt;&gt;"", VLOOKUP(A527, imdb_netflix_v5!A$2:H$7370, 7, FALSE), "")</f>
        <v>NA</v>
      </c>
    </row>
    <row r="528" ht="15.75" customHeight="1">
      <c r="A528" s="1" t="str">
        <f>IFERROR(__xludf.DUMMYFUNCTION("""COMPUTED_VALUE"""),"ash vs evil dead")</f>
        <v>ash vs evil dead</v>
      </c>
      <c r="B528" s="1" t="str">
        <f>IF(A528&lt;&gt;"", VLOOKUP(A528, imdb_netflix_v5!A$2:H$7370, 2, FALSE), "")</f>
        <v>TV Show</v>
      </c>
      <c r="C528" s="2" t="str">
        <f>IF(A528&lt;&gt;"", VLOOKUP(A528, imdb_netflix_v5!A$2:H$7370, 3, FALSE), "")</f>
        <v>Action, Comedy, Horror</v>
      </c>
      <c r="D528" s="2">
        <f>IF(A528&lt;&gt;"", VLOOKUP(A528, imdb_netflix_v5!A$2:H$7370, 4, FALSE), "")</f>
        <v>8.4</v>
      </c>
      <c r="E528" s="2">
        <f>IF(A528&lt;&gt;"", VLOOKUP(A528, imdb_netflix_v5!A$2:H$7370, 5, FALSE), "")</f>
        <v>2015</v>
      </c>
      <c r="F528" s="2" t="str">
        <f>IF(A528&lt;&gt;"", VLOOKUP(A528, imdb_netflix_v5!A$2:H$7370, 7, FALSE), "")</f>
        <v>NA</v>
      </c>
    </row>
    <row r="529" ht="15.75" customHeight="1">
      <c r="A529" s="1" t="str">
        <f>IFERROR(__xludf.DUMMYFUNCTION("""COMPUTED_VALUE"""),"veronica mars")</f>
        <v>veronica mars</v>
      </c>
      <c r="B529" s="1" t="str">
        <f>IF(A529&lt;&gt;"", VLOOKUP(A529, imdb_netflix_v5!A$2:H$7370, 2, FALSE), "")</f>
        <v>TV Show</v>
      </c>
      <c r="C529" s="2" t="str">
        <f>IF(A529&lt;&gt;"", VLOOKUP(A529, imdb_netflix_v5!A$2:H$7370, 3, FALSE), "")</f>
        <v>Crime, Drama, Mystery</v>
      </c>
      <c r="D529" s="2">
        <f>IF(A529&lt;&gt;"", VLOOKUP(A529, imdb_netflix_v5!A$2:H$7370, 4, FALSE), "")</f>
        <v>8.4</v>
      </c>
      <c r="E529" s="2">
        <f>IF(A529&lt;&gt;"", VLOOKUP(A529, imdb_netflix_v5!A$2:H$7370, 5, FALSE), "")</f>
        <v>2004</v>
      </c>
      <c r="F529" s="2" t="str">
        <f>IF(A529&lt;&gt;"", VLOOKUP(A529, imdb_netflix_v5!A$2:H$7370, 7, FALSE), "")</f>
        <v>NA</v>
      </c>
    </row>
    <row r="530" ht="15.75" customHeight="1">
      <c r="A530" s="1" t="str">
        <f>IFERROR(__xludf.DUMMYFUNCTION("""COMPUTED_VALUE"""),"veep")</f>
        <v>veep</v>
      </c>
      <c r="B530" s="1" t="str">
        <f>IF(A530&lt;&gt;"", VLOOKUP(A530, imdb_netflix_v5!A$2:H$7370, 2, FALSE), "")</f>
        <v>TV Show</v>
      </c>
      <c r="C530" s="2" t="str">
        <f>IF(A530&lt;&gt;"", VLOOKUP(A530, imdb_netflix_v5!A$2:H$7370, 3, FALSE), "")</f>
        <v>Comedy</v>
      </c>
      <c r="D530" s="2">
        <f>IF(A530&lt;&gt;"", VLOOKUP(A530, imdb_netflix_v5!A$2:H$7370, 4, FALSE), "")</f>
        <v>8.4</v>
      </c>
      <c r="E530" s="2">
        <f>IF(A530&lt;&gt;"", VLOOKUP(A530, imdb_netflix_v5!A$2:H$7370, 5, FALSE), "")</f>
        <v>2012</v>
      </c>
      <c r="F530" s="2" t="str">
        <f>IF(A530&lt;&gt;"", VLOOKUP(A530, imdb_netflix_v5!A$2:H$7370, 7, FALSE), "")</f>
        <v>NA</v>
      </c>
    </row>
    <row r="531" ht="15.75" customHeight="1">
      <c r="A531" s="1" t="str">
        <f>IFERROR(__xludf.DUMMYFUNCTION("""COMPUTED_VALUE"""),"erased")</f>
        <v>erased</v>
      </c>
      <c r="B531" s="1" t="str">
        <f>IF(A531&lt;&gt;"", VLOOKUP(A531, imdb_netflix_v5!A$2:H$7370, 2, FALSE), "")</f>
        <v>TV Show</v>
      </c>
      <c r="C531" s="2" t="str">
        <f>IF(A531&lt;&gt;"", VLOOKUP(A531, imdb_netflix_v5!A$2:H$7370, 3, FALSE), "")</f>
        <v>Animation, Crime, Drama</v>
      </c>
      <c r="D531" s="2">
        <f>IF(A531&lt;&gt;"", VLOOKUP(A531, imdb_netflix_v5!A$2:H$7370, 4, FALSE), "")</f>
        <v>8.4</v>
      </c>
      <c r="E531" s="2">
        <f>IF(A531&lt;&gt;"", VLOOKUP(A531, imdb_netflix_v5!A$2:H$7370, 5, FALSE), "")</f>
        <v>2016</v>
      </c>
      <c r="F531" s="2" t="str">
        <f>IF(A531&lt;&gt;"", VLOOKUP(A531, imdb_netflix_v5!A$2:H$7370, 7, FALSE), "")</f>
        <v>NA</v>
      </c>
    </row>
    <row r="532" ht="15.75" customHeight="1">
      <c r="A532" s="1" t="str">
        <f>IFERROR(__xludf.DUMMYFUNCTION("""COMPUTED_VALUE"""),"black books")</f>
        <v>black books</v>
      </c>
      <c r="B532" s="1" t="str">
        <f>IF(A532&lt;&gt;"", VLOOKUP(A532, imdb_netflix_v5!A$2:H$7370, 2, FALSE), "")</f>
        <v>TV Show</v>
      </c>
      <c r="C532" s="2" t="str">
        <f>IF(A532&lt;&gt;"", VLOOKUP(A532, imdb_netflix_v5!A$2:H$7370, 3, FALSE), "")</f>
        <v>Comedy</v>
      </c>
      <c r="D532" s="2">
        <f>IF(A532&lt;&gt;"", VLOOKUP(A532, imdb_netflix_v5!A$2:H$7370, 4, FALSE), "")</f>
        <v>8.4</v>
      </c>
      <c r="E532" s="2">
        <f>IF(A532&lt;&gt;"", VLOOKUP(A532, imdb_netflix_v5!A$2:H$7370, 5, FALSE), "")</f>
        <v>2000</v>
      </c>
      <c r="F532" s="2" t="str">
        <f>IF(A532&lt;&gt;"", VLOOKUP(A532, imdb_netflix_v5!A$2:H$7370, 7, FALSE), "")</f>
        <v>NA</v>
      </c>
    </row>
    <row r="533" ht="15.75" customHeight="1">
      <c r="A533" s="1" t="str">
        <f>IFERROR(__xludf.DUMMYFUNCTION("""COMPUTED_VALUE"""),"generation kill")</f>
        <v>generation kill</v>
      </c>
      <c r="B533" s="1" t="str">
        <f>IF(A533&lt;&gt;"", VLOOKUP(A533, imdb_netflix_v5!A$2:H$7370, 2, FALSE), "")</f>
        <v>TV Show</v>
      </c>
      <c r="C533" s="2" t="str">
        <f>IF(A533&lt;&gt;"", VLOOKUP(A533, imdb_netflix_v5!A$2:H$7370, 3, FALSE), "")</f>
        <v>Drama, War</v>
      </c>
      <c r="D533" s="2">
        <f>IF(A533&lt;&gt;"", VLOOKUP(A533, imdb_netflix_v5!A$2:H$7370, 4, FALSE), "")</f>
        <v>8.4</v>
      </c>
      <c r="E533" s="2">
        <f>IF(A533&lt;&gt;"", VLOOKUP(A533, imdb_netflix_v5!A$2:H$7370, 5, FALSE), "")</f>
        <v>2008</v>
      </c>
      <c r="F533" s="2" t="str">
        <f>IF(A533&lt;&gt;"", VLOOKUP(A533, imdb_netflix_v5!A$2:H$7370, 7, FALSE), "")</f>
        <v>NA</v>
      </c>
    </row>
    <row r="534" ht="15.75" customHeight="1">
      <c r="A534" s="1" t="str">
        <f>IFERROR(__xludf.DUMMYFUNCTION("""COMPUTED_VALUE"""),"pushing daisies")</f>
        <v>pushing daisies</v>
      </c>
      <c r="B534" s="1" t="str">
        <f>IF(A534&lt;&gt;"", VLOOKUP(A534, imdb_netflix_v5!A$2:H$7370, 2, FALSE), "")</f>
        <v>TV Show</v>
      </c>
      <c r="C534" s="2" t="str">
        <f>IF(A534&lt;&gt;"", VLOOKUP(A534, imdb_netflix_v5!A$2:H$7370, 3, FALSE), "")</f>
        <v>Comedy, Drama, Fantasy</v>
      </c>
      <c r="D534" s="2">
        <f>IF(A534&lt;&gt;"", VLOOKUP(A534, imdb_netflix_v5!A$2:H$7370, 4, FALSE), "")</f>
        <v>8.4</v>
      </c>
      <c r="E534" s="2">
        <f>IF(A534&lt;&gt;"", VLOOKUP(A534, imdb_netflix_v5!A$2:H$7370, 5, FALSE), "")</f>
        <v>2007</v>
      </c>
      <c r="F534" s="2" t="str">
        <f>IF(A534&lt;&gt;"", VLOOKUP(A534, imdb_netflix_v5!A$2:H$7370, 7, FALSE), "")</f>
        <v>NA</v>
      </c>
    </row>
    <row r="535" ht="15.75" customHeight="1">
      <c r="A535" s="1" t="str">
        <f>IFERROR(__xludf.DUMMYFUNCTION("""COMPUTED_VALUE"""),"high and low")</f>
        <v>high and low</v>
      </c>
      <c r="B535" s="1" t="str">
        <f>IF(A535&lt;&gt;"", VLOOKUP(A535, imdb_netflix_v5!A$2:H$7370, 2, FALSE), "")</f>
        <v>Movie</v>
      </c>
      <c r="C535" s="2" t="str">
        <f>IF(A535&lt;&gt;"", VLOOKUP(A535, imdb_netflix_v5!A$2:H$7370, 3, FALSE), "")</f>
        <v>Crime, Drama, Mystery</v>
      </c>
      <c r="D535" s="2">
        <f>IF(A535&lt;&gt;"", VLOOKUP(A535, imdb_netflix_v5!A$2:H$7370, 4, FALSE), "")</f>
        <v>8.4</v>
      </c>
      <c r="E535" s="2">
        <f>IF(A535&lt;&gt;"", VLOOKUP(A535, imdb_netflix_v5!A$2:H$7370, 5, FALSE), "")</f>
        <v>1963</v>
      </c>
      <c r="F535" s="2" t="str">
        <f>IF(A535&lt;&gt;"", VLOOKUP(A535, imdb_netflix_v5!A$2:H$7370, 7, FALSE), "")</f>
        <v>NA</v>
      </c>
    </row>
    <row r="536" ht="15.75" customHeight="1">
      <c r="A536" s="1" t="str">
        <f>IFERROR(__xludf.DUMMYFUNCTION("""COMPUTED_VALUE"""),"utopia")</f>
        <v>utopia</v>
      </c>
      <c r="B536" s="1" t="str">
        <f>IF(A536&lt;&gt;"", VLOOKUP(A536, imdb_netflix_v5!A$2:H$7370, 2, FALSE), "")</f>
        <v>TV Show</v>
      </c>
      <c r="C536" s="2" t="str">
        <f>IF(A536&lt;&gt;"", VLOOKUP(A536, imdb_netflix_v5!A$2:H$7370, 3, FALSE), "")</f>
        <v>Drama, Mystery, Sci-Fi</v>
      </c>
      <c r="D536" s="2">
        <f>IF(A536&lt;&gt;"", VLOOKUP(A536, imdb_netflix_v5!A$2:H$7370, 4, FALSE), "")</f>
        <v>8.4</v>
      </c>
      <c r="E536" s="2">
        <f>IF(A536&lt;&gt;"", VLOOKUP(A536, imdb_netflix_v5!A$2:H$7370, 5, FALSE), "")</f>
        <v>2013</v>
      </c>
      <c r="F536" s="2" t="str">
        <f>IF(A536&lt;&gt;"", VLOOKUP(A536, imdb_netflix_v5!A$2:H$7370, 7, FALSE), "")</f>
        <v>NA</v>
      </c>
    </row>
    <row r="537" ht="15.75" customHeight="1">
      <c r="A537" s="1" t="str">
        <f>IFERROR(__xludf.DUMMYFUNCTION("""COMPUTED_VALUE"""),"the cove")</f>
        <v>the cove</v>
      </c>
      <c r="B537" s="1" t="str">
        <f>IF(A537&lt;&gt;"", VLOOKUP(A537, imdb_netflix_v5!A$2:H$7370, 2, FALSE), "")</f>
        <v>Movie</v>
      </c>
      <c r="C537" s="2" t="str">
        <f>IF(A537&lt;&gt;"", VLOOKUP(A537, imdb_netflix_v5!A$2:H$7370, 3, FALSE), "")</f>
        <v>Biography, Crime, Documentary</v>
      </c>
      <c r="D537" s="2">
        <f>IF(A537&lt;&gt;"", VLOOKUP(A537, imdb_netflix_v5!A$2:H$7370, 4, FALSE), "")</f>
        <v>8.4</v>
      </c>
      <c r="E537" s="2">
        <f>IF(A537&lt;&gt;"", VLOOKUP(A537, imdb_netflix_v5!A$2:H$7370, 5, FALSE), "")</f>
        <v>2009</v>
      </c>
      <c r="F537" s="2" t="str">
        <f>IF(A537&lt;&gt;"", VLOOKUP(A537, imdb_netflix_v5!A$2:H$7370, 7, FALSE), "")</f>
        <v>NA</v>
      </c>
    </row>
    <row r="538" ht="15.75" customHeight="1">
      <c r="A538" s="1" t="str">
        <f>IFERROR(__xludf.DUMMYFUNCTION("""COMPUTED_VALUE"""),"x-men")</f>
        <v>x-men</v>
      </c>
      <c r="B538" s="1" t="str">
        <f>IF(A538&lt;&gt;"", VLOOKUP(A538, imdb_netflix_v5!A$2:H$7370, 2, FALSE), "")</f>
        <v>TV Show</v>
      </c>
      <c r="C538" s="2" t="str">
        <f>IF(A538&lt;&gt;"", VLOOKUP(A538, imdb_netflix_v5!A$2:H$7370, 3, FALSE), "")</f>
        <v>Action, Adventure, Animation</v>
      </c>
      <c r="D538" s="2">
        <f>IF(A538&lt;&gt;"", VLOOKUP(A538, imdb_netflix_v5!A$2:H$7370, 4, FALSE), "")</f>
        <v>8.4</v>
      </c>
      <c r="E538" s="2">
        <f>IF(A538&lt;&gt;"", VLOOKUP(A538, imdb_netflix_v5!A$2:H$7370, 5, FALSE), "")</f>
        <v>1992</v>
      </c>
      <c r="F538" s="2" t="str">
        <f>IF(A538&lt;&gt;"", VLOOKUP(A538, imdb_netflix_v5!A$2:H$7370, 7, FALSE), "")</f>
        <v>NA</v>
      </c>
    </row>
    <row r="539" ht="15.75" customHeight="1">
      <c r="A539" s="1" t="str">
        <f>IFERROR(__xludf.DUMMYFUNCTION("""COMPUTED_VALUE"""),"warrior")</f>
        <v>warrior</v>
      </c>
      <c r="B539" s="1" t="str">
        <f>IF(A539&lt;&gt;"", VLOOKUP(A539, imdb_netflix_v5!A$2:H$7370, 2, FALSE), "")</f>
        <v>TV Show</v>
      </c>
      <c r="C539" s="2" t="str">
        <f>IF(A539&lt;&gt;"", VLOOKUP(A539, imdb_netflix_v5!A$2:H$7370, 3, FALSE), "")</f>
        <v>Action, Crime, Drama</v>
      </c>
      <c r="D539" s="2">
        <f>IF(A539&lt;&gt;"", VLOOKUP(A539, imdb_netflix_v5!A$2:H$7370, 4, FALSE), "")</f>
        <v>8.4</v>
      </c>
      <c r="E539" s="2">
        <f>IF(A539&lt;&gt;"", VLOOKUP(A539, imdb_netflix_v5!A$2:H$7370, 5, FALSE), "")</f>
        <v>2019</v>
      </c>
      <c r="F539" s="2" t="str">
        <f>IF(A539&lt;&gt;"", VLOOKUP(A539, imdb_netflix_v5!A$2:H$7370, 7, FALSE), "")</f>
        <v>NA</v>
      </c>
    </row>
    <row r="540" ht="15.75" customHeight="1">
      <c r="A540" s="1" t="str">
        <f>IFERROR(__xludf.DUMMYFUNCTION("""COMPUTED_VALUE"""),"carnivàle")</f>
        <v>carnivàle</v>
      </c>
      <c r="B540" s="1" t="str">
        <f>IF(A540&lt;&gt;"", VLOOKUP(A540, imdb_netflix_v5!A$2:H$7370, 2, FALSE), "")</f>
        <v>TV Show</v>
      </c>
      <c r="C540" s="2" t="str">
        <f>IF(A540&lt;&gt;"", VLOOKUP(A540, imdb_netflix_v5!A$2:H$7370, 3, FALSE), "")</f>
        <v>Drama, Fantasy, Mystery</v>
      </c>
      <c r="D540" s="2">
        <f>IF(A540&lt;&gt;"", VLOOKUP(A540, imdb_netflix_v5!A$2:H$7370, 4, FALSE), "")</f>
        <v>8.4</v>
      </c>
      <c r="E540" s="2">
        <f>IF(A540&lt;&gt;"", VLOOKUP(A540, imdb_netflix_v5!A$2:H$7370, 5, FALSE), "")</f>
        <v>2003</v>
      </c>
      <c r="F540" s="2" t="str">
        <f>IF(A540&lt;&gt;"", VLOOKUP(A540, imdb_netflix_v5!A$2:H$7370, 7, FALSE), "")</f>
        <v>NA</v>
      </c>
    </row>
    <row r="541" ht="15.75" customHeight="1">
      <c r="A541" s="1" t="str">
        <f>IFERROR(__xludf.DUMMYFUNCTION("""COMPUTED_VALUE"""),"the legend of vox machina")</f>
        <v>the legend of vox machina</v>
      </c>
      <c r="B541" s="1" t="str">
        <f>IF(A541&lt;&gt;"", VLOOKUP(A541, imdb_netflix_v5!A$2:H$7370, 2, FALSE), "")</f>
        <v>TV Show</v>
      </c>
      <c r="C541" s="2" t="str">
        <f>IF(A541&lt;&gt;"", VLOOKUP(A541, imdb_netflix_v5!A$2:H$7370, 3, FALSE), "")</f>
        <v>Action, Adventure, Animation</v>
      </c>
      <c r="D541" s="2">
        <f>IF(A541&lt;&gt;"", VLOOKUP(A541, imdb_netflix_v5!A$2:H$7370, 4, FALSE), "")</f>
        <v>8.4</v>
      </c>
      <c r="E541" s="2">
        <f>IF(A541&lt;&gt;"", VLOOKUP(A541, imdb_netflix_v5!A$2:H$7370, 5, FALSE), "")</f>
        <v>2022</v>
      </c>
      <c r="F541" s="2" t="str">
        <f>IF(A541&lt;&gt;"", VLOOKUP(A541, imdb_netflix_v5!A$2:H$7370, 7, FALSE), "")</f>
        <v>NA</v>
      </c>
    </row>
    <row r="542" ht="15.75" customHeight="1">
      <c r="A542" s="1" t="str">
        <f>IFERROR(__xludf.DUMMYFUNCTION("""COMPUTED_VALUE"""),"lost ladies")</f>
        <v>lost ladies</v>
      </c>
      <c r="B542" s="1" t="str">
        <f>IF(A542&lt;&gt;"", VLOOKUP(A542, imdb_netflix_v5!A$2:H$7370, 2, FALSE), "")</f>
        <v>Movie</v>
      </c>
      <c r="C542" s="2" t="str">
        <f>IF(A542&lt;&gt;"", VLOOKUP(A542, imdb_netflix_v5!A$2:H$7370, 3, FALSE), "")</f>
        <v>Comedy, Drama</v>
      </c>
      <c r="D542" s="2">
        <f>IF(A542&lt;&gt;"", VLOOKUP(A542, imdb_netflix_v5!A$2:H$7370, 4, FALSE), "")</f>
        <v>8.4</v>
      </c>
      <c r="E542" s="2">
        <f>IF(A542&lt;&gt;"", VLOOKUP(A542, imdb_netflix_v5!A$2:H$7370, 5, FALSE), "")</f>
        <v>2023</v>
      </c>
      <c r="F542" s="2" t="str">
        <f>IF(A542&lt;&gt;"", VLOOKUP(A542, imdb_netflix_v5!A$2:H$7370, 7, FALSE), "")</f>
        <v>NA</v>
      </c>
    </row>
    <row r="543" ht="15.75" customHeight="1">
      <c r="A543" s="1" t="str">
        <f>IFERROR(__xludf.DUMMYFUNCTION("""COMPUTED_VALUE"""),"kaithi")</f>
        <v>kaithi</v>
      </c>
      <c r="B543" s="1" t="str">
        <f>IF(A543&lt;&gt;"", VLOOKUP(A543, imdb_netflix_v5!A$2:H$7370, 2, FALSE), "")</f>
        <v>Movie</v>
      </c>
      <c r="C543" s="2" t="str">
        <f>IF(A543&lt;&gt;"", VLOOKUP(A543, imdb_netflix_v5!A$2:H$7370, 3, FALSE), "")</f>
        <v>Action, Crime, Drama</v>
      </c>
      <c r="D543" s="2">
        <f>IF(A543&lt;&gt;"", VLOOKUP(A543, imdb_netflix_v5!A$2:H$7370, 4, FALSE), "")</f>
        <v>8.4</v>
      </c>
      <c r="E543" s="2">
        <f>IF(A543&lt;&gt;"", VLOOKUP(A543, imdb_netflix_v5!A$2:H$7370, 5, FALSE), "")</f>
        <v>2019</v>
      </c>
      <c r="F543" s="2" t="str">
        <f>IF(A543&lt;&gt;"", VLOOKUP(A543, imdb_netflix_v5!A$2:H$7370, 7, FALSE), "")</f>
        <v>NA</v>
      </c>
    </row>
    <row r="544" ht="15.75" customHeight="1">
      <c r="A544" s="1" t="str">
        <f>IFERROR(__xludf.DUMMYFUNCTION("""COMPUTED_VALUE"""),"the amazing world of gumball")</f>
        <v>the amazing world of gumball</v>
      </c>
      <c r="B544" s="1" t="str">
        <f>IF(A544&lt;&gt;"", VLOOKUP(A544, imdb_netflix_v5!A$2:H$7370, 2, FALSE), "")</f>
        <v>TV Show</v>
      </c>
      <c r="C544" s="2" t="str">
        <f>IF(A544&lt;&gt;"", VLOOKUP(A544, imdb_netflix_v5!A$2:H$7370, 3, FALSE), "")</f>
        <v>Adventure, Animation, Comedy</v>
      </c>
      <c r="D544" s="2">
        <f>IF(A544&lt;&gt;"", VLOOKUP(A544, imdb_netflix_v5!A$2:H$7370, 4, FALSE), "")</f>
        <v>8.4</v>
      </c>
      <c r="E544" s="2">
        <f>IF(A544&lt;&gt;"", VLOOKUP(A544, imdb_netflix_v5!A$2:H$7370, 5, FALSE), "")</f>
        <v>2011</v>
      </c>
      <c r="F544" s="2" t="str">
        <f>IF(A544&lt;&gt;"", VLOOKUP(A544, imdb_netflix_v5!A$2:H$7370, 7, FALSE), "")</f>
        <v>NA</v>
      </c>
    </row>
    <row r="545" ht="15.75" customHeight="1">
      <c r="A545" s="1" t="str">
        <f>IFERROR(__xludf.DUMMYFUNCTION("""COMPUTED_VALUE"""),"dr. horribles sing-along blog")</f>
        <v>dr. horribles sing-along blog</v>
      </c>
      <c r="B545" s="1" t="str">
        <f>IF(A545&lt;&gt;"", VLOOKUP(A545, imdb_netflix_v5!A$2:H$7370, 2, FALSE), "")</f>
        <v>TV Show</v>
      </c>
      <c r="C545" s="2" t="str">
        <f>IF(A545&lt;&gt;"", VLOOKUP(A545, imdb_netflix_v5!A$2:H$7370, 3, FALSE), "")</f>
        <v>Comedy, Musical, Sci-Fi</v>
      </c>
      <c r="D545" s="2">
        <f>IF(A545&lt;&gt;"", VLOOKUP(A545, imdb_netflix_v5!A$2:H$7370, 4, FALSE), "")</f>
        <v>8.4</v>
      </c>
      <c r="E545" s="2">
        <f>IF(A545&lt;&gt;"", VLOOKUP(A545, imdb_netflix_v5!A$2:H$7370, 5, FALSE), "")</f>
        <v>2008</v>
      </c>
      <c r="F545" s="2" t="str">
        <f>IF(A545&lt;&gt;"", VLOOKUP(A545, imdb_netflix_v5!A$2:H$7370, 7, FALSE), "")</f>
        <v>NA</v>
      </c>
    </row>
    <row r="546" ht="15.75" customHeight="1">
      <c r="A546" s="1" t="str">
        <f>IFERROR(__xludf.DUMMYFUNCTION("""COMPUTED_VALUE"""),"top boy")</f>
        <v>top boy</v>
      </c>
      <c r="B546" s="1" t="str">
        <f>IF(A546&lt;&gt;"", VLOOKUP(A546, imdb_netflix_v5!A$2:H$7370, 2, FALSE), "")</f>
        <v>TV Show</v>
      </c>
      <c r="C546" s="2" t="str">
        <f>IF(A546&lt;&gt;"", VLOOKUP(A546, imdb_netflix_v5!A$2:H$7370, 3, FALSE), "")</f>
        <v>Crime, Drama, Thriller</v>
      </c>
      <c r="D546" s="2">
        <f>IF(A546&lt;&gt;"", VLOOKUP(A546, imdb_netflix_v5!A$2:H$7370, 4, FALSE), "")</f>
        <v>8.4</v>
      </c>
      <c r="E546" s="2">
        <f>IF(A546&lt;&gt;"", VLOOKUP(A546, imdb_netflix_v5!A$2:H$7370, 5, FALSE), "")</f>
        <v>2011</v>
      </c>
      <c r="F546" s="2">
        <f>IF(A546&lt;&gt;"", VLOOKUP(A546, imdb_netflix_v5!A$2:H$7370, 7, FALSE), "")</f>
        <v>18600000</v>
      </c>
    </row>
    <row r="547" ht="15.75" customHeight="1">
      <c r="A547" s="1" t="str">
        <f>IFERROR(__xludf.DUMMYFUNCTION("""COMPUTED_VALUE"""),"drishyam 2")</f>
        <v>drishyam 2</v>
      </c>
      <c r="B547" s="1" t="str">
        <f>IF(A547&lt;&gt;"", VLOOKUP(A547, imdb_netflix_v5!A$2:H$7370, 2, FALSE), "")</f>
        <v>Movie</v>
      </c>
      <c r="C547" s="2" t="str">
        <f>IF(A547&lt;&gt;"", VLOOKUP(A547, imdb_netflix_v5!A$2:H$7370, 3, FALSE), "")</f>
        <v>Crime, Drama, Mystery</v>
      </c>
      <c r="D547" s="2">
        <f>IF(A547&lt;&gt;"", VLOOKUP(A547, imdb_netflix_v5!A$2:H$7370, 4, FALSE), "")</f>
        <v>8.4</v>
      </c>
      <c r="E547" s="2">
        <f>IF(A547&lt;&gt;"", VLOOKUP(A547, imdb_netflix_v5!A$2:H$7370, 5, FALSE), "")</f>
        <v>2021</v>
      </c>
      <c r="F547" s="2" t="str">
        <f>IF(A547&lt;&gt;"", VLOOKUP(A547, imdb_netflix_v5!A$2:H$7370, 7, FALSE), "")</f>
        <v>NA</v>
      </c>
    </row>
    <row r="548" ht="15.75" customHeight="1">
      <c r="A548" s="1" t="str">
        <f>IFERROR(__xludf.DUMMYFUNCTION("""COMPUTED_VALUE"""),"the wonder years")</f>
        <v>the wonder years</v>
      </c>
      <c r="B548" s="1" t="str">
        <f>IF(A548&lt;&gt;"", VLOOKUP(A548, imdb_netflix_v5!A$2:H$7370, 2, FALSE), "")</f>
        <v>TV Show</v>
      </c>
      <c r="C548" s="2" t="str">
        <f>IF(A548&lt;&gt;"", VLOOKUP(A548, imdb_netflix_v5!A$2:H$7370, 3, FALSE), "")</f>
        <v>Comedy, Drama, Family</v>
      </c>
      <c r="D548" s="2">
        <f>IF(A548&lt;&gt;"", VLOOKUP(A548, imdb_netflix_v5!A$2:H$7370, 4, FALSE), "")</f>
        <v>8.4</v>
      </c>
      <c r="E548" s="2">
        <f>IF(A548&lt;&gt;"", VLOOKUP(A548, imdb_netflix_v5!A$2:H$7370, 5, FALSE), "")</f>
        <v>1988</v>
      </c>
      <c r="F548" s="2" t="str">
        <f>IF(A548&lt;&gt;"", VLOOKUP(A548, imdb_netflix_v5!A$2:H$7370, 7, FALSE), "")</f>
        <v>NA</v>
      </c>
    </row>
    <row r="549" ht="15.75" customHeight="1">
      <c r="A549" s="1" t="str">
        <f>IFERROR(__xludf.DUMMYFUNCTION("""COMPUTED_VALUE"""),"harley quinn")</f>
        <v>harley quinn</v>
      </c>
      <c r="B549" s="1" t="str">
        <f>IF(A549&lt;&gt;"", VLOOKUP(A549, imdb_netflix_v5!A$2:H$7370, 2, FALSE), "")</f>
        <v>TV Show</v>
      </c>
      <c r="C549" s="2" t="str">
        <f>IF(A549&lt;&gt;"", VLOOKUP(A549, imdb_netflix_v5!A$2:H$7370, 3, FALSE), "")</f>
        <v>Action, Adventure, Animation</v>
      </c>
      <c r="D549" s="2">
        <f>IF(A549&lt;&gt;"", VLOOKUP(A549, imdb_netflix_v5!A$2:H$7370, 4, FALSE), "")</f>
        <v>8.4</v>
      </c>
      <c r="E549" s="2">
        <f>IF(A549&lt;&gt;"", VLOOKUP(A549, imdb_netflix_v5!A$2:H$7370, 5, FALSE), "")</f>
        <v>2019</v>
      </c>
      <c r="F549" s="2" t="str">
        <f>IF(A549&lt;&gt;"", VLOOKUP(A549, imdb_netflix_v5!A$2:H$7370, 7, FALSE), "")</f>
        <v>NA</v>
      </c>
    </row>
    <row r="550" ht="15.75" customHeight="1">
      <c r="A550" s="1" t="str">
        <f>IFERROR(__xludf.DUMMYFUNCTION("""COMPUTED_VALUE"""),"the colbert report")</f>
        <v>the colbert report</v>
      </c>
      <c r="B550" s="1" t="str">
        <f>IF(A550&lt;&gt;"", VLOOKUP(A550, imdb_netflix_v5!A$2:H$7370, 2, FALSE), "")</f>
        <v>TV Show</v>
      </c>
      <c r="C550" s="2" t="str">
        <f>IF(A550&lt;&gt;"", VLOOKUP(A550, imdb_netflix_v5!A$2:H$7370, 3, FALSE), "")</f>
        <v>Comedy, News, Talk-Show</v>
      </c>
      <c r="D550" s="2">
        <f>IF(A550&lt;&gt;"", VLOOKUP(A550, imdb_netflix_v5!A$2:H$7370, 4, FALSE), "")</f>
        <v>8.4</v>
      </c>
      <c r="E550" s="2">
        <f>IF(A550&lt;&gt;"", VLOOKUP(A550, imdb_netflix_v5!A$2:H$7370, 5, FALSE), "")</f>
        <v>2005</v>
      </c>
      <c r="F550" s="2" t="str">
        <f>IF(A550&lt;&gt;"", VLOOKUP(A550, imdb_netflix_v5!A$2:H$7370, 7, FALSE), "")</f>
        <v>NA</v>
      </c>
    </row>
    <row r="551" ht="15.75" customHeight="1">
      <c r="A551" s="1" t="str">
        <f>IFERROR(__xludf.DUMMYFUNCTION("""COMPUTED_VALUE"""),"samsara")</f>
        <v>samsara</v>
      </c>
      <c r="B551" s="1" t="str">
        <f>IF(A551&lt;&gt;"", VLOOKUP(A551, imdb_netflix_v5!A$2:H$7370, 2, FALSE), "")</f>
        <v>Movie</v>
      </c>
      <c r="C551" s="2" t="str">
        <f>IF(A551&lt;&gt;"", VLOOKUP(A551, imdb_netflix_v5!A$2:H$7370, 3, FALSE), "")</f>
        <v>Documentary, Music</v>
      </c>
      <c r="D551" s="2">
        <f>IF(A551&lt;&gt;"", VLOOKUP(A551, imdb_netflix_v5!A$2:H$7370, 4, FALSE), "")</f>
        <v>8.4</v>
      </c>
      <c r="E551" s="2">
        <f>IF(A551&lt;&gt;"", VLOOKUP(A551, imdb_netflix_v5!A$2:H$7370, 5, FALSE), "")</f>
        <v>2011</v>
      </c>
      <c r="F551" s="2" t="str">
        <f>IF(A551&lt;&gt;"", VLOOKUP(A551, imdb_netflix_v5!A$2:H$7370, 7, FALSE), "")</f>
        <v>NA</v>
      </c>
    </row>
    <row r="552" ht="15.75" customHeight="1">
      <c r="A552" s="1" t="str">
        <f>IFERROR(__xludf.DUMMYFUNCTION("""COMPUTED_VALUE"""),"red dwarf")</f>
        <v>red dwarf</v>
      </c>
      <c r="B552" s="1" t="str">
        <f>IF(A552&lt;&gt;"", VLOOKUP(A552, imdb_netflix_v5!A$2:H$7370, 2, FALSE), "")</f>
        <v>TV Show</v>
      </c>
      <c r="C552" s="2" t="str">
        <f>IF(A552&lt;&gt;"", VLOOKUP(A552, imdb_netflix_v5!A$2:H$7370, 3, FALSE), "")</f>
        <v>Comedy, Sci-Fi</v>
      </c>
      <c r="D552" s="2">
        <f>IF(A552&lt;&gt;"", VLOOKUP(A552, imdb_netflix_v5!A$2:H$7370, 4, FALSE), "")</f>
        <v>8.4</v>
      </c>
      <c r="E552" s="2">
        <f>IF(A552&lt;&gt;"", VLOOKUP(A552, imdb_netflix_v5!A$2:H$7370, 5, FALSE), "")</f>
        <v>1988</v>
      </c>
      <c r="F552" s="2" t="str">
        <f>IF(A552&lt;&gt;"", VLOOKUP(A552, imdb_netflix_v5!A$2:H$7370, 7, FALSE), "")</f>
        <v>NA</v>
      </c>
    </row>
    <row r="553" ht="15.75" customHeight="1">
      <c r="A553" s="1" t="str">
        <f>IFERROR(__xludf.DUMMYFUNCTION("""COMPUTED_VALUE"""),"john adams")</f>
        <v>john adams</v>
      </c>
      <c r="B553" s="1" t="str">
        <f>IF(A553&lt;&gt;"", VLOOKUP(A553, imdb_netflix_v5!A$2:H$7370, 2, FALSE), "")</f>
        <v>TV Show</v>
      </c>
      <c r="C553" s="2" t="str">
        <f>IF(A553&lt;&gt;"", VLOOKUP(A553, imdb_netflix_v5!A$2:H$7370, 3, FALSE), "")</f>
        <v>Biography, Drama, History</v>
      </c>
      <c r="D553" s="2">
        <f>IF(A553&lt;&gt;"", VLOOKUP(A553, imdb_netflix_v5!A$2:H$7370, 4, FALSE), "")</f>
        <v>8.4</v>
      </c>
      <c r="E553" s="2">
        <f>IF(A553&lt;&gt;"", VLOOKUP(A553, imdb_netflix_v5!A$2:H$7370, 5, FALSE), "")</f>
        <v>2008</v>
      </c>
      <c r="F553" s="2" t="str">
        <f>IF(A553&lt;&gt;"", VLOOKUP(A553, imdb_netflix_v5!A$2:H$7370, 7, FALSE), "")</f>
        <v>NA</v>
      </c>
    </row>
    <row r="554" ht="15.75" customHeight="1">
      <c r="A554" s="1" t="str">
        <f>IFERROR(__xludf.DUMMYFUNCTION("""COMPUTED_VALUE"""),"broad city")</f>
        <v>broad city</v>
      </c>
      <c r="B554" s="1" t="str">
        <f>IF(A554&lt;&gt;"", VLOOKUP(A554, imdb_netflix_v5!A$2:H$7370, 2, FALSE), "")</f>
        <v>TV Show</v>
      </c>
      <c r="C554" s="2" t="str">
        <f>IF(A554&lt;&gt;"", VLOOKUP(A554, imdb_netflix_v5!A$2:H$7370, 3, FALSE), "")</f>
        <v>Comedy</v>
      </c>
      <c r="D554" s="2">
        <f>IF(A554&lt;&gt;"", VLOOKUP(A554, imdb_netflix_v5!A$2:H$7370, 4, FALSE), "")</f>
        <v>8.4</v>
      </c>
      <c r="E554" s="2">
        <f>IF(A554&lt;&gt;"", VLOOKUP(A554, imdb_netflix_v5!A$2:H$7370, 5, FALSE), "")</f>
        <v>2014</v>
      </c>
      <c r="F554" s="2" t="str">
        <f>IF(A554&lt;&gt;"", VLOOKUP(A554, imdb_netflix_v5!A$2:H$7370, 7, FALSE), "")</f>
        <v>NA</v>
      </c>
    </row>
    <row r="555" ht="15.75" customHeight="1">
      <c r="A555" s="1" t="str">
        <f>IFERROR(__xludf.DUMMYFUNCTION("""COMPUTED_VALUE"""),"spider-man the animated series")</f>
        <v>spider-man the animated series</v>
      </c>
      <c r="B555" s="1" t="str">
        <f>IF(A555&lt;&gt;"", VLOOKUP(A555, imdb_netflix_v5!A$2:H$7370, 2, FALSE), "")</f>
        <v>TV Show</v>
      </c>
      <c r="C555" s="2" t="str">
        <f>IF(A555&lt;&gt;"", VLOOKUP(A555, imdb_netflix_v5!A$2:H$7370, 3, FALSE), "")</f>
        <v>Action, Adventure, Animation</v>
      </c>
      <c r="D555" s="2">
        <f>IF(A555&lt;&gt;"", VLOOKUP(A555, imdb_netflix_v5!A$2:H$7370, 4, FALSE), "")</f>
        <v>8.4</v>
      </c>
      <c r="E555" s="2">
        <f>IF(A555&lt;&gt;"", VLOOKUP(A555, imdb_netflix_v5!A$2:H$7370, 5, FALSE), "")</f>
        <v>1994</v>
      </c>
      <c r="F555" s="2" t="str">
        <f>IF(A555&lt;&gt;"", VLOOKUP(A555, imdb_netflix_v5!A$2:H$7370, 7, FALSE), "")</f>
        <v>NA</v>
      </c>
    </row>
    <row r="556" ht="15.75" customHeight="1">
      <c r="A556" s="1" t="str">
        <f>IFERROR(__xludf.DUMMYFUNCTION("""COMPUTED_VALUE"""),"halt and catch fire")</f>
        <v>halt and catch fire</v>
      </c>
      <c r="B556" s="1" t="str">
        <f>IF(A556&lt;&gt;"", VLOOKUP(A556, imdb_netflix_v5!A$2:H$7370, 2, FALSE), "")</f>
        <v>TV Show</v>
      </c>
      <c r="C556" s="2" t="str">
        <f>IF(A556&lt;&gt;"", VLOOKUP(A556, imdb_netflix_v5!A$2:H$7370, 3, FALSE), "")</f>
        <v>Drama</v>
      </c>
      <c r="D556" s="2">
        <f>IF(A556&lt;&gt;"", VLOOKUP(A556, imdb_netflix_v5!A$2:H$7370, 4, FALSE), "")</f>
        <v>8.4</v>
      </c>
      <c r="E556" s="2">
        <f>IF(A556&lt;&gt;"", VLOOKUP(A556, imdb_netflix_v5!A$2:H$7370, 5, FALSE), "")</f>
        <v>2014</v>
      </c>
      <c r="F556" s="2" t="str">
        <f>IF(A556&lt;&gt;"", VLOOKUP(A556, imdb_netflix_v5!A$2:H$7370, 7, FALSE), "")</f>
        <v>NA</v>
      </c>
    </row>
    <row r="557" ht="15.75" customHeight="1">
      <c r="A557" s="1" t="str">
        <f>IFERROR(__xludf.DUMMYFUNCTION("""COMPUTED_VALUE"""),"snowfall")</f>
        <v>snowfall</v>
      </c>
      <c r="B557" s="1" t="str">
        <f>IF(A557&lt;&gt;"", VLOOKUP(A557, imdb_netflix_v5!A$2:H$7370, 2, FALSE), "")</f>
        <v>TV Show</v>
      </c>
      <c r="C557" s="2" t="str">
        <f>IF(A557&lt;&gt;"", VLOOKUP(A557, imdb_netflix_v5!A$2:H$7370, 3, FALSE), "")</f>
        <v>Crime, Drama</v>
      </c>
      <c r="D557" s="2">
        <f>IF(A557&lt;&gt;"", VLOOKUP(A557, imdb_netflix_v5!A$2:H$7370, 4, FALSE), "")</f>
        <v>8.4</v>
      </c>
      <c r="E557" s="2">
        <f>IF(A557&lt;&gt;"", VLOOKUP(A557, imdb_netflix_v5!A$2:H$7370, 5, FALSE), "")</f>
        <v>2017</v>
      </c>
      <c r="F557" s="2" t="str">
        <f>IF(A557&lt;&gt;"", VLOOKUP(A557, imdb_netflix_v5!A$2:H$7370, 7, FALSE), "")</f>
        <v>NA</v>
      </c>
    </row>
    <row r="558" ht="15.75" customHeight="1">
      <c r="A558" s="1" t="str">
        <f>IFERROR(__xludf.DUMMYFUNCTION("""COMPUTED_VALUE"""),"babylon 5")</f>
        <v>babylon 5</v>
      </c>
      <c r="B558" s="1" t="str">
        <f>IF(A558&lt;&gt;"", VLOOKUP(A558, imdb_netflix_v5!A$2:H$7370, 2, FALSE), "")</f>
        <v>TV Show</v>
      </c>
      <c r="C558" s="2" t="str">
        <f>IF(A558&lt;&gt;"", VLOOKUP(A558, imdb_netflix_v5!A$2:H$7370, 3, FALSE), "")</f>
        <v>Action, Adventure, Drama</v>
      </c>
      <c r="D558" s="2">
        <f>IF(A558&lt;&gt;"", VLOOKUP(A558, imdb_netflix_v5!A$2:H$7370, 4, FALSE), "")</f>
        <v>8.4</v>
      </c>
      <c r="E558" s="2">
        <f>IF(A558&lt;&gt;"", VLOOKUP(A558, imdb_netflix_v5!A$2:H$7370, 5, FALSE), "")</f>
        <v>1993</v>
      </c>
      <c r="F558" s="2" t="str">
        <f>IF(A558&lt;&gt;"", VLOOKUP(A558, imdb_netflix_v5!A$2:H$7370, 7, FALSE), "")</f>
        <v>NA</v>
      </c>
    </row>
    <row r="559" ht="15.75" customHeight="1">
      <c r="A559" s="1" t="str">
        <f>IFERROR(__xludf.DUMMYFUNCTION("""COMPUTED_VALUE"""),"asuran")</f>
        <v>asuran</v>
      </c>
      <c r="B559" s="1" t="str">
        <f>IF(A559&lt;&gt;"", VLOOKUP(A559, imdb_netflix_v5!A$2:H$7370, 2, FALSE), "")</f>
        <v>Movie</v>
      </c>
      <c r="C559" s="2" t="str">
        <f>IF(A559&lt;&gt;"", VLOOKUP(A559, imdb_netflix_v5!A$2:H$7370, 3, FALSE), "")</f>
        <v>Action, Drama</v>
      </c>
      <c r="D559" s="2">
        <f>IF(A559&lt;&gt;"", VLOOKUP(A559, imdb_netflix_v5!A$2:H$7370, 4, FALSE), "")</f>
        <v>8.4</v>
      </c>
      <c r="E559" s="2">
        <f>IF(A559&lt;&gt;"", VLOOKUP(A559, imdb_netflix_v5!A$2:H$7370, 5, FALSE), "")</f>
        <v>2019</v>
      </c>
      <c r="F559" s="2" t="str">
        <f>IF(A559&lt;&gt;"", VLOOKUP(A559, imdb_netflix_v5!A$2:H$7370, 7, FALSE), "")</f>
        <v>NA</v>
      </c>
    </row>
    <row r="560" ht="15.75" customHeight="1">
      <c r="A560" s="1" t="str">
        <f>IFERROR(__xludf.DUMMYFUNCTION("""COMPUTED_VALUE"""),"life on mars")</f>
        <v>life on mars</v>
      </c>
      <c r="B560" s="1" t="str">
        <f>IF(A560&lt;&gt;"", VLOOKUP(A560, imdb_netflix_v5!A$2:H$7370, 2, FALSE), "")</f>
        <v>TV Show</v>
      </c>
      <c r="C560" s="2" t="str">
        <f>IF(A560&lt;&gt;"", VLOOKUP(A560, imdb_netflix_v5!A$2:H$7370, 3, FALSE), "")</f>
        <v>Crime, Drama, Mystery</v>
      </c>
      <c r="D560" s="2">
        <f>IF(A560&lt;&gt;"", VLOOKUP(A560, imdb_netflix_v5!A$2:H$7370, 4, FALSE), "")</f>
        <v>8.4</v>
      </c>
      <c r="E560" s="2">
        <f>IF(A560&lt;&gt;"", VLOOKUP(A560, imdb_netflix_v5!A$2:H$7370, 5, FALSE), "")</f>
        <v>2006</v>
      </c>
      <c r="F560" s="2" t="str">
        <f>IF(A560&lt;&gt;"", VLOOKUP(A560, imdb_netflix_v5!A$2:H$7370, 7, FALSE), "")</f>
        <v>NA</v>
      </c>
    </row>
    <row r="561" ht="15.75" customHeight="1">
      <c r="A561" s="1" t="str">
        <f>IFERROR(__xludf.DUMMYFUNCTION("""COMPUTED_VALUE"""),"generation war")</f>
        <v>generation war</v>
      </c>
      <c r="B561" s="1" t="str">
        <f>IF(A561&lt;&gt;"", VLOOKUP(A561, imdb_netflix_v5!A$2:H$7370, 2, FALSE), "")</f>
        <v>TV Show</v>
      </c>
      <c r="C561" s="2" t="str">
        <f>IF(A561&lt;&gt;"", VLOOKUP(A561, imdb_netflix_v5!A$2:H$7370, 3, FALSE), "")</f>
        <v>Action, Drama, History</v>
      </c>
      <c r="D561" s="2">
        <f>IF(A561&lt;&gt;"", VLOOKUP(A561, imdb_netflix_v5!A$2:H$7370, 4, FALSE), "")</f>
        <v>8.4</v>
      </c>
      <c r="E561" s="2">
        <f>IF(A561&lt;&gt;"", VLOOKUP(A561, imdb_netflix_v5!A$2:H$7370, 5, FALSE), "")</f>
        <v>2013</v>
      </c>
      <c r="F561" s="2" t="str">
        <f>IF(A561&lt;&gt;"", VLOOKUP(A561, imdb_netflix_v5!A$2:H$7370, 7, FALSE), "")</f>
        <v>NA</v>
      </c>
    </row>
    <row r="562" ht="15.75" customHeight="1">
      <c r="A562" s="1" t="str">
        <f>IFERROR(__xludf.DUMMYFUNCTION("""COMPUTED_VALUE"""),"violet evergarden")</f>
        <v>violet evergarden</v>
      </c>
      <c r="B562" s="1" t="str">
        <f>IF(A562&lt;&gt;"", VLOOKUP(A562, imdb_netflix_v5!A$2:H$7370, 2, FALSE), "")</f>
        <v>TV Show</v>
      </c>
      <c r="C562" s="2" t="str">
        <f>IF(A562&lt;&gt;"", VLOOKUP(A562, imdb_netflix_v5!A$2:H$7370, 3, FALSE), "")</f>
        <v>Animation, Drama, Family</v>
      </c>
      <c r="D562" s="2">
        <f>IF(A562&lt;&gt;"", VLOOKUP(A562, imdb_netflix_v5!A$2:H$7370, 4, FALSE), "")</f>
        <v>8.4</v>
      </c>
      <c r="E562" s="2">
        <f>IF(A562&lt;&gt;"", VLOOKUP(A562, imdb_netflix_v5!A$2:H$7370, 5, FALSE), "")</f>
        <v>2018</v>
      </c>
      <c r="F562" s="2" t="str">
        <f>IF(A562&lt;&gt;"", VLOOKUP(A562, imdb_netflix_v5!A$2:H$7370, 7, FALSE), "")</f>
        <v>NA</v>
      </c>
    </row>
    <row r="563" ht="15.75" customHeight="1">
      <c r="A563" s="1" t="str">
        <f>IFERROR(__xludf.DUMMYFUNCTION("""COMPUTED_VALUE"""),"unforgotten")</f>
        <v>unforgotten</v>
      </c>
      <c r="B563" s="1" t="str">
        <f>IF(A563&lt;&gt;"", VLOOKUP(A563, imdb_netflix_v5!A$2:H$7370, 2, FALSE), "")</f>
        <v>TV Show</v>
      </c>
      <c r="C563" s="2" t="str">
        <f>IF(A563&lt;&gt;"", VLOOKUP(A563, imdb_netflix_v5!A$2:H$7370, 3, FALSE), "")</f>
        <v>Crime, Drama, Mystery</v>
      </c>
      <c r="D563" s="2">
        <f>IF(A563&lt;&gt;"", VLOOKUP(A563, imdb_netflix_v5!A$2:H$7370, 4, FALSE), "")</f>
        <v>8.4</v>
      </c>
      <c r="E563" s="2">
        <f>IF(A563&lt;&gt;"", VLOOKUP(A563, imdb_netflix_v5!A$2:H$7370, 5, FALSE), "")</f>
        <v>2015</v>
      </c>
      <c r="F563" s="2" t="str">
        <f>IF(A563&lt;&gt;"", VLOOKUP(A563, imdb_netflix_v5!A$2:H$7370, 7, FALSE), "")</f>
        <v>NA</v>
      </c>
    </row>
    <row r="564" ht="15.75" customHeight="1">
      <c r="A564" s="1" t="str">
        <f>IFERROR(__xludf.DUMMYFUNCTION("""COMPUTED_VALUE"""),"vincenzo")</f>
        <v>vincenzo</v>
      </c>
      <c r="B564" s="1" t="str">
        <f>IF(A564&lt;&gt;"", VLOOKUP(A564, imdb_netflix_v5!A$2:H$7370, 2, FALSE), "")</f>
        <v>TV Show</v>
      </c>
      <c r="C564" s="2" t="str">
        <f>IF(A564&lt;&gt;"", VLOOKUP(A564, imdb_netflix_v5!A$2:H$7370, 3, FALSE), "")</f>
        <v>Action, Comedy, Crime</v>
      </c>
      <c r="D564" s="2">
        <f>IF(A564&lt;&gt;"", VLOOKUP(A564, imdb_netflix_v5!A$2:H$7370, 4, FALSE), "")</f>
        <v>8.4</v>
      </c>
      <c r="E564" s="2">
        <f>IF(A564&lt;&gt;"", VLOOKUP(A564, imdb_netflix_v5!A$2:H$7370, 5, FALSE), "")</f>
        <v>2021</v>
      </c>
      <c r="F564" s="2" t="str">
        <f>IF(A564&lt;&gt;"", VLOOKUP(A564, imdb_netflix_v5!A$2:H$7370, 7, FALSE), "")</f>
        <v>NA</v>
      </c>
    </row>
    <row r="565" ht="15.75" customHeight="1">
      <c r="A565" s="1" t="str">
        <f>IFERROR(__xludf.DUMMYFUNCTION("""COMPUTED_VALUE"""),"babylon berlin")</f>
        <v>babylon berlin</v>
      </c>
      <c r="B565" s="1" t="str">
        <f>IF(A565&lt;&gt;"", VLOOKUP(A565, imdb_netflix_v5!A$2:H$7370, 2, FALSE), "")</f>
        <v>TV Show</v>
      </c>
      <c r="C565" s="2" t="str">
        <f>IF(A565&lt;&gt;"", VLOOKUP(A565, imdb_netflix_v5!A$2:H$7370, 3, FALSE), "")</f>
        <v>Crime, Drama, Thriller</v>
      </c>
      <c r="D565" s="2">
        <f>IF(A565&lt;&gt;"", VLOOKUP(A565, imdb_netflix_v5!A$2:H$7370, 4, FALSE), "")</f>
        <v>8.4</v>
      </c>
      <c r="E565" s="2">
        <f>IF(A565&lt;&gt;"", VLOOKUP(A565, imdb_netflix_v5!A$2:H$7370, 5, FALSE), "")</f>
        <v>2017</v>
      </c>
      <c r="F565" s="2" t="str">
        <f>IF(A565&lt;&gt;"", VLOOKUP(A565, imdb_netflix_v5!A$2:H$7370, 7, FALSE), "")</f>
        <v>NA</v>
      </c>
    </row>
    <row r="566" ht="15.75" customHeight="1">
      <c r="A566" s="1" t="str">
        <f>IFERROR(__xludf.DUMMYFUNCTION("""COMPUTED_VALUE"""),"the killing")</f>
        <v>the killing</v>
      </c>
      <c r="B566" s="1" t="str">
        <f>IF(A566&lt;&gt;"", VLOOKUP(A566, imdb_netflix_v5!A$2:H$7370, 2, FALSE), "")</f>
        <v>TV Show</v>
      </c>
      <c r="C566" s="2" t="str">
        <f>IF(A566&lt;&gt;"", VLOOKUP(A566, imdb_netflix_v5!A$2:H$7370, 3, FALSE), "")</f>
        <v>Crime, Drama, Mystery</v>
      </c>
      <c r="D566" s="2">
        <f>IF(A566&lt;&gt;"", VLOOKUP(A566, imdb_netflix_v5!A$2:H$7370, 4, FALSE), "")</f>
        <v>8.4</v>
      </c>
      <c r="E566" s="2">
        <f>IF(A566&lt;&gt;"", VLOOKUP(A566, imdb_netflix_v5!A$2:H$7370, 5, FALSE), "")</f>
        <v>2007</v>
      </c>
      <c r="F566" s="2" t="str">
        <f>IF(A566&lt;&gt;"", VLOOKUP(A566, imdb_netflix_v5!A$2:H$7370, 7, FALSE), "")</f>
        <v>NA</v>
      </c>
    </row>
    <row r="567" ht="15.75" customHeight="1">
      <c r="A567" s="1" t="str">
        <f>IFERROR(__xludf.DUMMYFUNCTION("""COMPUTED_VALUE"""),"bosch legacy")</f>
        <v>bosch legacy</v>
      </c>
      <c r="B567" s="1" t="str">
        <f>IF(A567&lt;&gt;"", VLOOKUP(A567, imdb_netflix_v5!A$2:H$7370, 2, FALSE), "")</f>
        <v>TV Show</v>
      </c>
      <c r="C567" s="2" t="str">
        <f>IF(A567&lt;&gt;"", VLOOKUP(A567, imdb_netflix_v5!A$2:H$7370, 3, FALSE), "")</f>
        <v>Crime, Drama</v>
      </c>
      <c r="D567" s="2">
        <f>IF(A567&lt;&gt;"", VLOOKUP(A567, imdb_netflix_v5!A$2:H$7370, 4, FALSE), "")</f>
        <v>8.4</v>
      </c>
      <c r="E567" s="2">
        <f>IF(A567&lt;&gt;"", VLOOKUP(A567, imdb_netflix_v5!A$2:H$7370, 5, FALSE), "")</f>
        <v>2022</v>
      </c>
      <c r="F567" s="2" t="str">
        <f>IF(A567&lt;&gt;"", VLOOKUP(A567, imdb_netflix_v5!A$2:H$7370, 7, FALSE), "")</f>
        <v>NA</v>
      </c>
    </row>
    <row r="568" ht="15.75" customHeight="1">
      <c r="A568" s="1" t="str">
        <f>IFERROR(__xludf.DUMMYFUNCTION("""COMPUTED_VALUE"""),"ghosts")</f>
        <v>ghosts</v>
      </c>
      <c r="B568" s="1" t="str">
        <f>IF(A568&lt;&gt;"", VLOOKUP(A568, imdb_netflix_v5!A$2:H$7370, 2, FALSE), "")</f>
        <v>TV Show</v>
      </c>
      <c r="C568" s="2" t="str">
        <f>IF(A568&lt;&gt;"", VLOOKUP(A568, imdb_netflix_v5!A$2:H$7370, 3, FALSE), "")</f>
        <v>Comedy, Fantasy</v>
      </c>
      <c r="D568" s="2">
        <f>IF(A568&lt;&gt;"", VLOOKUP(A568, imdb_netflix_v5!A$2:H$7370, 4, FALSE), "")</f>
        <v>8.4</v>
      </c>
      <c r="E568" s="2">
        <f>IF(A568&lt;&gt;"", VLOOKUP(A568, imdb_netflix_v5!A$2:H$7370, 5, FALSE), "")</f>
        <v>2019</v>
      </c>
      <c r="F568" s="2" t="str">
        <f>IF(A568&lt;&gt;"", VLOOKUP(A568, imdb_netflix_v5!A$2:H$7370, 7, FALSE), "")</f>
        <v>NA</v>
      </c>
    </row>
    <row r="569" ht="15.75" customHeight="1">
      <c r="A569" s="1" t="str">
        <f>IFERROR(__xludf.DUMMYFUNCTION("""COMPUTED_VALUE"""),"the dark crystal age of resistance")</f>
        <v>the dark crystal age of resistance</v>
      </c>
      <c r="B569" s="1" t="str">
        <f>IF(A569&lt;&gt;"", VLOOKUP(A569, imdb_netflix_v5!A$2:H$7370, 2, FALSE), "")</f>
        <v>TV Show</v>
      </c>
      <c r="C569" s="2" t="str">
        <f>IF(A569&lt;&gt;"", VLOOKUP(A569, imdb_netflix_v5!A$2:H$7370, 3, FALSE), "")</f>
        <v>Adventure, Family, Fantasy</v>
      </c>
      <c r="D569" s="2">
        <f>IF(A569&lt;&gt;"", VLOOKUP(A569, imdb_netflix_v5!A$2:H$7370, 4, FALSE), "")</f>
        <v>8.4</v>
      </c>
      <c r="E569" s="2">
        <f>IF(A569&lt;&gt;"", VLOOKUP(A569, imdb_netflix_v5!A$2:H$7370, 5, FALSE), "")</f>
        <v>2019</v>
      </c>
      <c r="F569" s="2" t="str">
        <f>IF(A569&lt;&gt;"", VLOOKUP(A569, imdb_netflix_v5!A$2:H$7370, 7, FALSE), "")</f>
        <v>NA</v>
      </c>
    </row>
    <row r="570" ht="15.75" customHeight="1">
      <c r="A570" s="1" t="str">
        <f>IFERROR(__xludf.DUMMYFUNCTION("""COMPUTED_VALUE"""),"allo allo!")</f>
        <v>allo allo!</v>
      </c>
      <c r="B570" s="1" t="str">
        <f>IF(A570&lt;&gt;"", VLOOKUP(A570, imdb_netflix_v5!A$2:H$7370, 2, FALSE), "")</f>
        <v>TV Show</v>
      </c>
      <c r="C570" s="2" t="str">
        <f>IF(A570&lt;&gt;"", VLOOKUP(A570, imdb_netflix_v5!A$2:H$7370, 3, FALSE), "")</f>
        <v>Comedy, History, War</v>
      </c>
      <c r="D570" s="2">
        <f>IF(A570&lt;&gt;"", VLOOKUP(A570, imdb_netflix_v5!A$2:H$7370, 4, FALSE), "")</f>
        <v>8.4</v>
      </c>
      <c r="E570" s="2">
        <f>IF(A570&lt;&gt;"", VLOOKUP(A570, imdb_netflix_v5!A$2:H$7370, 5, FALSE), "")</f>
        <v>1982</v>
      </c>
      <c r="F570" s="2" t="str">
        <f>IF(A570&lt;&gt;"", VLOOKUP(A570, imdb_netflix_v5!A$2:H$7370, 7, FALSE), "")</f>
        <v>NA</v>
      </c>
    </row>
    <row r="571" ht="15.75" customHeight="1">
      <c r="A571" s="1" t="str">
        <f>IFERROR(__xludf.DUMMYFUNCTION("""COMPUTED_VALUE"""),"inside look the people v. o.j. simpson - american crime story")</f>
        <v>inside look the people v. o.j. simpson - american crime story</v>
      </c>
      <c r="B571" s="1" t="str">
        <f>IF(A571&lt;&gt;"", VLOOKUP(A571, imdb_netflix_v5!A$2:H$7370, 2, FALSE), "")</f>
        <v>TV Show</v>
      </c>
      <c r="C571" s="2" t="str">
        <f>IF(A571&lt;&gt;"", VLOOKUP(A571, imdb_netflix_v5!A$2:H$7370, 3, FALSE), "")</f>
        <v>Documentary, Short</v>
      </c>
      <c r="D571" s="2">
        <f>IF(A571&lt;&gt;"", VLOOKUP(A571, imdb_netflix_v5!A$2:H$7370, 4, FALSE), "")</f>
        <v>8.4</v>
      </c>
      <c r="E571" s="2">
        <f>IF(A571&lt;&gt;"", VLOOKUP(A571, imdb_netflix_v5!A$2:H$7370, 5, FALSE), "")</f>
        <v>2016</v>
      </c>
      <c r="F571" s="2" t="str">
        <f>IF(A571&lt;&gt;"", VLOOKUP(A571, imdb_netflix_v5!A$2:H$7370, 7, FALSE), "")</f>
        <v>NA</v>
      </c>
    </row>
    <row r="572" ht="15.75" customHeight="1">
      <c r="A572" s="1" t="str">
        <f>IFERROR(__xludf.DUMMYFUNCTION("""COMPUTED_VALUE"""),"the muppet show")</f>
        <v>the muppet show</v>
      </c>
      <c r="B572" s="1" t="str">
        <f>IF(A572&lt;&gt;"", VLOOKUP(A572, imdb_netflix_v5!A$2:H$7370, 2, FALSE), "")</f>
        <v>TV Show</v>
      </c>
      <c r="C572" s="2" t="str">
        <f>IF(A572&lt;&gt;"", VLOOKUP(A572, imdb_netflix_v5!A$2:H$7370, 3, FALSE), "")</f>
        <v>Comedy, Family, Musical</v>
      </c>
      <c r="D572" s="2">
        <f>IF(A572&lt;&gt;"", VLOOKUP(A572, imdb_netflix_v5!A$2:H$7370, 4, FALSE), "")</f>
        <v>8.4</v>
      </c>
      <c r="E572" s="2">
        <f>IF(A572&lt;&gt;"", VLOOKUP(A572, imdb_netflix_v5!A$2:H$7370, 5, FALSE), "")</f>
        <v>1976</v>
      </c>
      <c r="F572" s="2" t="str">
        <f>IF(A572&lt;&gt;"", VLOOKUP(A572, imdb_netflix_v5!A$2:H$7370, 7, FALSE), "")</f>
        <v>NA</v>
      </c>
    </row>
    <row r="573" ht="15.75" customHeight="1">
      <c r="A573" s="1" t="str">
        <f>IFERROR(__xludf.DUMMYFUNCTION("""COMPUTED_VALUE"""),"the mighty boosh")</f>
        <v>the mighty boosh</v>
      </c>
      <c r="B573" s="1" t="str">
        <f>IF(A573&lt;&gt;"", VLOOKUP(A573, imdb_netflix_v5!A$2:H$7370, 2, FALSE), "")</f>
        <v>TV Show</v>
      </c>
      <c r="C573" s="2" t="str">
        <f>IF(A573&lt;&gt;"", VLOOKUP(A573, imdb_netflix_v5!A$2:H$7370, 3, FALSE), "")</f>
        <v>Comedy, Fantasy, Musical</v>
      </c>
      <c r="D573" s="2">
        <f>IF(A573&lt;&gt;"", VLOOKUP(A573, imdb_netflix_v5!A$2:H$7370, 4, FALSE), "")</f>
        <v>8.4</v>
      </c>
      <c r="E573" s="2">
        <f>IF(A573&lt;&gt;"", VLOOKUP(A573, imdb_netflix_v5!A$2:H$7370, 5, FALSE), "")</f>
        <v>2003</v>
      </c>
      <c r="F573" s="2" t="str">
        <f>IF(A573&lt;&gt;"", VLOOKUP(A573, imdb_netflix_v5!A$2:H$7370, 7, FALSE), "")</f>
        <v>NA</v>
      </c>
    </row>
    <row r="574" ht="15.75" customHeight="1">
      <c r="A574" s="1" t="str">
        <f>IFERROR(__xludf.DUMMYFUNCTION("""COMPUTED_VALUE"""),"the salt of the earth")</f>
        <v>the salt of the earth</v>
      </c>
      <c r="B574" s="1" t="str">
        <f>IF(A574&lt;&gt;"", VLOOKUP(A574, imdb_netflix_v5!A$2:H$7370, 2, FALSE), "")</f>
        <v>Movie</v>
      </c>
      <c r="C574" s="2" t="str">
        <f>IF(A574&lt;&gt;"", VLOOKUP(A574, imdb_netflix_v5!A$2:H$7370, 3, FALSE), "")</f>
        <v>Biography, Documentary, History</v>
      </c>
      <c r="D574" s="2">
        <f>IF(A574&lt;&gt;"", VLOOKUP(A574, imdb_netflix_v5!A$2:H$7370, 4, FALSE), "")</f>
        <v>8.4</v>
      </c>
      <c r="E574" s="2">
        <f>IF(A574&lt;&gt;"", VLOOKUP(A574, imdb_netflix_v5!A$2:H$7370, 5, FALSE), "")</f>
        <v>2014</v>
      </c>
      <c r="F574" s="2" t="str">
        <f>IF(A574&lt;&gt;"", VLOOKUP(A574, imdb_netflix_v5!A$2:H$7370, 7, FALSE), "")</f>
        <v>NA</v>
      </c>
    </row>
    <row r="575" ht="15.75" customHeight="1">
      <c r="A575" s="1" t="str">
        <f>IFERROR(__xludf.DUMMYFUNCTION("""COMPUTED_VALUE"""),"the lizard")</f>
        <v>the lizard</v>
      </c>
      <c r="B575" s="1" t="str">
        <f>IF(A575&lt;&gt;"", VLOOKUP(A575, imdb_netflix_v5!A$2:H$7370, 2, FALSE), "")</f>
        <v>Movie</v>
      </c>
      <c r="C575" s="2" t="str">
        <f>IF(A575&lt;&gt;"", VLOOKUP(A575, imdb_netflix_v5!A$2:H$7370, 3, FALSE), "")</f>
        <v>Comedy, Drama</v>
      </c>
      <c r="D575" s="2">
        <f>IF(A575&lt;&gt;"", VLOOKUP(A575, imdb_netflix_v5!A$2:H$7370, 4, FALSE), "")</f>
        <v>8.4</v>
      </c>
      <c r="E575" s="2">
        <f>IF(A575&lt;&gt;"", VLOOKUP(A575, imdb_netflix_v5!A$2:H$7370, 5, FALSE), "")</f>
        <v>2004</v>
      </c>
      <c r="F575" s="2" t="str">
        <f>IF(A575&lt;&gt;"", VLOOKUP(A575, imdb_netflix_v5!A$2:H$7370, 7, FALSE), "")</f>
        <v>NA</v>
      </c>
    </row>
    <row r="576" ht="15.75" customHeight="1">
      <c r="A576" s="1" t="str">
        <f>IFERROR(__xludf.DUMMYFUNCTION("""COMPUTED_VALUE"""),"invader zim")</f>
        <v>invader zim</v>
      </c>
      <c r="B576" s="1" t="str">
        <f>IF(A576&lt;&gt;"", VLOOKUP(A576, imdb_netflix_v5!A$2:H$7370, 2, FALSE), "")</f>
        <v>TV Show</v>
      </c>
      <c r="C576" s="2" t="str">
        <f>IF(A576&lt;&gt;"", VLOOKUP(A576, imdb_netflix_v5!A$2:H$7370, 3, FALSE), "")</f>
        <v>Action, Adventure, Animation</v>
      </c>
      <c r="D576" s="2">
        <f>IF(A576&lt;&gt;"", VLOOKUP(A576, imdb_netflix_v5!A$2:H$7370, 4, FALSE), "")</f>
        <v>8.4</v>
      </c>
      <c r="E576" s="2">
        <f>IF(A576&lt;&gt;"", VLOOKUP(A576, imdb_netflix_v5!A$2:H$7370, 5, FALSE), "")</f>
        <v>2001</v>
      </c>
      <c r="F576" s="2" t="str">
        <f>IF(A576&lt;&gt;"", VLOOKUP(A576, imdb_netflix_v5!A$2:H$7370, 7, FALSE), "")</f>
        <v>NA</v>
      </c>
    </row>
    <row r="577" ht="15.75" customHeight="1">
      <c r="A577" s="1" t="str">
        <f>IFERROR(__xludf.DUMMYFUNCTION("""COMPUTED_VALUE"""),"northern exposure")</f>
        <v>northern exposure</v>
      </c>
      <c r="B577" s="1" t="str">
        <f>IF(A577&lt;&gt;"", VLOOKUP(A577, imdb_netflix_v5!A$2:H$7370, 2, FALSE), "")</f>
        <v>TV Show</v>
      </c>
      <c r="C577" s="2" t="str">
        <f>IF(A577&lt;&gt;"", VLOOKUP(A577, imdb_netflix_v5!A$2:H$7370, 3, FALSE), "")</f>
        <v>Comedy, Drama</v>
      </c>
      <c r="D577" s="2">
        <f>IF(A577&lt;&gt;"", VLOOKUP(A577, imdb_netflix_v5!A$2:H$7370, 4, FALSE), "")</f>
        <v>8.4</v>
      </c>
      <c r="E577" s="2">
        <f>IF(A577&lt;&gt;"", VLOOKUP(A577, imdb_netflix_v5!A$2:H$7370, 5, FALSE), "")</f>
        <v>1990</v>
      </c>
      <c r="F577" s="2" t="str">
        <f>IF(A577&lt;&gt;"", VLOOKUP(A577, imdb_netflix_v5!A$2:H$7370, 7, FALSE), "")</f>
        <v>NA</v>
      </c>
    </row>
    <row r="578" ht="15.75" customHeight="1">
      <c r="A578" s="1" t="str">
        <f>IFERROR(__xludf.DUMMYFUNCTION("""COMPUTED_VALUE"""),"my so-called life")</f>
        <v>my so-called life</v>
      </c>
      <c r="B578" s="1" t="str">
        <f>IF(A578&lt;&gt;"", VLOOKUP(A578, imdb_netflix_v5!A$2:H$7370, 2, FALSE), "")</f>
        <v>TV Show</v>
      </c>
      <c r="C578" s="2" t="str">
        <f>IF(A578&lt;&gt;"", VLOOKUP(A578, imdb_netflix_v5!A$2:H$7370, 3, FALSE), "")</f>
        <v>Comedy, Drama, Romance</v>
      </c>
      <c r="D578" s="2">
        <f>IF(A578&lt;&gt;"", VLOOKUP(A578, imdb_netflix_v5!A$2:H$7370, 4, FALSE), "")</f>
        <v>8.4</v>
      </c>
      <c r="E578" s="2">
        <f>IF(A578&lt;&gt;"", VLOOKUP(A578, imdb_netflix_v5!A$2:H$7370, 5, FALSE), "")</f>
        <v>1994</v>
      </c>
      <c r="F578" s="2" t="str">
        <f>IF(A578&lt;&gt;"", VLOOKUP(A578, imdb_netflix_v5!A$2:H$7370, 7, FALSE), "")</f>
        <v>NA</v>
      </c>
    </row>
    <row r="579" ht="15.75" customHeight="1">
      <c r="A579" s="1" t="str">
        <f>IFERROR(__xludf.DUMMYFUNCTION("""COMPUTED_VALUE"""),"black friday")</f>
        <v>black friday</v>
      </c>
      <c r="B579" s="1" t="str">
        <f>IF(A579&lt;&gt;"", VLOOKUP(A579, imdb_netflix_v5!A$2:H$7370, 2, FALSE), "")</f>
        <v>Movie</v>
      </c>
      <c r="C579" s="2" t="str">
        <f>IF(A579&lt;&gt;"", VLOOKUP(A579, imdb_netflix_v5!A$2:H$7370, 3, FALSE), "")</f>
        <v>Action, Crime, Drama</v>
      </c>
      <c r="D579" s="2">
        <f>IF(A579&lt;&gt;"", VLOOKUP(A579, imdb_netflix_v5!A$2:H$7370, 4, FALSE), "")</f>
        <v>8.4</v>
      </c>
      <c r="E579" s="2">
        <f>IF(A579&lt;&gt;"", VLOOKUP(A579, imdb_netflix_v5!A$2:H$7370, 5, FALSE), "")</f>
        <v>2004</v>
      </c>
      <c r="F579" s="2" t="str">
        <f>IF(A579&lt;&gt;"", VLOOKUP(A579, imdb_netflix_v5!A$2:H$7370, 7, FALSE), "")</f>
        <v>NA</v>
      </c>
    </row>
    <row r="580" ht="15.75" customHeight="1">
      <c r="A580" s="1" t="str">
        <f>IFERROR(__xludf.DUMMYFUNCTION("""COMPUTED_VALUE"""),"thani oruvan")</f>
        <v>thani oruvan</v>
      </c>
      <c r="B580" s="1" t="str">
        <f>IF(A580&lt;&gt;"", VLOOKUP(A580, imdb_netflix_v5!A$2:H$7370, 2, FALSE), "")</f>
        <v>Movie</v>
      </c>
      <c r="C580" s="2" t="str">
        <f>IF(A580&lt;&gt;"", VLOOKUP(A580, imdb_netflix_v5!A$2:H$7370, 3, FALSE), "")</f>
        <v>Action, Crime, Drama</v>
      </c>
      <c r="D580" s="2">
        <f>IF(A580&lt;&gt;"", VLOOKUP(A580, imdb_netflix_v5!A$2:H$7370, 4, FALSE), "")</f>
        <v>8.4</v>
      </c>
      <c r="E580" s="2">
        <f>IF(A580&lt;&gt;"", VLOOKUP(A580, imdb_netflix_v5!A$2:H$7370, 5, FALSE), "")</f>
        <v>2015</v>
      </c>
      <c r="F580" s="2" t="str">
        <f>IF(A580&lt;&gt;"", VLOOKUP(A580, imdb_netflix_v5!A$2:H$7370, 7, FALSE), "")</f>
        <v>NA</v>
      </c>
    </row>
    <row r="581" ht="15.75" customHeight="1">
      <c r="A581" s="1" t="str">
        <f>IFERROR(__xludf.DUMMYFUNCTION("""COMPUTED_VALUE"""),"police squad!")</f>
        <v>police squad!</v>
      </c>
      <c r="B581" s="1" t="str">
        <f>IF(A581&lt;&gt;"", VLOOKUP(A581, imdb_netflix_v5!A$2:H$7370, 2, FALSE), "")</f>
        <v>TV Show</v>
      </c>
      <c r="C581" s="2" t="str">
        <f>IF(A581&lt;&gt;"", VLOOKUP(A581, imdb_netflix_v5!A$2:H$7370, 3, FALSE), "")</f>
        <v>Comedy, Crime</v>
      </c>
      <c r="D581" s="2">
        <f>IF(A581&lt;&gt;"", VLOOKUP(A581, imdb_netflix_v5!A$2:H$7370, 4, FALSE), "")</f>
        <v>8.4</v>
      </c>
      <c r="E581" s="2">
        <f>IF(A581&lt;&gt;"", VLOOKUP(A581, imdb_netflix_v5!A$2:H$7370, 5, FALSE), "")</f>
        <v>1982</v>
      </c>
      <c r="F581" s="2" t="str">
        <f>IF(A581&lt;&gt;"", VLOOKUP(A581, imdb_netflix_v5!A$2:H$7370, 7, FALSE), "")</f>
        <v>NA</v>
      </c>
    </row>
    <row r="582" ht="15.75" customHeight="1">
      <c r="A582" s="1" t="str">
        <f>IFERROR(__xludf.DUMMYFUNCTION("""COMPUTED_VALUE"""),"doc martin")</f>
        <v>doc martin</v>
      </c>
      <c r="B582" s="1" t="str">
        <f>IF(A582&lt;&gt;"", VLOOKUP(A582, imdb_netflix_v5!A$2:H$7370, 2, FALSE), "")</f>
        <v>TV Show</v>
      </c>
      <c r="C582" s="2" t="str">
        <f>IF(A582&lt;&gt;"", VLOOKUP(A582, imdb_netflix_v5!A$2:H$7370, 3, FALSE), "")</f>
        <v>Comedy, Drama, Romance</v>
      </c>
      <c r="D582" s="2">
        <f>IF(A582&lt;&gt;"", VLOOKUP(A582, imdb_netflix_v5!A$2:H$7370, 4, FALSE), "")</f>
        <v>8.4</v>
      </c>
      <c r="E582" s="2">
        <f>IF(A582&lt;&gt;"", VLOOKUP(A582, imdb_netflix_v5!A$2:H$7370, 5, FALSE), "")</f>
        <v>2004</v>
      </c>
      <c r="F582" s="2" t="str">
        <f>IF(A582&lt;&gt;"", VLOOKUP(A582, imdb_netflix_v5!A$2:H$7370, 7, FALSE), "")</f>
        <v>NA</v>
      </c>
    </row>
    <row r="583" ht="15.75" customHeight="1">
      <c r="A583" s="1" t="str">
        <f>IFERROR(__xludf.DUMMYFUNCTION("""COMPUTED_VALUE"""),"vada chennai")</f>
        <v>vada chennai</v>
      </c>
      <c r="B583" s="1" t="str">
        <f>IF(A583&lt;&gt;"", VLOOKUP(A583, imdb_netflix_v5!A$2:H$7370, 2, FALSE), "")</f>
        <v>Movie</v>
      </c>
      <c r="C583" s="2" t="str">
        <f>IF(A583&lt;&gt;"", VLOOKUP(A583, imdb_netflix_v5!A$2:H$7370, 3, FALSE), "")</f>
        <v>Action, Crime, Drama</v>
      </c>
      <c r="D583" s="2">
        <f>IF(A583&lt;&gt;"", VLOOKUP(A583, imdb_netflix_v5!A$2:H$7370, 4, FALSE), "")</f>
        <v>8.4</v>
      </c>
      <c r="E583" s="2">
        <f>IF(A583&lt;&gt;"", VLOOKUP(A583, imdb_netflix_v5!A$2:H$7370, 5, FALSE), "")</f>
        <v>2018</v>
      </c>
      <c r="F583" s="2" t="str">
        <f>IF(A583&lt;&gt;"", VLOOKUP(A583, imdb_netflix_v5!A$2:H$7370, 7, FALSE), "")</f>
        <v>NA</v>
      </c>
    </row>
    <row r="584" ht="15.75" customHeight="1">
      <c r="A584" s="1" t="str">
        <f>IFERROR(__xludf.DUMMYFUNCTION("""COMPUTED_VALUE"""),"the spectacular spider-man")</f>
        <v>the spectacular spider-man</v>
      </c>
      <c r="B584" s="1" t="str">
        <f>IF(A584&lt;&gt;"", VLOOKUP(A584, imdb_netflix_v5!A$2:H$7370, 2, FALSE), "")</f>
        <v>TV Show</v>
      </c>
      <c r="C584" s="2" t="str">
        <f>IF(A584&lt;&gt;"", VLOOKUP(A584, imdb_netflix_v5!A$2:H$7370, 3, FALSE), "")</f>
        <v>Action, Adventure, Animation</v>
      </c>
      <c r="D584" s="2">
        <f>IF(A584&lt;&gt;"", VLOOKUP(A584, imdb_netflix_v5!A$2:H$7370, 4, FALSE), "")</f>
        <v>8.4</v>
      </c>
      <c r="E584" s="2">
        <f>IF(A584&lt;&gt;"", VLOOKUP(A584, imdb_netflix_v5!A$2:H$7370, 5, FALSE), "")</f>
        <v>2008</v>
      </c>
      <c r="F584" s="2" t="str">
        <f>IF(A584&lt;&gt;"", VLOOKUP(A584, imdb_netflix_v5!A$2:H$7370, 7, FALSE), "")</f>
        <v>NA</v>
      </c>
    </row>
    <row r="585" ht="15.75" customHeight="1">
      <c r="A585" s="1" t="str">
        <f>IFERROR(__xludf.DUMMYFUNCTION("""COMPUTED_VALUE"""),"the new batman adventures")</f>
        <v>the new batman adventures</v>
      </c>
      <c r="B585" s="1" t="str">
        <f>IF(A585&lt;&gt;"", VLOOKUP(A585, imdb_netflix_v5!A$2:H$7370, 2, FALSE), "")</f>
        <v>TV Show</v>
      </c>
      <c r="C585" s="2" t="str">
        <f>IF(A585&lt;&gt;"", VLOOKUP(A585, imdb_netflix_v5!A$2:H$7370, 3, FALSE), "")</f>
        <v>Action, Adventure, Animation</v>
      </c>
      <c r="D585" s="2">
        <f>IF(A585&lt;&gt;"", VLOOKUP(A585, imdb_netflix_v5!A$2:H$7370, 4, FALSE), "")</f>
        <v>8.4</v>
      </c>
      <c r="E585" s="2">
        <f>IF(A585&lt;&gt;"", VLOOKUP(A585, imdb_netflix_v5!A$2:H$7370, 5, FALSE), "")</f>
        <v>1997</v>
      </c>
      <c r="F585" s="2" t="str">
        <f>IF(A585&lt;&gt;"", VLOOKUP(A585, imdb_netflix_v5!A$2:H$7370, 7, FALSE), "")</f>
        <v>NA</v>
      </c>
    </row>
    <row r="586" ht="15.75" customHeight="1">
      <c r="A586" s="1" t="str">
        <f>IFERROR(__xludf.DUMMYFUNCTION("""COMPUTED_VALUE"""),"trollhunters tales of arcadia")</f>
        <v>trollhunters tales of arcadia</v>
      </c>
      <c r="B586" s="1" t="str">
        <f>IF(A586&lt;&gt;"", VLOOKUP(A586, imdb_netflix_v5!A$2:H$7370, 2, FALSE), "")</f>
        <v>TV Show</v>
      </c>
      <c r="C586" s="2" t="str">
        <f>IF(A586&lt;&gt;"", VLOOKUP(A586, imdb_netflix_v5!A$2:H$7370, 3, FALSE), "")</f>
        <v>Action, Adventure, Animation</v>
      </c>
      <c r="D586" s="2">
        <f>IF(A586&lt;&gt;"", VLOOKUP(A586, imdb_netflix_v5!A$2:H$7370, 4, FALSE), "")</f>
        <v>8.4</v>
      </c>
      <c r="E586" s="2">
        <f>IF(A586&lt;&gt;"", VLOOKUP(A586, imdb_netflix_v5!A$2:H$7370, 5, FALSE), "")</f>
        <v>2016</v>
      </c>
      <c r="F586" s="2" t="str">
        <f>IF(A586&lt;&gt;"", VLOOKUP(A586, imdb_netflix_v5!A$2:H$7370, 7, FALSE), "")</f>
        <v>NA</v>
      </c>
    </row>
    <row r="587" ht="15.75" customHeight="1">
      <c r="A587" s="1" t="str">
        <f>IFERROR(__xludf.DUMMYFUNCTION("""COMPUTED_VALUE"""),"this is going to hurt")</f>
        <v>this is going to hurt</v>
      </c>
      <c r="B587" s="1" t="str">
        <f>IF(A587&lt;&gt;"", VLOOKUP(A587, imdb_netflix_v5!A$2:H$7370, 2, FALSE), "")</f>
        <v>TV Show</v>
      </c>
      <c r="C587" s="2" t="str">
        <f>IF(A587&lt;&gt;"", VLOOKUP(A587, imdb_netflix_v5!A$2:H$7370, 3, FALSE), "")</f>
        <v>Biography, Comedy, Drama</v>
      </c>
      <c r="D587" s="2">
        <f>IF(A587&lt;&gt;"", VLOOKUP(A587, imdb_netflix_v5!A$2:H$7370, 4, FALSE), "")</f>
        <v>8.4</v>
      </c>
      <c r="E587" s="2">
        <f>IF(A587&lt;&gt;"", VLOOKUP(A587, imdb_netflix_v5!A$2:H$7370, 5, FALSE), "")</f>
        <v>2022</v>
      </c>
      <c r="F587" s="2" t="str">
        <f>IF(A587&lt;&gt;"", VLOOKUP(A587, imdb_netflix_v5!A$2:H$7370, 7, FALSE), "")</f>
        <v>NA</v>
      </c>
    </row>
    <row r="588" ht="15.75" customHeight="1">
      <c r="A588" s="1" t="str">
        <f>IFERROR(__xludf.DUMMYFUNCTION("""COMPUTED_VALUE"""),"all in the family")</f>
        <v>all in the family</v>
      </c>
      <c r="B588" s="1" t="str">
        <f>IF(A588&lt;&gt;"", VLOOKUP(A588, imdb_netflix_v5!A$2:H$7370, 2, FALSE), "")</f>
        <v>TV Show</v>
      </c>
      <c r="C588" s="2" t="str">
        <f>IF(A588&lt;&gt;"", VLOOKUP(A588, imdb_netflix_v5!A$2:H$7370, 3, FALSE), "")</f>
        <v>Comedy, Drama</v>
      </c>
      <c r="D588" s="2">
        <f>IF(A588&lt;&gt;"", VLOOKUP(A588, imdb_netflix_v5!A$2:H$7370, 4, FALSE), "")</f>
        <v>8.4</v>
      </c>
      <c r="E588" s="2">
        <f>IF(A588&lt;&gt;"", VLOOKUP(A588, imdb_netflix_v5!A$2:H$7370, 5, FALSE), "")</f>
        <v>1971</v>
      </c>
      <c r="F588" s="2" t="str">
        <f>IF(A588&lt;&gt;"", VLOOKUP(A588, imdb_netflix_v5!A$2:H$7370, 7, FALSE), "")</f>
        <v>NA</v>
      </c>
    </row>
    <row r="589" ht="15.75" customHeight="1">
      <c r="A589" s="1" t="str">
        <f>IFERROR(__xludf.DUMMYFUNCTION("""COMPUTED_VALUE"""),"roots")</f>
        <v>roots</v>
      </c>
      <c r="B589" s="1" t="str">
        <f>IF(A589&lt;&gt;"", VLOOKUP(A589, imdb_netflix_v5!A$2:H$7370, 2, FALSE), "")</f>
        <v>TV Show</v>
      </c>
      <c r="C589" s="2" t="str">
        <f>IF(A589&lt;&gt;"", VLOOKUP(A589, imdb_netflix_v5!A$2:H$7370, 3, FALSE), "")</f>
        <v>Biography, Drama, History</v>
      </c>
      <c r="D589" s="2">
        <f>IF(A589&lt;&gt;"", VLOOKUP(A589, imdb_netflix_v5!A$2:H$7370, 4, FALSE), "")</f>
        <v>8.4</v>
      </c>
      <c r="E589" s="2">
        <f>IF(A589&lt;&gt;"", VLOOKUP(A589, imdb_netflix_v5!A$2:H$7370, 5, FALSE), "")</f>
        <v>1977</v>
      </c>
      <c r="F589" s="2" t="str">
        <f>IF(A589&lt;&gt;"", VLOOKUP(A589, imdb_netflix_v5!A$2:H$7370, 7, FALSE), "")</f>
        <v>NA</v>
      </c>
    </row>
    <row r="590" ht="15.75" customHeight="1">
      <c r="A590" s="1" t="str">
        <f>IFERROR(__xludf.DUMMYFUNCTION("""COMPUTED_VALUE"""),"my mad fat diary")</f>
        <v>my mad fat diary</v>
      </c>
      <c r="B590" s="1" t="str">
        <f>IF(A590&lt;&gt;"", VLOOKUP(A590, imdb_netflix_v5!A$2:H$7370, 2, FALSE), "")</f>
        <v>TV Show</v>
      </c>
      <c r="C590" s="2" t="str">
        <f>IF(A590&lt;&gt;"", VLOOKUP(A590, imdb_netflix_v5!A$2:H$7370, 3, FALSE), "")</f>
        <v>Comedy, Drama, Romance</v>
      </c>
      <c r="D590" s="2">
        <f>IF(A590&lt;&gt;"", VLOOKUP(A590, imdb_netflix_v5!A$2:H$7370, 4, FALSE), "")</f>
        <v>8.4</v>
      </c>
      <c r="E590" s="2">
        <f>IF(A590&lt;&gt;"", VLOOKUP(A590, imdb_netflix_v5!A$2:H$7370, 5, FALSE), "")</f>
        <v>2013</v>
      </c>
      <c r="F590" s="2" t="str">
        <f>IF(A590&lt;&gt;"", VLOOKUP(A590, imdb_netflix_v5!A$2:H$7370, 7, FALSE), "")</f>
        <v>NA</v>
      </c>
    </row>
    <row r="591" ht="15.75" customHeight="1">
      <c r="A591" s="1" t="str">
        <f>IFERROR(__xludf.DUMMYFUNCTION("""COMPUTED_VALUE"""),"sansho the bailiff")</f>
        <v>sansho the bailiff</v>
      </c>
      <c r="B591" s="1" t="str">
        <f>IF(A591&lt;&gt;"", VLOOKUP(A591, imdb_netflix_v5!A$2:H$7370, 2, FALSE), "")</f>
        <v>Movie</v>
      </c>
      <c r="C591" s="2" t="str">
        <f>IF(A591&lt;&gt;"", VLOOKUP(A591, imdb_netflix_v5!A$2:H$7370, 3, FALSE), "")</f>
        <v>Drama</v>
      </c>
      <c r="D591" s="2">
        <f>IF(A591&lt;&gt;"", VLOOKUP(A591, imdb_netflix_v5!A$2:H$7370, 4, FALSE), "")</f>
        <v>8.4</v>
      </c>
      <c r="E591" s="2">
        <f>IF(A591&lt;&gt;"", VLOOKUP(A591, imdb_netflix_v5!A$2:H$7370, 5, FALSE), "")</f>
        <v>1954</v>
      </c>
      <c r="F591" s="2" t="str">
        <f>IF(A591&lt;&gt;"", VLOOKUP(A591, imdb_netflix_v5!A$2:H$7370, 7, FALSE), "")</f>
        <v>NA</v>
      </c>
    </row>
    <row r="592" ht="15.75" customHeight="1">
      <c r="A592" s="1" t="str">
        <f>IFERROR(__xludf.DUMMYFUNCTION("""COMPUTED_VALUE"""),"the andy griffith show")</f>
        <v>the andy griffith show</v>
      </c>
      <c r="B592" s="1" t="str">
        <f>IF(A592&lt;&gt;"", VLOOKUP(A592, imdb_netflix_v5!A$2:H$7370, 2, FALSE), "")</f>
        <v>TV Show</v>
      </c>
      <c r="C592" s="2" t="str">
        <f>IF(A592&lt;&gt;"", VLOOKUP(A592, imdb_netflix_v5!A$2:H$7370, 3, FALSE), "")</f>
        <v>Comedy, Family</v>
      </c>
      <c r="D592" s="2">
        <f>IF(A592&lt;&gt;"", VLOOKUP(A592, imdb_netflix_v5!A$2:H$7370, 4, FALSE), "")</f>
        <v>8.4</v>
      </c>
      <c r="E592" s="2">
        <f>IF(A592&lt;&gt;"", VLOOKUP(A592, imdb_netflix_v5!A$2:H$7370, 5, FALSE), "")</f>
        <v>1960</v>
      </c>
      <c r="F592" s="2" t="str">
        <f>IF(A592&lt;&gt;"", VLOOKUP(A592, imdb_netflix_v5!A$2:H$7370, 7, FALSE), "")</f>
        <v>NA</v>
      </c>
    </row>
    <row r="593" ht="15.75" customHeight="1">
      <c r="A593" s="1" t="str">
        <f>IFERROR(__xludf.DUMMYFUNCTION("""COMPUTED_VALUE"""),"the world of apu")</f>
        <v>the world of apu</v>
      </c>
      <c r="B593" s="1" t="str">
        <f>IF(A593&lt;&gt;"", VLOOKUP(A593, imdb_netflix_v5!A$2:H$7370, 2, FALSE), "")</f>
        <v>Movie</v>
      </c>
      <c r="C593" s="2" t="str">
        <f>IF(A593&lt;&gt;"", VLOOKUP(A593, imdb_netflix_v5!A$2:H$7370, 3, FALSE), "")</f>
        <v>Drama</v>
      </c>
      <c r="D593" s="2">
        <f>IF(A593&lt;&gt;"", VLOOKUP(A593, imdb_netflix_v5!A$2:H$7370, 4, FALSE), "")</f>
        <v>8.4</v>
      </c>
      <c r="E593" s="2">
        <f>IF(A593&lt;&gt;"", VLOOKUP(A593, imdb_netflix_v5!A$2:H$7370, 5, FALSE), "")</f>
        <v>1959</v>
      </c>
      <c r="F593" s="2" t="str">
        <f>IF(A593&lt;&gt;"", VLOOKUP(A593, imdb_netflix_v5!A$2:H$7370, 7, FALSE), "")</f>
        <v>NA</v>
      </c>
    </row>
    <row r="594" ht="15.75" customHeight="1">
      <c r="A594" s="1" t="str">
        <f>IFERROR(__xludf.DUMMYFUNCTION("""COMPUTED_VALUE"""),"the ricky gervais show")</f>
        <v>the ricky gervais show</v>
      </c>
      <c r="B594" s="1" t="str">
        <f>IF(A594&lt;&gt;"", VLOOKUP(A594, imdb_netflix_v5!A$2:H$7370, 2, FALSE), "")</f>
        <v>TV Show</v>
      </c>
      <c r="C594" s="2" t="str">
        <f>IF(A594&lt;&gt;"", VLOOKUP(A594, imdb_netflix_v5!A$2:H$7370, 3, FALSE), "")</f>
        <v>Animation, Comedy, Talk-Show</v>
      </c>
      <c r="D594" s="2">
        <f>IF(A594&lt;&gt;"", VLOOKUP(A594, imdb_netflix_v5!A$2:H$7370, 4, FALSE), "")</f>
        <v>8.4</v>
      </c>
      <c r="E594" s="2">
        <f>IF(A594&lt;&gt;"", VLOOKUP(A594, imdb_netflix_v5!A$2:H$7370, 5, FALSE), "")</f>
        <v>2010</v>
      </c>
      <c r="F594" s="2" t="str">
        <f>IF(A594&lt;&gt;"", VLOOKUP(A594, imdb_netflix_v5!A$2:H$7370, 7, FALSE), "")</f>
        <v>NA</v>
      </c>
    </row>
    <row r="595" ht="15.75" customHeight="1">
      <c r="A595" s="1" t="str">
        <f>IFERROR(__xludf.DUMMYFUNCTION("""COMPUTED_VALUE"""),"mahanati")</f>
        <v>mahanati</v>
      </c>
      <c r="B595" s="1" t="str">
        <f>IF(A595&lt;&gt;"", VLOOKUP(A595, imdb_netflix_v5!A$2:H$7370, 2, FALSE), "")</f>
        <v>Movie</v>
      </c>
      <c r="C595" s="2" t="str">
        <f>IF(A595&lt;&gt;"", VLOOKUP(A595, imdb_netflix_v5!A$2:H$7370, 3, FALSE), "")</f>
        <v>Biography, Drama</v>
      </c>
      <c r="D595" s="2">
        <f>IF(A595&lt;&gt;"", VLOOKUP(A595, imdb_netflix_v5!A$2:H$7370, 4, FALSE), "")</f>
        <v>8.4</v>
      </c>
      <c r="E595" s="2">
        <f>IF(A595&lt;&gt;"", VLOOKUP(A595, imdb_netflix_v5!A$2:H$7370, 5, FALSE), "")</f>
        <v>2018</v>
      </c>
      <c r="F595" s="2" t="str">
        <f>IF(A595&lt;&gt;"", VLOOKUP(A595, imdb_netflix_v5!A$2:H$7370, 7, FALSE), "")</f>
        <v>NA</v>
      </c>
    </row>
    <row r="596" ht="15.75" customHeight="1">
      <c r="A596" s="1" t="str">
        <f>IFERROR(__xludf.DUMMYFUNCTION("""COMPUTED_VALUE"""),"operation y &amp; other shuriks adventures")</f>
        <v>operation y &amp; other shuriks adventures</v>
      </c>
      <c r="B596" s="1" t="str">
        <f>IF(A596&lt;&gt;"", VLOOKUP(A596, imdb_netflix_v5!A$2:H$7370, 2, FALSE), "")</f>
        <v>Movie</v>
      </c>
      <c r="C596" s="2" t="str">
        <f>IF(A596&lt;&gt;"", VLOOKUP(A596, imdb_netflix_v5!A$2:H$7370, 3, FALSE), "")</f>
        <v>Comedy, Crime, Drama</v>
      </c>
      <c r="D596" s="2">
        <f>IF(A596&lt;&gt;"", VLOOKUP(A596, imdb_netflix_v5!A$2:H$7370, 4, FALSE), "")</f>
        <v>8.4</v>
      </c>
      <c r="E596" s="2">
        <f>IF(A596&lt;&gt;"", VLOOKUP(A596, imdb_netflix_v5!A$2:H$7370, 5, FALSE), "")</f>
        <v>1965</v>
      </c>
      <c r="F596" s="2" t="str">
        <f>IF(A596&lt;&gt;"", VLOOKUP(A596, imdb_netflix_v5!A$2:H$7370, 7, FALSE), "")</f>
        <v>NA</v>
      </c>
    </row>
    <row r="597" ht="15.75" customHeight="1">
      <c r="A597" s="1" t="str">
        <f>IFERROR(__xludf.DUMMYFUNCTION("""COMPUTED_VALUE"""),"brassic")</f>
        <v>brassic</v>
      </c>
      <c r="B597" s="1" t="str">
        <f>IF(A597&lt;&gt;"", VLOOKUP(A597, imdb_netflix_v5!A$2:H$7370, 2, FALSE), "")</f>
        <v>TV Show</v>
      </c>
      <c r="C597" s="2" t="str">
        <f>IF(A597&lt;&gt;"", VLOOKUP(A597, imdb_netflix_v5!A$2:H$7370, 3, FALSE), "")</f>
        <v>Comedy, Drama</v>
      </c>
      <c r="D597" s="2">
        <f>IF(A597&lt;&gt;"", VLOOKUP(A597, imdb_netflix_v5!A$2:H$7370, 4, FALSE), "")</f>
        <v>8.4</v>
      </c>
      <c r="E597" s="2">
        <f>IF(A597&lt;&gt;"", VLOOKUP(A597, imdb_netflix_v5!A$2:H$7370, 5, FALSE), "")</f>
        <v>2019</v>
      </c>
      <c r="F597" s="2" t="str">
        <f>IF(A597&lt;&gt;"", VLOOKUP(A597, imdb_netflix_v5!A$2:H$7370, 7, FALSE), "")</f>
        <v>NA</v>
      </c>
    </row>
    <row r="598" ht="15.75" customHeight="1">
      <c r="A598" s="1" t="str">
        <f>IFERROR(__xludf.DUMMYFUNCTION("""COMPUTED_VALUE"""),"pachinko")</f>
        <v>pachinko</v>
      </c>
      <c r="B598" s="1" t="str">
        <f>IF(A598&lt;&gt;"", VLOOKUP(A598, imdb_netflix_v5!A$2:H$7370, 2, FALSE), "")</f>
        <v>TV Show</v>
      </c>
      <c r="C598" s="2" t="str">
        <f>IF(A598&lt;&gt;"", VLOOKUP(A598, imdb_netflix_v5!A$2:H$7370, 3, FALSE), "")</f>
        <v>Drama</v>
      </c>
      <c r="D598" s="2">
        <f>IF(A598&lt;&gt;"", VLOOKUP(A598, imdb_netflix_v5!A$2:H$7370, 4, FALSE), "")</f>
        <v>8.4</v>
      </c>
      <c r="E598" s="2">
        <f>IF(A598&lt;&gt;"", VLOOKUP(A598, imdb_netflix_v5!A$2:H$7370, 5, FALSE), "")</f>
        <v>2022</v>
      </c>
      <c r="F598" s="2" t="str">
        <f>IF(A598&lt;&gt;"", VLOOKUP(A598, imdb_netflix_v5!A$2:H$7370, 7, FALSE), "")</f>
        <v>NA</v>
      </c>
    </row>
    <row r="599" ht="15.75" customHeight="1">
      <c r="A599" s="1" t="str">
        <f>IFERROR(__xludf.DUMMYFUNCTION("""COMPUTED_VALUE"""),"the pinchcliffe grand prix")</f>
        <v>the pinchcliffe grand prix</v>
      </c>
      <c r="B599" s="1" t="str">
        <f>IF(A599&lt;&gt;"", VLOOKUP(A599, imdb_netflix_v5!A$2:H$7370, 2, FALSE), "")</f>
        <v>Movie</v>
      </c>
      <c r="C599" s="2" t="str">
        <f>IF(A599&lt;&gt;"", VLOOKUP(A599, imdb_netflix_v5!A$2:H$7370, 3, FALSE), "")</f>
        <v>Animation, Comedy, Family</v>
      </c>
      <c r="D599" s="2">
        <f>IF(A599&lt;&gt;"", VLOOKUP(A599, imdb_netflix_v5!A$2:H$7370, 4, FALSE), "")</f>
        <v>8.4</v>
      </c>
      <c r="E599" s="2">
        <f>IF(A599&lt;&gt;"", VLOOKUP(A599, imdb_netflix_v5!A$2:H$7370, 5, FALSE), "")</f>
        <v>1975</v>
      </c>
      <c r="F599" s="2" t="str">
        <f>IF(A599&lt;&gt;"", VLOOKUP(A599, imdb_netflix_v5!A$2:H$7370, 7, FALSE), "")</f>
        <v>NA</v>
      </c>
    </row>
    <row r="600" ht="15.75" customHeight="1">
      <c r="A600" s="1" t="str">
        <f>IFERROR(__xludf.DUMMYFUNCTION("""COMPUTED_VALUE"""),"philanthropy")</f>
        <v>philanthropy</v>
      </c>
      <c r="B600" s="1" t="str">
        <f>IF(A600&lt;&gt;"", VLOOKUP(A600, imdb_netflix_v5!A$2:H$7370, 2, FALSE), "")</f>
        <v>Movie</v>
      </c>
      <c r="C600" s="2" t="str">
        <f>IF(A600&lt;&gt;"", VLOOKUP(A600, imdb_netflix_v5!A$2:H$7370, 3, FALSE), "")</f>
        <v>Comedy, Drama</v>
      </c>
      <c r="D600" s="2">
        <f>IF(A600&lt;&gt;"", VLOOKUP(A600, imdb_netflix_v5!A$2:H$7370, 4, FALSE), "")</f>
        <v>8.4</v>
      </c>
      <c r="E600" s="2">
        <f>IF(A600&lt;&gt;"", VLOOKUP(A600, imdb_netflix_v5!A$2:H$7370, 5, FALSE), "")</f>
        <v>2002</v>
      </c>
      <c r="F600" s="2" t="str">
        <f>IF(A600&lt;&gt;"", VLOOKUP(A600, imdb_netflix_v5!A$2:H$7370, 7, FALSE), "")</f>
        <v>NA</v>
      </c>
    </row>
    <row r="601" ht="15.75" customHeight="1">
      <c r="A601" s="1" t="str">
        <f>IFERROR(__xludf.DUMMYFUNCTION("""COMPUTED_VALUE"""),"a small light")</f>
        <v>a small light</v>
      </c>
      <c r="B601" s="1" t="str">
        <f>IF(A601&lt;&gt;"", VLOOKUP(A601, imdb_netflix_v5!A$2:H$7370, 2, FALSE), "")</f>
        <v>TV Show</v>
      </c>
      <c r="C601" s="2" t="str">
        <f>IF(A601&lt;&gt;"", VLOOKUP(A601, imdb_netflix_v5!A$2:H$7370, 3, FALSE), "")</f>
        <v>Biography, Drama, History</v>
      </c>
      <c r="D601" s="2">
        <f>IF(A601&lt;&gt;"", VLOOKUP(A601, imdb_netflix_v5!A$2:H$7370, 4, FALSE), "")</f>
        <v>8.4</v>
      </c>
      <c r="E601" s="2">
        <f>IF(A601&lt;&gt;"", VLOOKUP(A601, imdb_netflix_v5!A$2:H$7370, 5, FALSE), "")</f>
        <v>2023</v>
      </c>
      <c r="F601" s="2" t="str">
        <f>IF(A601&lt;&gt;"", VLOOKUP(A601, imdb_netflix_v5!A$2:H$7370, 7, FALSE), "")</f>
        <v>NA</v>
      </c>
    </row>
    <row r="602" ht="15.75" customHeight="1">
      <c r="A602" s="1" t="str">
        <f>IFERROR(__xludf.DUMMYFUNCTION("""COMPUTED_VALUE"""),"the graham norton show")</f>
        <v>the graham norton show</v>
      </c>
      <c r="B602" s="1" t="str">
        <f>IF(A602&lt;&gt;"", VLOOKUP(A602, imdb_netflix_v5!A$2:H$7370, 2, FALSE), "")</f>
        <v>TV Show</v>
      </c>
      <c r="C602" s="2" t="str">
        <f>IF(A602&lt;&gt;"", VLOOKUP(A602, imdb_netflix_v5!A$2:H$7370, 3, FALSE), "")</f>
        <v>Comedy, Music, Talk-Show</v>
      </c>
      <c r="D602" s="2">
        <f>IF(A602&lt;&gt;"", VLOOKUP(A602, imdb_netflix_v5!A$2:H$7370, 4, FALSE), "")</f>
        <v>8.4</v>
      </c>
      <c r="E602" s="2">
        <f>IF(A602&lt;&gt;"", VLOOKUP(A602, imdb_netflix_v5!A$2:H$7370, 5, FALSE), "")</f>
        <v>2007</v>
      </c>
      <c r="F602" s="2" t="str">
        <f>IF(A602&lt;&gt;"", VLOOKUP(A602, imdb_netflix_v5!A$2:H$7370, 7, FALSE), "")</f>
        <v>NA</v>
      </c>
    </row>
    <row r="603" ht="15.75" customHeight="1">
      <c r="A603" s="1" t="str">
        <f>IFERROR(__xludf.DUMMYFUNCTION("""COMPUTED_VALUE"""),"jeeves and wooster")</f>
        <v>jeeves and wooster</v>
      </c>
      <c r="B603" s="1" t="str">
        <f>IF(A603&lt;&gt;"", VLOOKUP(A603, imdb_netflix_v5!A$2:H$7370, 2, FALSE), "")</f>
        <v>TV Show</v>
      </c>
      <c r="C603" s="2" t="str">
        <f>IF(A603&lt;&gt;"", VLOOKUP(A603, imdb_netflix_v5!A$2:H$7370, 3, FALSE), "")</f>
        <v>Comedy</v>
      </c>
      <c r="D603" s="2">
        <f>IF(A603&lt;&gt;"", VLOOKUP(A603, imdb_netflix_v5!A$2:H$7370, 4, FALSE), "")</f>
        <v>8.4</v>
      </c>
      <c r="E603" s="2">
        <f>IF(A603&lt;&gt;"", VLOOKUP(A603, imdb_netflix_v5!A$2:H$7370, 5, FALSE), "")</f>
        <v>1990</v>
      </c>
      <c r="F603" s="2" t="str">
        <f>IF(A603&lt;&gt;"", VLOOKUP(A603, imdb_netflix_v5!A$2:H$7370, 7, FALSE), "")</f>
        <v>NA</v>
      </c>
    </row>
    <row r="604" ht="15.75" customHeight="1">
      <c r="A604" s="1" t="str">
        <f>IFERROR(__xludf.DUMMYFUNCTION("""COMPUTED_VALUE"""),"ranking of kings")</f>
        <v>ranking of kings</v>
      </c>
      <c r="B604" s="1" t="str">
        <f>IF(A604&lt;&gt;"", VLOOKUP(A604, imdb_netflix_v5!A$2:H$7370, 2, FALSE), "")</f>
        <v>TV Show</v>
      </c>
      <c r="C604" s="2" t="str">
        <f>IF(A604&lt;&gt;"", VLOOKUP(A604, imdb_netflix_v5!A$2:H$7370, 3, FALSE), "")</f>
        <v>Action, Adventure, Animation</v>
      </c>
      <c r="D604" s="2">
        <f>IF(A604&lt;&gt;"", VLOOKUP(A604, imdb_netflix_v5!A$2:H$7370, 4, FALSE), "")</f>
        <v>8.4</v>
      </c>
      <c r="E604" s="2">
        <f>IF(A604&lt;&gt;"", VLOOKUP(A604, imdb_netflix_v5!A$2:H$7370, 5, FALSE), "")</f>
        <v>2021</v>
      </c>
      <c r="F604" s="2" t="str">
        <f>IF(A604&lt;&gt;"", VLOOKUP(A604, imdb_netflix_v5!A$2:H$7370, 7, FALSE), "")</f>
        <v>NA</v>
      </c>
    </row>
    <row r="605" ht="15.75" customHeight="1">
      <c r="A605" s="1" t="str">
        <f>IFERROR(__xludf.DUMMYFUNCTION("""COMPUTED_VALUE"""),"julie and the phantoms")</f>
        <v>julie and the phantoms</v>
      </c>
      <c r="B605" s="1" t="str">
        <f>IF(A605&lt;&gt;"", VLOOKUP(A605, imdb_netflix_v5!A$2:H$7370, 2, FALSE), "")</f>
        <v>TV Show</v>
      </c>
      <c r="C605" s="2" t="str">
        <f>IF(A605&lt;&gt;"", VLOOKUP(A605, imdb_netflix_v5!A$2:H$7370, 3, FALSE), "")</f>
        <v>Adventure, Comedy, Drama</v>
      </c>
      <c r="D605" s="2">
        <f>IF(A605&lt;&gt;"", VLOOKUP(A605, imdb_netflix_v5!A$2:H$7370, 4, FALSE), "")</f>
        <v>8.4</v>
      </c>
      <c r="E605" s="2">
        <f>IF(A605&lt;&gt;"", VLOOKUP(A605, imdb_netflix_v5!A$2:H$7370, 5, FALSE), "")</f>
        <v>2020</v>
      </c>
      <c r="F605" s="2" t="str">
        <f>IF(A605&lt;&gt;"", VLOOKUP(A605, imdb_netflix_v5!A$2:H$7370, 7, FALSE), "")</f>
        <v>NA</v>
      </c>
    </row>
    <row r="606" ht="15.75" customHeight="1">
      <c r="A606" s="1" t="str">
        <f>IFERROR(__xludf.DUMMYFUNCTION("""COMPUTED_VALUE"""),"visaaranai")</f>
        <v>visaaranai</v>
      </c>
      <c r="B606" s="1" t="str">
        <f>IF(A606&lt;&gt;"", VLOOKUP(A606, imdb_netflix_v5!A$2:H$7370, 2, FALSE), "")</f>
        <v>Movie</v>
      </c>
      <c r="C606" s="2" t="str">
        <f>IF(A606&lt;&gt;"", VLOOKUP(A606, imdb_netflix_v5!A$2:H$7370, 3, FALSE), "")</f>
        <v>Crime, Drama, Thriller</v>
      </c>
      <c r="D606" s="2">
        <f>IF(A606&lt;&gt;"", VLOOKUP(A606, imdb_netflix_v5!A$2:H$7370, 4, FALSE), "")</f>
        <v>8.4</v>
      </c>
      <c r="E606" s="2">
        <f>IF(A606&lt;&gt;"", VLOOKUP(A606, imdb_netflix_v5!A$2:H$7370, 5, FALSE), "")</f>
        <v>2015</v>
      </c>
      <c r="F606" s="2" t="str">
        <f>IF(A606&lt;&gt;"", VLOOKUP(A606, imdb_netflix_v5!A$2:H$7370, 7, FALSE), "")</f>
        <v>NA</v>
      </c>
    </row>
    <row r="607" ht="15.75" customHeight="1">
      <c r="A607" s="1" t="str">
        <f>IFERROR(__xludf.DUMMYFUNCTION("""COMPUTED_VALUE"""),"the league of gentlemen")</f>
        <v>the league of gentlemen</v>
      </c>
      <c r="B607" s="1" t="str">
        <f>IF(A607&lt;&gt;"", VLOOKUP(A607, imdb_netflix_v5!A$2:H$7370, 2, FALSE), "")</f>
        <v>TV Show</v>
      </c>
      <c r="C607" s="2" t="str">
        <f>IF(A607&lt;&gt;"", VLOOKUP(A607, imdb_netflix_v5!A$2:H$7370, 3, FALSE), "")</f>
        <v>Comedy, Horror</v>
      </c>
      <c r="D607" s="2">
        <f>IF(A607&lt;&gt;"", VLOOKUP(A607, imdb_netflix_v5!A$2:H$7370, 4, FALSE), "")</f>
        <v>8.4</v>
      </c>
      <c r="E607" s="2">
        <f>IF(A607&lt;&gt;"", VLOOKUP(A607, imdb_netflix_v5!A$2:H$7370, 5, FALSE), "")</f>
        <v>1999</v>
      </c>
      <c r="F607" s="2" t="str">
        <f>IF(A607&lt;&gt;"", VLOOKUP(A607, imdb_netflix_v5!A$2:H$7370, 7, FALSE), "")</f>
        <v>NA</v>
      </c>
    </row>
    <row r="608" ht="15.75" customHeight="1">
      <c r="A608" s="1" t="str">
        <f>IFERROR(__xludf.DUMMYFUNCTION("""COMPUTED_VALUE"""),"steins;gate 0")</f>
        <v>steins;gate 0</v>
      </c>
      <c r="B608" s="1" t="str">
        <f>IF(A608&lt;&gt;"", VLOOKUP(A608, imdb_netflix_v5!A$2:H$7370, 2, FALSE), "")</f>
        <v>TV Show</v>
      </c>
      <c r="C608" s="2" t="str">
        <f>IF(A608&lt;&gt;"", VLOOKUP(A608, imdb_netflix_v5!A$2:H$7370, 3, FALSE), "")</f>
        <v>Animation, Drama, Mystery</v>
      </c>
      <c r="D608" s="2">
        <f>IF(A608&lt;&gt;"", VLOOKUP(A608, imdb_netflix_v5!A$2:H$7370, 4, FALSE), "")</f>
        <v>8.4</v>
      </c>
      <c r="E608" s="2">
        <f>IF(A608&lt;&gt;"", VLOOKUP(A608, imdb_netflix_v5!A$2:H$7370, 5, FALSE), "")</f>
        <v>2018</v>
      </c>
      <c r="F608" s="2" t="str">
        <f>IF(A608&lt;&gt;"", VLOOKUP(A608, imdb_netflix_v5!A$2:H$7370, 7, FALSE), "")</f>
        <v>NA</v>
      </c>
    </row>
    <row r="609" ht="15.75" customHeight="1">
      <c r="A609" s="1" t="str">
        <f>IFERROR(__xludf.DUMMYFUNCTION("""COMPUTED_VALUE"""),"the dick van dyke show")</f>
        <v>the dick van dyke show</v>
      </c>
      <c r="B609" s="1" t="str">
        <f>IF(A609&lt;&gt;"", VLOOKUP(A609, imdb_netflix_v5!A$2:H$7370, 2, FALSE), "")</f>
        <v>TV Show</v>
      </c>
      <c r="C609" s="2" t="str">
        <f>IF(A609&lt;&gt;"", VLOOKUP(A609, imdb_netflix_v5!A$2:H$7370, 3, FALSE), "")</f>
        <v>Comedy, Family</v>
      </c>
      <c r="D609" s="2">
        <f>IF(A609&lt;&gt;"", VLOOKUP(A609, imdb_netflix_v5!A$2:H$7370, 4, FALSE), "")</f>
        <v>8.4</v>
      </c>
      <c r="E609" s="2">
        <f>IF(A609&lt;&gt;"", VLOOKUP(A609, imdb_netflix_v5!A$2:H$7370, 5, FALSE), "")</f>
        <v>1961</v>
      </c>
      <c r="F609" s="2" t="str">
        <f>IF(A609&lt;&gt;"", VLOOKUP(A609, imdb_netflix_v5!A$2:H$7370, 7, FALSE), "")</f>
        <v>NA</v>
      </c>
    </row>
    <row r="610" ht="15.75" customHeight="1">
      <c r="A610" s="1" t="str">
        <f>IFERROR(__xludf.DUMMYFUNCTION("""COMPUTED_VALUE"""),"moving")</f>
        <v>moving</v>
      </c>
      <c r="B610" s="1" t="str">
        <f>IF(A610&lt;&gt;"", VLOOKUP(A610, imdb_netflix_v5!A$2:H$7370, 2, FALSE), "")</f>
        <v>TV Show</v>
      </c>
      <c r="C610" s="2" t="str">
        <f>IF(A610&lt;&gt;"", VLOOKUP(A610, imdb_netflix_v5!A$2:H$7370, 3, FALSE), "")</f>
        <v>Action, Adventure, Fantasy</v>
      </c>
      <c r="D610" s="2">
        <f>IF(A610&lt;&gt;"", VLOOKUP(A610, imdb_netflix_v5!A$2:H$7370, 4, FALSE), "")</f>
        <v>8.4</v>
      </c>
      <c r="E610" s="2">
        <f>IF(A610&lt;&gt;"", VLOOKUP(A610, imdb_netflix_v5!A$2:H$7370, 5, FALSE), "")</f>
        <v>2023</v>
      </c>
      <c r="F610" s="2" t="str">
        <f>IF(A610&lt;&gt;"", VLOOKUP(A610, imdb_netflix_v5!A$2:H$7370, 7, FALSE), "")</f>
        <v>NA</v>
      </c>
    </row>
    <row r="611" ht="15.75" customHeight="1">
      <c r="A611" s="1" t="str">
        <f>IFERROR(__xludf.DUMMYFUNCTION("""COMPUTED_VALUE"""),"attack on titan chronicle")</f>
        <v>attack on titan chronicle</v>
      </c>
      <c r="B611" s="1" t="str">
        <f>IF(A611&lt;&gt;"", VLOOKUP(A611, imdb_netflix_v5!A$2:H$7370, 2, FALSE), "")</f>
        <v>Movie</v>
      </c>
      <c r="C611" s="2" t="str">
        <f>IF(A611&lt;&gt;"", VLOOKUP(A611, imdb_netflix_v5!A$2:H$7370, 3, FALSE), "")</f>
        <v>Action, Adventure, Animation</v>
      </c>
      <c r="D611" s="2">
        <f>IF(A611&lt;&gt;"", VLOOKUP(A611, imdb_netflix_v5!A$2:H$7370, 4, FALSE), "")</f>
        <v>8.4</v>
      </c>
      <c r="E611" s="2">
        <f>IF(A611&lt;&gt;"", VLOOKUP(A611, imdb_netflix_v5!A$2:H$7370, 5, FALSE), "")</f>
        <v>2020</v>
      </c>
      <c r="F611" s="2" t="str">
        <f>IF(A611&lt;&gt;"", VLOOKUP(A611, imdb_netflix_v5!A$2:H$7370, 7, FALSE), "")</f>
        <v>NA</v>
      </c>
    </row>
    <row r="612" ht="15.75" customHeight="1">
      <c r="A612" s="1" t="str">
        <f>IFERROR(__xludf.DUMMYFUNCTION("""COMPUTED_VALUE"""),"mr. muhsin")</f>
        <v>mr. muhsin</v>
      </c>
      <c r="B612" s="1" t="str">
        <f>IF(A612&lt;&gt;"", VLOOKUP(A612, imdb_netflix_v5!A$2:H$7370, 2, FALSE), "")</f>
        <v>Movie</v>
      </c>
      <c r="C612" s="2" t="str">
        <f>IF(A612&lt;&gt;"", VLOOKUP(A612, imdb_netflix_v5!A$2:H$7370, 3, FALSE), "")</f>
        <v>Comedy, Drama, Music</v>
      </c>
      <c r="D612" s="2">
        <f>IF(A612&lt;&gt;"", VLOOKUP(A612, imdb_netflix_v5!A$2:H$7370, 4, FALSE), "")</f>
        <v>8.4</v>
      </c>
      <c r="E612" s="2">
        <f>IF(A612&lt;&gt;"", VLOOKUP(A612, imdb_netflix_v5!A$2:H$7370, 5, FALSE), "")</f>
        <v>1987</v>
      </c>
      <c r="F612" s="2" t="str">
        <f>IF(A612&lt;&gt;"", VLOOKUP(A612, imdb_netflix_v5!A$2:H$7370, 7, FALSE), "")</f>
        <v>NA</v>
      </c>
    </row>
    <row r="613" ht="15.75" customHeight="1">
      <c r="A613" s="1" t="str">
        <f>IFERROR(__xludf.DUMMYFUNCTION("""COMPUTED_VALUE"""),"healer")</f>
        <v>healer</v>
      </c>
      <c r="B613" s="1" t="str">
        <f>IF(A613&lt;&gt;"", VLOOKUP(A613, imdb_netflix_v5!A$2:H$7370, 2, FALSE), "")</f>
        <v>TV Show</v>
      </c>
      <c r="C613" s="2" t="str">
        <f>IF(A613&lt;&gt;"", VLOOKUP(A613, imdb_netflix_v5!A$2:H$7370, 3, FALSE), "")</f>
        <v>Action, Comedy, Crime</v>
      </c>
      <c r="D613" s="2">
        <f>IF(A613&lt;&gt;"", VLOOKUP(A613, imdb_netflix_v5!A$2:H$7370, 4, FALSE), "")</f>
        <v>8.4</v>
      </c>
      <c r="E613" s="2">
        <f>IF(A613&lt;&gt;"", VLOOKUP(A613, imdb_netflix_v5!A$2:H$7370, 5, FALSE), "")</f>
        <v>2014</v>
      </c>
      <c r="F613" s="2" t="str">
        <f>IF(A613&lt;&gt;"", VLOOKUP(A613, imdb_netflix_v5!A$2:H$7370, 7, FALSE), "")</f>
        <v>NA</v>
      </c>
    </row>
    <row r="614" ht="15.75" customHeight="1">
      <c r="A614" s="1" t="str">
        <f>IFERROR(__xludf.DUMMYFUNCTION("""COMPUTED_VALUE"""),"when i grow up, ill be a kangaroo")</f>
        <v>when i grow up, ill be a kangaroo</v>
      </c>
      <c r="B614" s="1" t="str">
        <f>IF(A614&lt;&gt;"", VLOOKUP(A614, imdb_netflix_v5!A$2:H$7370, 2, FALSE), "")</f>
        <v>Movie</v>
      </c>
      <c r="C614" s="2" t="str">
        <f>IF(A614&lt;&gt;"", VLOOKUP(A614, imdb_netflix_v5!A$2:H$7370, 3, FALSE), "")</f>
        <v>Comedy</v>
      </c>
      <c r="D614" s="2">
        <f>IF(A614&lt;&gt;"", VLOOKUP(A614, imdb_netflix_v5!A$2:H$7370, 4, FALSE), "")</f>
        <v>8.4</v>
      </c>
      <c r="E614" s="2">
        <f>IF(A614&lt;&gt;"", VLOOKUP(A614, imdb_netflix_v5!A$2:H$7370, 5, FALSE), "")</f>
        <v>2004</v>
      </c>
      <c r="F614" s="2" t="str">
        <f>IF(A614&lt;&gt;"", VLOOKUP(A614, imdb_netflix_v5!A$2:H$7370, 7, FALSE), "")</f>
        <v>NA</v>
      </c>
    </row>
    <row r="615" ht="15.75" customHeight="1">
      <c r="A615" s="1" t="str">
        <f>IFERROR(__xludf.DUMMYFUNCTION("""COMPUTED_VALUE"""),"the late late show with craig ferguson")</f>
        <v>the late late show with craig ferguson</v>
      </c>
      <c r="B615" s="1" t="str">
        <f>IF(A615&lt;&gt;"", VLOOKUP(A615, imdb_netflix_v5!A$2:H$7370, 2, FALSE), "")</f>
        <v>TV Show</v>
      </c>
      <c r="C615" s="2" t="str">
        <f>IF(A615&lt;&gt;"", VLOOKUP(A615, imdb_netflix_v5!A$2:H$7370, 3, FALSE), "")</f>
        <v>Comedy, Music, Talk-Show</v>
      </c>
      <c r="D615" s="2">
        <f>IF(A615&lt;&gt;"", VLOOKUP(A615, imdb_netflix_v5!A$2:H$7370, 4, FALSE), "")</f>
        <v>8.4</v>
      </c>
      <c r="E615" s="2">
        <f>IF(A615&lt;&gt;"", VLOOKUP(A615, imdb_netflix_v5!A$2:H$7370, 5, FALSE), "")</f>
        <v>2005</v>
      </c>
      <c r="F615" s="2" t="str">
        <f>IF(A615&lt;&gt;"", VLOOKUP(A615, imdb_netflix_v5!A$2:H$7370, 7, FALSE), "")</f>
        <v>NA</v>
      </c>
    </row>
    <row r="616" ht="15.75" customHeight="1">
      <c r="A616" s="1" t="str">
        <f>IFERROR(__xludf.DUMMYFUNCTION("""COMPUTED_VALUE"""),"saint seiya knights of the zodiac")</f>
        <v>saint seiya knights of the zodiac</v>
      </c>
      <c r="B616" s="1" t="str">
        <f>IF(A616&lt;&gt;"", VLOOKUP(A616, imdb_netflix_v5!A$2:H$7370, 2, FALSE), "")</f>
        <v>TV Show</v>
      </c>
      <c r="C616" s="2" t="str">
        <f>IF(A616&lt;&gt;"", VLOOKUP(A616, imdb_netflix_v5!A$2:H$7370, 3, FALSE), "")</f>
        <v>Action, Adventure, Animation</v>
      </c>
      <c r="D616" s="2">
        <f>IF(A616&lt;&gt;"", VLOOKUP(A616, imdb_netflix_v5!A$2:H$7370, 4, FALSE), "")</f>
        <v>8.4</v>
      </c>
      <c r="E616" s="2">
        <f>IF(A616&lt;&gt;"", VLOOKUP(A616, imdb_netflix_v5!A$2:H$7370, 5, FALSE), "")</f>
        <v>1986</v>
      </c>
      <c r="F616" s="2" t="str">
        <f>IF(A616&lt;&gt;"", VLOOKUP(A616, imdb_netflix_v5!A$2:H$7370, 7, FALSE), "")</f>
        <v>NA</v>
      </c>
    </row>
    <row r="617" ht="15.75" customHeight="1">
      <c r="A617" s="1" t="str">
        <f>IFERROR(__xludf.DUMMYFUNCTION("""COMPUTED_VALUE"""),"terriers")</f>
        <v>terriers</v>
      </c>
      <c r="B617" s="1" t="str">
        <f>IF(A617&lt;&gt;"", VLOOKUP(A617, imdb_netflix_v5!A$2:H$7370, 2, FALSE), "")</f>
        <v>TV Show</v>
      </c>
      <c r="C617" s="2" t="str">
        <f>IF(A617&lt;&gt;"", VLOOKUP(A617, imdb_netflix_v5!A$2:H$7370, 3, FALSE), "")</f>
        <v>Comedy, Crime, Drama</v>
      </c>
      <c r="D617" s="2">
        <f>IF(A617&lt;&gt;"", VLOOKUP(A617, imdb_netflix_v5!A$2:H$7370, 4, FALSE), "")</f>
        <v>8.4</v>
      </c>
      <c r="E617" s="2">
        <f>IF(A617&lt;&gt;"", VLOOKUP(A617, imdb_netflix_v5!A$2:H$7370, 5, FALSE), "")</f>
        <v>2010</v>
      </c>
      <c r="F617" s="2" t="str">
        <f>IF(A617&lt;&gt;"", VLOOKUP(A617, imdb_netflix_v5!A$2:H$7370, 7, FALSE), "")</f>
        <v>NA</v>
      </c>
    </row>
    <row r="618" ht="15.75" customHeight="1">
      <c r="A618" s="1" t="str">
        <f>IFERROR(__xludf.DUMMYFUNCTION("""COMPUTED_VALUE"""),"the kids in the hall")</f>
        <v>the kids in the hall</v>
      </c>
      <c r="B618" s="1" t="str">
        <f>IF(A618&lt;&gt;"", VLOOKUP(A618, imdb_netflix_v5!A$2:H$7370, 2, FALSE), "")</f>
        <v>TV Show</v>
      </c>
      <c r="C618" s="2" t="str">
        <f>IF(A618&lt;&gt;"", VLOOKUP(A618, imdb_netflix_v5!A$2:H$7370, 3, FALSE), "")</f>
        <v>Comedy</v>
      </c>
      <c r="D618" s="2">
        <f>IF(A618&lt;&gt;"", VLOOKUP(A618, imdb_netflix_v5!A$2:H$7370, 4, FALSE), "")</f>
        <v>8.4</v>
      </c>
      <c r="E618" s="2">
        <f>IF(A618&lt;&gt;"", VLOOKUP(A618, imdb_netflix_v5!A$2:H$7370, 5, FALSE), "")</f>
        <v>1988</v>
      </c>
      <c r="F618" s="2" t="str">
        <f>IF(A618&lt;&gt;"", VLOOKUP(A618, imdb_netflix_v5!A$2:H$7370, 7, FALSE), "")</f>
        <v>NA</v>
      </c>
    </row>
    <row r="619" ht="15.75" customHeight="1">
      <c r="A619" s="1" t="str">
        <f>IFERROR(__xludf.DUMMYFUNCTION("""COMPUTED_VALUE"""),"prehistoric planet")</f>
        <v>prehistoric planet</v>
      </c>
      <c r="B619" s="1" t="str">
        <f>IF(A619&lt;&gt;"", VLOOKUP(A619, imdb_netflix_v5!A$2:H$7370, 2, FALSE), "")</f>
        <v>TV Show</v>
      </c>
      <c r="C619" s="2" t="str">
        <f>IF(A619&lt;&gt;"", VLOOKUP(A619, imdb_netflix_v5!A$2:H$7370, 3, FALSE), "")</f>
        <v>Animation, Documentary, History</v>
      </c>
      <c r="D619" s="2">
        <f>IF(A619&lt;&gt;"", VLOOKUP(A619, imdb_netflix_v5!A$2:H$7370, 4, FALSE), "")</f>
        <v>8.4</v>
      </c>
      <c r="E619" s="2">
        <f>IF(A619&lt;&gt;"", VLOOKUP(A619, imdb_netflix_v5!A$2:H$7370, 5, FALSE), "")</f>
        <v>2022</v>
      </c>
      <c r="F619" s="2" t="str">
        <f>IF(A619&lt;&gt;"", VLOOKUP(A619, imdb_netflix_v5!A$2:H$7370, 7, FALSE), "")</f>
        <v>NA</v>
      </c>
    </row>
    <row r="620" ht="15.75" customHeight="1">
      <c r="A620" s="1" t="str">
        <f>IFERROR(__xludf.DUMMYFUNCTION("""COMPUTED_VALUE"""),"meiyazhagan")</f>
        <v>meiyazhagan</v>
      </c>
      <c r="B620" s="1" t="str">
        <f>IF(A620&lt;&gt;"", VLOOKUP(A620, imdb_netflix_v5!A$2:H$7370, 2, FALSE), "")</f>
        <v>Movie</v>
      </c>
      <c r="C620" s="2" t="str">
        <f>IF(A620&lt;&gt;"", VLOOKUP(A620, imdb_netflix_v5!A$2:H$7370, 3, FALSE), "")</f>
        <v>Drama, Family</v>
      </c>
      <c r="D620" s="2">
        <f>IF(A620&lt;&gt;"", VLOOKUP(A620, imdb_netflix_v5!A$2:H$7370, 4, FALSE), "")</f>
        <v>8.4</v>
      </c>
      <c r="E620" s="2">
        <f>IF(A620&lt;&gt;"", VLOOKUP(A620, imdb_netflix_v5!A$2:H$7370, 5, FALSE), "")</f>
        <v>2024</v>
      </c>
      <c r="F620" s="2" t="str">
        <f>IF(A620&lt;&gt;"", VLOOKUP(A620, imdb_netflix_v5!A$2:H$7370, 7, FALSE), "")</f>
        <v>NA</v>
      </c>
    </row>
    <row r="621" ht="15.75" customHeight="1">
      <c r="A621" s="1" t="str">
        <f>IFERROR(__xludf.DUMMYFUNCTION("""COMPUTED_VALUE"""),"stranger")</f>
        <v>stranger</v>
      </c>
      <c r="B621" s="1" t="str">
        <f>IF(A621&lt;&gt;"", VLOOKUP(A621, imdb_netflix_v5!A$2:H$7370, 2, FALSE), "")</f>
        <v>TV Show</v>
      </c>
      <c r="C621" s="2" t="str">
        <f>IF(A621&lt;&gt;"", VLOOKUP(A621, imdb_netflix_v5!A$2:H$7370, 3, FALSE), "")</f>
        <v>Crime, Drama, Mystery</v>
      </c>
      <c r="D621" s="2">
        <f>IF(A621&lt;&gt;"", VLOOKUP(A621, imdb_netflix_v5!A$2:H$7370, 4, FALSE), "")</f>
        <v>8.4</v>
      </c>
      <c r="E621" s="2">
        <f>IF(A621&lt;&gt;"", VLOOKUP(A621, imdb_netflix_v5!A$2:H$7370, 5, FALSE), "")</f>
        <v>2017</v>
      </c>
      <c r="F621" s="2" t="str">
        <f>IF(A621&lt;&gt;"", VLOOKUP(A621, imdb_netflix_v5!A$2:H$7370, 7, FALSE), "")</f>
        <v>NA</v>
      </c>
    </row>
    <row r="622" ht="15.75" customHeight="1">
      <c r="A622" s="1" t="str">
        <f>IFERROR(__xludf.DUMMYFUNCTION("""COMPUTED_VALUE"""),"mr. show with bob and david")</f>
        <v>mr. show with bob and david</v>
      </c>
      <c r="B622" s="1" t="str">
        <f>IF(A622&lt;&gt;"", VLOOKUP(A622, imdb_netflix_v5!A$2:H$7370, 2, FALSE), "")</f>
        <v>TV Show</v>
      </c>
      <c r="C622" s="2" t="str">
        <f>IF(A622&lt;&gt;"", VLOOKUP(A622, imdb_netflix_v5!A$2:H$7370, 3, FALSE), "")</f>
        <v>Comedy</v>
      </c>
      <c r="D622" s="2">
        <f>IF(A622&lt;&gt;"", VLOOKUP(A622, imdb_netflix_v5!A$2:H$7370, 4, FALSE), "")</f>
        <v>8.4</v>
      </c>
      <c r="E622" s="2">
        <f>IF(A622&lt;&gt;"", VLOOKUP(A622, imdb_netflix_v5!A$2:H$7370, 5, FALSE), "")</f>
        <v>1995</v>
      </c>
      <c r="F622" s="2" t="str">
        <f>IF(A622&lt;&gt;"", VLOOKUP(A622, imdb_netflix_v5!A$2:H$7370, 7, FALSE), "")</f>
        <v>NA</v>
      </c>
    </row>
    <row r="623" ht="15.75" customHeight="1">
      <c r="A623" s="1" t="str">
        <f>IFERROR(__xludf.DUMMYFUNCTION("""COMPUTED_VALUE"""),"anne of avonlea")</f>
        <v>anne of avonlea</v>
      </c>
      <c r="B623" s="1" t="str">
        <f>IF(A623&lt;&gt;"", VLOOKUP(A623, imdb_netflix_v5!A$2:H$7370, 2, FALSE), "")</f>
        <v>TV Show</v>
      </c>
      <c r="C623" s="2" t="str">
        <f>IF(A623&lt;&gt;"", VLOOKUP(A623, imdb_netflix_v5!A$2:H$7370, 3, FALSE), "")</f>
        <v>Drama, Family, Romance</v>
      </c>
      <c r="D623" s="2">
        <f>IF(A623&lt;&gt;"", VLOOKUP(A623, imdb_netflix_v5!A$2:H$7370, 4, FALSE), "")</f>
        <v>8.4</v>
      </c>
      <c r="E623" s="2">
        <f>IF(A623&lt;&gt;"", VLOOKUP(A623, imdb_netflix_v5!A$2:H$7370, 5, FALSE), "")</f>
        <v>1987</v>
      </c>
      <c r="F623" s="2" t="str">
        <f>IF(A623&lt;&gt;"", VLOOKUP(A623, imdb_netflix_v5!A$2:H$7370, 7, FALSE), "")</f>
        <v>NA</v>
      </c>
    </row>
    <row r="624" ht="15.75" customHeight="1">
      <c r="A624" s="1" t="str">
        <f>IFERROR(__xludf.DUMMYFUNCTION("""COMPUTED_VALUE"""),"the adventures of pete &amp; pete")</f>
        <v>the adventures of pete &amp; pete</v>
      </c>
      <c r="B624" s="1" t="str">
        <f>IF(A624&lt;&gt;"", VLOOKUP(A624, imdb_netflix_v5!A$2:H$7370, 2, FALSE), "")</f>
        <v>TV Show</v>
      </c>
      <c r="C624" s="2" t="str">
        <f>IF(A624&lt;&gt;"", VLOOKUP(A624, imdb_netflix_v5!A$2:H$7370, 3, FALSE), "")</f>
        <v>Comedy, Drama, Family</v>
      </c>
      <c r="D624" s="2">
        <f>IF(A624&lt;&gt;"", VLOOKUP(A624, imdb_netflix_v5!A$2:H$7370, 4, FALSE), "")</f>
        <v>8.4</v>
      </c>
      <c r="E624" s="2">
        <f>IF(A624&lt;&gt;"", VLOOKUP(A624, imdb_netflix_v5!A$2:H$7370, 5, FALSE), "")</f>
        <v>1992</v>
      </c>
      <c r="F624" s="2" t="str">
        <f>IF(A624&lt;&gt;"", VLOOKUP(A624, imdb_netflix_v5!A$2:H$7370, 7, FALSE), "")</f>
        <v>NA</v>
      </c>
    </row>
    <row r="625" ht="15.75" customHeight="1">
      <c r="A625" s="1" t="str">
        <f>IFERROR(__xludf.DUMMYFUNCTION("""COMPUTED_VALUE"""),"infinity train")</f>
        <v>infinity train</v>
      </c>
      <c r="B625" s="1" t="str">
        <f>IF(A625&lt;&gt;"", VLOOKUP(A625, imdb_netflix_v5!A$2:H$7370, 2, FALSE), "")</f>
        <v>TV Show</v>
      </c>
      <c r="C625" s="2" t="str">
        <f>IF(A625&lt;&gt;"", VLOOKUP(A625, imdb_netflix_v5!A$2:H$7370, 3, FALSE), "")</f>
        <v>Action, Adventure, Animation</v>
      </c>
      <c r="D625" s="2">
        <f>IF(A625&lt;&gt;"", VLOOKUP(A625, imdb_netflix_v5!A$2:H$7370, 4, FALSE), "")</f>
        <v>8.4</v>
      </c>
      <c r="E625" s="2">
        <f>IF(A625&lt;&gt;"", VLOOKUP(A625, imdb_netflix_v5!A$2:H$7370, 5, FALSE), "")</f>
        <v>2019</v>
      </c>
      <c r="F625" s="2" t="str">
        <f>IF(A625&lt;&gt;"", VLOOKUP(A625, imdb_netflix_v5!A$2:H$7370, 7, FALSE), "")</f>
        <v>NA</v>
      </c>
    </row>
    <row r="626" ht="15.75" customHeight="1">
      <c r="A626" s="1" t="str">
        <f>IFERROR(__xludf.DUMMYFUNCTION("""COMPUTED_VALUE"""),"american beauty")</f>
        <v>american beauty</v>
      </c>
      <c r="B626" s="1" t="str">
        <f>IF(A626&lt;&gt;"", VLOOKUP(A626, imdb_netflix_v5!A$2:H$7370, 2, FALSE), "")</f>
        <v>Movie</v>
      </c>
      <c r="C626" s="2" t="str">
        <f>IF(A626&lt;&gt;"", VLOOKUP(A626, imdb_netflix_v5!A$2:H$7370, 3, FALSE), "")</f>
        <v>Drama</v>
      </c>
      <c r="D626" s="2">
        <f>IF(A626&lt;&gt;"", VLOOKUP(A626, imdb_netflix_v5!A$2:H$7370, 4, FALSE), "")</f>
        <v>8.3</v>
      </c>
      <c r="E626" s="2">
        <f>IF(A626&lt;&gt;"", VLOOKUP(A626, imdb_netflix_v5!A$2:H$7370, 5, FALSE), "")</f>
        <v>1999</v>
      </c>
      <c r="F626" s="2" t="str">
        <f>IF(A626&lt;&gt;"", VLOOKUP(A626, imdb_netflix_v5!A$2:H$7370, 7, FALSE), "")</f>
        <v>NA</v>
      </c>
    </row>
    <row r="627" ht="15.75" customHeight="1">
      <c r="A627" s="1" t="str">
        <f>IFERROR(__xludf.DUMMYFUNCTION("""COMPUTED_VALUE"""),"up")</f>
        <v>up</v>
      </c>
      <c r="B627" s="1" t="str">
        <f>IF(A627&lt;&gt;"", VLOOKUP(A627, imdb_netflix_v5!A$2:H$7370, 2, FALSE), "")</f>
        <v>Movie</v>
      </c>
      <c r="C627" s="2" t="str">
        <f>IF(A627&lt;&gt;"", VLOOKUP(A627, imdb_netflix_v5!A$2:H$7370, 3, FALSE), "")</f>
        <v>Adventure, Animation, Comedy</v>
      </c>
      <c r="D627" s="2">
        <f>IF(A627&lt;&gt;"", VLOOKUP(A627, imdb_netflix_v5!A$2:H$7370, 4, FALSE), "")</f>
        <v>8.3</v>
      </c>
      <c r="E627" s="2">
        <f>IF(A627&lt;&gt;"", VLOOKUP(A627, imdb_netflix_v5!A$2:H$7370, 5, FALSE), "")</f>
        <v>2009</v>
      </c>
      <c r="F627" s="2" t="str">
        <f>IF(A627&lt;&gt;"", VLOOKUP(A627, imdb_netflix_v5!A$2:H$7370, 7, FALSE), "")</f>
        <v>NA</v>
      </c>
    </row>
    <row r="628" ht="15.75" customHeight="1">
      <c r="A628" s="1" t="str">
        <f>IFERROR(__xludf.DUMMYFUNCTION("""COMPUTED_VALUE"""),"star wars episode vi - return of the jedi")</f>
        <v>star wars episode vi - return of the jedi</v>
      </c>
      <c r="B628" s="1" t="str">
        <f>IF(A628&lt;&gt;"", VLOOKUP(A628, imdb_netflix_v5!A$2:H$7370, 2, FALSE), "")</f>
        <v>Movie</v>
      </c>
      <c r="C628" s="2" t="str">
        <f>IF(A628&lt;&gt;"", VLOOKUP(A628, imdb_netflix_v5!A$2:H$7370, 3, FALSE), "")</f>
        <v>Action, Adventure, Fantasy</v>
      </c>
      <c r="D628" s="2">
        <f>IF(A628&lt;&gt;"", VLOOKUP(A628, imdb_netflix_v5!A$2:H$7370, 4, FALSE), "")</f>
        <v>8.3</v>
      </c>
      <c r="E628" s="2">
        <f>IF(A628&lt;&gt;"", VLOOKUP(A628, imdb_netflix_v5!A$2:H$7370, 5, FALSE), "")</f>
        <v>1983</v>
      </c>
      <c r="F628" s="2" t="str">
        <f>IF(A628&lt;&gt;"", VLOOKUP(A628, imdb_netflix_v5!A$2:H$7370, 7, FALSE), "")</f>
        <v>NA</v>
      </c>
    </row>
    <row r="629" ht="15.75" customHeight="1">
      <c r="A629" s="1" t="str">
        <f>IFERROR(__xludf.DUMMYFUNCTION("""COMPUTED_VALUE"""),"reservoir dogs")</f>
        <v>reservoir dogs</v>
      </c>
      <c r="B629" s="1" t="str">
        <f>IF(A629&lt;&gt;"", VLOOKUP(A629, imdb_netflix_v5!A$2:H$7370, 2, FALSE), "")</f>
        <v>Movie</v>
      </c>
      <c r="C629" s="2" t="str">
        <f>IF(A629&lt;&gt;"", VLOOKUP(A629, imdb_netflix_v5!A$2:H$7370, 3, FALSE), "")</f>
        <v>Crime, Thriller</v>
      </c>
      <c r="D629" s="2">
        <f>IF(A629&lt;&gt;"", VLOOKUP(A629, imdb_netflix_v5!A$2:H$7370, 4, FALSE), "")</f>
        <v>8.3</v>
      </c>
      <c r="E629" s="2">
        <f>IF(A629&lt;&gt;"", VLOOKUP(A629, imdb_netflix_v5!A$2:H$7370, 5, FALSE), "")</f>
        <v>1992</v>
      </c>
      <c r="F629" s="2" t="str">
        <f>IF(A629&lt;&gt;"", VLOOKUP(A629, imdb_netflix_v5!A$2:H$7370, 7, FALSE), "")</f>
        <v>NA</v>
      </c>
    </row>
    <row r="630" ht="15.75" customHeight="1">
      <c r="A630" s="1" t="str">
        <f>IFERROR(__xludf.DUMMYFUNCTION("""COMPUTED_VALUE"""),"braveheart")</f>
        <v>braveheart</v>
      </c>
      <c r="B630" s="1" t="str">
        <f>IF(A630&lt;&gt;"", VLOOKUP(A630, imdb_netflix_v5!A$2:H$7370, 2, FALSE), "")</f>
        <v>Movie</v>
      </c>
      <c r="C630" s="2" t="str">
        <f>IF(A630&lt;&gt;"", VLOOKUP(A630, imdb_netflix_v5!A$2:H$7370, 3, FALSE), "")</f>
        <v>Biography, Drama, War</v>
      </c>
      <c r="D630" s="2">
        <f>IF(A630&lt;&gt;"", VLOOKUP(A630, imdb_netflix_v5!A$2:H$7370, 4, FALSE), "")</f>
        <v>8.3</v>
      </c>
      <c r="E630" s="2">
        <f>IF(A630&lt;&gt;"", VLOOKUP(A630, imdb_netflix_v5!A$2:H$7370, 5, FALSE), "")</f>
        <v>1995</v>
      </c>
      <c r="F630" s="2" t="str">
        <f>IF(A630&lt;&gt;"", VLOOKUP(A630, imdb_netflix_v5!A$2:H$7370, 7, FALSE), "")</f>
        <v>NA</v>
      </c>
    </row>
    <row r="631" ht="15.75" customHeight="1">
      <c r="A631" s="1" t="str">
        <f>IFERROR(__xludf.DUMMYFUNCTION("""COMPUTED_VALUE"""),"eternal sunshine of the spotless mind")</f>
        <v>eternal sunshine of the spotless mind</v>
      </c>
      <c r="B631" s="1" t="str">
        <f>IF(A631&lt;&gt;"", VLOOKUP(A631, imdb_netflix_v5!A$2:H$7370, 2, FALSE), "")</f>
        <v>Movie</v>
      </c>
      <c r="C631" s="2" t="str">
        <f>IF(A631&lt;&gt;"", VLOOKUP(A631, imdb_netflix_v5!A$2:H$7370, 3, FALSE), "")</f>
        <v>Drama, Romance, Sci-Fi</v>
      </c>
      <c r="D631" s="2">
        <f>IF(A631&lt;&gt;"", VLOOKUP(A631, imdb_netflix_v5!A$2:H$7370, 4, FALSE), "")</f>
        <v>8.3</v>
      </c>
      <c r="E631" s="2">
        <f>IF(A631&lt;&gt;"", VLOOKUP(A631, imdb_netflix_v5!A$2:H$7370, 5, FALSE), "")</f>
        <v>2004</v>
      </c>
      <c r="F631" s="2" t="str">
        <f>IF(A631&lt;&gt;"", VLOOKUP(A631, imdb_netflix_v5!A$2:H$7370, 7, FALSE), "")</f>
        <v>NA</v>
      </c>
    </row>
    <row r="632" ht="15.75" customHeight="1">
      <c r="A632" s="1" t="str">
        <f>IFERROR(__xludf.DUMMYFUNCTION("""COMPUTED_VALUE"""),"good will hunting")</f>
        <v>good will hunting</v>
      </c>
      <c r="B632" s="1" t="str">
        <f>IF(A632&lt;&gt;"", VLOOKUP(A632, imdb_netflix_v5!A$2:H$7370, 2, FALSE), "")</f>
        <v>Movie</v>
      </c>
      <c r="C632" s="2" t="str">
        <f>IF(A632&lt;&gt;"", VLOOKUP(A632, imdb_netflix_v5!A$2:H$7370, 3, FALSE), "")</f>
        <v>Drama, Romance</v>
      </c>
      <c r="D632" s="2">
        <f>IF(A632&lt;&gt;"", VLOOKUP(A632, imdb_netflix_v5!A$2:H$7370, 4, FALSE), "")</f>
        <v>8.3</v>
      </c>
      <c r="E632" s="2">
        <f>IF(A632&lt;&gt;"", VLOOKUP(A632, imdb_netflix_v5!A$2:H$7370, 5, FALSE), "")</f>
        <v>1997</v>
      </c>
      <c r="F632" s="2" t="str">
        <f>IF(A632&lt;&gt;"", VLOOKUP(A632, imdb_netflix_v5!A$2:H$7370, 7, FALSE), "")</f>
        <v>NA</v>
      </c>
    </row>
    <row r="633" ht="15.75" customHeight="1">
      <c r="A633" s="1" t="str">
        <f>IFERROR(__xludf.DUMMYFUNCTION("""COMPUTED_VALUE"""),"toy story")</f>
        <v>toy story</v>
      </c>
      <c r="B633" s="1" t="str">
        <f>IF(A633&lt;&gt;"", VLOOKUP(A633, imdb_netflix_v5!A$2:H$7370, 2, FALSE), "")</f>
        <v>Movie</v>
      </c>
      <c r="C633" s="2" t="str">
        <f>IF(A633&lt;&gt;"", VLOOKUP(A633, imdb_netflix_v5!A$2:H$7370, 3, FALSE), "")</f>
        <v>Adventure, Animation, Comedy</v>
      </c>
      <c r="D633" s="2">
        <f>IF(A633&lt;&gt;"", VLOOKUP(A633, imdb_netflix_v5!A$2:H$7370, 4, FALSE), "")</f>
        <v>8.3</v>
      </c>
      <c r="E633" s="2">
        <f>IF(A633&lt;&gt;"", VLOOKUP(A633, imdb_netflix_v5!A$2:H$7370, 5, FALSE), "")</f>
        <v>1995</v>
      </c>
      <c r="F633" s="2" t="str">
        <f>IF(A633&lt;&gt;"", VLOOKUP(A633, imdb_netflix_v5!A$2:H$7370, 7, FALSE), "")</f>
        <v>NA</v>
      </c>
    </row>
    <row r="634" ht="15.75" customHeight="1">
      <c r="A634" s="1" t="str">
        <f>IFERROR(__xludf.DUMMYFUNCTION("""COMPUTED_VALUE"""),"scarface")</f>
        <v>scarface</v>
      </c>
      <c r="B634" s="1" t="str">
        <f>IF(A634&lt;&gt;"", VLOOKUP(A634, imdb_netflix_v5!A$2:H$7370, 2, FALSE), "")</f>
        <v>Movie</v>
      </c>
      <c r="C634" s="2" t="str">
        <f>IF(A634&lt;&gt;"", VLOOKUP(A634, imdb_netflix_v5!A$2:H$7370, 3, FALSE), "")</f>
        <v>Crime, Drama</v>
      </c>
      <c r="D634" s="2">
        <f>IF(A634&lt;&gt;"", VLOOKUP(A634, imdb_netflix_v5!A$2:H$7370, 4, FALSE), "")</f>
        <v>8.3</v>
      </c>
      <c r="E634" s="2">
        <f>IF(A634&lt;&gt;"", VLOOKUP(A634, imdb_netflix_v5!A$2:H$7370, 5, FALSE), "")</f>
        <v>1983</v>
      </c>
      <c r="F634" s="2" t="str">
        <f>IF(A634&lt;&gt;"", VLOOKUP(A634, imdb_netflix_v5!A$2:H$7370, 7, FALSE), "")</f>
        <v>NA</v>
      </c>
    </row>
    <row r="635" ht="15.75" customHeight="1">
      <c r="A635" s="1" t="str">
        <f>IFERROR(__xludf.DUMMYFUNCTION("""COMPUTED_VALUE"""),"requiem for a dream")</f>
        <v>requiem for a dream</v>
      </c>
      <c r="B635" s="1" t="str">
        <f>IF(A635&lt;&gt;"", VLOOKUP(A635, imdb_netflix_v5!A$2:H$7370, 2, FALSE), "")</f>
        <v>Movie</v>
      </c>
      <c r="C635" s="2" t="str">
        <f>IF(A635&lt;&gt;"", VLOOKUP(A635, imdb_netflix_v5!A$2:H$7370, 3, FALSE), "")</f>
        <v>Drama</v>
      </c>
      <c r="D635" s="2">
        <f>IF(A635&lt;&gt;"", VLOOKUP(A635, imdb_netflix_v5!A$2:H$7370, 4, FALSE), "")</f>
        <v>8.3</v>
      </c>
      <c r="E635" s="2">
        <f>IF(A635&lt;&gt;"", VLOOKUP(A635, imdb_netflix_v5!A$2:H$7370, 5, FALSE), "")</f>
        <v>2000</v>
      </c>
      <c r="F635" s="2" t="str">
        <f>IF(A635&lt;&gt;"", VLOOKUP(A635, imdb_netflix_v5!A$2:H$7370, 7, FALSE), "")</f>
        <v>NA</v>
      </c>
    </row>
    <row r="636" ht="15.75" customHeight="1">
      <c r="A636" s="1" t="str">
        <f>IFERROR(__xludf.DUMMYFUNCTION("""COMPUTED_VALUE"""),"toy story 3")</f>
        <v>toy story 3</v>
      </c>
      <c r="B636" s="1" t="str">
        <f>IF(A636&lt;&gt;"", VLOOKUP(A636, imdb_netflix_v5!A$2:H$7370, 2, FALSE), "")</f>
        <v>Movie</v>
      </c>
      <c r="C636" s="2" t="str">
        <f>IF(A636&lt;&gt;"", VLOOKUP(A636, imdb_netflix_v5!A$2:H$7370, 3, FALSE), "")</f>
        <v>Adventure, Animation, Comedy</v>
      </c>
      <c r="D636" s="2">
        <f>IF(A636&lt;&gt;"", VLOOKUP(A636, imdb_netflix_v5!A$2:H$7370, 4, FALSE), "")</f>
        <v>8.3</v>
      </c>
      <c r="E636" s="2">
        <f>IF(A636&lt;&gt;"", VLOOKUP(A636, imdb_netflix_v5!A$2:H$7370, 5, FALSE), "")</f>
        <v>2010</v>
      </c>
      <c r="F636" s="2" t="str">
        <f>IF(A636&lt;&gt;"", VLOOKUP(A636, imdb_netflix_v5!A$2:H$7370, 7, FALSE), "")</f>
        <v>NA</v>
      </c>
    </row>
    <row r="637" ht="15.75" customHeight="1">
      <c r="A637" s="1" t="str">
        <f>IFERROR(__xludf.DUMMYFUNCTION("""COMPUTED_VALUE"""),"oppenheimer")</f>
        <v>oppenheimer</v>
      </c>
      <c r="B637" s="1" t="str">
        <f>IF(A637&lt;&gt;"", VLOOKUP(A637, imdb_netflix_v5!A$2:H$7370, 2, FALSE), "")</f>
        <v>Movie</v>
      </c>
      <c r="C637" s="2" t="str">
        <f>IF(A637&lt;&gt;"", VLOOKUP(A637, imdb_netflix_v5!A$2:H$7370, 3, FALSE), "")</f>
        <v>Biography, Drama, History</v>
      </c>
      <c r="D637" s="2">
        <f>IF(A637&lt;&gt;"", VLOOKUP(A637, imdb_netflix_v5!A$2:H$7370, 4, FALSE), "")</f>
        <v>8.3</v>
      </c>
      <c r="E637" s="2">
        <f>IF(A637&lt;&gt;"", VLOOKUP(A637, imdb_netflix_v5!A$2:H$7370, 5, FALSE), "")</f>
        <v>2023</v>
      </c>
      <c r="F637" s="2" t="str">
        <f>IF(A637&lt;&gt;"", VLOOKUP(A637, imdb_netflix_v5!A$2:H$7370, 7, FALSE), "")</f>
        <v>NA</v>
      </c>
    </row>
    <row r="638" ht="15.75" customHeight="1">
      <c r="A638" s="1" t="str">
        <f>IFERROR(__xludf.DUMMYFUNCTION("""COMPUTED_VALUE"""),"amélie")</f>
        <v>amélie</v>
      </c>
      <c r="B638" s="1" t="str">
        <f>IF(A638&lt;&gt;"", VLOOKUP(A638, imdb_netflix_v5!A$2:H$7370, 2, FALSE), "")</f>
        <v>Movie</v>
      </c>
      <c r="C638" s="2" t="str">
        <f>IF(A638&lt;&gt;"", VLOOKUP(A638, imdb_netflix_v5!A$2:H$7370, 3, FALSE), "")</f>
        <v>Comedy, Romance</v>
      </c>
      <c r="D638" s="2">
        <f>IF(A638&lt;&gt;"", VLOOKUP(A638, imdb_netflix_v5!A$2:H$7370, 4, FALSE), "")</f>
        <v>8.3</v>
      </c>
      <c r="E638" s="2">
        <f>IF(A638&lt;&gt;"", VLOOKUP(A638, imdb_netflix_v5!A$2:H$7370, 5, FALSE), "")</f>
        <v>2001</v>
      </c>
      <c r="F638" s="2" t="str">
        <f>IF(A638&lt;&gt;"", VLOOKUP(A638, imdb_netflix_v5!A$2:H$7370, 7, FALSE), "")</f>
        <v>NA</v>
      </c>
    </row>
    <row r="639" ht="15.75" customHeight="1">
      <c r="A639" s="1" t="str">
        <f>IFERROR(__xludf.DUMMYFUNCTION("""COMPUTED_VALUE"""),"how i met your mother")</f>
        <v>how i met your mother</v>
      </c>
      <c r="B639" s="1" t="str">
        <f>IF(A639&lt;&gt;"", VLOOKUP(A639, imdb_netflix_v5!A$2:H$7370, 2, FALSE), "")</f>
        <v>TV Show</v>
      </c>
      <c r="C639" s="2" t="str">
        <f>IF(A639&lt;&gt;"", VLOOKUP(A639, imdb_netflix_v5!A$2:H$7370, 3, FALSE), "")</f>
        <v>Comedy, Drama, Romance</v>
      </c>
      <c r="D639" s="2">
        <f>IF(A639&lt;&gt;"", VLOOKUP(A639, imdb_netflix_v5!A$2:H$7370, 4, FALSE), "")</f>
        <v>8.3</v>
      </c>
      <c r="E639" s="2">
        <f>IF(A639&lt;&gt;"", VLOOKUP(A639, imdb_netflix_v5!A$2:H$7370, 5, FALSE), "")</f>
        <v>2005</v>
      </c>
      <c r="F639" s="2" t="str">
        <f>IF(A639&lt;&gt;"", VLOOKUP(A639, imdb_netflix_v5!A$2:H$7370, 7, FALSE), "")</f>
        <v>NA</v>
      </c>
    </row>
    <row r="640" ht="15.75" customHeight="1">
      <c r="A640" s="1" t="str">
        <f>IFERROR(__xludf.DUMMYFUNCTION("""COMPUTED_VALUE"""),"2001 a space odyssey")</f>
        <v>2001 a space odyssey</v>
      </c>
      <c r="B640" s="1" t="str">
        <f>IF(A640&lt;&gt;"", VLOOKUP(A640, imdb_netflix_v5!A$2:H$7370, 2, FALSE), "")</f>
        <v>Movie</v>
      </c>
      <c r="C640" s="2" t="str">
        <f>IF(A640&lt;&gt;"", VLOOKUP(A640, imdb_netflix_v5!A$2:H$7370, 3, FALSE), "")</f>
        <v>Adventure, Sci-Fi</v>
      </c>
      <c r="D640" s="2">
        <f>IF(A640&lt;&gt;"", VLOOKUP(A640, imdb_netflix_v5!A$2:H$7370, 4, FALSE), "")</f>
        <v>8.3</v>
      </c>
      <c r="E640" s="2">
        <f>IF(A640&lt;&gt;"", VLOOKUP(A640, imdb_netflix_v5!A$2:H$7370, 5, FALSE), "")</f>
        <v>1968</v>
      </c>
      <c r="F640" s="2" t="str">
        <f>IF(A640&lt;&gt;"", VLOOKUP(A640, imdb_netflix_v5!A$2:H$7370, 7, FALSE), "")</f>
        <v>NA</v>
      </c>
    </row>
    <row r="641" ht="15.75" customHeight="1">
      <c r="A641" s="1" t="str">
        <f>IFERROR(__xludf.DUMMYFUNCTION("""COMPUTED_VALUE"""),"heat")</f>
        <v>heat</v>
      </c>
      <c r="B641" s="1" t="str">
        <f>IF(A641&lt;&gt;"", VLOOKUP(A641, imdb_netflix_v5!A$2:H$7370, 2, FALSE), "")</f>
        <v>Movie</v>
      </c>
      <c r="C641" s="2" t="str">
        <f>IF(A641&lt;&gt;"", VLOOKUP(A641, imdb_netflix_v5!A$2:H$7370, 3, FALSE), "")</f>
        <v>Action, Crime, Drama</v>
      </c>
      <c r="D641" s="2">
        <f>IF(A641&lt;&gt;"", VLOOKUP(A641, imdb_netflix_v5!A$2:H$7370, 4, FALSE), "")</f>
        <v>8.3</v>
      </c>
      <c r="E641" s="2">
        <f>IF(A641&lt;&gt;"", VLOOKUP(A641, imdb_netflix_v5!A$2:H$7370, 5, FALSE), "")</f>
        <v>1995</v>
      </c>
      <c r="F641" s="2">
        <f>IF(A641&lt;&gt;"", VLOOKUP(A641, imdb_netflix_v5!A$2:H$7370, 7, FALSE), "")</f>
        <v>4520000</v>
      </c>
    </row>
    <row r="642" ht="15.75" customHeight="1">
      <c r="A642" s="1" t="str">
        <f>IFERROR(__xludf.DUMMYFUNCTION("""COMPUTED_VALUE"""),"oldboy")</f>
        <v>oldboy</v>
      </c>
      <c r="B642" s="1" t="str">
        <f>IF(A642&lt;&gt;"", VLOOKUP(A642, imdb_netflix_v5!A$2:H$7370, 2, FALSE), "")</f>
        <v>Movie</v>
      </c>
      <c r="C642" s="2" t="str">
        <f>IF(A642&lt;&gt;"", VLOOKUP(A642, imdb_netflix_v5!A$2:H$7370, 3, FALSE), "")</f>
        <v>Action, Drama, Mystery</v>
      </c>
      <c r="D642" s="2">
        <f>IF(A642&lt;&gt;"", VLOOKUP(A642, imdb_netflix_v5!A$2:H$7370, 4, FALSE), "")</f>
        <v>8.3</v>
      </c>
      <c r="E642" s="2">
        <f>IF(A642&lt;&gt;"", VLOOKUP(A642, imdb_netflix_v5!A$2:H$7370, 5, FALSE), "")</f>
        <v>2003</v>
      </c>
      <c r="F642" s="2" t="str">
        <f>IF(A642&lt;&gt;"", VLOOKUP(A642, imdb_netflix_v5!A$2:H$7370, 7, FALSE), "")</f>
        <v>NA</v>
      </c>
    </row>
    <row r="643" ht="15.75" customHeight="1">
      <c r="A643" s="1" t="str">
        <f>IFERROR(__xludf.DUMMYFUNCTION("""COMPUTED_VALUE"""),"lost")</f>
        <v>lost</v>
      </c>
      <c r="B643" s="1" t="str">
        <f>IF(A643&lt;&gt;"", VLOOKUP(A643, imdb_netflix_v5!A$2:H$7370, 2, FALSE), "")</f>
        <v>TV Show</v>
      </c>
      <c r="C643" s="2" t="str">
        <f>IF(A643&lt;&gt;"", VLOOKUP(A643, imdb_netflix_v5!A$2:H$7370, 3, FALSE), "")</f>
        <v>Adventure, Drama, Fantasy</v>
      </c>
      <c r="D643" s="2">
        <f>IF(A643&lt;&gt;"", VLOOKUP(A643, imdb_netflix_v5!A$2:H$7370, 4, FALSE), "")</f>
        <v>8.3</v>
      </c>
      <c r="E643" s="2">
        <f>IF(A643&lt;&gt;"", VLOOKUP(A643, imdb_netflix_v5!A$2:H$7370, 5, FALSE), "")</f>
        <v>2004</v>
      </c>
      <c r="F643" s="2" t="str">
        <f>IF(A643&lt;&gt;"", VLOOKUP(A643, imdb_netflix_v5!A$2:H$7370, 7, FALSE), "")</f>
        <v>NA</v>
      </c>
    </row>
    <row r="644" ht="15.75" customHeight="1">
      <c r="A644" s="1" t="str">
        <f>IFERROR(__xludf.DUMMYFUNCTION("""COMPUTED_VALUE"""),"prison break")</f>
        <v>prison break</v>
      </c>
      <c r="B644" s="1" t="str">
        <f>IF(A644&lt;&gt;"", VLOOKUP(A644, imdb_netflix_v5!A$2:H$7370, 2, FALSE), "")</f>
        <v>TV Show</v>
      </c>
      <c r="C644" s="2" t="str">
        <f>IF(A644&lt;&gt;"", VLOOKUP(A644, imdb_netflix_v5!A$2:H$7370, 3, FALSE), "")</f>
        <v>Action, Crime, Drama</v>
      </c>
      <c r="D644" s="2">
        <f>IF(A644&lt;&gt;"", VLOOKUP(A644, imdb_netflix_v5!A$2:H$7370, 4, FALSE), "")</f>
        <v>8.3</v>
      </c>
      <c r="E644" s="2">
        <f>IF(A644&lt;&gt;"", VLOOKUP(A644, imdb_netflix_v5!A$2:H$7370, 5, FALSE), "")</f>
        <v>2005</v>
      </c>
      <c r="F644" s="2" t="str">
        <f>IF(A644&lt;&gt;"", VLOOKUP(A644, imdb_netflix_v5!A$2:H$7370, 7, FALSE), "")</f>
        <v>NA</v>
      </c>
    </row>
    <row r="645" ht="15.75" customHeight="1">
      <c r="A645" s="1" t="str">
        <f>IFERROR(__xludf.DUMMYFUNCTION("""COMPUTED_VALUE"""),"dr. strangelove or how i learned to stop worrying and love the bomb")</f>
        <v>dr. strangelove or how i learned to stop worrying and love the bomb</v>
      </c>
      <c r="B645" s="1" t="str">
        <f>IF(A645&lt;&gt;"", VLOOKUP(A645, imdb_netflix_v5!A$2:H$7370, 2, FALSE), "")</f>
        <v>Movie</v>
      </c>
      <c r="C645" s="2" t="str">
        <f>IF(A645&lt;&gt;"", VLOOKUP(A645, imdb_netflix_v5!A$2:H$7370, 3, FALSE), "")</f>
        <v>Comedy, War</v>
      </c>
      <c r="D645" s="2">
        <f>IF(A645&lt;&gt;"", VLOOKUP(A645, imdb_netflix_v5!A$2:H$7370, 4, FALSE), "")</f>
        <v>8.3</v>
      </c>
      <c r="E645" s="2">
        <f>IF(A645&lt;&gt;"", VLOOKUP(A645, imdb_netflix_v5!A$2:H$7370, 5, FALSE), "")</f>
        <v>1964</v>
      </c>
      <c r="F645" s="2" t="str">
        <f>IF(A645&lt;&gt;"", VLOOKUP(A645, imdb_netflix_v5!A$2:H$7370, 7, FALSE), "")</f>
        <v>NA</v>
      </c>
    </row>
    <row r="646" ht="15.75" customHeight="1">
      <c r="A646" s="1" t="str">
        <f>IFERROR(__xludf.DUMMYFUNCTION("""COMPUTED_VALUE"""),"citizen kane")</f>
        <v>citizen kane</v>
      </c>
      <c r="B646" s="1" t="str">
        <f>IF(A646&lt;&gt;"", VLOOKUP(A646, imdb_netflix_v5!A$2:H$7370, 2, FALSE), "")</f>
        <v>Movie</v>
      </c>
      <c r="C646" s="2" t="str">
        <f>IF(A646&lt;&gt;"", VLOOKUP(A646, imdb_netflix_v5!A$2:H$7370, 3, FALSE), "")</f>
        <v>Drama, Mystery</v>
      </c>
      <c r="D646" s="2">
        <f>IF(A646&lt;&gt;"", VLOOKUP(A646, imdb_netflix_v5!A$2:H$7370, 4, FALSE), "")</f>
        <v>8.3</v>
      </c>
      <c r="E646" s="2">
        <f>IF(A646&lt;&gt;"", VLOOKUP(A646, imdb_netflix_v5!A$2:H$7370, 5, FALSE), "")</f>
        <v>1941</v>
      </c>
      <c r="F646" s="2" t="str">
        <f>IF(A646&lt;&gt;"", VLOOKUP(A646, imdb_netflix_v5!A$2:H$7370, 7, FALSE), "")</f>
        <v>NA</v>
      </c>
    </row>
    <row r="647" ht="15.75" customHeight="1">
      <c r="A647" s="1" t="str">
        <f>IFERROR(__xludf.DUMMYFUNCTION("""COMPUTED_VALUE"""),"house of the dragon")</f>
        <v>house of the dragon</v>
      </c>
      <c r="B647" s="1" t="str">
        <f>IF(A647&lt;&gt;"", VLOOKUP(A647, imdb_netflix_v5!A$2:H$7370, 2, FALSE), "")</f>
        <v>TV Show</v>
      </c>
      <c r="C647" s="2" t="str">
        <f>IF(A647&lt;&gt;"", VLOOKUP(A647, imdb_netflix_v5!A$2:H$7370, 3, FALSE), "")</f>
        <v>Action, Adventure, Drama</v>
      </c>
      <c r="D647" s="2">
        <f>IF(A647&lt;&gt;"", VLOOKUP(A647, imdb_netflix_v5!A$2:H$7370, 4, FALSE), "")</f>
        <v>8.3</v>
      </c>
      <c r="E647" s="2">
        <f>IF(A647&lt;&gt;"", VLOOKUP(A647, imdb_netflix_v5!A$2:H$7370, 5, FALSE), "")</f>
        <v>2022</v>
      </c>
      <c r="F647" s="2" t="str">
        <f>IF(A647&lt;&gt;"", VLOOKUP(A647, imdb_netflix_v5!A$2:H$7370, 7, FALSE), "")</f>
        <v>NA</v>
      </c>
    </row>
    <row r="648" ht="15.75" customHeight="1">
      <c r="A648" s="1" t="str">
        <f>IFERROR(__xludf.DUMMYFUNCTION("""COMPUTED_VALUE"""),"princess mononoke")</f>
        <v>princess mononoke</v>
      </c>
      <c r="B648" s="1" t="str">
        <f>IF(A648&lt;&gt;"", VLOOKUP(A648, imdb_netflix_v5!A$2:H$7370, 2, FALSE), "")</f>
        <v>Movie</v>
      </c>
      <c r="C648" s="2" t="str">
        <f>IF(A648&lt;&gt;"", VLOOKUP(A648, imdb_netflix_v5!A$2:H$7370, 3, FALSE), "")</f>
        <v>Adventure, Animation, Fantasy</v>
      </c>
      <c r="D648" s="2">
        <f>IF(A648&lt;&gt;"", VLOOKUP(A648, imdb_netflix_v5!A$2:H$7370, 4, FALSE), "")</f>
        <v>8.3</v>
      </c>
      <c r="E648" s="2">
        <f>IF(A648&lt;&gt;"", VLOOKUP(A648, imdb_netflix_v5!A$2:H$7370, 5, FALSE), "")</f>
        <v>1997</v>
      </c>
      <c r="F648" s="2" t="str">
        <f>IF(A648&lt;&gt;"", VLOOKUP(A648, imdb_netflix_v5!A$2:H$7370, 7, FALSE), "")</f>
        <v>NA</v>
      </c>
    </row>
    <row r="649" ht="15.75" customHeight="1">
      <c r="A649" s="1" t="str">
        <f>IFERROR(__xludf.DUMMYFUNCTION("""COMPUTED_VALUE"""),"vertigo")</f>
        <v>vertigo</v>
      </c>
      <c r="B649" s="1" t="str">
        <f>IF(A649&lt;&gt;"", VLOOKUP(A649, imdb_netflix_v5!A$2:H$7370, 2, FALSE), "")</f>
        <v>Movie</v>
      </c>
      <c r="C649" s="2" t="str">
        <f>IF(A649&lt;&gt;"", VLOOKUP(A649, imdb_netflix_v5!A$2:H$7370, 3, FALSE), "")</f>
        <v>Mystery, Romance, Thriller</v>
      </c>
      <c r="D649" s="2">
        <f>IF(A649&lt;&gt;"", VLOOKUP(A649, imdb_netflix_v5!A$2:H$7370, 4, FALSE), "")</f>
        <v>8.3</v>
      </c>
      <c r="E649" s="2">
        <f>IF(A649&lt;&gt;"", VLOOKUP(A649, imdb_netflix_v5!A$2:H$7370, 5, FALSE), "")</f>
        <v>1958</v>
      </c>
      <c r="F649" s="2" t="str">
        <f>IF(A649&lt;&gt;"", VLOOKUP(A649, imdb_netflix_v5!A$2:H$7370, 7, FALSE), "")</f>
        <v>NA</v>
      </c>
    </row>
    <row r="650" ht="15.75" customHeight="1">
      <c r="A650" s="1" t="str">
        <f>IFERROR(__xludf.DUMMYFUNCTION("""COMPUTED_VALUE"""),"once upon a time in america")</f>
        <v>once upon a time in america</v>
      </c>
      <c r="B650" s="1" t="str">
        <f>IF(A650&lt;&gt;"", VLOOKUP(A650, imdb_netflix_v5!A$2:H$7370, 2, FALSE), "")</f>
        <v>Movie</v>
      </c>
      <c r="C650" s="2" t="str">
        <f>IF(A650&lt;&gt;"", VLOOKUP(A650, imdb_netflix_v5!A$2:H$7370, 3, FALSE), "")</f>
        <v>Crime, Drama</v>
      </c>
      <c r="D650" s="2">
        <f>IF(A650&lt;&gt;"", VLOOKUP(A650, imdb_netflix_v5!A$2:H$7370, 4, FALSE), "")</f>
        <v>8.3</v>
      </c>
      <c r="E650" s="2">
        <f>IF(A650&lt;&gt;"", VLOOKUP(A650, imdb_netflix_v5!A$2:H$7370, 5, FALSE), "")</f>
        <v>1984</v>
      </c>
      <c r="F650" s="2" t="str">
        <f>IF(A650&lt;&gt;"", VLOOKUP(A650, imdb_netflix_v5!A$2:H$7370, 7, FALSE), "")</f>
        <v>NA</v>
      </c>
    </row>
    <row r="651" ht="15.75" customHeight="1">
      <c r="A651" s="1" t="str">
        <f>IFERROR(__xludf.DUMMYFUNCTION("""COMPUTED_VALUE"""),"the hunt")</f>
        <v>the hunt</v>
      </c>
      <c r="B651" s="1" t="str">
        <f>IF(A651&lt;&gt;"", VLOOKUP(A651, imdb_netflix_v5!A$2:H$7370, 2, FALSE), "")</f>
        <v>Movie</v>
      </c>
      <c r="C651" s="2" t="str">
        <f>IF(A651&lt;&gt;"", VLOOKUP(A651, imdb_netflix_v5!A$2:H$7370, 3, FALSE), "")</f>
        <v>Drama</v>
      </c>
      <c r="D651" s="2">
        <f>IF(A651&lt;&gt;"", VLOOKUP(A651, imdb_netflix_v5!A$2:H$7370, 4, FALSE), "")</f>
        <v>8.3</v>
      </c>
      <c r="E651" s="2">
        <f>IF(A651&lt;&gt;"", VLOOKUP(A651, imdb_netflix_v5!A$2:H$7370, 5, FALSE), "")</f>
        <v>2012</v>
      </c>
      <c r="F651" s="2" t="str">
        <f>IF(A651&lt;&gt;"", VLOOKUP(A651, imdb_netflix_v5!A$2:H$7370, 7, FALSE), "")</f>
        <v>NA</v>
      </c>
    </row>
    <row r="652" ht="15.75" customHeight="1">
      <c r="A652" s="1" t="str">
        <f>IFERROR(__xludf.DUMMYFUNCTION("""COMPUTED_VALUE"""),"homeland")</f>
        <v>homeland</v>
      </c>
      <c r="B652" s="1" t="str">
        <f>IF(A652&lt;&gt;"", VLOOKUP(A652, imdb_netflix_v5!A$2:H$7370, 2, FALSE), "")</f>
        <v>TV Show</v>
      </c>
      <c r="C652" s="2" t="str">
        <f>IF(A652&lt;&gt;"", VLOOKUP(A652, imdb_netflix_v5!A$2:H$7370, 3, FALSE), "")</f>
        <v>Crime, Drama, Mystery</v>
      </c>
      <c r="D652" s="2">
        <f>IF(A652&lt;&gt;"", VLOOKUP(A652, imdb_netflix_v5!A$2:H$7370, 4, FALSE), "")</f>
        <v>8.3</v>
      </c>
      <c r="E652" s="2">
        <f>IF(A652&lt;&gt;"", VLOOKUP(A652, imdb_netflix_v5!A$2:H$7370, 5, FALSE), "")</f>
        <v>2011</v>
      </c>
      <c r="F652" s="2" t="str">
        <f>IF(A652&lt;&gt;"", VLOOKUP(A652, imdb_netflix_v5!A$2:H$7370, 7, FALSE), "")</f>
        <v>NA</v>
      </c>
    </row>
    <row r="653" ht="15.75" customHeight="1">
      <c r="A653" s="1" t="str">
        <f>IFERROR(__xludf.DUMMYFUNCTION("""COMPUTED_VALUE"""),"north by northwest")</f>
        <v>north by northwest</v>
      </c>
      <c r="B653" s="1" t="str">
        <f>IF(A653&lt;&gt;"", VLOOKUP(A653, imdb_netflix_v5!A$2:H$7370, 2, FALSE), "")</f>
        <v>Movie</v>
      </c>
      <c r="C653" s="2" t="str">
        <f>IF(A653&lt;&gt;"", VLOOKUP(A653, imdb_netflix_v5!A$2:H$7370, 3, FALSE), "")</f>
        <v>Adventure, Drama, Mystery</v>
      </c>
      <c r="D653" s="2">
        <f>IF(A653&lt;&gt;"", VLOOKUP(A653, imdb_netflix_v5!A$2:H$7370, 4, FALSE), "")</f>
        <v>8.3</v>
      </c>
      <c r="E653" s="2">
        <f>IF(A653&lt;&gt;"", VLOOKUP(A653, imdb_netflix_v5!A$2:H$7370, 5, FALSE), "")</f>
        <v>1959</v>
      </c>
      <c r="F653" s="2" t="str">
        <f>IF(A653&lt;&gt;"", VLOOKUP(A653, imdb_netflix_v5!A$2:H$7370, 7, FALSE), "")</f>
        <v>NA</v>
      </c>
    </row>
    <row r="654" ht="15.75" customHeight="1">
      <c r="A654" s="1" t="str">
        <f>IFERROR(__xludf.DUMMYFUNCTION("""COMPUTED_VALUE"""),"to kill a mockingbird")</f>
        <v>to kill a mockingbird</v>
      </c>
      <c r="B654" s="1" t="str">
        <f>IF(A654&lt;&gt;"", VLOOKUP(A654, imdb_netflix_v5!A$2:H$7370, 2, FALSE), "")</f>
        <v>Movie</v>
      </c>
      <c r="C654" s="2" t="str">
        <f>IF(A654&lt;&gt;"", VLOOKUP(A654, imdb_netflix_v5!A$2:H$7370, 3, FALSE), "")</f>
        <v>Crime, Drama</v>
      </c>
      <c r="D654" s="2">
        <f>IF(A654&lt;&gt;"", VLOOKUP(A654, imdb_netflix_v5!A$2:H$7370, 4, FALSE), "")</f>
        <v>8.3</v>
      </c>
      <c r="E654" s="2">
        <f>IF(A654&lt;&gt;"", VLOOKUP(A654, imdb_netflix_v5!A$2:H$7370, 5, FALSE), "")</f>
        <v>1962</v>
      </c>
      <c r="F654" s="2" t="str">
        <f>IF(A654&lt;&gt;"", VLOOKUP(A654, imdb_netflix_v5!A$2:H$7370, 7, FALSE), "")</f>
        <v>NA</v>
      </c>
    </row>
    <row r="655" ht="15.75" customHeight="1">
      <c r="A655" s="1" t="str">
        <f>IFERROR(__xludf.DUMMYFUNCTION("""COMPUTED_VALUE"""),"lawrence of arabia")</f>
        <v>lawrence of arabia</v>
      </c>
      <c r="B655" s="1" t="str">
        <f>IF(A655&lt;&gt;"", VLOOKUP(A655, imdb_netflix_v5!A$2:H$7370, 2, FALSE), "")</f>
        <v>Movie</v>
      </c>
      <c r="C655" s="2" t="str">
        <f>IF(A655&lt;&gt;"", VLOOKUP(A655, imdb_netflix_v5!A$2:H$7370, 3, FALSE), "")</f>
        <v>Adventure, Biography, Drama</v>
      </c>
      <c r="D655" s="2">
        <f>IF(A655&lt;&gt;"", VLOOKUP(A655, imdb_netflix_v5!A$2:H$7370, 4, FALSE), "")</f>
        <v>8.3</v>
      </c>
      <c r="E655" s="2">
        <f>IF(A655&lt;&gt;"", VLOOKUP(A655, imdb_netflix_v5!A$2:H$7370, 5, FALSE), "")</f>
        <v>1962</v>
      </c>
      <c r="F655" s="2" t="str">
        <f>IF(A655&lt;&gt;"", VLOOKUP(A655, imdb_netflix_v5!A$2:H$7370, 7, FALSE), "")</f>
        <v>NA</v>
      </c>
    </row>
    <row r="656" ht="15.75" customHeight="1">
      <c r="A656" s="1" t="str">
        <f>IFERROR(__xludf.DUMMYFUNCTION("""COMPUTED_VALUE"""),"the sting")</f>
        <v>the sting</v>
      </c>
      <c r="B656" s="1" t="str">
        <f>IF(A656&lt;&gt;"", VLOOKUP(A656, imdb_netflix_v5!A$2:H$7370, 2, FALSE), "")</f>
        <v>Movie</v>
      </c>
      <c r="C656" s="2" t="str">
        <f>IF(A656&lt;&gt;"", VLOOKUP(A656, imdb_netflix_v5!A$2:H$7370, 3, FALSE), "")</f>
        <v>Comedy, Crime, Drama</v>
      </c>
      <c r="D656" s="2">
        <f>IF(A656&lt;&gt;"", VLOOKUP(A656, imdb_netflix_v5!A$2:H$7370, 4, FALSE), "")</f>
        <v>8.3</v>
      </c>
      <c r="E656" s="2">
        <f>IF(A656&lt;&gt;"", VLOOKUP(A656, imdb_netflix_v5!A$2:H$7370, 5, FALSE), "")</f>
        <v>1973</v>
      </c>
      <c r="F656" s="2" t="str">
        <f>IF(A656&lt;&gt;"", VLOOKUP(A656, imdb_netflix_v5!A$2:H$7370, 7, FALSE), "")</f>
        <v>NA</v>
      </c>
    </row>
    <row r="657" ht="15.75" customHeight="1">
      <c r="A657" s="1" t="str">
        <f>IFERROR(__xludf.DUMMYFUNCTION("""COMPUTED_VALUE"""),"fallout")</f>
        <v>fallout</v>
      </c>
      <c r="B657" s="1" t="str">
        <f>IF(A657&lt;&gt;"", VLOOKUP(A657, imdb_netflix_v5!A$2:H$7370, 2, FALSE), "")</f>
        <v>TV Show</v>
      </c>
      <c r="C657" s="2" t="str">
        <f>IF(A657&lt;&gt;"", VLOOKUP(A657, imdb_netflix_v5!A$2:H$7370, 3, FALSE), "")</f>
        <v>Action, Adventure, Drama</v>
      </c>
      <c r="D657" s="2">
        <f>IF(A657&lt;&gt;"", VLOOKUP(A657, imdb_netflix_v5!A$2:H$7370, 4, FALSE), "")</f>
        <v>8.3</v>
      </c>
      <c r="E657" s="2">
        <f>IF(A657&lt;&gt;"", VLOOKUP(A657, imdb_netflix_v5!A$2:H$7370, 5, FALSE), "")</f>
        <v>2024</v>
      </c>
      <c r="F657" s="2" t="str">
        <f>IF(A657&lt;&gt;"", VLOOKUP(A657, imdb_netflix_v5!A$2:H$7370, 7, FALSE), "")</f>
        <v>NA</v>
      </c>
    </row>
    <row r="658" ht="15.75" customHeight="1">
      <c r="A658" s="1" t="str">
        <f>IFERROR(__xludf.DUMMYFUNCTION("""COMPUTED_VALUE"""),"singin in the rain")</f>
        <v>singin in the rain</v>
      </c>
      <c r="B658" s="1" t="str">
        <f>IF(A658&lt;&gt;"", VLOOKUP(A658, imdb_netflix_v5!A$2:H$7370, 2, FALSE), "")</f>
        <v>Movie</v>
      </c>
      <c r="C658" s="2" t="str">
        <f>IF(A658&lt;&gt;"", VLOOKUP(A658, imdb_netflix_v5!A$2:H$7370, 3, FALSE), "")</f>
        <v>Comedy, Musical, Romance</v>
      </c>
      <c r="D658" s="2">
        <f>IF(A658&lt;&gt;"", VLOOKUP(A658, imdb_netflix_v5!A$2:H$7370, 4, FALSE), "")</f>
        <v>8.3</v>
      </c>
      <c r="E658" s="2">
        <f>IF(A658&lt;&gt;"", VLOOKUP(A658, imdb_netflix_v5!A$2:H$7370, 5, FALSE), "")</f>
        <v>1952</v>
      </c>
      <c r="F658" s="2" t="str">
        <f>IF(A658&lt;&gt;"", VLOOKUP(A658, imdb_netflix_v5!A$2:H$7370, 7, FALSE), "")</f>
        <v>NA</v>
      </c>
    </row>
    <row r="659" ht="15.75" customHeight="1">
      <c r="A659" s="1" t="str">
        <f>IFERROR(__xludf.DUMMYFUNCTION("""COMPUTED_VALUE"""),"a separation")</f>
        <v>a separation</v>
      </c>
      <c r="B659" s="1" t="str">
        <f>IF(A659&lt;&gt;"", VLOOKUP(A659, imdb_netflix_v5!A$2:H$7370, 2, FALSE), "")</f>
        <v>Movie</v>
      </c>
      <c r="C659" s="2" t="str">
        <f>IF(A659&lt;&gt;"", VLOOKUP(A659, imdb_netflix_v5!A$2:H$7370, 3, FALSE), "")</f>
        <v>Drama</v>
      </c>
      <c r="D659" s="2">
        <f>IF(A659&lt;&gt;"", VLOOKUP(A659, imdb_netflix_v5!A$2:H$7370, 4, FALSE), "")</f>
        <v>8.3</v>
      </c>
      <c r="E659" s="2">
        <f>IF(A659&lt;&gt;"", VLOOKUP(A659, imdb_netflix_v5!A$2:H$7370, 5, FALSE), "")</f>
        <v>2011</v>
      </c>
      <c r="F659" s="2" t="str">
        <f>IF(A659&lt;&gt;"", VLOOKUP(A659, imdb_netflix_v5!A$2:H$7370, 7, FALSE), "")</f>
        <v>NA</v>
      </c>
    </row>
    <row r="660" ht="15.75" customHeight="1">
      <c r="A660" s="1" t="str">
        <f>IFERROR(__xludf.DUMMYFUNCTION("""COMPUTED_VALUE"""),"euphoria")</f>
        <v>euphoria</v>
      </c>
      <c r="B660" s="1" t="str">
        <f>IF(A660&lt;&gt;"", VLOOKUP(A660, imdb_netflix_v5!A$2:H$7370, 2, FALSE), "")</f>
        <v>TV Show</v>
      </c>
      <c r="C660" s="2" t="str">
        <f>IF(A660&lt;&gt;"", VLOOKUP(A660, imdb_netflix_v5!A$2:H$7370, 3, FALSE), "")</f>
        <v>Drama</v>
      </c>
      <c r="D660" s="2">
        <f>IF(A660&lt;&gt;"", VLOOKUP(A660, imdb_netflix_v5!A$2:H$7370, 4, FALSE), "")</f>
        <v>8.3</v>
      </c>
      <c r="E660" s="2">
        <f>IF(A660&lt;&gt;"", VLOOKUP(A660, imdb_netflix_v5!A$2:H$7370, 5, FALSE), "")</f>
        <v>2019</v>
      </c>
      <c r="F660" s="2" t="str">
        <f>IF(A660&lt;&gt;"", VLOOKUP(A660, imdb_netflix_v5!A$2:H$7370, 7, FALSE), "")</f>
        <v>NA</v>
      </c>
    </row>
    <row r="661" ht="15.75" customHeight="1">
      <c r="A661" s="1" t="str">
        <f>IFERROR(__xludf.DUMMYFUNCTION("""COMPUTED_VALUE"""),"dangal")</f>
        <v>dangal</v>
      </c>
      <c r="B661" s="1" t="str">
        <f>IF(A661&lt;&gt;"", VLOOKUP(A661, imdb_netflix_v5!A$2:H$7370, 2, FALSE), "")</f>
        <v>Movie</v>
      </c>
      <c r="C661" s="2" t="str">
        <f>IF(A661&lt;&gt;"", VLOOKUP(A661, imdb_netflix_v5!A$2:H$7370, 3, FALSE), "")</f>
        <v>Action, Biography, Drama</v>
      </c>
      <c r="D661" s="2">
        <f>IF(A661&lt;&gt;"", VLOOKUP(A661, imdb_netflix_v5!A$2:H$7370, 4, FALSE), "")</f>
        <v>8.3</v>
      </c>
      <c r="E661" s="2">
        <f>IF(A661&lt;&gt;"", VLOOKUP(A661, imdb_netflix_v5!A$2:H$7370, 5, FALSE), "")</f>
        <v>2016</v>
      </c>
      <c r="F661" s="2" t="str">
        <f>IF(A661&lt;&gt;"", VLOOKUP(A661, imdb_netflix_v5!A$2:H$7370, 7, FALSE), "")</f>
        <v>NA</v>
      </c>
    </row>
    <row r="662" ht="15.75" customHeight="1">
      <c r="A662" s="1" t="str">
        <f>IFERROR(__xludf.DUMMYFUNCTION("""COMPUTED_VALUE"""),"incendies")</f>
        <v>incendies</v>
      </c>
      <c r="B662" s="1" t="str">
        <f>IF(A662&lt;&gt;"", VLOOKUP(A662, imdb_netflix_v5!A$2:H$7370, 2, FALSE), "")</f>
        <v>Movie</v>
      </c>
      <c r="C662" s="2" t="str">
        <f>IF(A662&lt;&gt;"", VLOOKUP(A662, imdb_netflix_v5!A$2:H$7370, 3, FALSE), "")</f>
        <v>Drama, Mystery, War</v>
      </c>
      <c r="D662" s="2">
        <f>IF(A662&lt;&gt;"", VLOOKUP(A662, imdb_netflix_v5!A$2:H$7370, 4, FALSE), "")</f>
        <v>8.3</v>
      </c>
      <c r="E662" s="2">
        <f>IF(A662&lt;&gt;"", VLOOKUP(A662, imdb_netflix_v5!A$2:H$7370, 5, FALSE), "")</f>
        <v>2010</v>
      </c>
      <c r="F662" s="2" t="str">
        <f>IF(A662&lt;&gt;"", VLOOKUP(A662, imdb_netflix_v5!A$2:H$7370, 7, FALSE), "")</f>
        <v>NA</v>
      </c>
    </row>
    <row r="663" ht="15.75" customHeight="1">
      <c r="A663" s="1" t="str">
        <f>IFERROR(__xludf.DUMMYFUNCTION("""COMPUTED_VALUE"""),"like stars on earth")</f>
        <v>like stars on earth</v>
      </c>
      <c r="B663" s="1" t="str">
        <f>IF(A663&lt;&gt;"", VLOOKUP(A663, imdb_netflix_v5!A$2:H$7370, 2, FALSE), "")</f>
        <v>Movie</v>
      </c>
      <c r="C663" s="2" t="str">
        <f>IF(A663&lt;&gt;"", VLOOKUP(A663, imdb_netflix_v5!A$2:H$7370, 3, FALSE), "")</f>
        <v>Drama, Family</v>
      </c>
      <c r="D663" s="2">
        <f>IF(A663&lt;&gt;"", VLOOKUP(A663, imdb_netflix_v5!A$2:H$7370, 4, FALSE), "")</f>
        <v>8.3</v>
      </c>
      <c r="E663" s="2">
        <f>IF(A663&lt;&gt;"", VLOOKUP(A663, imdb_netflix_v5!A$2:H$7370, 5, FALSE), "")</f>
        <v>2007</v>
      </c>
      <c r="F663" s="2" t="str">
        <f>IF(A663&lt;&gt;"", VLOOKUP(A663, imdb_netflix_v5!A$2:H$7370, 7, FALSE), "")</f>
        <v>NA</v>
      </c>
    </row>
    <row r="664" ht="15.75" customHeight="1">
      <c r="A664" s="1" t="str">
        <f>IFERROR(__xludf.DUMMYFUNCTION("""COMPUTED_VALUE"""),"the apartment")</f>
        <v>the apartment</v>
      </c>
      <c r="B664" s="1" t="str">
        <f>IF(A664&lt;&gt;"", VLOOKUP(A664, imdb_netflix_v5!A$2:H$7370, 2, FALSE), "")</f>
        <v>Movie</v>
      </c>
      <c r="C664" s="2" t="str">
        <f>IF(A664&lt;&gt;"", VLOOKUP(A664, imdb_netflix_v5!A$2:H$7370, 3, FALSE), "")</f>
        <v>Comedy, Drama, Romance</v>
      </c>
      <c r="D664" s="2">
        <f>IF(A664&lt;&gt;"", VLOOKUP(A664, imdb_netflix_v5!A$2:H$7370, 4, FALSE), "")</f>
        <v>8.3</v>
      </c>
      <c r="E664" s="2">
        <f>IF(A664&lt;&gt;"", VLOOKUP(A664, imdb_netflix_v5!A$2:H$7370, 5, FALSE), "")</f>
        <v>1960</v>
      </c>
      <c r="F664" s="2" t="str">
        <f>IF(A664&lt;&gt;"", VLOOKUP(A664, imdb_netflix_v5!A$2:H$7370, 7, FALSE), "")</f>
        <v>NA</v>
      </c>
    </row>
    <row r="665" ht="15.75" customHeight="1">
      <c r="A665" s="1" t="str">
        <f>IFERROR(__xludf.DUMMYFUNCTION("""COMPUTED_VALUE"""),"metropolis")</f>
        <v>metropolis</v>
      </c>
      <c r="B665" s="1" t="str">
        <f>IF(A665&lt;&gt;"", VLOOKUP(A665, imdb_netflix_v5!A$2:H$7370, 2, FALSE), "")</f>
        <v>Movie</v>
      </c>
      <c r="C665" s="2" t="str">
        <f>IF(A665&lt;&gt;"", VLOOKUP(A665, imdb_netflix_v5!A$2:H$7370, 3, FALSE), "")</f>
        <v>Drama, Sci-Fi</v>
      </c>
      <c r="D665" s="2">
        <f>IF(A665&lt;&gt;"", VLOOKUP(A665, imdb_netflix_v5!A$2:H$7370, 4, FALSE), "")</f>
        <v>8.3</v>
      </c>
      <c r="E665" s="2">
        <f>IF(A665&lt;&gt;"", VLOOKUP(A665, imdb_netflix_v5!A$2:H$7370, 5, FALSE), "")</f>
        <v>1927</v>
      </c>
      <c r="F665" s="2" t="str">
        <f>IF(A665&lt;&gt;"", VLOOKUP(A665, imdb_netflix_v5!A$2:H$7370, 7, FALSE), "")</f>
        <v>NA</v>
      </c>
    </row>
    <row r="666" ht="15.75" customHeight="1">
      <c r="A666" s="1" t="str">
        <f>IFERROR(__xludf.DUMMYFUNCTION("""COMPUTED_VALUE"""),"californication")</f>
        <v>californication</v>
      </c>
      <c r="B666" s="1" t="str">
        <f>IF(A666&lt;&gt;"", VLOOKUP(A666, imdb_netflix_v5!A$2:H$7370, 2, FALSE), "")</f>
        <v>TV Show</v>
      </c>
      <c r="C666" s="2" t="str">
        <f>IF(A666&lt;&gt;"", VLOOKUP(A666, imdb_netflix_v5!A$2:H$7370, 3, FALSE), "")</f>
        <v>Comedy, Drama</v>
      </c>
      <c r="D666" s="2">
        <f>IF(A666&lt;&gt;"", VLOOKUP(A666, imdb_netflix_v5!A$2:H$7370, 4, FALSE), "")</f>
        <v>8.3</v>
      </c>
      <c r="E666" s="2">
        <f>IF(A666&lt;&gt;"", VLOOKUP(A666, imdb_netflix_v5!A$2:H$7370, 5, FALSE), "")</f>
        <v>2007</v>
      </c>
      <c r="F666" s="2" t="str">
        <f>IF(A666&lt;&gt;"", VLOOKUP(A666, imdb_netflix_v5!A$2:H$7370, 7, FALSE), "")</f>
        <v>NA</v>
      </c>
    </row>
    <row r="667" ht="15.75" customHeight="1">
      <c r="A667" s="1" t="str">
        <f>IFERROR(__xludf.DUMMYFUNCTION("""COMPUTED_VALUE"""),"outlander")</f>
        <v>outlander</v>
      </c>
      <c r="B667" s="1" t="str">
        <f>IF(A667&lt;&gt;"", VLOOKUP(A667, imdb_netflix_v5!A$2:H$7370, 2, FALSE), "")</f>
        <v>TV Show</v>
      </c>
      <c r="C667" s="2" t="str">
        <f>IF(A667&lt;&gt;"", VLOOKUP(A667, imdb_netflix_v5!A$2:H$7370, 3, FALSE), "")</f>
        <v>Adventure, Drama, Fantasy</v>
      </c>
      <c r="D667" s="2">
        <f>IF(A667&lt;&gt;"", VLOOKUP(A667, imdb_netflix_v5!A$2:H$7370, 4, FALSE), "")</f>
        <v>8.3</v>
      </c>
      <c r="E667" s="2">
        <f>IF(A667&lt;&gt;"", VLOOKUP(A667, imdb_netflix_v5!A$2:H$7370, 5, FALSE), "")</f>
        <v>2014</v>
      </c>
      <c r="F667" s="2" t="str">
        <f>IF(A667&lt;&gt;"", VLOOKUP(A667, imdb_netflix_v5!A$2:H$7370, 7, FALSE), "")</f>
        <v>NA</v>
      </c>
    </row>
    <row r="668" ht="15.75" customHeight="1">
      <c r="A668" s="1" t="str">
        <f>IFERROR(__xludf.DUMMYFUNCTION("""COMPUTED_VALUE"""),"bicycle thieves")</f>
        <v>bicycle thieves</v>
      </c>
      <c r="B668" s="1" t="str">
        <f>IF(A668&lt;&gt;"", VLOOKUP(A668, imdb_netflix_v5!A$2:H$7370, 2, FALSE), "")</f>
        <v>Movie</v>
      </c>
      <c r="C668" s="2" t="str">
        <f>IF(A668&lt;&gt;"", VLOOKUP(A668, imdb_netflix_v5!A$2:H$7370, 3, FALSE), "")</f>
        <v>Drama</v>
      </c>
      <c r="D668" s="2">
        <f>IF(A668&lt;&gt;"", VLOOKUP(A668, imdb_netflix_v5!A$2:H$7370, 4, FALSE), "")</f>
        <v>8.3</v>
      </c>
      <c r="E668" s="2">
        <f>IF(A668&lt;&gt;"", VLOOKUP(A668, imdb_netflix_v5!A$2:H$7370, 5, FALSE), "")</f>
        <v>1948</v>
      </c>
      <c r="F668" s="2" t="str">
        <f>IF(A668&lt;&gt;"", VLOOKUP(A668, imdb_netflix_v5!A$2:H$7370, 7, FALSE), "")</f>
        <v>NA</v>
      </c>
    </row>
    <row r="669" ht="15.75" customHeight="1">
      <c r="A669" s="1" t="str">
        <f>IFERROR(__xludf.DUMMYFUNCTION("""COMPUTED_VALUE"""),"m")</f>
        <v>m</v>
      </c>
      <c r="B669" s="1" t="str">
        <f>IF(A669&lt;&gt;"", VLOOKUP(A669, imdb_netflix_v5!A$2:H$7370, 2, FALSE), "")</f>
        <v>Movie</v>
      </c>
      <c r="C669" s="2" t="str">
        <f>IF(A669&lt;&gt;"", VLOOKUP(A669, imdb_netflix_v5!A$2:H$7370, 3, FALSE), "")</f>
        <v>Crime, Mystery, Thriller</v>
      </c>
      <c r="D669" s="2">
        <f>IF(A669&lt;&gt;"", VLOOKUP(A669, imdb_netflix_v5!A$2:H$7370, 4, FALSE), "")</f>
        <v>8.3</v>
      </c>
      <c r="E669" s="2">
        <f>IF(A669&lt;&gt;"", VLOOKUP(A669, imdb_netflix_v5!A$2:H$7370, 5, FALSE), "")</f>
        <v>1931</v>
      </c>
      <c r="F669" s="2" t="str">
        <f>IF(A669&lt;&gt;"", VLOOKUP(A669, imdb_netflix_v5!A$2:H$7370, 7, FALSE), "")</f>
        <v>NA</v>
      </c>
    </row>
    <row r="670" ht="15.75" customHeight="1">
      <c r="A670" s="1" t="str">
        <f>IFERROR(__xludf.DUMMYFUNCTION("""COMPUTED_VALUE"""),"double indemnity")</f>
        <v>double indemnity</v>
      </c>
      <c r="B670" s="1" t="str">
        <f>IF(A670&lt;&gt;"", VLOOKUP(A670, imdb_netflix_v5!A$2:H$7370, 2, FALSE), "")</f>
        <v>Movie</v>
      </c>
      <c r="C670" s="2" t="str">
        <f>IF(A670&lt;&gt;"", VLOOKUP(A670, imdb_netflix_v5!A$2:H$7370, 3, FALSE), "")</f>
        <v>Crime, Drama, Film-Noir</v>
      </c>
      <c r="D670" s="2">
        <f>IF(A670&lt;&gt;"", VLOOKUP(A670, imdb_netflix_v5!A$2:H$7370, 4, FALSE), "")</f>
        <v>8.3</v>
      </c>
      <c r="E670" s="2">
        <f>IF(A670&lt;&gt;"", VLOOKUP(A670, imdb_netflix_v5!A$2:H$7370, 5, FALSE), "")</f>
        <v>1944</v>
      </c>
      <c r="F670" s="2" t="str">
        <f>IF(A670&lt;&gt;"", VLOOKUP(A670, imdb_netflix_v5!A$2:H$7370, 7, FALSE), "")</f>
        <v>NA</v>
      </c>
    </row>
    <row r="671" ht="15.75" customHeight="1">
      <c r="A671" s="1" t="str">
        <f>IFERROR(__xludf.DUMMYFUNCTION("""COMPUTED_VALUE"""),"buffy the vampire slayer")</f>
        <v>buffy the vampire slayer</v>
      </c>
      <c r="B671" s="1" t="str">
        <f>IF(A671&lt;&gt;"", VLOOKUP(A671, imdb_netflix_v5!A$2:H$7370, 2, FALSE), "")</f>
        <v>TV Show</v>
      </c>
      <c r="C671" s="2" t="str">
        <f>IF(A671&lt;&gt;"", VLOOKUP(A671, imdb_netflix_v5!A$2:H$7370, 3, FALSE), "")</f>
        <v>Action, Adventure, Drama</v>
      </c>
      <c r="D671" s="2">
        <f>IF(A671&lt;&gt;"", VLOOKUP(A671, imdb_netflix_v5!A$2:H$7370, 4, FALSE), "")</f>
        <v>8.3</v>
      </c>
      <c r="E671" s="2">
        <f>IF(A671&lt;&gt;"", VLOOKUP(A671, imdb_netflix_v5!A$2:H$7370, 5, FALSE), "")</f>
        <v>1997</v>
      </c>
      <c r="F671" s="2" t="str">
        <f>IF(A671&lt;&gt;"", VLOOKUP(A671, imdb_netflix_v5!A$2:H$7370, 7, FALSE), "")</f>
        <v>NA</v>
      </c>
    </row>
    <row r="672" ht="15.75" customHeight="1">
      <c r="A672" s="1" t="str">
        <f>IFERROR(__xludf.DUMMYFUNCTION("""COMPUTED_VALUE"""),"taboo")</f>
        <v>taboo</v>
      </c>
      <c r="B672" s="1" t="str">
        <f>IF(A672&lt;&gt;"", VLOOKUP(A672, imdb_netflix_v5!A$2:H$7370, 2, FALSE), "")</f>
        <v>TV Show</v>
      </c>
      <c r="C672" s="2" t="str">
        <f>IF(A672&lt;&gt;"", VLOOKUP(A672, imdb_netflix_v5!A$2:H$7370, 3, FALSE), "")</f>
        <v>Drama, Mystery, Thriller</v>
      </c>
      <c r="D672" s="2">
        <f>IF(A672&lt;&gt;"", VLOOKUP(A672, imdb_netflix_v5!A$2:H$7370, 4, FALSE), "")</f>
        <v>8.3</v>
      </c>
      <c r="E672" s="2">
        <f>IF(A672&lt;&gt;"", VLOOKUP(A672, imdb_netflix_v5!A$2:H$7370, 5, FALSE), "")</f>
        <v>2017</v>
      </c>
      <c r="F672" s="2">
        <f>IF(A672&lt;&gt;"", VLOOKUP(A672, imdb_netflix_v5!A$2:H$7370, 7, FALSE), "")</f>
        <v>8310000</v>
      </c>
    </row>
    <row r="673" ht="15.75" customHeight="1">
      <c r="A673" s="1" t="str">
        <f>IFERROR(__xludf.DUMMYFUNCTION("""COMPUTED_VALUE"""),"the originals")</f>
        <v>the originals</v>
      </c>
      <c r="B673" s="1" t="str">
        <f>IF(A673&lt;&gt;"", VLOOKUP(A673, imdb_netflix_v5!A$2:H$7370, 2, FALSE), "")</f>
        <v>TV Show</v>
      </c>
      <c r="C673" s="2" t="str">
        <f>IF(A673&lt;&gt;"", VLOOKUP(A673, imdb_netflix_v5!A$2:H$7370, 3, FALSE), "")</f>
        <v>Drama, Fantasy, Horror</v>
      </c>
      <c r="D673" s="2">
        <f>IF(A673&lt;&gt;"", VLOOKUP(A673, imdb_netflix_v5!A$2:H$7370, 4, FALSE), "")</f>
        <v>8.3</v>
      </c>
      <c r="E673" s="2">
        <f>IF(A673&lt;&gt;"", VLOOKUP(A673, imdb_netflix_v5!A$2:H$7370, 5, FALSE), "")</f>
        <v>2013</v>
      </c>
      <c r="F673" s="2" t="str">
        <f>IF(A673&lt;&gt;"", VLOOKUP(A673, imdb_netflix_v5!A$2:H$7370, 7, FALSE), "")</f>
        <v>NA</v>
      </c>
    </row>
    <row r="674" ht="15.75" customHeight="1">
      <c r="A674" s="1" t="str">
        <f>IFERROR(__xludf.DUMMYFUNCTION("""COMPUTED_VALUE"""),"peacemaker")</f>
        <v>peacemaker</v>
      </c>
      <c r="B674" s="1" t="str">
        <f>IF(A674&lt;&gt;"", VLOOKUP(A674, imdb_netflix_v5!A$2:H$7370, 2, FALSE), "")</f>
        <v>TV Show</v>
      </c>
      <c r="C674" s="2" t="str">
        <f>IF(A674&lt;&gt;"", VLOOKUP(A674, imdb_netflix_v5!A$2:H$7370, 3, FALSE), "")</f>
        <v>Action, Adventure, Comedy</v>
      </c>
      <c r="D674" s="2">
        <f>IF(A674&lt;&gt;"", VLOOKUP(A674, imdb_netflix_v5!A$2:H$7370, 4, FALSE), "")</f>
        <v>8.3</v>
      </c>
      <c r="E674" s="2">
        <f>IF(A674&lt;&gt;"", VLOOKUP(A674, imdb_netflix_v5!A$2:H$7370, 5, FALSE), "")</f>
        <v>2022</v>
      </c>
      <c r="F674" s="2" t="str">
        <f>IF(A674&lt;&gt;"", VLOOKUP(A674, imdb_netflix_v5!A$2:H$7370, 7, FALSE), "")</f>
        <v>NA</v>
      </c>
    </row>
    <row r="675" ht="15.75" customHeight="1">
      <c r="A675" s="1" t="str">
        <f>IFERROR(__xludf.DUMMYFUNCTION("""COMPUTED_VALUE"""),"the legend of korra")</f>
        <v>the legend of korra</v>
      </c>
      <c r="B675" s="1" t="str">
        <f>IF(A675&lt;&gt;"", VLOOKUP(A675, imdb_netflix_v5!A$2:H$7370, 2, FALSE), "")</f>
        <v>TV Show</v>
      </c>
      <c r="C675" s="2" t="str">
        <f>IF(A675&lt;&gt;"", VLOOKUP(A675, imdb_netflix_v5!A$2:H$7370, 3, FALSE), "")</f>
        <v>Action, Adventure, Animation</v>
      </c>
      <c r="D675" s="2">
        <f>IF(A675&lt;&gt;"", VLOOKUP(A675, imdb_netflix_v5!A$2:H$7370, 4, FALSE), "")</f>
        <v>8.3</v>
      </c>
      <c r="E675" s="2">
        <f>IF(A675&lt;&gt;"", VLOOKUP(A675, imdb_netflix_v5!A$2:H$7370, 5, FALSE), "")</f>
        <v>2012</v>
      </c>
      <c r="F675" s="2" t="str">
        <f>IF(A675&lt;&gt;"", VLOOKUP(A675, imdb_netflix_v5!A$2:H$7370, 7, FALSE), "")</f>
        <v>NA</v>
      </c>
    </row>
    <row r="676" ht="15.75" customHeight="1">
      <c r="A676" s="1" t="str">
        <f>IFERROR(__xludf.DUMMYFUNCTION("""COMPUTED_VALUE"""),"dil bechara")</f>
        <v>dil bechara</v>
      </c>
      <c r="B676" s="1" t="str">
        <f>IF(A676&lt;&gt;"", VLOOKUP(A676, imdb_netflix_v5!A$2:H$7370, 2, FALSE), "")</f>
        <v>Movie</v>
      </c>
      <c r="C676" s="2" t="str">
        <f>IF(A676&lt;&gt;"", VLOOKUP(A676, imdb_netflix_v5!A$2:H$7370, 3, FALSE), "")</f>
        <v>Comedy, Drama, Romance</v>
      </c>
      <c r="D676" s="2">
        <f>IF(A676&lt;&gt;"", VLOOKUP(A676, imdb_netflix_v5!A$2:H$7370, 4, FALSE), "")</f>
        <v>8.3</v>
      </c>
      <c r="E676" s="2">
        <f>IF(A676&lt;&gt;"", VLOOKUP(A676, imdb_netflix_v5!A$2:H$7370, 5, FALSE), "")</f>
        <v>2020</v>
      </c>
      <c r="F676" s="2" t="str">
        <f>IF(A676&lt;&gt;"", VLOOKUP(A676, imdb_netflix_v5!A$2:H$7370, 7, FALSE), "")</f>
        <v>NA</v>
      </c>
    </row>
    <row r="677" ht="15.75" customHeight="1">
      <c r="A677" s="1" t="str">
        <f>IFERROR(__xludf.DUMMYFUNCTION("""COMPUTED_VALUE"""),"the pacific")</f>
        <v>the pacific</v>
      </c>
      <c r="B677" s="1" t="str">
        <f>IF(A677&lt;&gt;"", VLOOKUP(A677, imdb_netflix_v5!A$2:H$7370, 2, FALSE), "")</f>
        <v>TV Show</v>
      </c>
      <c r="C677" s="2" t="str">
        <f>IF(A677&lt;&gt;"", VLOOKUP(A677, imdb_netflix_v5!A$2:H$7370, 3, FALSE), "")</f>
        <v>Action, Adventure, Drama</v>
      </c>
      <c r="D677" s="2">
        <f>IF(A677&lt;&gt;"", VLOOKUP(A677, imdb_netflix_v5!A$2:H$7370, 4, FALSE), "")</f>
        <v>8.3</v>
      </c>
      <c r="E677" s="2">
        <f>IF(A677&lt;&gt;"", VLOOKUP(A677, imdb_netflix_v5!A$2:H$7370, 5, FALSE), "")</f>
        <v>2010</v>
      </c>
      <c r="F677" s="2">
        <f>IF(A677&lt;&gt;"", VLOOKUP(A677, imdb_netflix_v5!A$2:H$7370, 7, FALSE), "")</f>
        <v>15300000</v>
      </c>
    </row>
    <row r="678" ht="15.75" customHeight="1">
      <c r="A678" s="1" t="str">
        <f>IFERROR(__xludf.DUMMYFUNCTION("""COMPUTED_VALUE"""),"30 rock")</f>
        <v>30 rock</v>
      </c>
      <c r="B678" s="1" t="str">
        <f>IF(A678&lt;&gt;"", VLOOKUP(A678, imdb_netflix_v5!A$2:H$7370, 2, FALSE), "")</f>
        <v>TV Show</v>
      </c>
      <c r="C678" s="2" t="str">
        <f>IF(A678&lt;&gt;"", VLOOKUP(A678, imdb_netflix_v5!A$2:H$7370, 3, FALSE), "")</f>
        <v>Comedy</v>
      </c>
      <c r="D678" s="2">
        <f>IF(A678&lt;&gt;"", VLOOKUP(A678, imdb_netflix_v5!A$2:H$7370, 4, FALSE), "")</f>
        <v>8.3</v>
      </c>
      <c r="E678" s="2">
        <f>IF(A678&lt;&gt;"", VLOOKUP(A678, imdb_netflix_v5!A$2:H$7370, 5, FALSE), "")</f>
        <v>2006</v>
      </c>
      <c r="F678" s="2" t="str">
        <f>IF(A678&lt;&gt;"", VLOOKUP(A678, imdb_netflix_v5!A$2:H$7370, 7, FALSE), "")</f>
        <v>NA</v>
      </c>
    </row>
    <row r="679" ht="15.75" customHeight="1">
      <c r="A679" s="1" t="str">
        <f>IFERROR(__xludf.DUMMYFUNCTION("""COMPUTED_VALUE"""),"shershaah")</f>
        <v>shershaah</v>
      </c>
      <c r="B679" s="1" t="str">
        <f>IF(A679&lt;&gt;"", VLOOKUP(A679, imdb_netflix_v5!A$2:H$7370, 2, FALSE), "")</f>
        <v>Movie</v>
      </c>
      <c r="C679" s="2" t="str">
        <f>IF(A679&lt;&gt;"", VLOOKUP(A679, imdb_netflix_v5!A$2:H$7370, 3, FALSE), "")</f>
        <v>Action, Biography, Drama</v>
      </c>
      <c r="D679" s="2">
        <f>IF(A679&lt;&gt;"", VLOOKUP(A679, imdb_netflix_v5!A$2:H$7370, 4, FALSE), "")</f>
        <v>8.3</v>
      </c>
      <c r="E679" s="2">
        <f>IF(A679&lt;&gt;"", VLOOKUP(A679, imdb_netflix_v5!A$2:H$7370, 5, FALSE), "")</f>
        <v>2021</v>
      </c>
      <c r="F679" s="2" t="str">
        <f>IF(A679&lt;&gt;"", VLOOKUP(A679, imdb_netflix_v5!A$2:H$7370, 7, FALSE), "")</f>
        <v>NA</v>
      </c>
    </row>
    <row r="680" ht="15.75" customHeight="1">
      <c r="A680" s="1" t="str">
        <f>IFERROR(__xludf.DUMMYFUNCTION("""COMPUTED_VALUE"""),"barry")</f>
        <v>barry</v>
      </c>
      <c r="B680" s="1" t="str">
        <f>IF(A680&lt;&gt;"", VLOOKUP(A680, imdb_netflix_v5!A$2:H$7370, 2, FALSE), "")</f>
        <v>TV Show</v>
      </c>
      <c r="C680" s="2" t="str">
        <f>IF(A680&lt;&gt;"", VLOOKUP(A680, imdb_netflix_v5!A$2:H$7370, 3, FALSE), "")</f>
        <v>Action, Comedy, Crime</v>
      </c>
      <c r="D680" s="2">
        <f>IF(A680&lt;&gt;"", VLOOKUP(A680, imdb_netflix_v5!A$2:H$7370, 4, FALSE), "")</f>
        <v>8.3</v>
      </c>
      <c r="E680" s="2">
        <f>IF(A680&lt;&gt;"", VLOOKUP(A680, imdb_netflix_v5!A$2:H$7370, 5, FALSE), "")</f>
        <v>2018</v>
      </c>
      <c r="F680" s="2" t="str">
        <f>IF(A680&lt;&gt;"", VLOOKUP(A680, imdb_netflix_v5!A$2:H$7370, 7, FALSE), "")</f>
        <v>NA</v>
      </c>
    </row>
    <row r="681" ht="15.75" customHeight="1">
      <c r="A681" s="1" t="str">
        <f>IFERROR(__xludf.DUMMYFUNCTION("""COMPUTED_VALUE"""),"unbelievable")</f>
        <v>unbelievable</v>
      </c>
      <c r="B681" s="1" t="str">
        <f>IF(A681&lt;&gt;"", VLOOKUP(A681, imdb_netflix_v5!A$2:H$7370, 2, FALSE), "")</f>
        <v>TV Show</v>
      </c>
      <c r="C681" s="2" t="str">
        <f>IF(A681&lt;&gt;"", VLOOKUP(A681, imdb_netflix_v5!A$2:H$7370, 3, FALSE), "")</f>
        <v>Crime, Drama</v>
      </c>
      <c r="D681" s="2">
        <f>IF(A681&lt;&gt;"", VLOOKUP(A681, imdb_netflix_v5!A$2:H$7370, 4, FALSE), "")</f>
        <v>8.3</v>
      </c>
      <c r="E681" s="2">
        <f>IF(A681&lt;&gt;"", VLOOKUP(A681, imdb_netflix_v5!A$2:H$7370, 5, FALSE), "")</f>
        <v>2019</v>
      </c>
      <c r="F681" s="2" t="str">
        <f>IF(A681&lt;&gt;"", VLOOKUP(A681, imdb_netflix_v5!A$2:H$7370, 7, FALSE), "")</f>
        <v>NA</v>
      </c>
    </row>
    <row r="682" ht="15.75" customHeight="1">
      <c r="A682" s="1" t="str">
        <f>IFERROR(__xludf.DUMMYFUNCTION("""COMPUTED_VALUE"""),"hamilton")</f>
        <v>hamilton</v>
      </c>
      <c r="B682" s="1" t="str">
        <f>IF(A682&lt;&gt;"", VLOOKUP(A682, imdb_netflix_v5!A$2:H$7370, 2, FALSE), "")</f>
        <v>Movie</v>
      </c>
      <c r="C682" s="2" t="str">
        <f>IF(A682&lt;&gt;"", VLOOKUP(A682, imdb_netflix_v5!A$2:H$7370, 3, FALSE), "")</f>
        <v>Biography, Drama, History</v>
      </c>
      <c r="D682" s="2">
        <f>IF(A682&lt;&gt;"", VLOOKUP(A682, imdb_netflix_v5!A$2:H$7370, 4, FALSE), "")</f>
        <v>8.3</v>
      </c>
      <c r="E682" s="2">
        <f>IF(A682&lt;&gt;"", VLOOKUP(A682, imdb_netflix_v5!A$2:H$7370, 5, FALSE), "")</f>
        <v>2020</v>
      </c>
      <c r="F682" s="2" t="str">
        <f>IF(A682&lt;&gt;"", VLOOKUP(A682, imdb_netflix_v5!A$2:H$7370, 7, FALSE), "")</f>
        <v>NA</v>
      </c>
    </row>
    <row r="683" ht="15.75" customHeight="1">
      <c r="A683" s="1" t="str">
        <f>IFERROR(__xludf.DUMMYFUNCTION("""COMPUTED_VALUE"""),"orphan black")</f>
        <v>orphan black</v>
      </c>
      <c r="B683" s="1" t="str">
        <f>IF(A683&lt;&gt;"", VLOOKUP(A683, imdb_netflix_v5!A$2:H$7370, 2, FALSE), "")</f>
        <v>TV Show</v>
      </c>
      <c r="C683" s="2" t="str">
        <f>IF(A683&lt;&gt;"", VLOOKUP(A683, imdb_netflix_v5!A$2:H$7370, 3, FALSE), "")</f>
        <v>Drama, Sci-Fi, Thriller</v>
      </c>
      <c r="D683" s="2">
        <f>IF(A683&lt;&gt;"", VLOOKUP(A683, imdb_netflix_v5!A$2:H$7370, 4, FALSE), "")</f>
        <v>8.3</v>
      </c>
      <c r="E683" s="2">
        <f>IF(A683&lt;&gt;"", VLOOKUP(A683, imdb_netflix_v5!A$2:H$7370, 5, FALSE), "")</f>
        <v>2013</v>
      </c>
      <c r="F683" s="2" t="str">
        <f>IF(A683&lt;&gt;"", VLOOKUP(A683, imdb_netflix_v5!A$2:H$7370, 7, FALSE), "")</f>
        <v>NA</v>
      </c>
    </row>
    <row r="684" ht="15.75" customHeight="1">
      <c r="A684" s="1" t="str">
        <f>IFERROR(__xludf.DUMMYFUNCTION("""COMPUTED_VALUE"""),"the leftovers")</f>
        <v>the leftovers</v>
      </c>
      <c r="B684" s="1" t="str">
        <f>IF(A684&lt;&gt;"", VLOOKUP(A684, imdb_netflix_v5!A$2:H$7370, 2, FALSE), "")</f>
        <v>TV Show</v>
      </c>
      <c r="C684" s="2" t="str">
        <f>IF(A684&lt;&gt;"", VLOOKUP(A684, imdb_netflix_v5!A$2:H$7370, 3, FALSE), "")</f>
        <v>Drama, Fantasy, Mystery</v>
      </c>
      <c r="D684" s="2">
        <f>IF(A684&lt;&gt;"", VLOOKUP(A684, imdb_netflix_v5!A$2:H$7370, 4, FALSE), "")</f>
        <v>8.3</v>
      </c>
      <c r="E684" s="2">
        <f>IF(A684&lt;&gt;"", VLOOKUP(A684, imdb_netflix_v5!A$2:H$7370, 5, FALSE), "")</f>
        <v>2014</v>
      </c>
      <c r="F684" s="2" t="str">
        <f>IF(A684&lt;&gt;"", VLOOKUP(A684, imdb_netflix_v5!A$2:H$7370, 7, FALSE), "")</f>
        <v>NA</v>
      </c>
    </row>
    <row r="685" ht="15.75" customHeight="1">
      <c r="A685" s="1" t="str">
        <f>IFERROR(__xludf.DUMMYFUNCTION("""COMPUTED_VALUE"""),"billions")</f>
        <v>billions</v>
      </c>
      <c r="B685" s="1" t="str">
        <f>IF(A685&lt;&gt;"", VLOOKUP(A685, imdb_netflix_v5!A$2:H$7370, 2, FALSE), "")</f>
        <v>TV Show</v>
      </c>
      <c r="C685" s="2" t="str">
        <f>IF(A685&lt;&gt;"", VLOOKUP(A685, imdb_netflix_v5!A$2:H$7370, 3, FALSE), "")</f>
        <v>Drama</v>
      </c>
      <c r="D685" s="2">
        <f>IF(A685&lt;&gt;"", VLOOKUP(A685, imdb_netflix_v5!A$2:H$7370, 4, FALSE), "")</f>
        <v>8.3</v>
      </c>
      <c r="E685" s="2">
        <f>IF(A685&lt;&gt;"", VLOOKUP(A685, imdb_netflix_v5!A$2:H$7370, 5, FALSE), "")</f>
        <v>2016</v>
      </c>
      <c r="F685" s="2" t="str">
        <f>IF(A685&lt;&gt;"", VLOOKUP(A685, imdb_netflix_v5!A$2:H$7370, 7, FALSE), "")</f>
        <v>NA</v>
      </c>
    </row>
    <row r="686" ht="15.75" customHeight="1">
      <c r="A686" s="1" t="str">
        <f>IFERROR(__xludf.DUMMYFUNCTION("""COMPUTED_VALUE"""),"maid")</f>
        <v>maid</v>
      </c>
      <c r="B686" s="1" t="str">
        <f>IF(A686&lt;&gt;"", VLOOKUP(A686, imdb_netflix_v5!A$2:H$7370, 2, FALSE), "")</f>
        <v>TV Show</v>
      </c>
      <c r="C686" s="2" t="str">
        <f>IF(A686&lt;&gt;"", VLOOKUP(A686, imdb_netflix_v5!A$2:H$7370, 3, FALSE), "")</f>
        <v>Drama</v>
      </c>
      <c r="D686" s="2">
        <f>IF(A686&lt;&gt;"", VLOOKUP(A686, imdb_netflix_v5!A$2:H$7370, 4, FALSE), "")</f>
        <v>8.3</v>
      </c>
      <c r="E686" s="2">
        <f>IF(A686&lt;&gt;"", VLOOKUP(A686, imdb_netflix_v5!A$2:H$7370, 5, FALSE), "")</f>
        <v>2021</v>
      </c>
      <c r="F686" s="2">
        <f>IF(A686&lt;&gt;"", VLOOKUP(A686, imdb_netflix_v5!A$2:H$7370, 7, FALSE), "")</f>
        <v>13960000</v>
      </c>
    </row>
    <row r="687" ht="15.75" customHeight="1">
      <c r="A687" s="1" t="str">
        <f>IFERROR(__xludf.DUMMYFUNCTION("""COMPUTED_VALUE"""),"come and see")</f>
        <v>come and see</v>
      </c>
      <c r="B687" s="1" t="str">
        <f>IF(A687&lt;&gt;"", VLOOKUP(A687, imdb_netflix_v5!A$2:H$7370, 2, FALSE), "")</f>
        <v>Movie</v>
      </c>
      <c r="C687" s="2" t="str">
        <f>IF(A687&lt;&gt;"", VLOOKUP(A687, imdb_netflix_v5!A$2:H$7370, 3, FALSE), "")</f>
        <v>Drama, Thriller, War</v>
      </c>
      <c r="D687" s="2">
        <f>IF(A687&lt;&gt;"", VLOOKUP(A687, imdb_netflix_v5!A$2:H$7370, 4, FALSE), "")</f>
        <v>8.3</v>
      </c>
      <c r="E687" s="2">
        <f>IF(A687&lt;&gt;"", VLOOKUP(A687, imdb_netflix_v5!A$2:H$7370, 5, FALSE), "")</f>
        <v>1985</v>
      </c>
      <c r="F687" s="2" t="str">
        <f>IF(A687&lt;&gt;"", VLOOKUP(A687, imdb_netflix_v5!A$2:H$7370, 7, FALSE), "")</f>
        <v>NA</v>
      </c>
    </row>
    <row r="688" ht="15.75" customHeight="1">
      <c r="A688" s="1" t="str">
        <f>IFERROR(__xludf.DUMMYFUNCTION("""COMPUTED_VALUE"""),"slow horses")</f>
        <v>slow horses</v>
      </c>
      <c r="B688" s="1" t="str">
        <f>IF(A688&lt;&gt;"", VLOOKUP(A688, imdb_netflix_v5!A$2:H$7370, 2, FALSE), "")</f>
        <v>TV Show</v>
      </c>
      <c r="C688" s="2" t="str">
        <f>IF(A688&lt;&gt;"", VLOOKUP(A688, imdb_netflix_v5!A$2:H$7370, 3, FALSE), "")</f>
        <v>Drama, Thriller</v>
      </c>
      <c r="D688" s="2">
        <f>IF(A688&lt;&gt;"", VLOOKUP(A688, imdb_netflix_v5!A$2:H$7370, 4, FALSE), "")</f>
        <v>8.3</v>
      </c>
      <c r="E688" s="2">
        <f>IF(A688&lt;&gt;"", VLOOKUP(A688, imdb_netflix_v5!A$2:H$7370, 5, FALSE), "")</f>
        <v>2022</v>
      </c>
      <c r="F688" s="2" t="str">
        <f>IF(A688&lt;&gt;"", VLOOKUP(A688, imdb_netflix_v5!A$2:H$7370, 7, FALSE), "")</f>
        <v>NA</v>
      </c>
    </row>
    <row r="689" ht="15.75" customHeight="1">
      <c r="A689" s="1" t="str">
        <f>IFERROR(__xludf.DUMMYFUNCTION("""COMPUTED_VALUE"""),"narcos mexico")</f>
        <v>narcos mexico</v>
      </c>
      <c r="B689" s="1" t="str">
        <f>IF(A689&lt;&gt;"", VLOOKUP(A689, imdb_netflix_v5!A$2:H$7370, 2, FALSE), "")</f>
        <v>TV Show</v>
      </c>
      <c r="C689" s="2" t="str">
        <f>IF(A689&lt;&gt;"", VLOOKUP(A689, imdb_netflix_v5!A$2:H$7370, 3, FALSE), "")</f>
        <v>Crime, Drama</v>
      </c>
      <c r="D689" s="2">
        <f>IF(A689&lt;&gt;"", VLOOKUP(A689, imdb_netflix_v5!A$2:H$7370, 4, FALSE), "")</f>
        <v>8.3</v>
      </c>
      <c r="E689" s="2">
        <f>IF(A689&lt;&gt;"", VLOOKUP(A689, imdb_netflix_v5!A$2:H$7370, 5, FALSE), "")</f>
        <v>2018</v>
      </c>
      <c r="F689" s="2">
        <f>IF(A689&lt;&gt;"", VLOOKUP(A689, imdb_netflix_v5!A$2:H$7370, 7, FALSE), "")</f>
        <v>17430000</v>
      </c>
    </row>
    <row r="690" ht="15.75" customHeight="1">
      <c r="A690" s="1" t="str">
        <f>IFERROR(__xludf.DUMMYFUNCTION("""COMPUTED_VALUE"""),"ray donovan")</f>
        <v>ray donovan</v>
      </c>
      <c r="B690" s="1" t="str">
        <f>IF(A690&lt;&gt;"", VLOOKUP(A690, imdb_netflix_v5!A$2:H$7370, 2, FALSE), "")</f>
        <v>TV Show</v>
      </c>
      <c r="C690" s="2" t="str">
        <f>IF(A690&lt;&gt;"", VLOOKUP(A690, imdb_netflix_v5!A$2:H$7370, 3, FALSE), "")</f>
        <v>Crime, Drama</v>
      </c>
      <c r="D690" s="2">
        <f>IF(A690&lt;&gt;"", VLOOKUP(A690, imdb_netflix_v5!A$2:H$7370, 4, FALSE), "")</f>
        <v>8.3</v>
      </c>
      <c r="E690" s="2">
        <f>IF(A690&lt;&gt;"", VLOOKUP(A690, imdb_netflix_v5!A$2:H$7370, 5, FALSE), "")</f>
        <v>2013</v>
      </c>
      <c r="F690" s="2" t="str">
        <f>IF(A690&lt;&gt;"", VLOOKUP(A690, imdb_netflix_v5!A$2:H$7370, 7, FALSE), "")</f>
        <v>NA</v>
      </c>
    </row>
    <row r="691" ht="15.75" customHeight="1">
      <c r="A691" s="1" t="str">
        <f>IFERROR(__xludf.DUMMYFUNCTION("""COMPUTED_VALUE"""),"ikiru")</f>
        <v>ikiru</v>
      </c>
      <c r="B691" s="1" t="str">
        <f>IF(A691&lt;&gt;"", VLOOKUP(A691, imdb_netflix_v5!A$2:H$7370, 2, FALSE), "")</f>
        <v>Movie</v>
      </c>
      <c r="C691" s="2" t="str">
        <f>IF(A691&lt;&gt;"", VLOOKUP(A691, imdb_netflix_v5!A$2:H$7370, 3, FALSE), "")</f>
        <v>Drama</v>
      </c>
      <c r="D691" s="2">
        <f>IF(A691&lt;&gt;"", VLOOKUP(A691, imdb_netflix_v5!A$2:H$7370, 4, FALSE), "")</f>
        <v>8.3</v>
      </c>
      <c r="E691" s="2">
        <f>IF(A691&lt;&gt;"", VLOOKUP(A691, imdb_netflix_v5!A$2:H$7370, 5, FALSE), "")</f>
        <v>1952</v>
      </c>
      <c r="F691" s="2" t="str">
        <f>IF(A691&lt;&gt;"", VLOOKUP(A691, imdb_netflix_v5!A$2:H$7370, 7, FALSE), "")</f>
        <v>NA</v>
      </c>
    </row>
    <row r="692" ht="15.75" customHeight="1">
      <c r="A692" s="1" t="str">
        <f>IFERROR(__xludf.DUMMYFUNCTION("""COMPUTED_VALUE"""),"cyberpunk edgerunners")</f>
        <v>cyberpunk edgerunners</v>
      </c>
      <c r="B692" s="1" t="str">
        <f>IF(A692&lt;&gt;"", VLOOKUP(A692, imdb_netflix_v5!A$2:H$7370, 2, FALSE), "")</f>
        <v>TV Show</v>
      </c>
      <c r="C692" s="2" t="str">
        <f>IF(A692&lt;&gt;"", VLOOKUP(A692, imdb_netflix_v5!A$2:H$7370, 3, FALSE), "")</f>
        <v>Action, Adventure, Animation</v>
      </c>
      <c r="D692" s="2">
        <f>IF(A692&lt;&gt;"", VLOOKUP(A692, imdb_netflix_v5!A$2:H$7370, 4, FALSE), "")</f>
        <v>8.3</v>
      </c>
      <c r="E692" s="2">
        <f>IF(A692&lt;&gt;"", VLOOKUP(A692, imdb_netflix_v5!A$2:H$7370, 5, FALSE), "")</f>
        <v>2022</v>
      </c>
      <c r="F692" s="2">
        <f>IF(A692&lt;&gt;"", VLOOKUP(A692, imdb_netflix_v5!A$2:H$7370, 7, FALSE), "")</f>
        <v>8020000</v>
      </c>
    </row>
    <row r="693" ht="15.75" customHeight="1">
      <c r="A693" s="1" t="str">
        <f>IFERROR(__xludf.DUMMYFUNCTION("""COMPUTED_VALUE"""),"judgment at nuremberg")</f>
        <v>judgment at nuremberg</v>
      </c>
      <c r="B693" s="1" t="str">
        <f>IF(A693&lt;&gt;"", VLOOKUP(A693, imdb_netflix_v5!A$2:H$7370, 2, FALSE), "")</f>
        <v>Movie</v>
      </c>
      <c r="C693" s="2" t="str">
        <f>IF(A693&lt;&gt;"", VLOOKUP(A693, imdb_netflix_v5!A$2:H$7370, 3, FALSE), "")</f>
        <v>Drama, War</v>
      </c>
      <c r="D693" s="2">
        <f>IF(A693&lt;&gt;"", VLOOKUP(A693, imdb_netflix_v5!A$2:H$7370, 4, FALSE), "")</f>
        <v>8.3</v>
      </c>
      <c r="E693" s="2">
        <f>IF(A693&lt;&gt;"", VLOOKUP(A693, imdb_netflix_v5!A$2:H$7370, 5, FALSE), "")</f>
        <v>1961</v>
      </c>
      <c r="F693" s="2" t="str">
        <f>IF(A693&lt;&gt;"", VLOOKUP(A693, imdb_netflix_v5!A$2:H$7370, 7, FALSE), "")</f>
        <v>NA</v>
      </c>
    </row>
    <row r="694" ht="15.75" customHeight="1">
      <c r="A694" s="1" t="str">
        <f>IFERROR(__xludf.DUMMYFUNCTION("""COMPUTED_VALUE"""),"castlevania")</f>
        <v>castlevania</v>
      </c>
      <c r="B694" s="1" t="str">
        <f>IF(A694&lt;&gt;"", VLOOKUP(A694, imdb_netflix_v5!A$2:H$7370, 2, FALSE), "")</f>
        <v>TV Show</v>
      </c>
      <c r="C694" s="2" t="str">
        <f>IF(A694&lt;&gt;"", VLOOKUP(A694, imdb_netflix_v5!A$2:H$7370, 3, FALSE), "")</f>
        <v>Action, Adventure, Animation</v>
      </c>
      <c r="D694" s="2">
        <f>IF(A694&lt;&gt;"", VLOOKUP(A694, imdb_netflix_v5!A$2:H$7370, 4, FALSE), "")</f>
        <v>8.3</v>
      </c>
      <c r="E694" s="2">
        <f>IF(A694&lt;&gt;"", VLOOKUP(A694, imdb_netflix_v5!A$2:H$7370, 5, FALSE), "")</f>
        <v>2017</v>
      </c>
      <c r="F694" s="2" t="str">
        <f>IF(A694&lt;&gt;"", VLOOKUP(A694, imdb_netflix_v5!A$2:H$7370, 7, FALSE), "")</f>
        <v>NA</v>
      </c>
    </row>
    <row r="695" ht="15.75" customHeight="1">
      <c r="A695" s="1" t="str">
        <f>IFERROR(__xludf.DUMMYFUNCTION("""COMPUTED_VALUE"""),"vikram")</f>
        <v>vikram</v>
      </c>
      <c r="B695" s="1" t="str">
        <f>IF(A695&lt;&gt;"", VLOOKUP(A695, imdb_netflix_v5!A$2:H$7370, 2, FALSE), "")</f>
        <v>Movie</v>
      </c>
      <c r="C695" s="2" t="str">
        <f>IF(A695&lt;&gt;"", VLOOKUP(A695, imdb_netflix_v5!A$2:H$7370, 3, FALSE), "")</f>
        <v>Action, Crime, Drama</v>
      </c>
      <c r="D695" s="2">
        <f>IF(A695&lt;&gt;"", VLOOKUP(A695, imdb_netflix_v5!A$2:H$7370, 4, FALSE), "")</f>
        <v>8.3</v>
      </c>
      <c r="E695" s="2">
        <f>IF(A695&lt;&gt;"", VLOOKUP(A695, imdb_netflix_v5!A$2:H$7370, 5, FALSE), "")</f>
        <v>2022</v>
      </c>
      <c r="F695" s="2" t="str">
        <f>IF(A695&lt;&gt;"", VLOOKUP(A695, imdb_netflix_v5!A$2:H$7370, 7, FALSE), "")</f>
        <v>NA</v>
      </c>
    </row>
    <row r="696" ht="15.75" customHeight="1">
      <c r="A696" s="1" t="str">
        <f>IFERROR(__xludf.DUMMYFUNCTION("""COMPUTED_VALUE"""),"chainsaw man")</f>
        <v>chainsaw man</v>
      </c>
      <c r="B696" s="1" t="str">
        <f>IF(A696&lt;&gt;"", VLOOKUP(A696, imdb_netflix_v5!A$2:H$7370, 2, FALSE), "")</f>
        <v>TV Show</v>
      </c>
      <c r="C696" s="2" t="str">
        <f>IF(A696&lt;&gt;"", VLOOKUP(A696, imdb_netflix_v5!A$2:H$7370, 3, FALSE), "")</f>
        <v>Animation, Thriller</v>
      </c>
      <c r="D696" s="2">
        <f>IF(A696&lt;&gt;"", VLOOKUP(A696, imdb_netflix_v5!A$2:H$7370, 4, FALSE), "")</f>
        <v>8.3</v>
      </c>
      <c r="E696" s="2">
        <f>IF(A696&lt;&gt;"", VLOOKUP(A696, imdb_netflix_v5!A$2:H$7370, 5, FALSE), "")</f>
        <v>2022</v>
      </c>
      <c r="F696" s="2" t="str">
        <f>IF(A696&lt;&gt;"", VLOOKUP(A696, imdb_netflix_v5!A$2:H$7370, 7, FALSE), "")</f>
        <v>NA</v>
      </c>
    </row>
    <row r="697" ht="15.75" customHeight="1">
      <c r="A697" s="1" t="str">
        <f>IFERROR(__xludf.DUMMYFUNCTION("""COMPUTED_VALUE"""),"chhichhore")</f>
        <v>chhichhore</v>
      </c>
      <c r="B697" s="1" t="str">
        <f>IF(A697&lt;&gt;"", VLOOKUP(A697, imdb_netflix_v5!A$2:H$7370, 2, FALSE), "")</f>
        <v>Movie</v>
      </c>
      <c r="C697" s="2" t="str">
        <f>IF(A697&lt;&gt;"", VLOOKUP(A697, imdb_netflix_v5!A$2:H$7370, 3, FALSE), "")</f>
        <v>Comedy, Drama, Romance</v>
      </c>
      <c r="D697" s="2">
        <f>IF(A697&lt;&gt;"", VLOOKUP(A697, imdb_netflix_v5!A$2:H$7370, 4, FALSE), "")</f>
        <v>8.3</v>
      </c>
      <c r="E697" s="2">
        <f>IF(A697&lt;&gt;"", VLOOKUP(A697, imdb_netflix_v5!A$2:H$7370, 5, FALSE), "")</f>
        <v>2019</v>
      </c>
      <c r="F697" s="2" t="str">
        <f>IF(A697&lt;&gt;"", VLOOKUP(A697, imdb_netflix_v5!A$2:H$7370, 7, FALSE), "")</f>
        <v>NA</v>
      </c>
    </row>
    <row r="698" ht="15.75" customHeight="1">
      <c r="A698" s="1" t="str">
        <f>IFERROR(__xludf.DUMMYFUNCTION("""COMPUTED_VALUE"""),"star trek strange new worlds")</f>
        <v>star trek strange new worlds</v>
      </c>
      <c r="B698" s="1" t="str">
        <f>IF(A698&lt;&gt;"", VLOOKUP(A698, imdb_netflix_v5!A$2:H$7370, 2, FALSE), "")</f>
        <v>TV Show</v>
      </c>
      <c r="C698" s="2" t="str">
        <f>IF(A698&lt;&gt;"", VLOOKUP(A698, imdb_netflix_v5!A$2:H$7370, 3, FALSE), "")</f>
        <v>Action, Adventure, Sci-Fi</v>
      </c>
      <c r="D698" s="2">
        <f>IF(A698&lt;&gt;"", VLOOKUP(A698, imdb_netflix_v5!A$2:H$7370, 4, FALSE), "")</f>
        <v>8.3</v>
      </c>
      <c r="E698" s="2">
        <f>IF(A698&lt;&gt;"", VLOOKUP(A698, imdb_netflix_v5!A$2:H$7370, 5, FALSE), "")</f>
        <v>2022</v>
      </c>
      <c r="F698" s="2" t="str">
        <f>IF(A698&lt;&gt;"", VLOOKUP(A698, imdb_netflix_v5!A$2:H$7370, 7, FALSE), "")</f>
        <v>NA</v>
      </c>
    </row>
    <row r="699" ht="15.75" customHeight="1">
      <c r="A699" s="1" t="str">
        <f>IFERROR(__xludf.DUMMYFUNCTION("""COMPUTED_VALUE"""),"extras")</f>
        <v>extras</v>
      </c>
      <c r="B699" s="1" t="str">
        <f>IF(A699&lt;&gt;"", VLOOKUP(A699, imdb_netflix_v5!A$2:H$7370, 2, FALSE), "")</f>
        <v>TV Show</v>
      </c>
      <c r="C699" s="2" t="str">
        <f>IF(A699&lt;&gt;"", VLOOKUP(A699, imdb_netflix_v5!A$2:H$7370, 3, FALSE), "")</f>
        <v>Comedy, Drama</v>
      </c>
      <c r="D699" s="2">
        <f>IF(A699&lt;&gt;"", VLOOKUP(A699, imdb_netflix_v5!A$2:H$7370, 4, FALSE), "")</f>
        <v>8.3</v>
      </c>
      <c r="E699" s="2">
        <f>IF(A699&lt;&gt;"", VLOOKUP(A699, imdb_netflix_v5!A$2:H$7370, 5, FALSE), "")</f>
        <v>2005</v>
      </c>
      <c r="F699" s="2" t="str">
        <f>IF(A699&lt;&gt;"", VLOOKUP(A699, imdb_netflix_v5!A$2:H$7370, 7, FALSE), "")</f>
        <v>NA</v>
      </c>
    </row>
    <row r="700" ht="15.75" customHeight="1">
      <c r="A700" s="1">
        <f>IFERROR(__xludf.DUMMYFUNCTION("""COMPUTED_VALUE"""),1923.0)</f>
        <v>1923</v>
      </c>
      <c r="B700" s="1" t="str">
        <f>IF(A700&lt;&gt;"", VLOOKUP(A700, imdb_netflix_v5!A$2:H$7370, 2, FALSE), "")</f>
        <v>TV Show</v>
      </c>
      <c r="C700" s="2" t="str">
        <f>IF(A700&lt;&gt;"", VLOOKUP(A700, imdb_netflix_v5!A$2:H$7370, 3, FALSE), "")</f>
        <v>Drama, Western</v>
      </c>
      <c r="D700" s="2">
        <f>IF(A700&lt;&gt;"", VLOOKUP(A700, imdb_netflix_v5!A$2:H$7370, 4, FALSE), "")</f>
        <v>8.3</v>
      </c>
      <c r="E700" s="2">
        <f>IF(A700&lt;&gt;"", VLOOKUP(A700, imdb_netflix_v5!A$2:H$7370, 5, FALSE), "")</f>
        <v>2022</v>
      </c>
      <c r="F700" s="2" t="str">
        <f>IF(A700&lt;&gt;"", VLOOKUP(A700, imdb_netflix_v5!A$2:H$7370, 7, FALSE), "")</f>
        <v>NA</v>
      </c>
    </row>
    <row r="701" ht="15.75" customHeight="1">
      <c r="A701" s="1" t="str">
        <f>IFERROR(__xludf.DUMMYFUNCTION("""COMPUTED_VALUE"""),"blue mountain state")</f>
        <v>blue mountain state</v>
      </c>
      <c r="B701" s="1" t="str">
        <f>IF(A701&lt;&gt;"", VLOOKUP(A701, imdb_netflix_v5!A$2:H$7370, 2, FALSE), "")</f>
        <v>TV Show</v>
      </c>
      <c r="C701" s="2" t="str">
        <f>IF(A701&lt;&gt;"", VLOOKUP(A701, imdb_netflix_v5!A$2:H$7370, 3, FALSE), "")</f>
        <v>Comedy, Sport</v>
      </c>
      <c r="D701" s="2">
        <f>IF(A701&lt;&gt;"", VLOOKUP(A701, imdb_netflix_v5!A$2:H$7370, 4, FALSE), "")</f>
        <v>8.3</v>
      </c>
      <c r="E701" s="2">
        <f>IF(A701&lt;&gt;"", VLOOKUP(A701, imdb_netflix_v5!A$2:H$7370, 5, FALSE), "")</f>
        <v>2010</v>
      </c>
      <c r="F701" s="2" t="str">
        <f>IF(A701&lt;&gt;"", VLOOKUP(A701, imdb_netflix_v5!A$2:H$7370, 7, FALSE), "")</f>
        <v>NA</v>
      </c>
    </row>
    <row r="702" ht="15.75" customHeight="1">
      <c r="A702" s="1" t="str">
        <f>IFERROR(__xludf.DUMMYFUNCTION("""COMPUTED_VALUE"""),"hell on wheels")</f>
        <v>hell on wheels</v>
      </c>
      <c r="B702" s="1" t="str">
        <f>IF(A702&lt;&gt;"", VLOOKUP(A702, imdb_netflix_v5!A$2:H$7370, 2, FALSE), "")</f>
        <v>TV Show</v>
      </c>
      <c r="C702" s="2" t="str">
        <f>IF(A702&lt;&gt;"", VLOOKUP(A702, imdb_netflix_v5!A$2:H$7370, 3, FALSE), "")</f>
        <v>Drama, Western</v>
      </c>
      <c r="D702" s="2">
        <f>IF(A702&lt;&gt;"", VLOOKUP(A702, imdb_netflix_v5!A$2:H$7370, 4, FALSE), "")</f>
        <v>8.3</v>
      </c>
      <c r="E702" s="2">
        <f>IF(A702&lt;&gt;"", VLOOKUP(A702, imdb_netflix_v5!A$2:H$7370, 5, FALSE), "")</f>
        <v>2011</v>
      </c>
      <c r="F702" s="2" t="str">
        <f>IF(A702&lt;&gt;"", VLOOKUP(A702, imdb_netflix_v5!A$2:H$7370, 7, FALSE), "")</f>
        <v>NA</v>
      </c>
    </row>
    <row r="703" ht="15.75" customHeight="1">
      <c r="A703" s="1" t="str">
        <f>IFERROR(__xludf.DUMMYFUNCTION("""COMPUTED_VALUE"""),"mythbusters")</f>
        <v>mythbusters</v>
      </c>
      <c r="B703" s="1" t="str">
        <f>IF(A703&lt;&gt;"", VLOOKUP(A703, imdb_netflix_v5!A$2:H$7370, 2, FALSE), "")</f>
        <v>TV Show</v>
      </c>
      <c r="C703" s="2" t="str">
        <f>IF(A703&lt;&gt;"", VLOOKUP(A703, imdb_netflix_v5!A$2:H$7370, 3, FALSE), "")</f>
        <v>Documentary, Mystery, Reality-TV</v>
      </c>
      <c r="D703" s="2">
        <f>IF(A703&lt;&gt;"", VLOOKUP(A703, imdb_netflix_v5!A$2:H$7370, 4, FALSE), "")</f>
        <v>8.3</v>
      </c>
      <c r="E703" s="2">
        <f>IF(A703&lt;&gt;"", VLOOKUP(A703, imdb_netflix_v5!A$2:H$7370, 5, FALSE), "")</f>
        <v>2003</v>
      </c>
      <c r="F703" s="2" t="str">
        <f>IF(A703&lt;&gt;"", VLOOKUP(A703, imdb_netflix_v5!A$2:H$7370, 7, FALSE), "")</f>
        <v>NA</v>
      </c>
    </row>
    <row r="704" ht="15.75" customHeight="1">
      <c r="A704" s="1" t="str">
        <f>IFERROR(__xludf.DUMMYFUNCTION("""COMPUTED_VALUE"""),"courage the cowardly dog")</f>
        <v>courage the cowardly dog</v>
      </c>
      <c r="B704" s="1" t="str">
        <f>IF(A704&lt;&gt;"", VLOOKUP(A704, imdb_netflix_v5!A$2:H$7370, 2, FALSE), "")</f>
        <v>TV Show</v>
      </c>
      <c r="C704" s="2" t="str">
        <f>IF(A704&lt;&gt;"", VLOOKUP(A704, imdb_netflix_v5!A$2:H$7370, 3, FALSE), "")</f>
        <v>Adventure, Animation, Comedy</v>
      </c>
      <c r="D704" s="2">
        <f>IF(A704&lt;&gt;"", VLOOKUP(A704, imdb_netflix_v5!A$2:H$7370, 4, FALSE), "")</f>
        <v>8.3</v>
      </c>
      <c r="E704" s="2">
        <f>IF(A704&lt;&gt;"", VLOOKUP(A704, imdb_netflix_v5!A$2:H$7370, 5, FALSE), "")</f>
        <v>1999</v>
      </c>
      <c r="F704" s="2" t="str">
        <f>IF(A704&lt;&gt;"", VLOOKUP(A704, imdb_netflix_v5!A$2:H$7370, 7, FALSE), "")</f>
        <v>NA</v>
      </c>
    </row>
    <row r="705" ht="15.75" customHeight="1">
      <c r="A705" s="1" t="str">
        <f>IFERROR(__xludf.DUMMYFUNCTION("""COMPUTED_VALUE"""),"parasyte the maxim")</f>
        <v>parasyte the maxim</v>
      </c>
      <c r="B705" s="1" t="str">
        <f>IF(A705&lt;&gt;"", VLOOKUP(A705, imdb_netflix_v5!A$2:H$7370, 2, FALSE), "")</f>
        <v>TV Show</v>
      </c>
      <c r="C705" s="2" t="str">
        <f>IF(A705&lt;&gt;"", VLOOKUP(A705, imdb_netflix_v5!A$2:H$7370, 3, FALSE), "")</f>
        <v>Action, Animation, Drama</v>
      </c>
      <c r="D705" s="2">
        <f>IF(A705&lt;&gt;"", VLOOKUP(A705, imdb_netflix_v5!A$2:H$7370, 4, FALSE), "")</f>
        <v>8.3</v>
      </c>
      <c r="E705" s="2">
        <f>IF(A705&lt;&gt;"", VLOOKUP(A705, imdb_netflix_v5!A$2:H$7370, 5, FALSE), "")</f>
        <v>2014</v>
      </c>
      <c r="F705" s="2" t="str">
        <f>IF(A705&lt;&gt;"", VLOOKUP(A705, imdb_netflix_v5!A$2:H$7370, 7, FALSE), "")</f>
        <v>NA</v>
      </c>
    </row>
    <row r="706" ht="15.75" customHeight="1">
      <c r="A706" s="1" t="str">
        <f>IFERROR(__xludf.DUMMYFUNCTION("""COMPUTED_VALUE"""),"raatchasan")</f>
        <v>raatchasan</v>
      </c>
      <c r="B706" s="1" t="str">
        <f>IF(A706&lt;&gt;"", VLOOKUP(A706, imdb_netflix_v5!A$2:H$7370, 2, FALSE), "")</f>
        <v>Movie</v>
      </c>
      <c r="C706" s="2" t="str">
        <f>IF(A706&lt;&gt;"", VLOOKUP(A706, imdb_netflix_v5!A$2:H$7370, 3, FALSE), "")</f>
        <v>Crime, Mystery, Thriller</v>
      </c>
      <c r="D706" s="2">
        <f>IF(A706&lt;&gt;"", VLOOKUP(A706, imdb_netflix_v5!A$2:H$7370, 4, FALSE), "")</f>
        <v>8.3</v>
      </c>
      <c r="E706" s="2">
        <f>IF(A706&lt;&gt;"", VLOOKUP(A706, imdb_netflix_v5!A$2:H$7370, 5, FALSE), "")</f>
        <v>2018</v>
      </c>
      <c r="F706" s="2" t="str">
        <f>IF(A706&lt;&gt;"", VLOOKUP(A706, imdb_netflix_v5!A$2:H$7370, 7, FALSE), "")</f>
        <v>NA</v>
      </c>
    </row>
    <row r="707" ht="15.75" customHeight="1">
      <c r="A707" s="1" t="str">
        <f>IFERROR(__xludf.DUMMYFUNCTION("""COMPUTED_VALUE"""),"farzi")</f>
        <v>farzi</v>
      </c>
      <c r="B707" s="1" t="str">
        <f>IF(A707&lt;&gt;"", VLOOKUP(A707, imdb_netflix_v5!A$2:H$7370, 2, FALSE), "")</f>
        <v>TV Show</v>
      </c>
      <c r="C707" s="2" t="str">
        <f>IF(A707&lt;&gt;"", VLOOKUP(A707, imdb_netflix_v5!A$2:H$7370, 3, FALSE), "")</f>
        <v>Crime, Drama, Thriller</v>
      </c>
      <c r="D707" s="2">
        <f>IF(A707&lt;&gt;"", VLOOKUP(A707, imdb_netflix_v5!A$2:H$7370, 4, FALSE), "")</f>
        <v>8.3</v>
      </c>
      <c r="E707" s="2">
        <f>IF(A707&lt;&gt;"", VLOOKUP(A707, imdb_netflix_v5!A$2:H$7370, 5, FALSE), "")</f>
        <v>2023</v>
      </c>
      <c r="F707" s="2" t="str">
        <f>IF(A707&lt;&gt;"", VLOOKUP(A707, imdb_netflix_v5!A$2:H$7370, 7, FALSE), "")</f>
        <v>NA</v>
      </c>
    </row>
    <row r="708" ht="15.75" customHeight="1">
      <c r="A708" s="1" t="str">
        <f>IFERROR(__xludf.DUMMYFUNCTION("""COMPUTED_VALUE"""),"the daily show")</f>
        <v>the daily show</v>
      </c>
      <c r="B708" s="1" t="str">
        <f>IF(A708&lt;&gt;"", VLOOKUP(A708, imdb_netflix_v5!A$2:H$7370, 2, FALSE), "")</f>
        <v>TV Show</v>
      </c>
      <c r="C708" s="2" t="str">
        <f>IF(A708&lt;&gt;"", VLOOKUP(A708, imdb_netflix_v5!A$2:H$7370, 3, FALSE), "")</f>
        <v>Comedy, News, Talk-Show</v>
      </c>
      <c r="D708" s="2">
        <f>IF(A708&lt;&gt;"", VLOOKUP(A708, imdb_netflix_v5!A$2:H$7370, 4, FALSE), "")</f>
        <v>8.3</v>
      </c>
      <c r="E708" s="2">
        <f>IF(A708&lt;&gt;"", VLOOKUP(A708, imdb_netflix_v5!A$2:H$7370, 5, FALSE), "")</f>
        <v>1996</v>
      </c>
      <c r="F708" s="2" t="str">
        <f>IF(A708&lt;&gt;"", VLOOKUP(A708, imdb_netflix_v5!A$2:H$7370, 7, FALSE), "")</f>
        <v>NA</v>
      </c>
    </row>
    <row r="709" ht="15.75" customHeight="1">
      <c r="A709" s="1" t="str">
        <f>IFERROR(__xludf.DUMMYFUNCTION("""COMPUTED_VALUE"""),"the young pope")</f>
        <v>the young pope</v>
      </c>
      <c r="B709" s="1" t="str">
        <f>IF(A709&lt;&gt;"", VLOOKUP(A709, imdb_netflix_v5!A$2:H$7370, 2, FALSE), "")</f>
        <v>TV Show</v>
      </c>
      <c r="C709" s="2" t="str">
        <f>IF(A709&lt;&gt;"", VLOOKUP(A709, imdb_netflix_v5!A$2:H$7370, 3, FALSE), "")</f>
        <v>Drama</v>
      </c>
      <c r="D709" s="2">
        <f>IF(A709&lt;&gt;"", VLOOKUP(A709, imdb_netflix_v5!A$2:H$7370, 4, FALSE), "")</f>
        <v>8.3</v>
      </c>
      <c r="E709" s="2">
        <f>IF(A709&lt;&gt;"", VLOOKUP(A709, imdb_netflix_v5!A$2:H$7370, 5, FALSE), "")</f>
        <v>2016</v>
      </c>
      <c r="F709" s="2" t="str">
        <f>IF(A709&lt;&gt;"", VLOOKUP(A709, imdb_netflix_v5!A$2:H$7370, 7, FALSE), "")</f>
        <v>NA</v>
      </c>
    </row>
    <row r="710" ht="15.75" customHeight="1">
      <c r="A710" s="1" t="str">
        <f>IFERROR(__xludf.DUMMYFUNCTION("""COMPUTED_VALUE"""),"sardar udham")</f>
        <v>sardar udham</v>
      </c>
      <c r="B710" s="1" t="str">
        <f>IF(A710&lt;&gt;"", VLOOKUP(A710, imdb_netflix_v5!A$2:H$7370, 2, FALSE), "")</f>
        <v>Movie</v>
      </c>
      <c r="C710" s="2" t="str">
        <f>IF(A710&lt;&gt;"", VLOOKUP(A710, imdb_netflix_v5!A$2:H$7370, 3, FALSE), "")</f>
        <v>Crime, Drama, History</v>
      </c>
      <c r="D710" s="2">
        <f>IF(A710&lt;&gt;"", VLOOKUP(A710, imdb_netflix_v5!A$2:H$7370, 4, FALSE), "")</f>
        <v>8.3</v>
      </c>
      <c r="E710" s="2">
        <f>IF(A710&lt;&gt;"", VLOOKUP(A710, imdb_netflix_v5!A$2:H$7370, 5, FALSE), "")</f>
        <v>2021</v>
      </c>
      <c r="F710" s="2" t="str">
        <f>IF(A710&lt;&gt;"", VLOOKUP(A710, imdb_netflix_v5!A$2:H$7370, 7, FALSE), "")</f>
        <v>NA</v>
      </c>
    </row>
    <row r="711" ht="15.75" customHeight="1">
      <c r="A711" s="1" t="str">
        <f>IFERROR(__xludf.DUMMYFUNCTION("""COMPUTED_VALUE"""),"24 live another day")</f>
        <v>24 live another day</v>
      </c>
      <c r="B711" s="1" t="str">
        <f>IF(A711&lt;&gt;"", VLOOKUP(A711, imdb_netflix_v5!A$2:H$7370, 2, FALSE), "")</f>
        <v>TV Show</v>
      </c>
      <c r="C711" s="2" t="str">
        <f>IF(A711&lt;&gt;"", VLOOKUP(A711, imdb_netflix_v5!A$2:H$7370, 3, FALSE), "")</f>
        <v>Action, Crime, Drama</v>
      </c>
      <c r="D711" s="2">
        <f>IF(A711&lt;&gt;"", VLOOKUP(A711, imdb_netflix_v5!A$2:H$7370, 4, FALSE), "")</f>
        <v>8.3</v>
      </c>
      <c r="E711" s="2">
        <f>IF(A711&lt;&gt;"", VLOOKUP(A711, imdb_netflix_v5!A$2:H$7370, 5, FALSE), "")</f>
        <v>2014</v>
      </c>
      <c r="F711" s="2" t="str">
        <f>IF(A711&lt;&gt;"", VLOOKUP(A711, imdb_netflix_v5!A$2:H$7370, 7, FALSE), "")</f>
        <v>NA</v>
      </c>
    </row>
    <row r="712" ht="15.75" customHeight="1">
      <c r="A712" s="1" t="str">
        <f>IFERROR(__xludf.DUMMYFUNCTION("""COMPUTED_VALUE"""),"spy x family")</f>
        <v>spy x family</v>
      </c>
      <c r="B712" s="1" t="str">
        <f>IF(A712&lt;&gt;"", VLOOKUP(A712, imdb_netflix_v5!A$2:H$7370, 2, FALSE), "")</f>
        <v>TV Show</v>
      </c>
      <c r="C712" s="2" t="str">
        <f>IF(A712&lt;&gt;"", VLOOKUP(A712, imdb_netflix_v5!A$2:H$7370, 3, FALSE), "")</f>
        <v>Action, Animation, Comedy</v>
      </c>
      <c r="D712" s="2">
        <f>IF(A712&lt;&gt;"", VLOOKUP(A712, imdb_netflix_v5!A$2:H$7370, 4, FALSE), "")</f>
        <v>8.3</v>
      </c>
      <c r="E712" s="2">
        <f>IF(A712&lt;&gt;"", VLOOKUP(A712, imdb_netflix_v5!A$2:H$7370, 5, FALSE), "")</f>
        <v>2022</v>
      </c>
      <c r="F712" s="2">
        <f>IF(A712&lt;&gt;"", VLOOKUP(A712, imdb_netflix_v5!A$2:H$7370, 7, FALSE), "")</f>
        <v>1200000</v>
      </c>
    </row>
    <row r="713" ht="15.75" customHeight="1">
      <c r="A713" s="1" t="str">
        <f>IFERROR(__xludf.DUMMYFUNCTION("""COMPUTED_VALUE"""),"drishyam")</f>
        <v>drishyam</v>
      </c>
      <c r="B713" s="1" t="str">
        <f>IF(A713&lt;&gt;"", VLOOKUP(A713, imdb_netflix_v5!A$2:H$7370, 2, FALSE), "")</f>
        <v>Movie</v>
      </c>
      <c r="C713" s="2" t="str">
        <f>IF(A713&lt;&gt;"", VLOOKUP(A713, imdb_netflix_v5!A$2:H$7370, 3, FALSE), "")</f>
        <v>Crime, Drama, Mystery</v>
      </c>
      <c r="D713" s="2">
        <f>IF(A713&lt;&gt;"", VLOOKUP(A713, imdb_netflix_v5!A$2:H$7370, 4, FALSE), "")</f>
        <v>8.3</v>
      </c>
      <c r="E713" s="2">
        <f>IF(A713&lt;&gt;"", VLOOKUP(A713, imdb_netflix_v5!A$2:H$7370, 5, FALSE), "")</f>
        <v>2013</v>
      </c>
      <c r="F713" s="2" t="str">
        <f>IF(A713&lt;&gt;"", VLOOKUP(A713, imdb_netflix_v5!A$2:H$7370, 7, FALSE), "")</f>
        <v>NA</v>
      </c>
    </row>
    <row r="714" ht="15.75" customHeight="1">
      <c r="A714" s="1" t="str">
        <f>IFERROR(__xludf.DUMMYFUNCTION("""COMPUTED_VALUE"""),"columbo")</f>
        <v>columbo</v>
      </c>
      <c r="B714" s="1" t="str">
        <f>IF(A714&lt;&gt;"", VLOOKUP(A714, imdb_netflix_v5!A$2:H$7370, 2, FALSE), "")</f>
        <v>TV Show</v>
      </c>
      <c r="C714" s="2" t="str">
        <f>IF(A714&lt;&gt;"", VLOOKUP(A714, imdb_netflix_v5!A$2:H$7370, 3, FALSE), "")</f>
        <v>Crime, Drama, Mystery</v>
      </c>
      <c r="D714" s="2">
        <f>IF(A714&lt;&gt;"", VLOOKUP(A714, imdb_netflix_v5!A$2:H$7370, 4, FALSE), "")</f>
        <v>8.3</v>
      </c>
      <c r="E714" s="2">
        <f>IF(A714&lt;&gt;"", VLOOKUP(A714, imdb_netflix_v5!A$2:H$7370, 5, FALSE), "")</f>
        <v>1971</v>
      </c>
      <c r="F714" s="2" t="str">
        <f>IF(A714&lt;&gt;"", VLOOKUP(A714, imdb_netflix_v5!A$2:H$7370, 7, FALSE), "")</f>
        <v>NA</v>
      </c>
    </row>
    <row r="715" ht="15.75" customHeight="1">
      <c r="A715" s="1" t="str">
        <f>IFERROR(__xludf.DUMMYFUNCTION("""COMPUTED_VALUE"""),"bad sisters")</f>
        <v>bad sisters</v>
      </c>
      <c r="B715" s="1" t="str">
        <f>IF(A715&lt;&gt;"", VLOOKUP(A715, imdb_netflix_v5!A$2:H$7370, 2, FALSE), "")</f>
        <v>TV Show</v>
      </c>
      <c r="C715" s="2" t="str">
        <f>IF(A715&lt;&gt;"", VLOOKUP(A715, imdb_netflix_v5!A$2:H$7370, 3, FALSE), "")</f>
        <v>Comedy, Drama, Thriller</v>
      </c>
      <c r="D715" s="2">
        <f>IF(A715&lt;&gt;"", VLOOKUP(A715, imdb_netflix_v5!A$2:H$7370, 4, FALSE), "")</f>
        <v>8.3</v>
      </c>
      <c r="E715" s="2">
        <f>IF(A715&lt;&gt;"", VLOOKUP(A715, imdb_netflix_v5!A$2:H$7370, 5, FALSE), "")</f>
        <v>2022</v>
      </c>
      <c r="F715" s="2" t="str">
        <f>IF(A715&lt;&gt;"", VLOOKUP(A715, imdb_netflix_v5!A$2:H$7370, 7, FALSE), "")</f>
        <v>NA</v>
      </c>
    </row>
    <row r="716" ht="15.75" customHeight="1">
      <c r="A716" s="1" t="str">
        <f>IFERROR(__xludf.DUMMYFUNCTION("""COMPUTED_VALUE"""),"longmire")</f>
        <v>longmire</v>
      </c>
      <c r="B716" s="1" t="str">
        <f>IF(A716&lt;&gt;"", VLOOKUP(A716, imdb_netflix_v5!A$2:H$7370, 2, FALSE), "")</f>
        <v>TV Show</v>
      </c>
      <c r="C716" s="2" t="str">
        <f>IF(A716&lt;&gt;"", VLOOKUP(A716, imdb_netflix_v5!A$2:H$7370, 3, FALSE), "")</f>
        <v>Action, Crime, Drama</v>
      </c>
      <c r="D716" s="2">
        <f>IF(A716&lt;&gt;"", VLOOKUP(A716, imdb_netflix_v5!A$2:H$7370, 4, FALSE), "")</f>
        <v>8.3</v>
      </c>
      <c r="E716" s="2">
        <f>IF(A716&lt;&gt;"", VLOOKUP(A716, imdb_netflix_v5!A$2:H$7370, 5, FALSE), "")</f>
        <v>2012</v>
      </c>
      <c r="F716" s="2" t="str">
        <f>IF(A716&lt;&gt;"", VLOOKUP(A716, imdb_netflix_v5!A$2:H$7370, 7, FALSE), "")</f>
        <v>NA</v>
      </c>
    </row>
    <row r="717" ht="15.75" customHeight="1">
      <c r="A717" s="1" t="str">
        <f>IFERROR(__xludf.DUMMYFUNCTION("""COMPUTED_VALUE"""),"farscape")</f>
        <v>farscape</v>
      </c>
      <c r="B717" s="1" t="str">
        <f>IF(A717&lt;&gt;"", VLOOKUP(A717, imdb_netflix_v5!A$2:H$7370, 2, FALSE), "")</f>
        <v>TV Show</v>
      </c>
      <c r="C717" s="2" t="str">
        <f>IF(A717&lt;&gt;"", VLOOKUP(A717, imdb_netflix_v5!A$2:H$7370, 3, FALSE), "")</f>
        <v>Action, Adventure, Drama</v>
      </c>
      <c r="D717" s="2">
        <f>IF(A717&lt;&gt;"", VLOOKUP(A717, imdb_netflix_v5!A$2:H$7370, 4, FALSE), "")</f>
        <v>8.3</v>
      </c>
      <c r="E717" s="2">
        <f>IF(A717&lt;&gt;"", VLOOKUP(A717, imdb_netflix_v5!A$2:H$7370, 5, FALSE), "")</f>
        <v>1999</v>
      </c>
      <c r="F717" s="2" t="str">
        <f>IF(A717&lt;&gt;"", VLOOKUP(A717, imdb_netflix_v5!A$2:H$7370, 7, FALSE), "")</f>
        <v>NA</v>
      </c>
    </row>
    <row r="718" ht="15.75" customHeight="1">
      <c r="A718" s="1" t="str">
        <f>IFERROR(__xludf.DUMMYFUNCTION("""COMPUTED_VALUE"""),"fauda")</f>
        <v>fauda</v>
      </c>
      <c r="B718" s="1" t="str">
        <f>IF(A718&lt;&gt;"", VLOOKUP(A718, imdb_netflix_v5!A$2:H$7370, 2, FALSE), "")</f>
        <v>TV Show</v>
      </c>
      <c r="C718" s="2" t="str">
        <f>IF(A718&lt;&gt;"", VLOOKUP(A718, imdb_netflix_v5!A$2:H$7370, 3, FALSE), "")</f>
        <v>Action, Drama, Thriller</v>
      </c>
      <c r="D718" s="2">
        <f>IF(A718&lt;&gt;"", VLOOKUP(A718, imdb_netflix_v5!A$2:H$7370, 4, FALSE), "")</f>
        <v>8.3</v>
      </c>
      <c r="E718" s="2">
        <f>IF(A718&lt;&gt;"", VLOOKUP(A718, imdb_netflix_v5!A$2:H$7370, 5, FALSE), "")</f>
        <v>2015</v>
      </c>
      <c r="F718" s="2">
        <f>IF(A718&lt;&gt;"", VLOOKUP(A718, imdb_netflix_v5!A$2:H$7370, 7, FALSE), "")</f>
        <v>19210000</v>
      </c>
    </row>
    <row r="719" ht="15.75" customHeight="1">
      <c r="A719" s="1" t="str">
        <f>IFERROR(__xludf.DUMMYFUNCTION("""COMPUTED_VALUE"""),"dragon ball super")</f>
        <v>dragon ball super</v>
      </c>
      <c r="B719" s="1" t="str">
        <f>IF(A719&lt;&gt;"", VLOOKUP(A719, imdb_netflix_v5!A$2:H$7370, 2, FALSE), "")</f>
        <v>TV Show</v>
      </c>
      <c r="C719" s="2" t="str">
        <f>IF(A719&lt;&gt;"", VLOOKUP(A719, imdb_netflix_v5!A$2:H$7370, 3, FALSE), "")</f>
        <v>Action, Adventure, Animation</v>
      </c>
      <c r="D719" s="2">
        <f>IF(A719&lt;&gt;"", VLOOKUP(A719, imdb_netflix_v5!A$2:H$7370, 4, FALSE), "")</f>
        <v>8.3</v>
      </c>
      <c r="E719" s="2">
        <f>IF(A719&lt;&gt;"", VLOOKUP(A719, imdb_netflix_v5!A$2:H$7370, 5, FALSE), "")</f>
        <v>2015</v>
      </c>
      <c r="F719" s="2" t="str">
        <f>IF(A719&lt;&gt;"", VLOOKUP(A719, imdb_netflix_v5!A$2:H$7370, 7, FALSE), "")</f>
        <v>NA</v>
      </c>
    </row>
    <row r="720" ht="15.75" customHeight="1">
      <c r="A720" s="1" t="str">
        <f>IFERROR(__xludf.DUMMYFUNCTION("""COMPUTED_VALUE"""),"parenthood")</f>
        <v>parenthood</v>
      </c>
      <c r="B720" s="1" t="str">
        <f>IF(A720&lt;&gt;"", VLOOKUP(A720, imdb_netflix_v5!A$2:H$7370, 2, FALSE), "")</f>
        <v>TV Show</v>
      </c>
      <c r="C720" s="2" t="str">
        <f>IF(A720&lt;&gt;"", VLOOKUP(A720, imdb_netflix_v5!A$2:H$7370, 3, FALSE), "")</f>
        <v>Comedy, Drama</v>
      </c>
      <c r="D720" s="2">
        <f>IF(A720&lt;&gt;"", VLOOKUP(A720, imdb_netflix_v5!A$2:H$7370, 4, FALSE), "")</f>
        <v>8.3</v>
      </c>
      <c r="E720" s="2">
        <f>IF(A720&lt;&gt;"", VLOOKUP(A720, imdb_netflix_v5!A$2:H$7370, 5, FALSE), "")</f>
        <v>2010</v>
      </c>
      <c r="F720" s="2" t="str">
        <f>IF(A720&lt;&gt;"", VLOOKUP(A720, imdb_netflix_v5!A$2:H$7370, 7, FALSE), "")</f>
        <v>NA</v>
      </c>
    </row>
    <row r="721" ht="15.75" customHeight="1">
      <c r="A721" s="1" t="str">
        <f>IFERROR(__xludf.DUMMYFUNCTION("""COMPUTED_VALUE"""),"poldark")</f>
        <v>poldark</v>
      </c>
      <c r="B721" s="1" t="str">
        <f>IF(A721&lt;&gt;"", VLOOKUP(A721, imdb_netflix_v5!A$2:H$7370, 2, FALSE), "")</f>
        <v>TV Show</v>
      </c>
      <c r="C721" s="2" t="str">
        <f>IF(A721&lt;&gt;"", VLOOKUP(A721, imdb_netflix_v5!A$2:H$7370, 3, FALSE), "")</f>
        <v>Drama, Romance</v>
      </c>
      <c r="D721" s="2">
        <f>IF(A721&lt;&gt;"", VLOOKUP(A721, imdb_netflix_v5!A$2:H$7370, 4, FALSE), "")</f>
        <v>8.3</v>
      </c>
      <c r="E721" s="2">
        <f>IF(A721&lt;&gt;"", VLOOKUP(A721, imdb_netflix_v5!A$2:H$7370, 5, FALSE), "")</f>
        <v>2015</v>
      </c>
      <c r="F721" s="2" t="str">
        <f>IF(A721&lt;&gt;"", VLOOKUP(A721, imdb_netflix_v5!A$2:H$7370, 7, FALSE), "")</f>
        <v>NA</v>
      </c>
    </row>
    <row r="722" ht="15.75" customHeight="1">
      <c r="A722" s="1" t="str">
        <f>IFERROR(__xludf.DUMMYFUNCTION("""COMPUTED_VALUE"""),"sugarland")</f>
        <v>sugarland</v>
      </c>
      <c r="B722" s="1" t="str">
        <f>IF(A722&lt;&gt;"", VLOOKUP(A722, imdb_netflix_v5!A$2:H$7370, 2, FALSE), "")</f>
        <v>TV Show</v>
      </c>
      <c r="C722" s="2" t="str">
        <f>IF(A722&lt;&gt;"", VLOOKUP(A722, imdb_netflix_v5!A$2:H$7370, 3, FALSE), "")</f>
        <v>Animation, Comedy, Family</v>
      </c>
      <c r="D722" s="2">
        <f>IF(A722&lt;&gt;"", VLOOKUP(A722, imdb_netflix_v5!A$2:H$7370, 4, FALSE), "")</f>
        <v>8.3</v>
      </c>
      <c r="E722" s="2">
        <f>IF(A722&lt;&gt;"", VLOOKUP(A722, imdb_netflix_v5!A$2:H$7370, 5, FALSE), "")</f>
        <v>2019</v>
      </c>
      <c r="F722" s="2" t="str">
        <f>IF(A722&lt;&gt;"", VLOOKUP(A722, imdb_netflix_v5!A$2:H$7370, 7, FALSE), "")</f>
        <v>NA</v>
      </c>
    </row>
    <row r="723" ht="15.75" customHeight="1">
      <c r="A723" s="1" t="str">
        <f>IFERROR(__xludf.DUMMYFUNCTION("""COMPUTED_VALUE"""),"an idiot abroad")</f>
        <v>an idiot abroad</v>
      </c>
      <c r="B723" s="1" t="str">
        <f>IF(A723&lt;&gt;"", VLOOKUP(A723, imdb_netflix_v5!A$2:H$7370, 2, FALSE), "")</f>
        <v>TV Show</v>
      </c>
      <c r="C723" s="2" t="str">
        <f>IF(A723&lt;&gt;"", VLOOKUP(A723, imdb_netflix_v5!A$2:H$7370, 3, FALSE), "")</f>
        <v>Adventure, Comedy, Documentary</v>
      </c>
      <c r="D723" s="2">
        <f>IF(A723&lt;&gt;"", VLOOKUP(A723, imdb_netflix_v5!A$2:H$7370, 4, FALSE), "")</f>
        <v>8.3</v>
      </c>
      <c r="E723" s="2">
        <f>IF(A723&lt;&gt;"", VLOOKUP(A723, imdb_netflix_v5!A$2:H$7370, 5, FALSE), "")</f>
        <v>2010</v>
      </c>
      <c r="F723" s="2" t="str">
        <f>IF(A723&lt;&gt;"", VLOOKUP(A723, imdb_netflix_v5!A$2:H$7370, 7, FALSE), "")</f>
        <v>NA</v>
      </c>
    </row>
    <row r="724" ht="15.75" customHeight="1">
      <c r="A724" s="1" t="str">
        <f>IFERROR(__xludf.DUMMYFUNCTION("""COMPUTED_VALUE"""),"years and years")</f>
        <v>years and years</v>
      </c>
      <c r="B724" s="1" t="str">
        <f>IF(A724&lt;&gt;"", VLOOKUP(A724, imdb_netflix_v5!A$2:H$7370, 2, FALSE), "")</f>
        <v>TV Show</v>
      </c>
      <c r="C724" s="2" t="str">
        <f>IF(A724&lt;&gt;"", VLOOKUP(A724, imdb_netflix_v5!A$2:H$7370, 3, FALSE), "")</f>
        <v>Drama, Sci-Fi</v>
      </c>
      <c r="D724" s="2">
        <f>IF(A724&lt;&gt;"", VLOOKUP(A724, imdb_netflix_v5!A$2:H$7370, 4, FALSE), "")</f>
        <v>8.3</v>
      </c>
      <c r="E724" s="2">
        <f>IF(A724&lt;&gt;"", VLOOKUP(A724, imdb_netflix_v5!A$2:H$7370, 5, FALSE), "")</f>
        <v>2019</v>
      </c>
      <c r="F724" s="2" t="str">
        <f>IF(A724&lt;&gt;"", VLOOKUP(A724, imdb_netflix_v5!A$2:H$7370, 7, FALSE), "")</f>
        <v>NA</v>
      </c>
    </row>
    <row r="725" ht="15.75" customHeight="1">
      <c r="A725" s="1" t="str">
        <f>IFERROR(__xludf.DUMMYFUNCTION("""COMPUTED_VALUE"""),"solo leveling")</f>
        <v>solo leveling</v>
      </c>
      <c r="B725" s="1" t="str">
        <f>IF(A725&lt;&gt;"", VLOOKUP(A725, imdb_netflix_v5!A$2:H$7370, 2, FALSE), "")</f>
        <v>TV Show</v>
      </c>
      <c r="C725" s="2" t="str">
        <f>IF(A725&lt;&gt;"", VLOOKUP(A725, imdb_netflix_v5!A$2:H$7370, 3, FALSE), "")</f>
        <v>Action, Adventure, Animation</v>
      </c>
      <c r="D725" s="2">
        <f>IF(A725&lt;&gt;"", VLOOKUP(A725, imdb_netflix_v5!A$2:H$7370, 4, FALSE), "")</f>
        <v>8.3</v>
      </c>
      <c r="E725" s="2">
        <f>IF(A725&lt;&gt;"", VLOOKUP(A725, imdb_netflix_v5!A$2:H$7370, 5, FALSE), "")</f>
        <v>2024</v>
      </c>
      <c r="F725" s="2" t="str">
        <f>IF(A725&lt;&gt;"", VLOOKUP(A725, imdb_netflix_v5!A$2:H$7370, 7, FALSE), "")</f>
        <v>NA</v>
      </c>
    </row>
    <row r="726" ht="15.75" customHeight="1">
      <c r="A726" s="1" t="str">
        <f>IFERROR(__xludf.DUMMYFUNCTION("""COMPUTED_VALUE"""),"the good fight")</f>
        <v>the good fight</v>
      </c>
      <c r="B726" s="1" t="str">
        <f>IF(A726&lt;&gt;"", VLOOKUP(A726, imdb_netflix_v5!A$2:H$7370, 2, FALSE), "")</f>
        <v>TV Show</v>
      </c>
      <c r="C726" s="2" t="str">
        <f>IF(A726&lt;&gt;"", VLOOKUP(A726, imdb_netflix_v5!A$2:H$7370, 3, FALSE), "")</f>
        <v>Crime, Drama</v>
      </c>
      <c r="D726" s="2">
        <f>IF(A726&lt;&gt;"", VLOOKUP(A726, imdb_netflix_v5!A$2:H$7370, 4, FALSE), "")</f>
        <v>8.3</v>
      </c>
      <c r="E726" s="2">
        <f>IF(A726&lt;&gt;"", VLOOKUP(A726, imdb_netflix_v5!A$2:H$7370, 5, FALSE), "")</f>
        <v>2017</v>
      </c>
      <c r="F726" s="2" t="str">
        <f>IF(A726&lt;&gt;"", VLOOKUP(A726, imdb_netflix_v5!A$2:H$7370, 7, FALSE), "")</f>
        <v>NA</v>
      </c>
    </row>
    <row r="727" ht="15.75" customHeight="1">
      <c r="A727" s="1" t="str">
        <f>IFERROR(__xludf.DUMMYFUNCTION("""COMPUTED_VALUE"""),"why women kill")</f>
        <v>why women kill</v>
      </c>
      <c r="B727" s="1" t="str">
        <f>IF(A727&lt;&gt;"", VLOOKUP(A727, imdb_netflix_v5!A$2:H$7370, 2, FALSE), "")</f>
        <v>TV Show</v>
      </c>
      <c r="C727" s="2" t="str">
        <f>IF(A727&lt;&gt;"", VLOOKUP(A727, imdb_netflix_v5!A$2:H$7370, 3, FALSE), "")</f>
        <v>Comedy, Crime, Drama</v>
      </c>
      <c r="D727" s="2">
        <f>IF(A727&lt;&gt;"", VLOOKUP(A727, imdb_netflix_v5!A$2:H$7370, 4, FALSE), "")</f>
        <v>8.3</v>
      </c>
      <c r="E727" s="2">
        <f>IF(A727&lt;&gt;"", VLOOKUP(A727, imdb_netflix_v5!A$2:H$7370, 5, FALSE), "")</f>
        <v>2019</v>
      </c>
      <c r="F727" s="2" t="str">
        <f>IF(A727&lt;&gt;"", VLOOKUP(A727, imdb_netflix_v5!A$2:H$7370, 7, FALSE), "")</f>
        <v>NA</v>
      </c>
    </row>
    <row r="728" ht="15.75" customHeight="1">
      <c r="A728" s="1" t="str">
        <f>IFERROR(__xludf.DUMMYFUNCTION("""COMPUTED_VALUE"""),"winning time the rise of the lakers dynasty")</f>
        <v>winning time the rise of the lakers dynasty</v>
      </c>
      <c r="B728" s="1" t="str">
        <f>IF(A728&lt;&gt;"", VLOOKUP(A728, imdb_netflix_v5!A$2:H$7370, 2, FALSE), "")</f>
        <v>TV Show</v>
      </c>
      <c r="C728" s="2" t="str">
        <f>IF(A728&lt;&gt;"", VLOOKUP(A728, imdb_netflix_v5!A$2:H$7370, 3, FALSE), "")</f>
        <v>Biography, Drama, Sport</v>
      </c>
      <c r="D728" s="2">
        <f>IF(A728&lt;&gt;"", VLOOKUP(A728, imdb_netflix_v5!A$2:H$7370, 4, FALSE), "")</f>
        <v>8.3</v>
      </c>
      <c r="E728" s="2">
        <f>IF(A728&lt;&gt;"", VLOOKUP(A728, imdb_netflix_v5!A$2:H$7370, 5, FALSE), "")</f>
        <v>2022</v>
      </c>
      <c r="F728" s="2" t="str">
        <f>IF(A728&lt;&gt;"", VLOOKUP(A728, imdb_netflix_v5!A$2:H$7370, 7, FALSE), "")</f>
        <v>NA</v>
      </c>
    </row>
    <row r="729" ht="15.75" customHeight="1">
      <c r="A729" s="1" t="str">
        <f>IFERROR(__xludf.DUMMYFUNCTION("""COMPUTED_VALUE"""),"the dragon prince")</f>
        <v>the dragon prince</v>
      </c>
      <c r="B729" s="1" t="str">
        <f>IF(A729&lt;&gt;"", VLOOKUP(A729, imdb_netflix_v5!A$2:H$7370, 2, FALSE), "")</f>
        <v>TV Show</v>
      </c>
      <c r="C729" s="2" t="str">
        <f>IF(A729&lt;&gt;"", VLOOKUP(A729, imdb_netflix_v5!A$2:H$7370, 3, FALSE), "")</f>
        <v>Action, Adventure, Animation</v>
      </c>
      <c r="D729" s="2">
        <f>IF(A729&lt;&gt;"", VLOOKUP(A729, imdb_netflix_v5!A$2:H$7370, 4, FALSE), "")</f>
        <v>8.3</v>
      </c>
      <c r="E729" s="2">
        <f>IF(A729&lt;&gt;"", VLOOKUP(A729, imdb_netflix_v5!A$2:H$7370, 5, FALSE), "")</f>
        <v>2018</v>
      </c>
      <c r="F729" s="2" t="str">
        <f>IF(A729&lt;&gt;"", VLOOKUP(A729, imdb_netflix_v5!A$2:H$7370, 7, FALSE), "")</f>
        <v>NA</v>
      </c>
    </row>
    <row r="730" ht="15.75" customHeight="1">
      <c r="A730" s="1" t="str">
        <f>IFERROR(__xludf.DUMMYFUNCTION("""COMPUTED_VALUE"""),"college romance")</f>
        <v>college romance</v>
      </c>
      <c r="B730" s="1" t="str">
        <f>IF(A730&lt;&gt;"", VLOOKUP(A730, imdb_netflix_v5!A$2:H$7370, 2, FALSE), "")</f>
        <v>TV Show</v>
      </c>
      <c r="C730" s="2" t="str">
        <f>IF(A730&lt;&gt;"", VLOOKUP(A730, imdb_netflix_v5!A$2:H$7370, 3, FALSE), "")</f>
        <v>Comedy, Drama, Romance</v>
      </c>
      <c r="D730" s="2">
        <f>IF(A730&lt;&gt;"", VLOOKUP(A730, imdb_netflix_v5!A$2:H$7370, 4, FALSE), "")</f>
        <v>8.3</v>
      </c>
      <c r="E730" s="2">
        <f>IF(A730&lt;&gt;"", VLOOKUP(A730, imdb_netflix_v5!A$2:H$7370, 5, FALSE), "")</f>
        <v>2018</v>
      </c>
      <c r="F730" s="2" t="str">
        <f>IF(A730&lt;&gt;"", VLOOKUP(A730, imdb_netflix_v5!A$2:H$7370, 7, FALSE), "")</f>
        <v>NA</v>
      </c>
    </row>
    <row r="731" ht="15.75" customHeight="1">
      <c r="A731" s="1" t="str">
        <f>IFERROR(__xludf.DUMMYFUNCTION("""COMPUTED_VALUE"""),"man with a movie camera")</f>
        <v>man with a movie camera</v>
      </c>
      <c r="B731" s="1" t="str">
        <f>IF(A731&lt;&gt;"", VLOOKUP(A731, imdb_netflix_v5!A$2:H$7370, 2, FALSE), "")</f>
        <v>Movie</v>
      </c>
      <c r="C731" s="2" t="str">
        <f>IF(A731&lt;&gt;"", VLOOKUP(A731, imdb_netflix_v5!A$2:H$7370, 3, FALSE), "")</f>
        <v>Documentary</v>
      </c>
      <c r="D731" s="2">
        <f>IF(A731&lt;&gt;"", VLOOKUP(A731, imdb_netflix_v5!A$2:H$7370, 4, FALSE), "")</f>
        <v>8.3</v>
      </c>
      <c r="E731" s="2">
        <f>IF(A731&lt;&gt;"", VLOOKUP(A731, imdb_netflix_v5!A$2:H$7370, 5, FALSE), "")</f>
        <v>1929</v>
      </c>
      <c r="F731" s="2" t="str">
        <f>IF(A731&lt;&gt;"", VLOOKUP(A731, imdb_netflix_v5!A$2:H$7370, 7, FALSE), "")</f>
        <v>NA</v>
      </c>
    </row>
    <row r="732" ht="15.75" customHeight="1">
      <c r="A732" s="1" t="str">
        <f>IFERROR(__xludf.DUMMYFUNCTION("""COMPUTED_VALUE"""),"hoop dreams")</f>
        <v>hoop dreams</v>
      </c>
      <c r="B732" s="1" t="str">
        <f>IF(A732&lt;&gt;"", VLOOKUP(A732, imdb_netflix_v5!A$2:H$7370, 2, FALSE), "")</f>
        <v>Movie</v>
      </c>
      <c r="C732" s="2" t="str">
        <f>IF(A732&lt;&gt;"", VLOOKUP(A732, imdb_netflix_v5!A$2:H$7370, 3, FALSE), "")</f>
        <v>Documentary, Drama, Sport</v>
      </c>
      <c r="D732" s="2">
        <f>IF(A732&lt;&gt;"", VLOOKUP(A732, imdb_netflix_v5!A$2:H$7370, 4, FALSE), "")</f>
        <v>8.3</v>
      </c>
      <c r="E732" s="2">
        <f>IF(A732&lt;&gt;"", VLOOKUP(A732, imdb_netflix_v5!A$2:H$7370, 5, FALSE), "")</f>
        <v>1994</v>
      </c>
      <c r="F732" s="2" t="str">
        <f>IF(A732&lt;&gt;"", VLOOKUP(A732, imdb_netflix_v5!A$2:H$7370, 7, FALSE), "")</f>
        <v>NA</v>
      </c>
    </row>
    <row r="733" ht="15.75" customHeight="1">
      <c r="A733" s="1" t="str">
        <f>IFERROR(__xludf.DUMMYFUNCTION("""COMPUTED_VALUE"""),"rescue me")</f>
        <v>rescue me</v>
      </c>
      <c r="B733" s="1" t="str">
        <f>IF(A733&lt;&gt;"", VLOOKUP(A733, imdb_netflix_v5!A$2:H$7370, 2, FALSE), "")</f>
        <v>TV Show</v>
      </c>
      <c r="C733" s="2" t="str">
        <f>IF(A733&lt;&gt;"", VLOOKUP(A733, imdb_netflix_v5!A$2:H$7370, 3, FALSE), "")</f>
        <v>Comedy, Drama</v>
      </c>
      <c r="D733" s="2">
        <f>IF(A733&lt;&gt;"", VLOOKUP(A733, imdb_netflix_v5!A$2:H$7370, 4, FALSE), "")</f>
        <v>8.3</v>
      </c>
      <c r="E733" s="2">
        <f>IF(A733&lt;&gt;"", VLOOKUP(A733, imdb_netflix_v5!A$2:H$7370, 5, FALSE), "")</f>
        <v>2004</v>
      </c>
      <c r="F733" s="2" t="str">
        <f>IF(A733&lt;&gt;"", VLOOKUP(A733, imdb_netflix_v5!A$2:H$7370, 7, FALSE), "")</f>
        <v>NA</v>
      </c>
    </row>
    <row r="734" ht="15.75" customHeight="1">
      <c r="A734" s="1" t="str">
        <f>IFERROR(__xludf.DUMMYFUNCTION("""COMPUTED_VALUE"""),"rectify")</f>
        <v>rectify</v>
      </c>
      <c r="B734" s="1" t="str">
        <f>IF(A734&lt;&gt;"", VLOOKUP(A734, imdb_netflix_v5!A$2:H$7370, 2, FALSE), "")</f>
        <v>TV Show</v>
      </c>
      <c r="C734" s="2" t="str">
        <f>IF(A734&lt;&gt;"", VLOOKUP(A734, imdb_netflix_v5!A$2:H$7370, 3, FALSE), "")</f>
        <v>Drama</v>
      </c>
      <c r="D734" s="2">
        <f>IF(A734&lt;&gt;"", VLOOKUP(A734, imdb_netflix_v5!A$2:H$7370, 4, FALSE), "")</f>
        <v>8.3</v>
      </c>
      <c r="E734" s="2">
        <f>IF(A734&lt;&gt;"", VLOOKUP(A734, imdb_netflix_v5!A$2:H$7370, 5, FALSE), "")</f>
        <v>2013</v>
      </c>
      <c r="F734" s="2" t="str">
        <f>IF(A734&lt;&gt;"", VLOOKUP(A734, imdb_netflix_v5!A$2:H$7370, 7, FALSE), "")</f>
        <v>NA</v>
      </c>
    </row>
    <row r="735" ht="15.75" customHeight="1">
      <c r="A735" s="1" t="str">
        <f>IFERROR(__xludf.DUMMYFUNCTION("""COMPUTED_VALUE"""),"feud")</f>
        <v>feud</v>
      </c>
      <c r="B735" s="1" t="str">
        <f>IF(A735&lt;&gt;"", VLOOKUP(A735, imdb_netflix_v5!A$2:H$7370, 2, FALSE), "")</f>
        <v>TV Show</v>
      </c>
      <c r="C735" s="2" t="str">
        <f>IF(A735&lt;&gt;"", VLOOKUP(A735, imdb_netflix_v5!A$2:H$7370, 3, FALSE), "")</f>
        <v>Biography, Drama</v>
      </c>
      <c r="D735" s="2">
        <f>IF(A735&lt;&gt;"", VLOOKUP(A735, imdb_netflix_v5!A$2:H$7370, 4, FALSE), "")</f>
        <v>8.3</v>
      </c>
      <c r="E735" s="2">
        <f>IF(A735&lt;&gt;"", VLOOKUP(A735, imdb_netflix_v5!A$2:H$7370, 5, FALSE), "")</f>
        <v>2017</v>
      </c>
      <c r="F735" s="2" t="str">
        <f>IF(A735&lt;&gt;"", VLOOKUP(A735, imdb_netflix_v5!A$2:H$7370, 7, FALSE), "")</f>
        <v>NA</v>
      </c>
    </row>
    <row r="736" ht="15.75" customHeight="1">
      <c r="A736" s="1" t="str">
        <f>IFERROR(__xludf.DUMMYFUNCTION("""COMPUTED_VALUE"""),"shetland")</f>
        <v>shetland</v>
      </c>
      <c r="B736" s="1" t="str">
        <f>IF(A736&lt;&gt;"", VLOOKUP(A736, imdb_netflix_v5!A$2:H$7370, 2, FALSE), "")</f>
        <v>TV Show</v>
      </c>
      <c r="C736" s="2" t="str">
        <f>IF(A736&lt;&gt;"", VLOOKUP(A736, imdb_netflix_v5!A$2:H$7370, 3, FALSE), "")</f>
        <v>Crime, Drama, Mystery</v>
      </c>
      <c r="D736" s="2">
        <f>IF(A736&lt;&gt;"", VLOOKUP(A736, imdb_netflix_v5!A$2:H$7370, 4, FALSE), "")</f>
        <v>8.3</v>
      </c>
      <c r="E736" s="2">
        <f>IF(A736&lt;&gt;"", VLOOKUP(A736, imdb_netflix_v5!A$2:H$7370, 5, FALSE), "")</f>
        <v>2013</v>
      </c>
      <c r="F736" s="2" t="str">
        <f>IF(A736&lt;&gt;"", VLOOKUP(A736, imdb_netflix_v5!A$2:H$7370, 7, FALSE), "")</f>
        <v>NA</v>
      </c>
    </row>
    <row r="737" ht="15.75" customHeight="1">
      <c r="A737" s="1" t="str">
        <f>IFERROR(__xludf.DUMMYFUNCTION("""COMPUTED_VALUE"""),"wont you be my neighbor?")</f>
        <v>wont you be my neighbor?</v>
      </c>
      <c r="B737" s="1" t="str">
        <f>IF(A737&lt;&gt;"", VLOOKUP(A737, imdb_netflix_v5!A$2:H$7370, 2, FALSE), "")</f>
        <v>Movie</v>
      </c>
      <c r="C737" s="2" t="str">
        <f>IF(A737&lt;&gt;"", VLOOKUP(A737, imdb_netflix_v5!A$2:H$7370, 3, FALSE), "")</f>
        <v>Biography, Documentary, History</v>
      </c>
      <c r="D737" s="2">
        <f>IF(A737&lt;&gt;"", VLOOKUP(A737, imdb_netflix_v5!A$2:H$7370, 4, FALSE), "")</f>
        <v>8.3</v>
      </c>
      <c r="E737" s="2">
        <f>IF(A737&lt;&gt;"", VLOOKUP(A737, imdb_netflix_v5!A$2:H$7370, 5, FALSE), "")</f>
        <v>2018</v>
      </c>
      <c r="F737" s="2" t="str">
        <f>IF(A737&lt;&gt;"", VLOOKUP(A737, imdb_netflix_v5!A$2:H$7370, 7, FALSE), "")</f>
        <v>NA</v>
      </c>
    </row>
    <row r="738" ht="15.75" customHeight="1">
      <c r="A738" s="1" t="str">
        <f>IFERROR(__xludf.DUMMYFUNCTION("""COMPUTED_VALUE"""),"olive kitteridge")</f>
        <v>olive kitteridge</v>
      </c>
      <c r="B738" s="1" t="str">
        <f>IF(A738&lt;&gt;"", VLOOKUP(A738, imdb_netflix_v5!A$2:H$7370, 2, FALSE), "")</f>
        <v>TV Show</v>
      </c>
      <c r="C738" s="2" t="str">
        <f>IF(A738&lt;&gt;"", VLOOKUP(A738, imdb_netflix_v5!A$2:H$7370, 3, FALSE), "")</f>
        <v>Drama</v>
      </c>
      <c r="D738" s="2">
        <f>IF(A738&lt;&gt;"", VLOOKUP(A738, imdb_netflix_v5!A$2:H$7370, 4, FALSE), "")</f>
        <v>8.3</v>
      </c>
      <c r="E738" s="2">
        <f>IF(A738&lt;&gt;"", VLOOKUP(A738, imdb_netflix_v5!A$2:H$7370, 5, FALSE), "")</f>
        <v>2014</v>
      </c>
      <c r="F738" s="2" t="str">
        <f>IF(A738&lt;&gt;"", VLOOKUP(A738, imdb_netflix_v5!A$2:H$7370, 7, FALSE), "")</f>
        <v>NA</v>
      </c>
    </row>
    <row r="739" ht="15.75" customHeight="1">
      <c r="A739" s="1" t="str">
        <f>IFERROR(__xludf.DUMMYFUNCTION("""COMPUTED_VALUE"""),"key and peele")</f>
        <v>key and peele</v>
      </c>
      <c r="B739" s="1" t="str">
        <f>IF(A739&lt;&gt;"", VLOOKUP(A739, imdb_netflix_v5!A$2:H$7370, 2, FALSE), "")</f>
        <v>TV Show</v>
      </c>
      <c r="C739" s="2" t="str">
        <f>IF(A739&lt;&gt;"", VLOOKUP(A739, imdb_netflix_v5!A$2:H$7370, 3, FALSE), "")</f>
        <v>Comedy</v>
      </c>
      <c r="D739" s="2">
        <f>IF(A739&lt;&gt;"", VLOOKUP(A739, imdb_netflix_v5!A$2:H$7370, 4, FALSE), "")</f>
        <v>8.3</v>
      </c>
      <c r="E739" s="2">
        <f>IF(A739&lt;&gt;"", VLOOKUP(A739, imdb_netflix_v5!A$2:H$7370, 5, FALSE), "")</f>
        <v>2012</v>
      </c>
      <c r="F739" s="2" t="str">
        <f>IF(A739&lt;&gt;"", VLOOKUP(A739, imdb_netflix_v5!A$2:H$7370, 7, FALSE), "")</f>
        <v>NA</v>
      </c>
    </row>
    <row r="740" ht="15.75" customHeight="1">
      <c r="A740" s="1" t="str">
        <f>IFERROR(__xludf.DUMMYFUNCTION("""COMPUTED_VALUE"""),"reservation dogs")</f>
        <v>reservation dogs</v>
      </c>
      <c r="B740" s="1" t="str">
        <f>IF(A740&lt;&gt;"", VLOOKUP(A740, imdb_netflix_v5!A$2:H$7370, 2, FALSE), "")</f>
        <v>TV Show</v>
      </c>
      <c r="C740" s="2" t="str">
        <f>IF(A740&lt;&gt;"", VLOOKUP(A740, imdb_netflix_v5!A$2:H$7370, 3, FALSE), "")</f>
        <v>Comedy, Crime</v>
      </c>
      <c r="D740" s="2">
        <f>IF(A740&lt;&gt;"", VLOOKUP(A740, imdb_netflix_v5!A$2:H$7370, 4, FALSE), "")</f>
        <v>8.3</v>
      </c>
      <c r="E740" s="2">
        <f>IF(A740&lt;&gt;"", VLOOKUP(A740, imdb_netflix_v5!A$2:H$7370, 5, FALSE), "")</f>
        <v>2021</v>
      </c>
      <c r="F740" s="2" t="str">
        <f>IF(A740&lt;&gt;"", VLOOKUP(A740, imdb_netflix_v5!A$2:H$7370, 7, FALSE), "")</f>
        <v>NA</v>
      </c>
    </row>
    <row r="741" ht="15.75" customHeight="1">
      <c r="A741" s="1" t="str">
        <f>IFERROR(__xludf.DUMMYFUNCTION("""COMPUTED_VALUE"""),"dragon ball z kai")</f>
        <v>dragon ball z kai</v>
      </c>
      <c r="B741" s="1" t="str">
        <f>IF(A741&lt;&gt;"", VLOOKUP(A741, imdb_netflix_v5!A$2:H$7370, 2, FALSE), "")</f>
        <v>TV Show</v>
      </c>
      <c r="C741" s="2" t="str">
        <f>IF(A741&lt;&gt;"", VLOOKUP(A741, imdb_netflix_v5!A$2:H$7370, 3, FALSE), "")</f>
        <v>Action, Adventure, Animation</v>
      </c>
      <c r="D741" s="2">
        <f>IF(A741&lt;&gt;"", VLOOKUP(A741, imdb_netflix_v5!A$2:H$7370, 4, FALSE), "")</f>
        <v>8.3</v>
      </c>
      <c r="E741" s="2">
        <f>IF(A741&lt;&gt;"", VLOOKUP(A741, imdb_netflix_v5!A$2:H$7370, 5, FALSE), "")</f>
        <v>2009</v>
      </c>
      <c r="F741" s="2" t="str">
        <f>IF(A741&lt;&gt;"", VLOOKUP(A741, imdb_netflix_v5!A$2:H$7370, 7, FALSE), "")</f>
        <v>NA</v>
      </c>
    </row>
    <row r="742" ht="15.75" customHeight="1">
      <c r="A742" s="1" t="str">
        <f>IFERROR(__xludf.DUMMYFUNCTION("""COMPUTED_VALUE"""),"studio 60 on the sunset strip")</f>
        <v>studio 60 on the sunset strip</v>
      </c>
      <c r="B742" s="1" t="str">
        <f>IF(A742&lt;&gt;"", VLOOKUP(A742, imdb_netflix_v5!A$2:H$7370, 2, FALSE), "")</f>
        <v>TV Show</v>
      </c>
      <c r="C742" s="2" t="str">
        <f>IF(A742&lt;&gt;"", VLOOKUP(A742, imdb_netflix_v5!A$2:H$7370, 3, FALSE), "")</f>
        <v>Comedy, Drama</v>
      </c>
      <c r="D742" s="2">
        <f>IF(A742&lt;&gt;"", VLOOKUP(A742, imdb_netflix_v5!A$2:H$7370, 4, FALSE), "")</f>
        <v>8.3</v>
      </c>
      <c r="E742" s="2">
        <f>IF(A742&lt;&gt;"", VLOOKUP(A742, imdb_netflix_v5!A$2:H$7370, 5, FALSE), "")</f>
        <v>2006</v>
      </c>
      <c r="F742" s="2" t="str">
        <f>IF(A742&lt;&gt;"", VLOOKUP(A742, imdb_netflix_v5!A$2:H$7370, 7, FALSE), "")</f>
        <v>NA</v>
      </c>
    </row>
    <row r="743" ht="15.75" customHeight="1">
      <c r="A743" s="1" t="str">
        <f>IFERROR(__xludf.DUMMYFUNCTION("""COMPUTED_VALUE"""),"mushoku tensei jobless reincarnation")</f>
        <v>mushoku tensei jobless reincarnation</v>
      </c>
      <c r="B743" s="1" t="str">
        <f>IF(A743&lt;&gt;"", VLOOKUP(A743, imdb_netflix_v5!A$2:H$7370, 2, FALSE), "")</f>
        <v>TV Show</v>
      </c>
      <c r="C743" s="2" t="str">
        <f>IF(A743&lt;&gt;"", VLOOKUP(A743, imdb_netflix_v5!A$2:H$7370, 3, FALSE), "")</f>
        <v>Action, Adventure, Animation</v>
      </c>
      <c r="D743" s="2">
        <f>IF(A743&lt;&gt;"", VLOOKUP(A743, imdb_netflix_v5!A$2:H$7370, 4, FALSE), "")</f>
        <v>8.3</v>
      </c>
      <c r="E743" s="2">
        <f>IF(A743&lt;&gt;"", VLOOKUP(A743, imdb_netflix_v5!A$2:H$7370, 5, FALSE), "")</f>
        <v>2021</v>
      </c>
      <c r="F743" s="2" t="str">
        <f>IF(A743&lt;&gt;"", VLOOKUP(A743, imdb_netflix_v5!A$2:H$7370, 7, FALSE), "")</f>
        <v>NA</v>
      </c>
    </row>
    <row r="744" ht="15.75" customHeight="1">
      <c r="A744" s="1" t="str">
        <f>IFERROR(__xludf.DUMMYFUNCTION("""COMPUTED_VALUE"""),"premam")</f>
        <v>premam</v>
      </c>
      <c r="B744" s="1" t="str">
        <f>IF(A744&lt;&gt;"", VLOOKUP(A744, imdb_netflix_v5!A$2:H$7370, 2, FALSE), "")</f>
        <v>Movie</v>
      </c>
      <c r="C744" s="2" t="str">
        <f>IF(A744&lt;&gt;"", VLOOKUP(A744, imdb_netflix_v5!A$2:H$7370, 3, FALSE), "")</f>
        <v>Comedy, Drama, Romance</v>
      </c>
      <c r="D744" s="2">
        <f>IF(A744&lt;&gt;"", VLOOKUP(A744, imdb_netflix_v5!A$2:H$7370, 4, FALSE), "")</f>
        <v>8.3</v>
      </c>
      <c r="E744" s="2">
        <f>IF(A744&lt;&gt;"", VLOOKUP(A744, imdb_netflix_v5!A$2:H$7370, 5, FALSE), "")</f>
        <v>2015</v>
      </c>
      <c r="F744" s="2" t="str">
        <f>IF(A744&lt;&gt;"", VLOOKUP(A744, imdb_netflix_v5!A$2:H$7370, 7, FALSE), "")</f>
        <v>NA</v>
      </c>
    </row>
    <row r="745" ht="15.75" customHeight="1">
      <c r="A745" s="1" t="str">
        <f>IFERROR(__xludf.DUMMYFUNCTION("""COMPUTED_VALUE"""),"bangalore days")</f>
        <v>bangalore days</v>
      </c>
      <c r="B745" s="1" t="str">
        <f>IF(A745&lt;&gt;"", VLOOKUP(A745, imdb_netflix_v5!A$2:H$7370, 2, FALSE), "")</f>
        <v>Movie</v>
      </c>
      <c r="C745" s="2" t="str">
        <f>IF(A745&lt;&gt;"", VLOOKUP(A745, imdb_netflix_v5!A$2:H$7370, 3, FALSE), "")</f>
        <v>Comedy, Drama, Romance</v>
      </c>
      <c r="D745" s="2">
        <f>IF(A745&lt;&gt;"", VLOOKUP(A745, imdb_netflix_v5!A$2:H$7370, 4, FALSE), "")</f>
        <v>8.3</v>
      </c>
      <c r="E745" s="2">
        <f>IF(A745&lt;&gt;"", VLOOKUP(A745, imdb_netflix_v5!A$2:H$7370, 5, FALSE), "")</f>
        <v>2014</v>
      </c>
      <c r="F745" s="2" t="str">
        <f>IF(A745&lt;&gt;"", VLOOKUP(A745, imdb_netflix_v5!A$2:H$7370, 7, FALSE), "")</f>
        <v>NA</v>
      </c>
    </row>
    <row r="746" ht="15.75" customHeight="1">
      <c r="A746" s="1" t="str">
        <f>IFERROR(__xludf.DUMMYFUNCTION("""COMPUTED_VALUE"""),"jane eyre")</f>
        <v>jane eyre</v>
      </c>
      <c r="B746" s="1" t="str">
        <f>IF(A746&lt;&gt;"", VLOOKUP(A746, imdb_netflix_v5!A$2:H$7370, 2, FALSE), "")</f>
        <v>TV Show</v>
      </c>
      <c r="C746" s="2" t="str">
        <f>IF(A746&lt;&gt;"", VLOOKUP(A746, imdb_netflix_v5!A$2:H$7370, 3, FALSE), "")</f>
        <v>Drama, Romance</v>
      </c>
      <c r="D746" s="2">
        <f>IF(A746&lt;&gt;"", VLOOKUP(A746, imdb_netflix_v5!A$2:H$7370, 4, FALSE), "")</f>
        <v>8.3</v>
      </c>
      <c r="E746" s="2">
        <f>IF(A746&lt;&gt;"", VLOOKUP(A746, imdb_netflix_v5!A$2:H$7370, 5, FALSE), "")</f>
        <v>2006</v>
      </c>
      <c r="F746" s="2" t="str">
        <f>IF(A746&lt;&gt;"", VLOOKUP(A746, imdb_netflix_v5!A$2:H$7370, 7, FALSE), "")</f>
        <v>NA</v>
      </c>
    </row>
    <row r="747" ht="15.75" customHeight="1">
      <c r="A747" s="1" t="str">
        <f>IFERROR(__xludf.DUMMYFUNCTION("""COMPUTED_VALUE"""),"hometown cha-cha-cha")</f>
        <v>hometown cha-cha-cha</v>
      </c>
      <c r="B747" s="1" t="str">
        <f>IF(A747&lt;&gt;"", VLOOKUP(A747, imdb_netflix_v5!A$2:H$7370, 2, FALSE), "")</f>
        <v>TV Show</v>
      </c>
      <c r="C747" s="2" t="str">
        <f>IF(A747&lt;&gt;"", VLOOKUP(A747, imdb_netflix_v5!A$2:H$7370, 3, FALSE), "")</f>
        <v>Comedy, Drama, Romance</v>
      </c>
      <c r="D747" s="2">
        <f>IF(A747&lt;&gt;"", VLOOKUP(A747, imdb_netflix_v5!A$2:H$7370, 4, FALSE), "")</f>
        <v>8.3</v>
      </c>
      <c r="E747" s="2">
        <f>IF(A747&lt;&gt;"", VLOOKUP(A747, imdb_netflix_v5!A$2:H$7370, 5, FALSE), "")</f>
        <v>2021</v>
      </c>
      <c r="F747" s="2">
        <f>IF(A747&lt;&gt;"", VLOOKUP(A747, imdb_netflix_v5!A$2:H$7370, 7, FALSE), "")</f>
        <v>7520000</v>
      </c>
    </row>
    <row r="748" ht="15.75" customHeight="1">
      <c r="A748" s="1" t="str">
        <f>IFERROR(__xludf.DUMMYFUNCTION("""COMPUTED_VALUE"""),"anniyan")</f>
        <v>anniyan</v>
      </c>
      <c r="B748" s="1" t="str">
        <f>IF(A748&lt;&gt;"", VLOOKUP(A748, imdb_netflix_v5!A$2:H$7370, 2, FALSE), "")</f>
        <v>Movie</v>
      </c>
      <c r="C748" s="2" t="str">
        <f>IF(A748&lt;&gt;"", VLOOKUP(A748, imdb_netflix_v5!A$2:H$7370, 3, FALSE), "")</f>
        <v>Action, Crime, Drama</v>
      </c>
      <c r="D748" s="2">
        <f>IF(A748&lt;&gt;"", VLOOKUP(A748, imdb_netflix_v5!A$2:H$7370, 4, FALSE), "")</f>
        <v>8.3</v>
      </c>
      <c r="E748" s="2">
        <f>IF(A748&lt;&gt;"", VLOOKUP(A748, imdb_netflix_v5!A$2:H$7370, 5, FALSE), "")</f>
        <v>2005</v>
      </c>
      <c r="F748" s="2" t="str">
        <f>IF(A748&lt;&gt;"", VLOOKUP(A748, imdb_netflix_v5!A$2:H$7370, 7, FALSE), "")</f>
        <v>NA</v>
      </c>
    </row>
    <row r="749" ht="15.75" customHeight="1">
      <c r="A749" s="1" t="str">
        <f>IFERROR(__xludf.DUMMYFUNCTION("""COMPUTED_VALUE"""),"gurren lagann")</f>
        <v>gurren lagann</v>
      </c>
      <c r="B749" s="1" t="str">
        <f>IF(A749&lt;&gt;"", VLOOKUP(A749, imdb_netflix_v5!A$2:H$7370, 2, FALSE), "")</f>
        <v>TV Show</v>
      </c>
      <c r="C749" s="2" t="str">
        <f>IF(A749&lt;&gt;"", VLOOKUP(A749, imdb_netflix_v5!A$2:H$7370, 3, FALSE), "")</f>
        <v>Action, Adventure, Animation</v>
      </c>
      <c r="D749" s="2">
        <f>IF(A749&lt;&gt;"", VLOOKUP(A749, imdb_netflix_v5!A$2:H$7370, 4, FALSE), "")</f>
        <v>8.3</v>
      </c>
      <c r="E749" s="2">
        <f>IF(A749&lt;&gt;"", VLOOKUP(A749, imdb_netflix_v5!A$2:H$7370, 5, FALSE), "")</f>
        <v>2007</v>
      </c>
      <c r="F749" s="2" t="str">
        <f>IF(A749&lt;&gt;"", VLOOKUP(A749, imdb_netflix_v5!A$2:H$7370, 7, FALSE), "")</f>
        <v>NA</v>
      </c>
    </row>
    <row r="750" ht="15.75" customHeight="1">
      <c r="A750" s="1" t="str">
        <f>IFERROR(__xludf.DUMMYFUNCTION("""COMPUTED_VALUE"""),"welcome to wrexham")</f>
        <v>welcome to wrexham</v>
      </c>
      <c r="B750" s="1" t="str">
        <f>IF(A750&lt;&gt;"", VLOOKUP(A750, imdb_netflix_v5!A$2:H$7370, 2, FALSE), "")</f>
        <v>TV Show</v>
      </c>
      <c r="C750" s="2" t="str">
        <f>IF(A750&lt;&gt;"", VLOOKUP(A750, imdb_netflix_v5!A$2:H$7370, 3, FALSE), "")</f>
        <v>Documentary, Sport</v>
      </c>
      <c r="D750" s="2">
        <f>IF(A750&lt;&gt;"", VLOOKUP(A750, imdb_netflix_v5!A$2:H$7370, 4, FALSE), "")</f>
        <v>8.3</v>
      </c>
      <c r="E750" s="2">
        <f>IF(A750&lt;&gt;"", VLOOKUP(A750, imdb_netflix_v5!A$2:H$7370, 5, FALSE), "")</f>
        <v>2022</v>
      </c>
      <c r="F750" s="2" t="str">
        <f>IF(A750&lt;&gt;"", VLOOKUP(A750, imdb_netflix_v5!A$2:H$7370, 7, FALSE), "")</f>
        <v>NA</v>
      </c>
    </row>
    <row r="751" ht="15.75" customHeight="1">
      <c r="A751" s="1" t="str">
        <f>IFERROR(__xludf.DUMMYFUNCTION("""COMPUTED_VALUE"""),"kursadzije")</f>
        <v>kursadzije</v>
      </c>
      <c r="B751" s="1" t="str">
        <f>IF(A751&lt;&gt;"", VLOOKUP(A751, imdb_netflix_v5!A$2:H$7370, 2, FALSE), "")</f>
        <v>TV Show</v>
      </c>
      <c r="C751" s="2" t="str">
        <f>IF(A751&lt;&gt;"", VLOOKUP(A751, imdb_netflix_v5!A$2:H$7370, 3, FALSE), "")</f>
        <v>Comedy, Drama, Horror</v>
      </c>
      <c r="D751" s="2">
        <f>IF(A751&lt;&gt;"", VLOOKUP(A751, imdb_netflix_v5!A$2:H$7370, 4, FALSE), "")</f>
        <v>8.3</v>
      </c>
      <c r="E751" s="2">
        <f>IF(A751&lt;&gt;"", VLOOKUP(A751, imdb_netflix_v5!A$2:H$7370, 5, FALSE), "")</f>
        <v>2006</v>
      </c>
      <c r="F751" s="2" t="str">
        <f>IF(A751&lt;&gt;"", VLOOKUP(A751, imdb_netflix_v5!A$2:H$7370, 7, FALSE), "")</f>
        <v>NA</v>
      </c>
    </row>
    <row r="752" ht="15.75" customHeight="1">
      <c r="A752" s="1" t="str">
        <f>IFERROR(__xludf.DUMMYFUNCTION("""COMPUTED_VALUE"""),"red beard")</f>
        <v>red beard</v>
      </c>
      <c r="B752" s="1" t="str">
        <f>IF(A752&lt;&gt;"", VLOOKUP(A752, imdb_netflix_v5!A$2:H$7370, 2, FALSE), "")</f>
        <v>Movie</v>
      </c>
      <c r="C752" s="2" t="str">
        <f>IF(A752&lt;&gt;"", VLOOKUP(A752, imdb_netflix_v5!A$2:H$7370, 3, FALSE), "")</f>
        <v>Drama</v>
      </c>
      <c r="D752" s="2">
        <f>IF(A752&lt;&gt;"", VLOOKUP(A752, imdb_netflix_v5!A$2:H$7370, 4, FALSE), "")</f>
        <v>8.3</v>
      </c>
      <c r="E752" s="2">
        <f>IF(A752&lt;&gt;"", VLOOKUP(A752, imdb_netflix_v5!A$2:H$7370, 5, FALSE), "")</f>
        <v>1965</v>
      </c>
      <c r="F752" s="2" t="str">
        <f>IF(A752&lt;&gt;"", VLOOKUP(A752, imdb_netflix_v5!A$2:H$7370, 7, FALSE), "")</f>
        <v>NA</v>
      </c>
    </row>
    <row r="753" ht="15.75" customHeight="1">
      <c r="A753" s="1" t="str">
        <f>IFERROR(__xludf.DUMMYFUNCTION("""COMPUTED_VALUE"""),"children of paradise")</f>
        <v>children of paradise</v>
      </c>
      <c r="B753" s="1" t="str">
        <f>IF(A753&lt;&gt;"", VLOOKUP(A753, imdb_netflix_v5!A$2:H$7370, 2, FALSE), "")</f>
        <v>Movie</v>
      </c>
      <c r="C753" s="2" t="str">
        <f>IF(A753&lt;&gt;"", VLOOKUP(A753, imdb_netflix_v5!A$2:H$7370, 3, FALSE), "")</f>
        <v>Drama, Romance</v>
      </c>
      <c r="D753" s="2">
        <f>IF(A753&lt;&gt;"", VLOOKUP(A753, imdb_netflix_v5!A$2:H$7370, 4, FALSE), "")</f>
        <v>8.3</v>
      </c>
      <c r="E753" s="2">
        <f>IF(A753&lt;&gt;"", VLOOKUP(A753, imdb_netflix_v5!A$2:H$7370, 5, FALSE), "")</f>
        <v>1945</v>
      </c>
      <c r="F753" s="2" t="str">
        <f>IF(A753&lt;&gt;"", VLOOKUP(A753, imdb_netflix_v5!A$2:H$7370, 7, FALSE), "")</f>
        <v>NA</v>
      </c>
    </row>
    <row r="754" ht="15.75" customHeight="1">
      <c r="A754" s="1" t="str">
        <f>IFERROR(__xludf.DUMMYFUNCTION("""COMPUTED_VALUE"""),"the rescue")</f>
        <v>the rescue</v>
      </c>
      <c r="B754" s="1" t="str">
        <f>IF(A754&lt;&gt;"", VLOOKUP(A754, imdb_netflix_v5!A$2:H$7370, 2, FALSE), "")</f>
        <v>Movie</v>
      </c>
      <c r="C754" s="2" t="str">
        <f>IF(A754&lt;&gt;"", VLOOKUP(A754, imdb_netflix_v5!A$2:H$7370, 3, FALSE), "")</f>
        <v>Action, Documentary, Mystery</v>
      </c>
      <c r="D754" s="2">
        <f>IF(A754&lt;&gt;"", VLOOKUP(A754, imdb_netflix_v5!A$2:H$7370, 4, FALSE), "")</f>
        <v>8.3</v>
      </c>
      <c r="E754" s="2">
        <f>IF(A754&lt;&gt;"", VLOOKUP(A754, imdb_netflix_v5!A$2:H$7370, 5, FALSE), "")</f>
        <v>2021</v>
      </c>
      <c r="F754" s="2" t="str">
        <f>IF(A754&lt;&gt;"", VLOOKUP(A754, imdb_netflix_v5!A$2:H$7370, 7, FALSE), "")</f>
        <v>NA</v>
      </c>
    </row>
    <row r="755" ht="15.75" customHeight="1">
      <c r="A755" s="1" t="str">
        <f>IFERROR(__xludf.DUMMYFUNCTION("""COMPUTED_VALUE"""),"to live")</f>
        <v>to live</v>
      </c>
      <c r="B755" s="1" t="str">
        <f>IF(A755&lt;&gt;"", VLOOKUP(A755, imdb_netflix_v5!A$2:H$7370, 2, FALSE), "")</f>
        <v>Movie</v>
      </c>
      <c r="C755" s="2" t="str">
        <f>IF(A755&lt;&gt;"", VLOOKUP(A755, imdb_netflix_v5!A$2:H$7370, 3, FALSE), "")</f>
        <v>Drama, War</v>
      </c>
      <c r="D755" s="2">
        <f>IF(A755&lt;&gt;"", VLOOKUP(A755, imdb_netflix_v5!A$2:H$7370, 4, FALSE), "")</f>
        <v>8.3</v>
      </c>
      <c r="E755" s="2">
        <f>IF(A755&lt;&gt;"", VLOOKUP(A755, imdb_netflix_v5!A$2:H$7370, 5, FALSE), "")</f>
        <v>1994</v>
      </c>
      <c r="F755" s="2" t="str">
        <f>IF(A755&lt;&gt;"", VLOOKUP(A755, imdb_netflix_v5!A$2:H$7370, 7, FALSE), "")</f>
        <v>NA</v>
      </c>
    </row>
    <row r="756" ht="15.75" customHeight="1">
      <c r="A756" s="1" t="str">
        <f>IFERROR(__xludf.DUMMYFUNCTION("""COMPUTED_VALUE"""),"winter on fire ukraines fight for freedom")</f>
        <v>winter on fire ukraines fight for freedom</v>
      </c>
      <c r="B756" s="1" t="str">
        <f>IF(A756&lt;&gt;"", VLOOKUP(A756, imdb_netflix_v5!A$2:H$7370, 2, FALSE), "")</f>
        <v>Movie</v>
      </c>
      <c r="C756" s="2" t="str">
        <f>IF(A756&lt;&gt;"", VLOOKUP(A756, imdb_netflix_v5!A$2:H$7370, 3, FALSE), "")</f>
        <v>Documentary, History, War</v>
      </c>
      <c r="D756" s="2">
        <f>IF(A756&lt;&gt;"", VLOOKUP(A756, imdb_netflix_v5!A$2:H$7370, 4, FALSE), "")</f>
        <v>8.3</v>
      </c>
      <c r="E756" s="2">
        <f>IF(A756&lt;&gt;"", VLOOKUP(A756, imdb_netflix_v5!A$2:H$7370, 5, FALSE), "")</f>
        <v>2015</v>
      </c>
      <c r="F756" s="2" t="str">
        <f>IF(A756&lt;&gt;"", VLOOKUP(A756, imdb_netflix_v5!A$2:H$7370, 7, FALSE), "")</f>
        <v>NA</v>
      </c>
    </row>
    <row r="757" ht="15.75" customHeight="1">
      <c r="A757" s="1" t="str">
        <f>IFERROR(__xludf.DUMMYFUNCTION("""COMPUTED_VALUE"""),"who is america?")</f>
        <v>who is america?</v>
      </c>
      <c r="B757" s="1" t="str">
        <f>IF(A757&lt;&gt;"", VLOOKUP(A757, imdb_netflix_v5!A$2:H$7370, 2, FALSE), "")</f>
        <v>TV Show</v>
      </c>
      <c r="C757" s="2" t="str">
        <f>IF(A757&lt;&gt;"", VLOOKUP(A757, imdb_netflix_v5!A$2:H$7370, 3, FALSE), "")</f>
        <v>Comedy</v>
      </c>
      <c r="D757" s="2">
        <f>IF(A757&lt;&gt;"", VLOOKUP(A757, imdb_netflix_v5!A$2:H$7370, 4, FALSE), "")</f>
        <v>8.3</v>
      </c>
      <c r="E757" s="2">
        <f>IF(A757&lt;&gt;"", VLOOKUP(A757, imdb_netflix_v5!A$2:H$7370, 5, FALSE), "")</f>
        <v>2018</v>
      </c>
      <c r="F757" s="2" t="str">
        <f>IF(A757&lt;&gt;"", VLOOKUP(A757, imdb_netflix_v5!A$2:H$7370, 7, FALSE), "")</f>
        <v>NA</v>
      </c>
    </row>
    <row r="758" ht="15.75" customHeight="1">
      <c r="A758" s="1" t="str">
        <f>IFERROR(__xludf.DUMMYFUNCTION("""COMPUTED_VALUE"""),"masum")</f>
        <v>masum</v>
      </c>
      <c r="B758" s="1" t="str">
        <f>IF(A758&lt;&gt;"", VLOOKUP(A758, imdb_netflix_v5!A$2:H$7370, 2, FALSE), "")</f>
        <v>TV Show</v>
      </c>
      <c r="C758" s="2" t="str">
        <f>IF(A758&lt;&gt;"", VLOOKUP(A758, imdb_netflix_v5!A$2:H$7370, 3, FALSE), "")</f>
        <v>Crime, Drama, Mystery</v>
      </c>
      <c r="D758" s="2">
        <f>IF(A758&lt;&gt;"", VLOOKUP(A758, imdb_netflix_v5!A$2:H$7370, 4, FALSE), "")</f>
        <v>8.3</v>
      </c>
      <c r="E758" s="2">
        <f>IF(A758&lt;&gt;"", VLOOKUP(A758, imdb_netflix_v5!A$2:H$7370, 5, FALSE), "")</f>
        <v>2017</v>
      </c>
      <c r="F758" s="2" t="str">
        <f>IF(A758&lt;&gt;"", VLOOKUP(A758, imdb_netflix_v5!A$2:H$7370, 7, FALSE), "")</f>
        <v>NA</v>
      </c>
    </row>
    <row r="759" ht="15.75" customHeight="1">
      <c r="A759" s="1" t="str">
        <f>IFERROR(__xludf.DUMMYFUNCTION("""COMPUTED_VALUE"""),"wayne")</f>
        <v>wayne</v>
      </c>
      <c r="B759" s="1" t="str">
        <f>IF(A759&lt;&gt;"", VLOOKUP(A759, imdb_netflix_v5!A$2:H$7370, 2, FALSE), "")</f>
        <v>TV Show</v>
      </c>
      <c r="C759" s="2" t="str">
        <f>IF(A759&lt;&gt;"", VLOOKUP(A759, imdb_netflix_v5!A$2:H$7370, 3, FALSE), "")</f>
        <v>Action, Comedy</v>
      </c>
      <c r="D759" s="2">
        <f>IF(A759&lt;&gt;"", VLOOKUP(A759, imdb_netflix_v5!A$2:H$7370, 4, FALSE), "")</f>
        <v>8.3</v>
      </c>
      <c r="E759" s="2">
        <f>IF(A759&lt;&gt;"", VLOOKUP(A759, imdb_netflix_v5!A$2:H$7370, 5, FALSE), "")</f>
        <v>2019</v>
      </c>
      <c r="F759" s="2" t="str">
        <f>IF(A759&lt;&gt;"", VLOOKUP(A759, imdb_netflix_v5!A$2:H$7370, 7, FALSE), "")</f>
        <v>NA</v>
      </c>
    </row>
    <row r="760" ht="15.75" customHeight="1">
      <c r="A760" s="1" t="str">
        <f>IFERROR(__xludf.DUMMYFUNCTION("""COMPUTED_VALUE"""),"the cranes are flying")</f>
        <v>the cranes are flying</v>
      </c>
      <c r="B760" s="1" t="str">
        <f>IF(A760&lt;&gt;"", VLOOKUP(A760, imdb_netflix_v5!A$2:H$7370, 2, FALSE), "")</f>
        <v>Movie</v>
      </c>
      <c r="C760" s="2" t="str">
        <f>IF(A760&lt;&gt;"", VLOOKUP(A760, imdb_netflix_v5!A$2:H$7370, 3, FALSE), "")</f>
        <v>Drama, Romance, War</v>
      </c>
      <c r="D760" s="2">
        <f>IF(A760&lt;&gt;"", VLOOKUP(A760, imdb_netflix_v5!A$2:H$7370, 4, FALSE), "")</f>
        <v>8.3</v>
      </c>
      <c r="E760" s="2">
        <f>IF(A760&lt;&gt;"", VLOOKUP(A760, imdb_netflix_v5!A$2:H$7370, 5, FALSE), "")</f>
        <v>1957</v>
      </c>
      <c r="F760" s="2" t="str">
        <f>IF(A760&lt;&gt;"", VLOOKUP(A760, imdb_netflix_v5!A$2:H$7370, 7, FALSE), "")</f>
        <v>NA</v>
      </c>
    </row>
    <row r="761" ht="15.75" customHeight="1">
      <c r="A761" s="1" t="str">
        <f>IFERROR(__xludf.DUMMYFUNCTION("""COMPUTED_VALUE"""),"the adventures of tintin")</f>
        <v>the adventures of tintin</v>
      </c>
      <c r="B761" s="1" t="str">
        <f>IF(A761&lt;&gt;"", VLOOKUP(A761, imdb_netflix_v5!A$2:H$7370, 2, FALSE), "")</f>
        <v>TV Show</v>
      </c>
      <c r="C761" s="2" t="str">
        <f>IF(A761&lt;&gt;"", VLOOKUP(A761, imdb_netflix_v5!A$2:H$7370, 3, FALSE), "")</f>
        <v>Action, Adventure, Animation</v>
      </c>
      <c r="D761" s="2">
        <f>IF(A761&lt;&gt;"", VLOOKUP(A761, imdb_netflix_v5!A$2:H$7370, 4, FALSE), "")</f>
        <v>8.3</v>
      </c>
      <c r="E761" s="2">
        <f>IF(A761&lt;&gt;"", VLOOKUP(A761, imdb_netflix_v5!A$2:H$7370, 5, FALSE), "")</f>
        <v>1991</v>
      </c>
      <c r="F761" s="2" t="str">
        <f>IF(A761&lt;&gt;"", VLOOKUP(A761, imdb_netflix_v5!A$2:H$7370, 7, FALSE), "")</f>
        <v>NA</v>
      </c>
    </row>
    <row r="762" ht="15.75" customHeight="1">
      <c r="A762" s="1" t="str">
        <f>IFERROR(__xludf.DUMMYFUNCTION("""COMPUTED_VALUE"""),"operation mbbs")</f>
        <v>operation mbbs</v>
      </c>
      <c r="B762" s="1" t="str">
        <f>IF(A762&lt;&gt;"", VLOOKUP(A762, imdb_netflix_v5!A$2:H$7370, 2, FALSE), "")</f>
        <v>TV Show</v>
      </c>
      <c r="C762" s="2" t="str">
        <f>IF(A762&lt;&gt;"", VLOOKUP(A762, imdb_netflix_v5!A$2:H$7370, 3, FALSE), "")</f>
        <v>Comedy, Drama</v>
      </c>
      <c r="D762" s="2">
        <f>IF(A762&lt;&gt;"", VLOOKUP(A762, imdb_netflix_v5!A$2:H$7370, 4, FALSE), "")</f>
        <v>8.3</v>
      </c>
      <c r="E762" s="2">
        <f>IF(A762&lt;&gt;"", VLOOKUP(A762, imdb_netflix_v5!A$2:H$7370, 5, FALSE), "")</f>
        <v>2020</v>
      </c>
      <c r="F762" s="2" t="str">
        <f>IF(A762&lt;&gt;"", VLOOKUP(A762, imdb_netflix_v5!A$2:H$7370, 7, FALSE), "")</f>
        <v>NA</v>
      </c>
    </row>
    <row r="763" ht="15.75" customHeight="1">
      <c r="A763" s="1" t="str">
        <f>IFERROR(__xludf.DUMMYFUNCTION("""COMPUTED_VALUE"""),"mi-5")</f>
        <v>mi-5</v>
      </c>
      <c r="B763" s="1" t="str">
        <f>IF(A763&lt;&gt;"", VLOOKUP(A763, imdb_netflix_v5!A$2:H$7370, 2, FALSE), "")</f>
        <v>TV Show</v>
      </c>
      <c r="C763" s="2" t="str">
        <f>IF(A763&lt;&gt;"", VLOOKUP(A763, imdb_netflix_v5!A$2:H$7370, 3, FALSE), "")</f>
        <v>Action, Crime, Drama</v>
      </c>
      <c r="D763" s="2">
        <f>IF(A763&lt;&gt;"", VLOOKUP(A763, imdb_netflix_v5!A$2:H$7370, 4, FALSE), "")</f>
        <v>8.3</v>
      </c>
      <c r="E763" s="2">
        <f>IF(A763&lt;&gt;"", VLOOKUP(A763, imdb_netflix_v5!A$2:H$7370, 5, FALSE), "")</f>
        <v>2002</v>
      </c>
      <c r="F763" s="2" t="str">
        <f>IF(A763&lt;&gt;"", VLOOKUP(A763, imdb_netflix_v5!A$2:H$7370, 7, FALSE), "")</f>
        <v>NA</v>
      </c>
    </row>
    <row r="764" ht="15.75" customHeight="1">
      <c r="A764" s="1" t="str">
        <f>IFERROR(__xludf.DUMMYFUNCTION("""COMPUTED_VALUE"""),"in treatment")</f>
        <v>in treatment</v>
      </c>
      <c r="B764" s="1" t="str">
        <f>IF(A764&lt;&gt;"", VLOOKUP(A764, imdb_netflix_v5!A$2:H$7370, 2, FALSE), "")</f>
        <v>TV Show</v>
      </c>
      <c r="C764" s="2" t="str">
        <f>IF(A764&lt;&gt;"", VLOOKUP(A764, imdb_netflix_v5!A$2:H$7370, 3, FALSE), "")</f>
        <v>Drama</v>
      </c>
      <c r="D764" s="2">
        <f>IF(A764&lt;&gt;"", VLOOKUP(A764, imdb_netflix_v5!A$2:H$7370, 4, FALSE), "")</f>
        <v>8.3</v>
      </c>
      <c r="E764" s="2">
        <f>IF(A764&lt;&gt;"", VLOOKUP(A764, imdb_netflix_v5!A$2:H$7370, 5, FALSE), "")</f>
        <v>2008</v>
      </c>
      <c r="F764" s="2" t="str">
        <f>IF(A764&lt;&gt;"", VLOOKUP(A764, imdb_netflix_v5!A$2:H$7370, 7, FALSE), "")</f>
        <v>NA</v>
      </c>
    </row>
    <row r="765" ht="15.75" customHeight="1">
      <c r="A765" s="1" t="str">
        <f>IFERROR(__xludf.DUMMYFUNCTION("""COMPUTED_VALUE"""),"metalocalypse")</f>
        <v>metalocalypse</v>
      </c>
      <c r="B765" s="1" t="str">
        <f>IF(A765&lt;&gt;"", VLOOKUP(A765, imdb_netflix_v5!A$2:H$7370, 2, FALSE), "")</f>
        <v>TV Show</v>
      </c>
      <c r="C765" s="2" t="str">
        <f>IF(A765&lt;&gt;"", VLOOKUP(A765, imdb_netflix_v5!A$2:H$7370, 3, FALSE), "")</f>
        <v>Animation, Comedy, Music</v>
      </c>
      <c r="D765" s="2">
        <f>IF(A765&lt;&gt;"", VLOOKUP(A765, imdb_netflix_v5!A$2:H$7370, 4, FALSE), "")</f>
        <v>8.3</v>
      </c>
      <c r="E765" s="2">
        <f>IF(A765&lt;&gt;"", VLOOKUP(A765, imdb_netflix_v5!A$2:H$7370, 5, FALSE), "")</f>
        <v>2006</v>
      </c>
      <c r="F765" s="2" t="str">
        <f>IF(A765&lt;&gt;"", VLOOKUP(A765, imdb_netflix_v5!A$2:H$7370, 7, FALSE), "")</f>
        <v>NA</v>
      </c>
    </row>
    <row r="766" ht="15.75" customHeight="1">
      <c r="A766" s="1" t="str">
        <f>IFERROR(__xludf.DUMMYFUNCTION("""COMPUTED_VALUE"""),"dirin dirin")</f>
        <v>dirin dirin</v>
      </c>
      <c r="B766" s="1" t="str">
        <f>IF(A766&lt;&gt;"", VLOOKUP(A766, imdb_netflix_v5!A$2:H$7370, 2, FALSE), "")</f>
        <v>TV Show</v>
      </c>
      <c r="C766" s="2" t="str">
        <f>IF(A766&lt;&gt;"", VLOOKUP(A766, imdb_netflix_v5!A$2:H$7370, 3, FALSE), "")</f>
        <v>Animation, Comedy</v>
      </c>
      <c r="D766" s="2">
        <f>IF(A766&lt;&gt;"", VLOOKUP(A766, imdb_netflix_v5!A$2:H$7370, 4, FALSE), "")</f>
        <v>8.3</v>
      </c>
      <c r="E766" s="2">
        <f>IF(A766&lt;&gt;"", VLOOKUP(A766, imdb_netflix_v5!A$2:H$7370, 5, FALSE), "")</f>
        <v>2015</v>
      </c>
      <c r="F766" s="2" t="str">
        <f>IF(A766&lt;&gt;"", VLOOKUP(A766, imdb_netflix_v5!A$2:H$7370, 7, FALSE), "")</f>
        <v>NA</v>
      </c>
    </row>
    <row r="767" ht="15.75" customHeight="1">
      <c r="A767" s="1" t="str">
        <f>IFERROR(__xludf.DUMMYFUNCTION("""COMPUTED_VALUE"""),"jana gana mana")</f>
        <v>jana gana mana</v>
      </c>
      <c r="B767" s="1" t="str">
        <f>IF(A767&lt;&gt;"", VLOOKUP(A767, imdb_netflix_v5!A$2:H$7370, 2, FALSE), "")</f>
        <v>Movie</v>
      </c>
      <c r="C767" s="2" t="str">
        <f>IF(A767&lt;&gt;"", VLOOKUP(A767, imdb_netflix_v5!A$2:H$7370, 3, FALSE), "")</f>
        <v>Drama</v>
      </c>
      <c r="D767" s="2">
        <f>IF(A767&lt;&gt;"", VLOOKUP(A767, imdb_netflix_v5!A$2:H$7370, 4, FALSE), "")</f>
        <v>8.3</v>
      </c>
      <c r="E767" s="2">
        <f>IF(A767&lt;&gt;"", VLOOKUP(A767, imdb_netflix_v5!A$2:H$7370, 5, FALSE), "")</f>
        <v>2022</v>
      </c>
      <c r="F767" s="2">
        <f>IF(A767&lt;&gt;"", VLOOKUP(A767, imdb_netflix_v5!A$2:H$7370, 7, FALSE), "")</f>
        <v>2230000</v>
      </c>
    </row>
    <row r="768" ht="15.75" customHeight="1">
      <c r="A768" s="1" t="str">
        <f>IFERROR(__xludf.DUMMYFUNCTION("""COMPUTED_VALUE"""),"special ops 1.5 the himmat story")</f>
        <v>special ops 1.5 the himmat story</v>
      </c>
      <c r="B768" s="1" t="str">
        <f>IF(A768&lt;&gt;"", VLOOKUP(A768, imdb_netflix_v5!A$2:H$7370, 2, FALSE), "")</f>
        <v>TV Show</v>
      </c>
      <c r="C768" s="2" t="str">
        <f>IF(A768&lt;&gt;"", VLOOKUP(A768, imdb_netflix_v5!A$2:H$7370, 3, FALSE), "")</f>
        <v>Action, Crime, Drama</v>
      </c>
      <c r="D768" s="2">
        <f>IF(A768&lt;&gt;"", VLOOKUP(A768, imdb_netflix_v5!A$2:H$7370, 4, FALSE), "")</f>
        <v>8.3</v>
      </c>
      <c r="E768" s="2">
        <f>IF(A768&lt;&gt;"", VLOOKUP(A768, imdb_netflix_v5!A$2:H$7370, 5, FALSE), "")</f>
        <v>2021</v>
      </c>
      <c r="F768" s="2" t="str">
        <f>IF(A768&lt;&gt;"", VLOOKUP(A768, imdb_netflix_v5!A$2:H$7370, 7, FALSE), "")</f>
        <v>NA</v>
      </c>
    </row>
    <row r="769" ht="15.75" customHeight="1">
      <c r="A769" s="1" t="str">
        <f>IFERROR(__xludf.DUMMYFUNCTION("""COMPUTED_VALUE"""),"the bugs bunny/looney tunes comedy hour")</f>
        <v>the bugs bunny/looney tunes comedy hour</v>
      </c>
      <c r="B769" s="1" t="str">
        <f>IF(A769&lt;&gt;"", VLOOKUP(A769, imdb_netflix_v5!A$2:H$7370, 2, FALSE), "")</f>
        <v>TV Show</v>
      </c>
      <c r="C769" s="2" t="str">
        <f>IF(A769&lt;&gt;"", VLOOKUP(A769, imdb_netflix_v5!A$2:H$7370, 3, FALSE), "")</f>
        <v>Animation, Comedy, Family</v>
      </c>
      <c r="D769" s="2">
        <f>IF(A769&lt;&gt;"", VLOOKUP(A769, imdb_netflix_v5!A$2:H$7370, 4, FALSE), "")</f>
        <v>8.3</v>
      </c>
      <c r="E769" s="2">
        <f>IF(A769&lt;&gt;"", VLOOKUP(A769, imdb_netflix_v5!A$2:H$7370, 5, FALSE), "")</f>
        <v>1985</v>
      </c>
      <c r="F769" s="2" t="str">
        <f>IF(A769&lt;&gt;"", VLOOKUP(A769, imdb_netflix_v5!A$2:H$7370, 7, FALSE), "")</f>
        <v>NA</v>
      </c>
    </row>
    <row r="770" ht="15.75" customHeight="1">
      <c r="A770" s="1" t="str">
        <f>IFERROR(__xludf.DUMMYFUNCTION("""COMPUTED_VALUE"""),"agent sai srinivasa athreya")</f>
        <v>agent sai srinivasa athreya</v>
      </c>
      <c r="B770" s="1" t="str">
        <f>IF(A770&lt;&gt;"", VLOOKUP(A770, imdb_netflix_v5!A$2:H$7370, 2, FALSE), "")</f>
        <v>Movie</v>
      </c>
      <c r="C770" s="2" t="str">
        <f>IF(A770&lt;&gt;"", VLOOKUP(A770, imdb_netflix_v5!A$2:H$7370, 3, FALSE), "")</f>
        <v>Comedy, Crime, Mystery</v>
      </c>
      <c r="D770" s="2">
        <f>IF(A770&lt;&gt;"", VLOOKUP(A770, imdb_netflix_v5!A$2:H$7370, 4, FALSE), "")</f>
        <v>8.3</v>
      </c>
      <c r="E770" s="2">
        <f>IF(A770&lt;&gt;"", VLOOKUP(A770, imdb_netflix_v5!A$2:H$7370, 5, FALSE), "")</f>
        <v>2019</v>
      </c>
      <c r="F770" s="2" t="str">
        <f>IF(A770&lt;&gt;"", VLOOKUP(A770, imdb_netflix_v5!A$2:H$7370, 7, FALSE), "")</f>
        <v>NA</v>
      </c>
    </row>
    <row r="771" ht="15.75" customHeight="1">
      <c r="A771" s="1" t="str">
        <f>IFERROR(__xludf.DUMMYFUNCTION("""COMPUTED_VALUE"""),"call my agent!")</f>
        <v>call my agent!</v>
      </c>
      <c r="B771" s="1" t="str">
        <f>IF(A771&lt;&gt;"", VLOOKUP(A771, imdb_netflix_v5!A$2:H$7370, 2, FALSE), "")</f>
        <v>TV Show</v>
      </c>
      <c r="C771" s="2" t="str">
        <f>IF(A771&lt;&gt;"", VLOOKUP(A771, imdb_netflix_v5!A$2:H$7370, 3, FALSE), "")</f>
        <v>Comedy, Drama</v>
      </c>
      <c r="D771" s="2">
        <f>IF(A771&lt;&gt;"", VLOOKUP(A771, imdb_netflix_v5!A$2:H$7370, 4, FALSE), "")</f>
        <v>8.3</v>
      </c>
      <c r="E771" s="2">
        <f>IF(A771&lt;&gt;"", VLOOKUP(A771, imdb_netflix_v5!A$2:H$7370, 5, FALSE), "")</f>
        <v>2015</v>
      </c>
      <c r="F771" s="2" t="str">
        <f>IF(A771&lt;&gt;"", VLOOKUP(A771, imdb_netflix_v5!A$2:H$7370, 7, FALSE), "")</f>
        <v>NA</v>
      </c>
    </row>
    <row r="772" ht="15.75" customHeight="1">
      <c r="A772" s="1" t="str">
        <f>IFERROR(__xludf.DUMMYFUNCTION("""COMPUTED_VALUE"""),"satya")</f>
        <v>satya</v>
      </c>
      <c r="B772" s="1" t="str">
        <f>IF(A772&lt;&gt;"", VLOOKUP(A772, imdb_netflix_v5!A$2:H$7370, 2, FALSE), "")</f>
        <v>Movie</v>
      </c>
      <c r="C772" s="2" t="str">
        <f>IF(A772&lt;&gt;"", VLOOKUP(A772, imdb_netflix_v5!A$2:H$7370, 3, FALSE), "")</f>
        <v>Action, Crime, Drama</v>
      </c>
      <c r="D772" s="2">
        <f>IF(A772&lt;&gt;"", VLOOKUP(A772, imdb_netflix_v5!A$2:H$7370, 4, FALSE), "")</f>
        <v>8.3</v>
      </c>
      <c r="E772" s="2">
        <f>IF(A772&lt;&gt;"", VLOOKUP(A772, imdb_netflix_v5!A$2:H$7370, 5, FALSE), "")</f>
        <v>1998</v>
      </c>
      <c r="F772" s="2" t="str">
        <f>IF(A772&lt;&gt;"", VLOOKUP(A772, imdb_netflix_v5!A$2:H$7370, 7, FALSE), "")</f>
        <v>NA</v>
      </c>
    </row>
    <row r="773" ht="15.75" customHeight="1">
      <c r="A773" s="1" t="str">
        <f>IFERROR(__xludf.DUMMYFUNCTION("""COMPUTED_VALUE"""),"made in abyss")</f>
        <v>made in abyss</v>
      </c>
      <c r="B773" s="1" t="str">
        <f>IF(A773&lt;&gt;"", VLOOKUP(A773, imdb_netflix_v5!A$2:H$7370, 2, FALSE), "")</f>
        <v>TV Show</v>
      </c>
      <c r="C773" s="2" t="str">
        <f>IF(A773&lt;&gt;"", VLOOKUP(A773, imdb_netflix_v5!A$2:H$7370, 3, FALSE), "")</f>
        <v>Action, Adventure, Animation</v>
      </c>
      <c r="D773" s="2">
        <f>IF(A773&lt;&gt;"", VLOOKUP(A773, imdb_netflix_v5!A$2:H$7370, 4, FALSE), "")</f>
        <v>8.3</v>
      </c>
      <c r="E773" s="2">
        <f>IF(A773&lt;&gt;"", VLOOKUP(A773, imdb_netflix_v5!A$2:H$7370, 5, FALSE), "")</f>
        <v>2017</v>
      </c>
      <c r="F773" s="2" t="str">
        <f>IF(A773&lt;&gt;"", VLOOKUP(A773, imdb_netflix_v5!A$2:H$7370, 7, FALSE), "")</f>
        <v>NA</v>
      </c>
    </row>
    <row r="774" ht="15.75" customHeight="1">
      <c r="A774" s="1" t="str">
        <f>IFERROR(__xludf.DUMMYFUNCTION("""COMPUTED_VALUE"""),"the avengers earths mightiest heroes")</f>
        <v>the avengers earths mightiest heroes</v>
      </c>
      <c r="B774" s="1" t="str">
        <f>IF(A774&lt;&gt;"", VLOOKUP(A774, imdb_netflix_v5!A$2:H$7370, 2, FALSE), "")</f>
        <v>TV Show</v>
      </c>
      <c r="C774" s="2" t="str">
        <f>IF(A774&lt;&gt;"", VLOOKUP(A774, imdb_netflix_v5!A$2:H$7370, 3, FALSE), "")</f>
        <v>Action, Adventure, Animation</v>
      </c>
      <c r="D774" s="2">
        <f>IF(A774&lt;&gt;"", VLOOKUP(A774, imdb_netflix_v5!A$2:H$7370, 4, FALSE), "")</f>
        <v>8.3</v>
      </c>
      <c r="E774" s="2">
        <f>IF(A774&lt;&gt;"", VLOOKUP(A774, imdb_netflix_v5!A$2:H$7370, 5, FALSE), "")</f>
        <v>2010</v>
      </c>
      <c r="F774" s="2" t="str">
        <f>IF(A774&lt;&gt;"", VLOOKUP(A774, imdb_netflix_v5!A$2:H$7370, 7, FALSE), "")</f>
        <v>NA</v>
      </c>
    </row>
    <row r="775" ht="15.75" customHeight="1">
      <c r="A775" s="1" t="str">
        <f>IFERROR(__xludf.DUMMYFUNCTION("""COMPUTED_VALUE"""),"the diamond arm")</f>
        <v>the diamond arm</v>
      </c>
      <c r="B775" s="1" t="str">
        <f>IF(A775&lt;&gt;"", VLOOKUP(A775, imdb_netflix_v5!A$2:H$7370, 2, FALSE), "")</f>
        <v>Movie</v>
      </c>
      <c r="C775" s="2" t="str">
        <f>IF(A775&lt;&gt;"", VLOOKUP(A775, imdb_netflix_v5!A$2:H$7370, 3, FALSE), "")</f>
        <v>Adventure, Comedy, Crime</v>
      </c>
      <c r="D775" s="2">
        <f>IF(A775&lt;&gt;"", VLOOKUP(A775, imdb_netflix_v5!A$2:H$7370, 4, FALSE), "")</f>
        <v>8.3</v>
      </c>
      <c r="E775" s="2">
        <f>IF(A775&lt;&gt;"", VLOOKUP(A775, imdb_netflix_v5!A$2:H$7370, 5, FALSE), "")</f>
        <v>1969</v>
      </c>
      <c r="F775" s="2" t="str">
        <f>IF(A775&lt;&gt;"", VLOOKUP(A775, imdb_netflix_v5!A$2:H$7370, 7, FALSE), "")</f>
        <v>NA</v>
      </c>
    </row>
    <row r="776" ht="15.75" customHeight="1">
      <c r="A776" s="1" t="str">
        <f>IFERROR(__xludf.DUMMYFUNCTION("""COMPUTED_VALUE"""),"treme")</f>
        <v>treme</v>
      </c>
      <c r="B776" s="1" t="str">
        <f>IF(A776&lt;&gt;"", VLOOKUP(A776, imdb_netflix_v5!A$2:H$7370, 2, FALSE), "")</f>
        <v>TV Show</v>
      </c>
      <c r="C776" s="2" t="str">
        <f>IF(A776&lt;&gt;"", VLOOKUP(A776, imdb_netflix_v5!A$2:H$7370, 3, FALSE), "")</f>
        <v>Drama, Music</v>
      </c>
      <c r="D776" s="2">
        <f>IF(A776&lt;&gt;"", VLOOKUP(A776, imdb_netflix_v5!A$2:H$7370, 4, FALSE), "")</f>
        <v>8.3</v>
      </c>
      <c r="E776" s="2">
        <f>IF(A776&lt;&gt;"", VLOOKUP(A776, imdb_netflix_v5!A$2:H$7370, 5, FALSE), "")</f>
        <v>2010</v>
      </c>
      <c r="F776" s="2" t="str">
        <f>IF(A776&lt;&gt;"", VLOOKUP(A776, imdb_netflix_v5!A$2:H$7370, 7, FALSE), "")</f>
        <v>NA</v>
      </c>
    </row>
    <row r="777" ht="15.75" customHeight="1">
      <c r="A777" s="1" t="str">
        <f>IFERROR(__xludf.DUMMYFUNCTION("""COMPUTED_VALUE"""),"sairat")</f>
        <v>sairat</v>
      </c>
      <c r="B777" s="1" t="str">
        <f>IF(A777&lt;&gt;"", VLOOKUP(A777, imdb_netflix_v5!A$2:H$7370, 2, FALSE), "")</f>
        <v>Movie</v>
      </c>
      <c r="C777" s="2" t="str">
        <f>IF(A777&lt;&gt;"", VLOOKUP(A777, imdb_netflix_v5!A$2:H$7370, 3, FALSE), "")</f>
        <v>Drama, Romance</v>
      </c>
      <c r="D777" s="2">
        <f>IF(A777&lt;&gt;"", VLOOKUP(A777, imdb_netflix_v5!A$2:H$7370, 4, FALSE), "")</f>
        <v>8.3</v>
      </c>
      <c r="E777" s="2">
        <f>IF(A777&lt;&gt;"", VLOOKUP(A777, imdb_netflix_v5!A$2:H$7370, 5, FALSE), "")</f>
        <v>2016</v>
      </c>
      <c r="F777" s="2" t="str">
        <f>IF(A777&lt;&gt;"", VLOOKUP(A777, imdb_netflix_v5!A$2:H$7370, 7, FALSE), "")</f>
        <v>NA</v>
      </c>
    </row>
    <row r="778" ht="15.75" customHeight="1">
      <c r="A778" s="1" t="str">
        <f>IFERROR(__xludf.DUMMYFUNCTION("""COMPUTED_VALUE"""),"jaane bhi do yaaro")</f>
        <v>jaane bhi do yaaro</v>
      </c>
      <c r="B778" s="1" t="str">
        <f>IF(A778&lt;&gt;"", VLOOKUP(A778, imdb_netflix_v5!A$2:H$7370, 2, FALSE), "")</f>
        <v>Movie</v>
      </c>
      <c r="C778" s="2" t="str">
        <f>IF(A778&lt;&gt;"", VLOOKUP(A778, imdb_netflix_v5!A$2:H$7370, 3, FALSE), "")</f>
        <v>Comedy, Crime, Drama</v>
      </c>
      <c r="D778" s="2">
        <f>IF(A778&lt;&gt;"", VLOOKUP(A778, imdb_netflix_v5!A$2:H$7370, 4, FALSE), "")</f>
        <v>8.3</v>
      </c>
      <c r="E778" s="2">
        <f>IF(A778&lt;&gt;"", VLOOKUP(A778, imdb_netflix_v5!A$2:H$7370, 5, FALSE), "")</f>
        <v>1983</v>
      </c>
      <c r="F778" s="2" t="str">
        <f>IF(A778&lt;&gt;"", VLOOKUP(A778, imdb_netflix_v5!A$2:H$7370, 7, FALSE), "")</f>
        <v>NA</v>
      </c>
    </row>
    <row r="779" ht="15.75" customHeight="1">
      <c r="A779" s="1" t="str">
        <f>IFERROR(__xludf.DUMMYFUNCTION("""COMPUTED_VALUE"""),"this is england 86")</f>
        <v>this is england 86</v>
      </c>
      <c r="B779" s="1" t="str">
        <f>IF(A779&lt;&gt;"", VLOOKUP(A779, imdb_netflix_v5!A$2:H$7370, 2, FALSE), "")</f>
        <v>TV Show</v>
      </c>
      <c r="C779" s="2" t="str">
        <f>IF(A779&lt;&gt;"", VLOOKUP(A779, imdb_netflix_v5!A$2:H$7370, 3, FALSE), "")</f>
        <v>Comedy, Crime, Drama</v>
      </c>
      <c r="D779" s="2">
        <f>IF(A779&lt;&gt;"", VLOOKUP(A779, imdb_netflix_v5!A$2:H$7370, 4, FALSE), "")</f>
        <v>8.3</v>
      </c>
      <c r="E779" s="2">
        <f>IF(A779&lt;&gt;"", VLOOKUP(A779, imdb_netflix_v5!A$2:H$7370, 5, FALSE), "")</f>
        <v>2010</v>
      </c>
      <c r="F779" s="2" t="str">
        <f>IF(A779&lt;&gt;"", VLOOKUP(A779, imdb_netflix_v5!A$2:H$7370, 7, FALSE), "")</f>
        <v>NA</v>
      </c>
    </row>
    <row r="780" ht="15.75" customHeight="1">
      <c r="A780" s="1" t="str">
        <f>IFERROR(__xludf.DUMMYFUNCTION("""COMPUTED_VALUE"""),"aruvi")</f>
        <v>aruvi</v>
      </c>
      <c r="B780" s="1" t="str">
        <f>IF(A780&lt;&gt;"", VLOOKUP(A780, imdb_netflix_v5!A$2:H$7370, 2, FALSE), "")</f>
        <v>Movie</v>
      </c>
      <c r="C780" s="2" t="str">
        <f>IF(A780&lt;&gt;"", VLOOKUP(A780, imdb_netflix_v5!A$2:H$7370, 3, FALSE), "")</f>
        <v>Drama</v>
      </c>
      <c r="D780" s="2">
        <f>IF(A780&lt;&gt;"", VLOOKUP(A780, imdb_netflix_v5!A$2:H$7370, 4, FALSE), "")</f>
        <v>8.3</v>
      </c>
      <c r="E780" s="2">
        <f>IF(A780&lt;&gt;"", VLOOKUP(A780, imdb_netflix_v5!A$2:H$7370, 5, FALSE), "")</f>
        <v>2016</v>
      </c>
      <c r="F780" s="2" t="str">
        <f>IF(A780&lt;&gt;"", VLOOKUP(A780, imdb_netflix_v5!A$2:H$7370, 7, FALSE), "")</f>
        <v>NA</v>
      </c>
    </row>
    <row r="781" ht="15.75" customHeight="1">
      <c r="A781" s="1" t="str">
        <f>IFERROR(__xludf.DUMMYFUNCTION("""COMPUTED_VALUE"""),"samurai rebellion")</f>
        <v>samurai rebellion</v>
      </c>
      <c r="B781" s="1" t="str">
        <f>IF(A781&lt;&gt;"", VLOOKUP(A781, imdb_netflix_v5!A$2:H$7370, 2, FALSE), "")</f>
        <v>Movie</v>
      </c>
      <c r="C781" s="2" t="str">
        <f>IF(A781&lt;&gt;"", VLOOKUP(A781, imdb_netflix_v5!A$2:H$7370, 3, FALSE), "")</f>
        <v>Drama</v>
      </c>
      <c r="D781" s="2">
        <f>IF(A781&lt;&gt;"", VLOOKUP(A781, imdb_netflix_v5!A$2:H$7370, 4, FALSE), "")</f>
        <v>8.3</v>
      </c>
      <c r="E781" s="2">
        <f>IF(A781&lt;&gt;"", VLOOKUP(A781, imdb_netflix_v5!A$2:H$7370, 5, FALSE), "")</f>
        <v>1967</v>
      </c>
      <c r="F781" s="2" t="str">
        <f>IF(A781&lt;&gt;"", VLOOKUP(A781, imdb_netflix_v5!A$2:H$7370, 7, FALSE), "")</f>
        <v>NA</v>
      </c>
    </row>
    <row r="782" ht="15.75" customHeight="1">
      <c r="A782" s="1" t="str">
        <f>IFERROR(__xludf.DUMMYFUNCTION("""COMPUTED_VALUE"""),"bottom")</f>
        <v>bottom</v>
      </c>
      <c r="B782" s="1" t="str">
        <f>IF(A782&lt;&gt;"", VLOOKUP(A782, imdb_netflix_v5!A$2:H$7370, 2, FALSE), "")</f>
        <v>TV Show</v>
      </c>
      <c r="C782" s="2" t="str">
        <f>IF(A782&lt;&gt;"", VLOOKUP(A782, imdb_netflix_v5!A$2:H$7370, 3, FALSE), "")</f>
        <v>Comedy</v>
      </c>
      <c r="D782" s="2">
        <f>IF(A782&lt;&gt;"", VLOOKUP(A782, imdb_netflix_v5!A$2:H$7370, 4, FALSE), "")</f>
        <v>8.3</v>
      </c>
      <c r="E782" s="2">
        <f>IF(A782&lt;&gt;"", VLOOKUP(A782, imdb_netflix_v5!A$2:H$7370, 5, FALSE), "")</f>
        <v>1991</v>
      </c>
      <c r="F782" s="2" t="str">
        <f>IF(A782&lt;&gt;"", VLOOKUP(A782, imdb_netflix_v5!A$2:H$7370, 7, FALSE), "")</f>
        <v>NA</v>
      </c>
    </row>
    <row r="783" ht="15.75" customHeight="1">
      <c r="A783" s="1" t="str">
        <f>IFERROR(__xludf.DUMMYFUNCTION("""COMPUTED_VALUE"""),"the look of silence")</f>
        <v>the look of silence</v>
      </c>
      <c r="B783" s="1" t="str">
        <f>IF(A783&lt;&gt;"", VLOOKUP(A783, imdb_netflix_v5!A$2:H$7370, 2, FALSE), "")</f>
        <v>Movie</v>
      </c>
      <c r="C783" s="2" t="str">
        <f>IF(A783&lt;&gt;"", VLOOKUP(A783, imdb_netflix_v5!A$2:H$7370, 3, FALSE), "")</f>
        <v>Biography, Documentary, History</v>
      </c>
      <c r="D783" s="2">
        <f>IF(A783&lt;&gt;"", VLOOKUP(A783, imdb_netflix_v5!A$2:H$7370, 4, FALSE), "")</f>
        <v>8.3</v>
      </c>
      <c r="E783" s="2">
        <f>IF(A783&lt;&gt;"", VLOOKUP(A783, imdb_netflix_v5!A$2:H$7370, 5, FALSE), "")</f>
        <v>2014</v>
      </c>
      <c r="F783" s="2" t="str">
        <f>IF(A783&lt;&gt;"", VLOOKUP(A783, imdb_netflix_v5!A$2:H$7370, 7, FALSE), "")</f>
        <v>NA</v>
      </c>
    </row>
    <row r="784" ht="15.75" customHeight="1">
      <c r="A784" s="1" t="str">
        <f>IFERROR(__xludf.DUMMYFUNCTION("""COMPUTED_VALUE"""),"weightlifting fairy kim bok-joo")</f>
        <v>weightlifting fairy kim bok-joo</v>
      </c>
      <c r="B784" s="1" t="str">
        <f>IF(A784&lt;&gt;"", VLOOKUP(A784, imdb_netflix_v5!A$2:H$7370, 2, FALSE), "")</f>
        <v>TV Show</v>
      </c>
      <c r="C784" s="2" t="str">
        <f>IF(A784&lt;&gt;"", VLOOKUP(A784, imdb_netflix_v5!A$2:H$7370, 3, FALSE), "")</f>
        <v>Comedy, Romance</v>
      </c>
      <c r="D784" s="2">
        <f>IF(A784&lt;&gt;"", VLOOKUP(A784, imdb_netflix_v5!A$2:H$7370, 4, FALSE), "")</f>
        <v>8.3</v>
      </c>
      <c r="E784" s="2">
        <f>IF(A784&lt;&gt;"", VLOOKUP(A784, imdb_netflix_v5!A$2:H$7370, 5, FALSE), "")</f>
        <v>2016</v>
      </c>
      <c r="F784" s="2" t="str">
        <f>IF(A784&lt;&gt;"", VLOOKUP(A784, imdb_netflix_v5!A$2:H$7370, 7, FALSE), "")</f>
        <v>NA</v>
      </c>
    </row>
    <row r="785" ht="15.75" customHeight="1">
      <c r="A785" s="1" t="str">
        <f>IFERROR(__xludf.DUMMYFUNCTION("""COMPUTED_VALUE"""),"kaiju no. 8")</f>
        <v>kaiju no. 8</v>
      </c>
      <c r="B785" s="1" t="str">
        <f>IF(A785&lt;&gt;"", VLOOKUP(A785, imdb_netflix_v5!A$2:H$7370, 2, FALSE), "")</f>
        <v>TV Show</v>
      </c>
      <c r="C785" s="2" t="str">
        <f>IF(A785&lt;&gt;"", VLOOKUP(A785, imdb_netflix_v5!A$2:H$7370, 3, FALSE), "")</f>
        <v>Action, Adventure, Animation</v>
      </c>
      <c r="D785" s="2">
        <f>IF(A785&lt;&gt;"", VLOOKUP(A785, imdb_netflix_v5!A$2:H$7370, 4, FALSE), "")</f>
        <v>8.3</v>
      </c>
      <c r="E785" s="2">
        <f>IF(A785&lt;&gt;"", VLOOKUP(A785, imdb_netflix_v5!A$2:H$7370, 5, FALSE), "")</f>
        <v>2024</v>
      </c>
      <c r="F785" s="2" t="str">
        <f>IF(A785&lt;&gt;"", VLOOKUP(A785, imdb_netflix_v5!A$2:H$7370, 7, FALSE), "")</f>
        <v>NA</v>
      </c>
    </row>
    <row r="786" ht="15.75" customHeight="1">
      <c r="A786" s="1" t="str">
        <f>IFERROR(__xludf.DUMMYFUNCTION("""COMPUTED_VALUE"""),"king of the doormen")</f>
        <v>king of the doormen</v>
      </c>
      <c r="B786" s="1" t="str">
        <f>IF(A786&lt;&gt;"", VLOOKUP(A786, imdb_netflix_v5!A$2:H$7370, 2, FALSE), "")</f>
        <v>Movie</v>
      </c>
      <c r="C786" s="2" t="str">
        <f>IF(A786&lt;&gt;"", VLOOKUP(A786, imdb_netflix_v5!A$2:H$7370, 3, FALSE), "")</f>
        <v>Comedy</v>
      </c>
      <c r="D786" s="2">
        <f>IF(A786&lt;&gt;"", VLOOKUP(A786, imdb_netflix_v5!A$2:H$7370, 4, FALSE), "")</f>
        <v>8.3</v>
      </c>
      <c r="E786" s="2">
        <f>IF(A786&lt;&gt;"", VLOOKUP(A786, imdb_netflix_v5!A$2:H$7370, 5, FALSE), "")</f>
        <v>1976</v>
      </c>
      <c r="F786" s="2" t="str">
        <f>IF(A786&lt;&gt;"", VLOOKUP(A786, imdb_netflix_v5!A$2:H$7370, 7, FALSE), "")</f>
        <v>NA</v>
      </c>
    </row>
    <row r="787" ht="15.75" customHeight="1">
      <c r="A787" s="1" t="str">
        <f>IFERROR(__xludf.DUMMYFUNCTION("""COMPUTED_VALUE"""),"kidnapping, caucasian style")</f>
        <v>kidnapping, caucasian style</v>
      </c>
      <c r="B787" s="1" t="str">
        <f>IF(A787&lt;&gt;"", VLOOKUP(A787, imdb_netflix_v5!A$2:H$7370, 2, FALSE), "")</f>
        <v>Movie</v>
      </c>
      <c r="C787" s="2" t="str">
        <f>IF(A787&lt;&gt;"", VLOOKUP(A787, imdb_netflix_v5!A$2:H$7370, 3, FALSE), "")</f>
        <v>Adventure, Comedy, Drama</v>
      </c>
      <c r="D787" s="2">
        <f>IF(A787&lt;&gt;"", VLOOKUP(A787, imdb_netflix_v5!A$2:H$7370, 4, FALSE), "")</f>
        <v>8.3</v>
      </c>
      <c r="E787" s="2">
        <f>IF(A787&lt;&gt;"", VLOOKUP(A787, imdb_netflix_v5!A$2:H$7370, 5, FALSE), "")</f>
        <v>1967</v>
      </c>
      <c r="F787" s="2" t="str">
        <f>IF(A787&lt;&gt;"", VLOOKUP(A787, imdb_netflix_v5!A$2:H$7370, 7, FALSE), "")</f>
        <v>NA</v>
      </c>
    </row>
    <row r="788" ht="15.75" customHeight="1">
      <c r="A788" s="1" t="str">
        <f>IFERROR(__xludf.DUMMYFUNCTION("""COMPUTED_VALUE"""),"julia")</f>
        <v>julia</v>
      </c>
      <c r="B788" s="1" t="str">
        <f>IF(A788&lt;&gt;"", VLOOKUP(A788, imdb_netflix_v5!A$2:H$7370, 2, FALSE), "")</f>
        <v>TV Show</v>
      </c>
      <c r="C788" s="2" t="str">
        <f>IF(A788&lt;&gt;"", VLOOKUP(A788, imdb_netflix_v5!A$2:H$7370, 3, FALSE), "")</f>
        <v>Biography, Drama</v>
      </c>
      <c r="D788" s="2">
        <f>IF(A788&lt;&gt;"", VLOOKUP(A788, imdb_netflix_v5!A$2:H$7370, 4, FALSE), "")</f>
        <v>8.3</v>
      </c>
      <c r="E788" s="2">
        <f>IF(A788&lt;&gt;"", VLOOKUP(A788, imdb_netflix_v5!A$2:H$7370, 5, FALSE), "")</f>
        <v>2022</v>
      </c>
      <c r="F788" s="2" t="str">
        <f>IF(A788&lt;&gt;"", VLOOKUP(A788, imdb_netflix_v5!A$2:H$7370, 7, FALSE), "")</f>
        <v>NA</v>
      </c>
    </row>
    <row r="789" ht="15.75" customHeight="1">
      <c r="A789" s="1">
        <f>IFERROR(__xludf.DUMMYFUNCTION("""COMPUTED_VALUE"""),2018.0)</f>
        <v>2018</v>
      </c>
      <c r="B789" s="1" t="str">
        <f>IF(A789&lt;&gt;"", VLOOKUP(A789, imdb_netflix_v5!A$2:H$7370, 2, FALSE), "")</f>
        <v>Movie</v>
      </c>
      <c r="C789" s="2" t="str">
        <f>IF(A789&lt;&gt;"", VLOOKUP(A789, imdb_netflix_v5!A$2:H$7370, 3, FALSE), "")</f>
        <v>Action, Drama, Thriller</v>
      </c>
      <c r="D789" s="2">
        <f>IF(A789&lt;&gt;"", VLOOKUP(A789, imdb_netflix_v5!A$2:H$7370, 4, FALSE), "")</f>
        <v>8.3</v>
      </c>
      <c r="E789" s="2">
        <f>IF(A789&lt;&gt;"", VLOOKUP(A789, imdb_netflix_v5!A$2:H$7370, 5, FALSE), "")</f>
        <v>2023</v>
      </c>
      <c r="F789" s="2" t="str">
        <f>IF(A789&lt;&gt;"", VLOOKUP(A789, imdb_netflix_v5!A$2:H$7370, 7, FALSE), "")</f>
        <v>NA</v>
      </c>
    </row>
    <row r="790" ht="15.75" customHeight="1">
      <c r="A790" s="1" t="str">
        <f>IFERROR(__xludf.DUMMYFUNCTION("""COMPUTED_VALUE"""),"lucia")</f>
        <v>lucia</v>
      </c>
      <c r="B790" s="1" t="str">
        <f>IF(A790&lt;&gt;"", VLOOKUP(A790, imdb_netflix_v5!A$2:H$7370, 2, FALSE), "")</f>
        <v>Movie</v>
      </c>
      <c r="C790" s="2" t="str">
        <f>IF(A790&lt;&gt;"", VLOOKUP(A790, imdb_netflix_v5!A$2:H$7370, 3, FALSE), "")</f>
        <v>Drama, Sci-Fi, Thriller</v>
      </c>
      <c r="D790" s="2">
        <f>IF(A790&lt;&gt;"", VLOOKUP(A790, imdb_netflix_v5!A$2:H$7370, 4, FALSE), "")</f>
        <v>8.3</v>
      </c>
      <c r="E790" s="2">
        <f>IF(A790&lt;&gt;"", VLOOKUP(A790, imdb_netflix_v5!A$2:H$7370, 5, FALSE), "")</f>
        <v>2013</v>
      </c>
      <c r="F790" s="2" t="str">
        <f>IF(A790&lt;&gt;"", VLOOKUP(A790, imdb_netflix_v5!A$2:H$7370, 7, FALSE), "")</f>
        <v>NA</v>
      </c>
    </row>
    <row r="791" ht="15.75" customHeight="1">
      <c r="A791" s="1" t="str">
        <f>IFERROR(__xludf.DUMMYFUNCTION("""COMPUTED_VALUE"""),"chupke chupke")</f>
        <v>chupke chupke</v>
      </c>
      <c r="B791" s="1" t="str">
        <f>IF(A791&lt;&gt;"", VLOOKUP(A791, imdb_netflix_v5!A$2:H$7370, 2, FALSE), "")</f>
        <v>Movie</v>
      </c>
      <c r="C791" s="2" t="str">
        <f>IF(A791&lt;&gt;"", VLOOKUP(A791, imdb_netflix_v5!A$2:H$7370, 3, FALSE), "")</f>
        <v>Comedy, Drama, Romance</v>
      </c>
      <c r="D791" s="2">
        <f>IF(A791&lt;&gt;"", VLOOKUP(A791, imdb_netflix_v5!A$2:H$7370, 4, FALSE), "")</f>
        <v>8.3</v>
      </c>
      <c r="E791" s="2">
        <f>IF(A791&lt;&gt;"", VLOOKUP(A791, imdb_netflix_v5!A$2:H$7370, 5, FALSE), "")</f>
        <v>1975</v>
      </c>
      <c r="F791" s="2" t="str">
        <f>IF(A791&lt;&gt;"", VLOOKUP(A791, imdb_netflix_v5!A$2:H$7370, 7, FALSE), "")</f>
        <v>NA</v>
      </c>
    </row>
    <row r="792" ht="15.75" customHeight="1">
      <c r="A792" s="1" t="str">
        <f>IFERROR(__xludf.DUMMYFUNCTION("""COMPUTED_VALUE"""),"gentlemen of fortune")</f>
        <v>gentlemen of fortune</v>
      </c>
      <c r="B792" s="1" t="str">
        <f>IF(A792&lt;&gt;"", VLOOKUP(A792, imdb_netflix_v5!A$2:H$7370, 2, FALSE), "")</f>
        <v>Movie</v>
      </c>
      <c r="C792" s="2" t="str">
        <f>IF(A792&lt;&gt;"", VLOOKUP(A792, imdb_netflix_v5!A$2:H$7370, 3, FALSE), "")</f>
        <v>Comedy, Crime, Drama</v>
      </c>
      <c r="D792" s="2">
        <f>IF(A792&lt;&gt;"", VLOOKUP(A792, imdb_netflix_v5!A$2:H$7370, 4, FALSE), "")</f>
        <v>8.3</v>
      </c>
      <c r="E792" s="2">
        <f>IF(A792&lt;&gt;"", VLOOKUP(A792, imdb_netflix_v5!A$2:H$7370, 5, FALSE), "")</f>
        <v>1971</v>
      </c>
      <c r="F792" s="2" t="str">
        <f>IF(A792&lt;&gt;"", VLOOKUP(A792, imdb_netflix_v5!A$2:H$7370, 7, FALSE), "")</f>
        <v>NA</v>
      </c>
    </row>
    <row r="793" ht="15.75" customHeight="1">
      <c r="A793" s="1" t="str">
        <f>IFERROR(__xludf.DUMMYFUNCTION("""COMPUTED_VALUE"""),"wonderfalls")</f>
        <v>wonderfalls</v>
      </c>
      <c r="B793" s="1" t="str">
        <f>IF(A793&lt;&gt;"", VLOOKUP(A793, imdb_netflix_v5!A$2:H$7370, 2, FALSE), "")</f>
        <v>TV Show</v>
      </c>
      <c r="C793" s="2" t="str">
        <f>IF(A793&lt;&gt;"", VLOOKUP(A793, imdb_netflix_v5!A$2:H$7370, 3, FALSE), "")</f>
        <v>Comedy, Drama, Fantasy</v>
      </c>
      <c r="D793" s="2">
        <f>IF(A793&lt;&gt;"", VLOOKUP(A793, imdb_netflix_v5!A$2:H$7370, 4, FALSE), "")</f>
        <v>8.3</v>
      </c>
      <c r="E793" s="2">
        <f>IF(A793&lt;&gt;"", VLOOKUP(A793, imdb_netflix_v5!A$2:H$7370, 5, FALSE), "")</f>
        <v>2004</v>
      </c>
      <c r="F793" s="2" t="str">
        <f>IF(A793&lt;&gt;"", VLOOKUP(A793, imdb_netflix_v5!A$2:H$7370, 7, FALSE), "")</f>
        <v>NA</v>
      </c>
    </row>
    <row r="794" ht="15.75" customHeight="1">
      <c r="A794" s="1" t="str">
        <f>IFERROR(__xludf.DUMMYFUNCTION("""COMPUTED_VALUE"""),"amaran")</f>
        <v>amaran</v>
      </c>
      <c r="B794" s="1" t="str">
        <f>IF(A794&lt;&gt;"", VLOOKUP(A794, imdb_netflix_v5!A$2:H$7370, 2, FALSE), "")</f>
        <v>Movie</v>
      </c>
      <c r="C794" s="2" t="str">
        <f>IF(A794&lt;&gt;"", VLOOKUP(A794, imdb_netflix_v5!A$2:H$7370, 3, FALSE), "")</f>
        <v>Action, Biography, Drama</v>
      </c>
      <c r="D794" s="2">
        <f>IF(A794&lt;&gt;"", VLOOKUP(A794, imdb_netflix_v5!A$2:H$7370, 4, FALSE), "")</f>
        <v>8.3</v>
      </c>
      <c r="E794" s="2">
        <f>IF(A794&lt;&gt;"", VLOOKUP(A794, imdb_netflix_v5!A$2:H$7370, 5, FALSE), "")</f>
        <v>2024</v>
      </c>
      <c r="F794" s="2" t="str">
        <f>IF(A794&lt;&gt;"", VLOOKUP(A794, imdb_netflix_v5!A$2:H$7370, 7, FALSE), "")</f>
        <v>NA</v>
      </c>
    </row>
    <row r="795" ht="15.75" customHeight="1">
      <c r="A795" s="1" t="str">
        <f>IFERROR(__xludf.DUMMYFUNCTION("""COMPUTED_VALUE"""),"green wing")</f>
        <v>green wing</v>
      </c>
      <c r="B795" s="1" t="str">
        <f>IF(A795&lt;&gt;"", VLOOKUP(A795, imdb_netflix_v5!A$2:H$7370, 2, FALSE), "")</f>
        <v>TV Show</v>
      </c>
      <c r="C795" s="2" t="str">
        <f>IF(A795&lt;&gt;"", VLOOKUP(A795, imdb_netflix_v5!A$2:H$7370, 3, FALSE), "")</f>
        <v>Comedy, Drama</v>
      </c>
      <c r="D795" s="2">
        <f>IF(A795&lt;&gt;"", VLOOKUP(A795, imdb_netflix_v5!A$2:H$7370, 4, FALSE), "")</f>
        <v>8.3</v>
      </c>
      <c r="E795" s="2">
        <f>IF(A795&lt;&gt;"", VLOOKUP(A795, imdb_netflix_v5!A$2:H$7370, 5, FALSE), "")</f>
        <v>2004</v>
      </c>
      <c r="F795" s="2" t="str">
        <f>IF(A795&lt;&gt;"", VLOOKUP(A795, imdb_netflix_v5!A$2:H$7370, 7, FALSE), "")</f>
        <v>NA</v>
      </c>
    </row>
    <row r="796" ht="15.75" customHeight="1">
      <c r="A796" s="1" t="str">
        <f>IFERROR(__xludf.DUMMYFUNCTION("""COMPUTED_VALUE"""),"ducktales")</f>
        <v>ducktales</v>
      </c>
      <c r="B796" s="1" t="str">
        <f>IF(A796&lt;&gt;"", VLOOKUP(A796, imdb_netflix_v5!A$2:H$7370, 2, FALSE), "")</f>
        <v>TV Show</v>
      </c>
      <c r="C796" s="2" t="str">
        <f>IF(A796&lt;&gt;"", VLOOKUP(A796, imdb_netflix_v5!A$2:H$7370, 3, FALSE), "")</f>
        <v>Action, Adventure, Animation</v>
      </c>
      <c r="D796" s="2">
        <f>IF(A796&lt;&gt;"", VLOOKUP(A796, imdb_netflix_v5!A$2:H$7370, 4, FALSE), "")</f>
        <v>8.3</v>
      </c>
      <c r="E796" s="2">
        <f>IF(A796&lt;&gt;"", VLOOKUP(A796, imdb_netflix_v5!A$2:H$7370, 5, FALSE), "")</f>
        <v>2017</v>
      </c>
      <c r="F796" s="2" t="str">
        <f>IF(A796&lt;&gt;"", VLOOKUP(A796, imdb_netflix_v5!A$2:H$7370, 7, FALSE), "")</f>
        <v>NA</v>
      </c>
    </row>
    <row r="797" ht="15.75" customHeight="1">
      <c r="A797" s="1" t="str">
        <f>IFERROR(__xludf.DUMMYFUNCTION("""COMPUTED_VALUE"""),"perry mason")</f>
        <v>perry mason</v>
      </c>
      <c r="B797" s="1" t="str">
        <f>IF(A797&lt;&gt;"", VLOOKUP(A797, imdb_netflix_v5!A$2:H$7370, 2, FALSE), "")</f>
        <v>TV Show</v>
      </c>
      <c r="C797" s="2" t="str">
        <f>IF(A797&lt;&gt;"", VLOOKUP(A797, imdb_netflix_v5!A$2:H$7370, 3, FALSE), "")</f>
        <v>Crime, Drama, Mystery</v>
      </c>
      <c r="D797" s="2">
        <f>IF(A797&lt;&gt;"", VLOOKUP(A797, imdb_netflix_v5!A$2:H$7370, 4, FALSE), "")</f>
        <v>8.3</v>
      </c>
      <c r="E797" s="2">
        <f>IF(A797&lt;&gt;"", VLOOKUP(A797, imdb_netflix_v5!A$2:H$7370, 5, FALSE), "")</f>
        <v>1957</v>
      </c>
      <c r="F797" s="2" t="str">
        <f>IF(A797&lt;&gt;"", VLOOKUP(A797, imdb_netflix_v5!A$2:H$7370, 7, FALSE), "")</f>
        <v>NA</v>
      </c>
    </row>
    <row r="798" ht="15.75" customHeight="1">
      <c r="A798" s="1" t="str">
        <f>IFERROR(__xludf.DUMMYFUNCTION("""COMPUTED_VALUE"""),"wu-tang an american saga")</f>
        <v>wu-tang an american saga</v>
      </c>
      <c r="B798" s="1" t="str">
        <f>IF(A798&lt;&gt;"", VLOOKUP(A798, imdb_netflix_v5!A$2:H$7370, 2, FALSE), "")</f>
        <v>TV Show</v>
      </c>
      <c r="C798" s="2" t="str">
        <f>IF(A798&lt;&gt;"", VLOOKUP(A798, imdb_netflix_v5!A$2:H$7370, 3, FALSE), "")</f>
        <v>Biography, Drama, Music</v>
      </c>
      <c r="D798" s="2">
        <f>IF(A798&lt;&gt;"", VLOOKUP(A798, imdb_netflix_v5!A$2:H$7370, 4, FALSE), "")</f>
        <v>8.3</v>
      </c>
      <c r="E798" s="2">
        <f>IF(A798&lt;&gt;"", VLOOKUP(A798, imdb_netflix_v5!A$2:H$7370, 5, FALSE), "")</f>
        <v>2019</v>
      </c>
      <c r="F798" s="2" t="str">
        <f>IF(A798&lt;&gt;"", VLOOKUP(A798, imdb_netflix_v5!A$2:H$7370, 7, FALSE), "")</f>
        <v>NA</v>
      </c>
    </row>
    <row r="799" ht="15.75" customHeight="1">
      <c r="A799" s="1" t="str">
        <f>IFERROR(__xludf.DUMMYFUNCTION("""COMPUTED_VALUE"""),"the disastrous life of saiki k.")</f>
        <v>the disastrous life of saiki k.</v>
      </c>
      <c r="B799" s="1" t="str">
        <f>IF(A799&lt;&gt;"", VLOOKUP(A799, imdb_netflix_v5!A$2:H$7370, 2, FALSE), "")</f>
        <v>TV Show</v>
      </c>
      <c r="C799" s="2" t="str">
        <f>IF(A799&lt;&gt;"", VLOOKUP(A799, imdb_netflix_v5!A$2:H$7370, 3, FALSE), "")</f>
        <v>Animation, Comedy, Fantasy</v>
      </c>
      <c r="D799" s="2">
        <f>IF(A799&lt;&gt;"", VLOOKUP(A799, imdb_netflix_v5!A$2:H$7370, 4, FALSE), "")</f>
        <v>8.3</v>
      </c>
      <c r="E799" s="2">
        <f>IF(A799&lt;&gt;"", VLOOKUP(A799, imdb_netflix_v5!A$2:H$7370, 5, FALSE), "")</f>
        <v>2016</v>
      </c>
      <c r="F799" s="2" t="str">
        <f>IF(A799&lt;&gt;"", VLOOKUP(A799, imdb_netflix_v5!A$2:H$7370, 7, FALSE), "")</f>
        <v>NA</v>
      </c>
    </row>
    <row r="800" ht="15.75" customHeight="1">
      <c r="A800" s="1" t="str">
        <f>IFERROR(__xludf.DUMMYFUNCTION("""COMPUTED_VALUE"""),"soodhu kavvum")</f>
        <v>soodhu kavvum</v>
      </c>
      <c r="B800" s="1" t="str">
        <f>IF(A800&lt;&gt;"", VLOOKUP(A800, imdb_netflix_v5!A$2:H$7370, 2, FALSE), "")</f>
        <v>Movie</v>
      </c>
      <c r="C800" s="2" t="str">
        <f>IF(A800&lt;&gt;"", VLOOKUP(A800, imdb_netflix_v5!A$2:H$7370, 3, FALSE), "")</f>
        <v>Comedy, Crime, Thriller</v>
      </c>
      <c r="D800" s="2">
        <f>IF(A800&lt;&gt;"", VLOOKUP(A800, imdb_netflix_v5!A$2:H$7370, 4, FALSE), "")</f>
        <v>8.3</v>
      </c>
      <c r="E800" s="2">
        <f>IF(A800&lt;&gt;"", VLOOKUP(A800, imdb_netflix_v5!A$2:H$7370, 5, FALSE), "")</f>
        <v>2013</v>
      </c>
      <c r="F800" s="2" t="str">
        <f>IF(A800&lt;&gt;"", VLOOKUP(A800, imdb_netflix_v5!A$2:H$7370, 7, FALSE), "")</f>
        <v>NA</v>
      </c>
    </row>
    <row r="801" ht="15.75" customHeight="1">
      <c r="A801" s="1" t="str">
        <f>IFERROR(__xludf.DUMMYFUNCTION("""COMPUTED_VALUE"""),"from the village to the city")</f>
        <v>from the village to the city</v>
      </c>
      <c r="B801" s="1" t="str">
        <f>IF(A801&lt;&gt;"", VLOOKUP(A801, imdb_netflix_v5!A$2:H$7370, 2, FALSE), "")</f>
        <v>Movie</v>
      </c>
      <c r="C801" s="2" t="str">
        <f>IF(A801&lt;&gt;"", VLOOKUP(A801, imdb_netflix_v5!A$2:H$7370, 3, FALSE), "")</f>
        <v>Comedy</v>
      </c>
      <c r="D801" s="2">
        <f>IF(A801&lt;&gt;"", VLOOKUP(A801, imdb_netflix_v5!A$2:H$7370, 4, FALSE), "")</f>
        <v>8.3</v>
      </c>
      <c r="E801" s="2">
        <f>IF(A801&lt;&gt;"", VLOOKUP(A801, imdb_netflix_v5!A$2:H$7370, 5, FALSE), "")</f>
        <v>1974</v>
      </c>
      <c r="F801" s="2" t="str">
        <f>IF(A801&lt;&gt;"", VLOOKUP(A801, imdb_netflix_v5!A$2:H$7370, 7, FALSE), "")</f>
        <v>NA</v>
      </c>
    </row>
    <row r="802" ht="15.75" customHeight="1">
      <c r="A802" s="1" t="str">
        <f>IFERROR(__xludf.DUMMYFUNCTION("""COMPUTED_VALUE"""),"law of the lawless")</f>
        <v>law of the lawless</v>
      </c>
      <c r="B802" s="1" t="str">
        <f>IF(A802&lt;&gt;"", VLOOKUP(A802, imdb_netflix_v5!A$2:H$7370, 2, FALSE), "")</f>
        <v>TV Show</v>
      </c>
      <c r="C802" s="2" t="str">
        <f>IF(A802&lt;&gt;"", VLOOKUP(A802, imdb_netflix_v5!A$2:H$7370, 3, FALSE), "")</f>
        <v>Action, Crime, Drama</v>
      </c>
      <c r="D802" s="2">
        <f>IF(A802&lt;&gt;"", VLOOKUP(A802, imdb_netflix_v5!A$2:H$7370, 4, FALSE), "")</f>
        <v>8.3</v>
      </c>
      <c r="E802" s="2">
        <f>IF(A802&lt;&gt;"", VLOOKUP(A802, imdb_netflix_v5!A$2:H$7370, 5, FALSE), "")</f>
        <v>2002</v>
      </c>
      <c r="F802" s="2" t="str">
        <f>IF(A802&lt;&gt;"", VLOOKUP(A802, imdb_netflix_v5!A$2:H$7370, 7, FALSE), "")</f>
        <v>NA</v>
      </c>
    </row>
    <row r="803" ht="15.75" customHeight="1">
      <c r="A803" s="1" t="str">
        <f>IFERROR(__xludf.DUMMYFUNCTION("""COMPUTED_VALUE"""),"baasha")</f>
        <v>baasha</v>
      </c>
      <c r="B803" s="1" t="str">
        <f>IF(A803&lt;&gt;"", VLOOKUP(A803, imdb_netflix_v5!A$2:H$7370, 2, FALSE), "")</f>
        <v>Movie</v>
      </c>
      <c r="C803" s="2" t="str">
        <f>IF(A803&lt;&gt;"", VLOOKUP(A803, imdb_netflix_v5!A$2:H$7370, 3, FALSE), "")</f>
        <v>Action, Crime, Drama</v>
      </c>
      <c r="D803" s="2">
        <f>IF(A803&lt;&gt;"", VLOOKUP(A803, imdb_netflix_v5!A$2:H$7370, 4, FALSE), "")</f>
        <v>8.3</v>
      </c>
      <c r="E803" s="2">
        <f>IF(A803&lt;&gt;"", VLOOKUP(A803, imdb_netflix_v5!A$2:H$7370, 5, FALSE), "")</f>
        <v>1995</v>
      </c>
      <c r="F803" s="2" t="str">
        <f>IF(A803&lt;&gt;"", VLOOKUP(A803, imdb_netflix_v5!A$2:H$7370, 7, FALSE), "")</f>
        <v>NA</v>
      </c>
    </row>
    <row r="804" ht="15.75" customHeight="1">
      <c r="A804" s="1" t="str">
        <f>IFERROR(__xludf.DUMMYFUNCTION("""COMPUTED_VALUE"""),"car masters rust to riches")</f>
        <v>car masters rust to riches</v>
      </c>
      <c r="B804" s="1" t="str">
        <f>IF(A804&lt;&gt;"", VLOOKUP(A804, imdb_netflix_v5!A$2:H$7370, 2, FALSE), "")</f>
        <v>TV Show</v>
      </c>
      <c r="C804" s="2" t="str">
        <f>IF(A804&lt;&gt;"", VLOOKUP(A804, imdb_netflix_v5!A$2:H$7370, 3, FALSE), "")</f>
        <v>Reality-TV</v>
      </c>
      <c r="D804" s="2">
        <f>IF(A804&lt;&gt;"", VLOOKUP(A804, imdb_netflix_v5!A$2:H$7370, 4, FALSE), "")</f>
        <v>8.3</v>
      </c>
      <c r="E804" s="2">
        <f>IF(A804&lt;&gt;"", VLOOKUP(A804, imdb_netflix_v5!A$2:H$7370, 5, FALSE), "")</f>
        <v>2018</v>
      </c>
      <c r="F804" s="2">
        <f>IF(A804&lt;&gt;"", VLOOKUP(A804, imdb_netflix_v5!A$2:H$7370, 7, FALSE), "")</f>
        <v>12900000</v>
      </c>
    </row>
    <row r="805" ht="15.75" customHeight="1">
      <c r="A805" s="1" t="str">
        <f>IFERROR(__xludf.DUMMYFUNCTION("""COMPUTED_VALUE"""),"this is england 88")</f>
        <v>this is england 88</v>
      </c>
      <c r="B805" s="1" t="str">
        <f>IF(A805&lt;&gt;"", VLOOKUP(A805, imdb_netflix_v5!A$2:H$7370, 2, FALSE), "")</f>
        <v>TV Show</v>
      </c>
      <c r="C805" s="2" t="str">
        <f>IF(A805&lt;&gt;"", VLOOKUP(A805, imdb_netflix_v5!A$2:H$7370, 3, FALSE), "")</f>
        <v>Comedy, Crime, Drama</v>
      </c>
      <c r="D805" s="2">
        <f>IF(A805&lt;&gt;"", VLOOKUP(A805, imdb_netflix_v5!A$2:H$7370, 4, FALSE), "")</f>
        <v>8.3</v>
      </c>
      <c r="E805" s="2">
        <f>IF(A805&lt;&gt;"", VLOOKUP(A805, imdb_netflix_v5!A$2:H$7370, 5, FALSE), "")</f>
        <v>2011</v>
      </c>
      <c r="F805" s="2" t="str">
        <f>IF(A805&lt;&gt;"", VLOOKUP(A805, imdb_netflix_v5!A$2:H$7370, 7, FALSE), "")</f>
        <v>NA</v>
      </c>
    </row>
    <row r="806" ht="15.75" customHeight="1">
      <c r="A806" s="1" t="str">
        <f>IFERROR(__xludf.DUMMYFUNCTION("""COMPUTED_VALUE"""),"gran hotel")</f>
        <v>gran hotel</v>
      </c>
      <c r="B806" s="1" t="str">
        <f>IF(A806&lt;&gt;"", VLOOKUP(A806, imdb_netflix_v5!A$2:H$7370, 2, FALSE), "")</f>
        <v>TV Show</v>
      </c>
      <c r="C806" s="2" t="str">
        <f>IF(A806&lt;&gt;"", VLOOKUP(A806, imdb_netflix_v5!A$2:H$7370, 3, FALSE), "")</f>
        <v>Crime, Drama, History</v>
      </c>
      <c r="D806" s="2">
        <f>IF(A806&lt;&gt;"", VLOOKUP(A806, imdb_netflix_v5!A$2:H$7370, 4, FALSE), "")</f>
        <v>8.3</v>
      </c>
      <c r="E806" s="2">
        <f>IF(A806&lt;&gt;"", VLOOKUP(A806, imdb_netflix_v5!A$2:H$7370, 5, FALSE), "")</f>
        <v>2011</v>
      </c>
      <c r="F806" s="2" t="str">
        <f>IF(A806&lt;&gt;"", VLOOKUP(A806, imdb_netflix_v5!A$2:H$7370, 7, FALSE), "")</f>
        <v>NA</v>
      </c>
    </row>
    <row r="807" ht="15.75" customHeight="1">
      <c r="A807" s="1" t="str">
        <f>IFERROR(__xludf.DUMMYFUNCTION("""COMPUTED_VALUE"""),"kaun pravin tambe?")</f>
        <v>kaun pravin tambe?</v>
      </c>
      <c r="B807" s="1" t="str">
        <f>IF(A807&lt;&gt;"", VLOOKUP(A807, imdb_netflix_v5!A$2:H$7370, 2, FALSE), "")</f>
        <v>Movie</v>
      </c>
      <c r="C807" s="2" t="str">
        <f>IF(A807&lt;&gt;"", VLOOKUP(A807, imdb_netflix_v5!A$2:H$7370, 3, FALSE), "")</f>
        <v>Biography, Drama, Sport</v>
      </c>
      <c r="D807" s="2">
        <f>IF(A807&lt;&gt;"", VLOOKUP(A807, imdb_netflix_v5!A$2:H$7370, 4, FALSE), "")</f>
        <v>8.3</v>
      </c>
      <c r="E807" s="2">
        <f>IF(A807&lt;&gt;"", VLOOKUP(A807, imdb_netflix_v5!A$2:H$7370, 5, FALSE), "")</f>
        <v>2022</v>
      </c>
      <c r="F807" s="2" t="str">
        <f>IF(A807&lt;&gt;"", VLOOKUP(A807, imdb_netflix_v5!A$2:H$7370, 7, FALSE), "")</f>
        <v>NA</v>
      </c>
    </row>
    <row r="808" ht="15.75" customHeight="1">
      <c r="A808" s="1" t="str">
        <f>IFERROR(__xludf.DUMMYFUNCTION("""COMPUTED_VALUE"""),"violet evergarden the movie")</f>
        <v>violet evergarden the movie</v>
      </c>
      <c r="B808" s="1" t="str">
        <f>IF(A808&lt;&gt;"", VLOOKUP(A808, imdb_netflix_v5!A$2:H$7370, 2, FALSE), "")</f>
        <v>Movie</v>
      </c>
      <c r="C808" s="2" t="str">
        <f>IF(A808&lt;&gt;"", VLOOKUP(A808, imdb_netflix_v5!A$2:H$7370, 3, FALSE), "")</f>
        <v>Animation, Drama, Fantasy</v>
      </c>
      <c r="D808" s="2">
        <f>IF(A808&lt;&gt;"", VLOOKUP(A808, imdb_netflix_v5!A$2:H$7370, 4, FALSE), "")</f>
        <v>8.3</v>
      </c>
      <c r="E808" s="2">
        <f>IF(A808&lt;&gt;"", VLOOKUP(A808, imdb_netflix_v5!A$2:H$7370, 5, FALSE), "")</f>
        <v>2020</v>
      </c>
      <c r="F808" s="2">
        <f>IF(A808&lt;&gt;"", VLOOKUP(A808, imdb_netflix_v5!A$2:H$7370, 7, FALSE), "")</f>
        <v>1800000</v>
      </c>
    </row>
    <row r="809" ht="15.75" customHeight="1">
      <c r="A809" s="1" t="str">
        <f>IFERROR(__xludf.DUMMYFUNCTION("""COMPUTED_VALUE"""),"landman")</f>
        <v>landman</v>
      </c>
      <c r="B809" s="1" t="str">
        <f>IF(A809&lt;&gt;"", VLOOKUP(A809, imdb_netflix_v5!A$2:H$7370, 2, FALSE), "")</f>
        <v>TV Show</v>
      </c>
      <c r="C809" s="2" t="str">
        <f>IF(A809&lt;&gt;"", VLOOKUP(A809, imdb_netflix_v5!A$2:H$7370, 3, FALSE), "")</f>
        <v>Drama</v>
      </c>
      <c r="D809" s="2">
        <f>IF(A809&lt;&gt;"", VLOOKUP(A809, imdb_netflix_v5!A$2:H$7370, 4, FALSE), "")</f>
        <v>8.3</v>
      </c>
      <c r="E809" s="2">
        <f>IF(A809&lt;&gt;"", VLOOKUP(A809, imdb_netflix_v5!A$2:H$7370, 5, FALSE), "")</f>
        <v>2024</v>
      </c>
      <c r="F809" s="2" t="str">
        <f>IF(A809&lt;&gt;"", VLOOKUP(A809, imdb_netflix_v5!A$2:H$7370, 7, FALSE), "")</f>
        <v>NA</v>
      </c>
    </row>
    <row r="810" ht="15.75" customHeight="1">
      <c r="A810" s="1" t="str">
        <f>IFERROR(__xludf.DUMMYFUNCTION("""COMPUTED_VALUE"""),"cat city")</f>
        <v>cat city</v>
      </c>
      <c r="B810" s="1" t="str">
        <f>IF(A810&lt;&gt;"", VLOOKUP(A810, imdb_netflix_v5!A$2:H$7370, 2, FALSE), "")</f>
        <v>Movie</v>
      </c>
      <c r="C810" s="2" t="str">
        <f>IF(A810&lt;&gt;"", VLOOKUP(A810, imdb_netflix_v5!A$2:H$7370, 3, FALSE), "")</f>
        <v>Adventure, Animation, Comedy</v>
      </c>
      <c r="D810" s="2">
        <f>IF(A810&lt;&gt;"", VLOOKUP(A810, imdb_netflix_v5!A$2:H$7370, 4, FALSE), "")</f>
        <v>8.3</v>
      </c>
      <c r="E810" s="2">
        <f>IF(A810&lt;&gt;"", VLOOKUP(A810, imdb_netflix_v5!A$2:H$7370, 5, FALSE), "")</f>
        <v>1986</v>
      </c>
      <c r="F810" s="2" t="str">
        <f>IF(A810&lt;&gt;"", VLOOKUP(A810, imdb_netflix_v5!A$2:H$7370, 7, FALSE), "")</f>
        <v>NA</v>
      </c>
    </row>
    <row r="811" ht="15.75" customHeight="1">
      <c r="A811" s="1" t="str">
        <f>IFERROR(__xludf.DUMMYFUNCTION("""COMPUTED_VALUE"""),"cranford")</f>
        <v>cranford</v>
      </c>
      <c r="B811" s="1" t="str">
        <f>IF(A811&lt;&gt;"", VLOOKUP(A811, imdb_netflix_v5!A$2:H$7370, 2, FALSE), "")</f>
        <v>TV Show</v>
      </c>
      <c r="C811" s="2" t="str">
        <f>IF(A811&lt;&gt;"", VLOOKUP(A811, imdb_netflix_v5!A$2:H$7370, 3, FALSE), "")</f>
        <v>Drama</v>
      </c>
      <c r="D811" s="2">
        <f>IF(A811&lt;&gt;"", VLOOKUP(A811, imdb_netflix_v5!A$2:H$7370, 4, FALSE), "")</f>
        <v>8.3</v>
      </c>
      <c r="E811" s="2">
        <f>IF(A811&lt;&gt;"", VLOOKUP(A811, imdb_netflix_v5!A$2:H$7370, 5, FALSE), "")</f>
        <v>2007</v>
      </c>
      <c r="F811" s="2" t="str">
        <f>IF(A811&lt;&gt;"", VLOOKUP(A811, imdb_netflix_v5!A$2:H$7370, 7, FALSE), "")</f>
        <v>NA</v>
      </c>
    </row>
    <row r="812" ht="15.75" customHeight="1">
      <c r="A812" s="1" t="str">
        <f>IFERROR(__xludf.DUMMYFUNCTION("""COMPUTED_VALUE"""),"bleak house")</f>
        <v>bleak house</v>
      </c>
      <c r="B812" s="1" t="str">
        <f>IF(A812&lt;&gt;"", VLOOKUP(A812, imdb_netflix_v5!A$2:H$7370, 2, FALSE), "")</f>
        <v>TV Show</v>
      </c>
      <c r="C812" s="2" t="str">
        <f>IF(A812&lt;&gt;"", VLOOKUP(A812, imdb_netflix_v5!A$2:H$7370, 3, FALSE), "")</f>
        <v>Crime, Drama</v>
      </c>
      <c r="D812" s="2">
        <f>IF(A812&lt;&gt;"", VLOOKUP(A812, imdb_netflix_v5!A$2:H$7370, 4, FALSE), "")</f>
        <v>8.3</v>
      </c>
      <c r="E812" s="2">
        <f>IF(A812&lt;&gt;"", VLOOKUP(A812, imdb_netflix_v5!A$2:H$7370, 5, FALSE), "")</f>
        <v>2005</v>
      </c>
      <c r="F812" s="2" t="str">
        <f>IF(A812&lt;&gt;"", VLOOKUP(A812, imdb_netflix_v5!A$2:H$7370, 7, FALSE), "")</f>
        <v>NA</v>
      </c>
    </row>
    <row r="813" ht="15.75" customHeight="1">
      <c r="A813" s="1" t="str">
        <f>IFERROR(__xludf.DUMMYFUNCTION("""COMPUTED_VALUE"""),"maheshinte prathikaaram")</f>
        <v>maheshinte prathikaaram</v>
      </c>
      <c r="B813" s="1" t="str">
        <f>IF(A813&lt;&gt;"", VLOOKUP(A813, imdb_netflix_v5!A$2:H$7370, 2, FALSE), "")</f>
        <v>Movie</v>
      </c>
      <c r="C813" s="2" t="str">
        <f>IF(A813&lt;&gt;"", VLOOKUP(A813, imdb_netflix_v5!A$2:H$7370, 3, FALSE), "")</f>
        <v>Comedy, Drama, Thriller</v>
      </c>
      <c r="D813" s="2">
        <f>IF(A813&lt;&gt;"", VLOOKUP(A813, imdb_netflix_v5!A$2:H$7370, 4, FALSE), "")</f>
        <v>8.3</v>
      </c>
      <c r="E813" s="2">
        <f>IF(A813&lt;&gt;"", VLOOKUP(A813, imdb_netflix_v5!A$2:H$7370, 5, FALSE), "")</f>
        <v>2016</v>
      </c>
      <c r="F813" s="2" t="str">
        <f>IF(A813&lt;&gt;"", VLOOKUP(A813, imdb_netflix_v5!A$2:H$7370, 7, FALSE), "")</f>
        <v>NA</v>
      </c>
    </row>
    <row r="814" ht="15.75" customHeight="1">
      <c r="A814" s="1" t="str">
        <f>IFERROR(__xludf.DUMMYFUNCTION("""COMPUTED_VALUE"""),"oshi no ko")</f>
        <v>oshi no ko</v>
      </c>
      <c r="B814" s="1" t="str">
        <f>IF(A814&lt;&gt;"", VLOOKUP(A814, imdb_netflix_v5!A$2:H$7370, 2, FALSE), "")</f>
        <v>TV Show</v>
      </c>
      <c r="C814" s="2" t="str">
        <f>IF(A814&lt;&gt;"", VLOOKUP(A814, imdb_netflix_v5!A$2:H$7370, 3, FALSE), "")</f>
        <v>Animation, Drama, Fantasy</v>
      </c>
      <c r="D814" s="2">
        <f>IF(A814&lt;&gt;"", VLOOKUP(A814, imdb_netflix_v5!A$2:H$7370, 4, FALSE), "")</f>
        <v>8.3</v>
      </c>
      <c r="E814" s="2">
        <f>IF(A814&lt;&gt;"", VLOOKUP(A814, imdb_netflix_v5!A$2:H$7370, 5, FALSE), "")</f>
        <v>2023</v>
      </c>
      <c r="F814" s="2" t="str">
        <f>IF(A814&lt;&gt;"", VLOOKUP(A814, imdb_netflix_v5!A$2:H$7370, 7, FALSE), "")</f>
        <v>NA</v>
      </c>
    </row>
    <row r="815" ht="15.75" customHeight="1">
      <c r="A815" s="1" t="str">
        <f>IFERROR(__xludf.DUMMYFUNCTION("""COMPUTED_VALUE"""),"while you were sleeping")</f>
        <v>while you were sleeping</v>
      </c>
      <c r="B815" s="1" t="str">
        <f>IF(A815&lt;&gt;"", VLOOKUP(A815, imdb_netflix_v5!A$2:H$7370, 2, FALSE), "")</f>
        <v>TV Show</v>
      </c>
      <c r="C815" s="2" t="str">
        <f>IF(A815&lt;&gt;"", VLOOKUP(A815, imdb_netflix_v5!A$2:H$7370, 3, FALSE), "")</f>
        <v>Comedy, Drama, Fantasy</v>
      </c>
      <c r="D815" s="2">
        <f>IF(A815&lt;&gt;"", VLOOKUP(A815, imdb_netflix_v5!A$2:H$7370, 4, FALSE), "")</f>
        <v>8.3</v>
      </c>
      <c r="E815" s="2">
        <f>IF(A815&lt;&gt;"", VLOOKUP(A815, imdb_netflix_v5!A$2:H$7370, 5, FALSE), "")</f>
        <v>2017</v>
      </c>
      <c r="F815" s="2" t="str">
        <f>IF(A815&lt;&gt;"", VLOOKUP(A815, imdb_netflix_v5!A$2:H$7370, 7, FALSE), "")</f>
        <v>NA</v>
      </c>
    </row>
    <row r="816" ht="15.75" customHeight="1">
      <c r="A816" s="1" t="str">
        <f>IFERROR(__xludf.DUMMYFUNCTION("""COMPUTED_VALUE"""),"state of play")</f>
        <v>state of play</v>
      </c>
      <c r="B816" s="1" t="str">
        <f>IF(A816&lt;&gt;"", VLOOKUP(A816, imdb_netflix_v5!A$2:H$7370, 2, FALSE), "")</f>
        <v>TV Show</v>
      </c>
      <c r="C816" s="2" t="str">
        <f>IF(A816&lt;&gt;"", VLOOKUP(A816, imdb_netflix_v5!A$2:H$7370, 3, FALSE), "")</f>
        <v>Crime, Drama, Mystery</v>
      </c>
      <c r="D816" s="2">
        <f>IF(A816&lt;&gt;"", VLOOKUP(A816, imdb_netflix_v5!A$2:H$7370, 4, FALSE), "")</f>
        <v>8.3</v>
      </c>
      <c r="E816" s="2">
        <f>IF(A816&lt;&gt;"", VLOOKUP(A816, imdb_netflix_v5!A$2:H$7370, 5, FALSE), "")</f>
        <v>2003</v>
      </c>
      <c r="F816" s="2" t="str">
        <f>IF(A816&lt;&gt;"", VLOOKUP(A816, imdb_netflix_v5!A$2:H$7370, 7, FALSE), "")</f>
        <v>NA</v>
      </c>
    </row>
    <row r="817" ht="15.75" customHeight="1">
      <c r="A817" s="1" t="str">
        <f>IFERROR(__xludf.DUMMYFUNCTION("""COMPUTED_VALUE"""),"millennium")</f>
        <v>millennium</v>
      </c>
      <c r="B817" s="1" t="str">
        <f>IF(A817&lt;&gt;"", VLOOKUP(A817, imdb_netflix_v5!A$2:H$7370, 2, FALSE), "")</f>
        <v>TV Show</v>
      </c>
      <c r="C817" s="2" t="str">
        <f>IF(A817&lt;&gt;"", VLOOKUP(A817, imdb_netflix_v5!A$2:H$7370, 3, FALSE), "")</f>
        <v>Action, Crime, Mystery</v>
      </c>
      <c r="D817" s="2">
        <f>IF(A817&lt;&gt;"", VLOOKUP(A817, imdb_netflix_v5!A$2:H$7370, 4, FALSE), "")</f>
        <v>8.3</v>
      </c>
      <c r="E817" s="2">
        <f>IF(A817&lt;&gt;"", VLOOKUP(A817, imdb_netflix_v5!A$2:H$7370, 5, FALSE), "")</f>
        <v>2010</v>
      </c>
      <c r="F817" s="2" t="str">
        <f>IF(A817&lt;&gt;"", VLOOKUP(A817, imdb_netflix_v5!A$2:H$7370, 7, FALSE), "")</f>
        <v>NA</v>
      </c>
    </row>
    <row r="818" ht="15.75" customHeight="1">
      <c r="A818" s="1" t="str">
        <f>IFERROR(__xludf.DUMMYFUNCTION("""COMPUTED_VALUE"""),"feels like home")</f>
        <v>feels like home</v>
      </c>
      <c r="B818" s="1" t="str">
        <f>IF(A818&lt;&gt;"", VLOOKUP(A818, imdb_netflix_v5!A$2:H$7370, 2, FALSE), "")</f>
        <v>TV Show</v>
      </c>
      <c r="C818" s="2" t="str">
        <f>IF(A818&lt;&gt;"", VLOOKUP(A818, imdb_netflix_v5!A$2:H$7370, 3, FALSE), "")</f>
        <v>Comedy</v>
      </c>
      <c r="D818" s="2">
        <f>IF(A818&lt;&gt;"", VLOOKUP(A818, imdb_netflix_v5!A$2:H$7370, 4, FALSE), "")</f>
        <v>8.3</v>
      </c>
      <c r="E818" s="2">
        <f>IF(A818&lt;&gt;"", VLOOKUP(A818, imdb_netflix_v5!A$2:H$7370, 5, FALSE), "")</f>
        <v>2022</v>
      </c>
      <c r="F818" s="2" t="str">
        <f>IF(A818&lt;&gt;"", VLOOKUP(A818, imdb_netflix_v5!A$2:H$7370, 7, FALSE), "")</f>
        <v>NA</v>
      </c>
    </row>
    <row r="819" ht="15.75" customHeight="1">
      <c r="A819" s="1" t="str">
        <f>IFERROR(__xludf.DUMMYFUNCTION("""COMPUTED_VALUE"""),"the mary tyler moore show")</f>
        <v>the mary tyler moore show</v>
      </c>
      <c r="B819" s="1" t="str">
        <f>IF(A819&lt;&gt;"", VLOOKUP(A819, imdb_netflix_v5!A$2:H$7370, 2, FALSE), "")</f>
        <v>TV Show</v>
      </c>
      <c r="C819" s="2" t="str">
        <f>IF(A819&lt;&gt;"", VLOOKUP(A819, imdb_netflix_v5!A$2:H$7370, 3, FALSE), "")</f>
        <v>Comedy</v>
      </c>
      <c r="D819" s="2">
        <f>IF(A819&lt;&gt;"", VLOOKUP(A819, imdb_netflix_v5!A$2:H$7370, 4, FALSE), "")</f>
        <v>8.3</v>
      </c>
      <c r="E819" s="2">
        <f>IF(A819&lt;&gt;"", VLOOKUP(A819, imdb_netflix_v5!A$2:H$7370, 5, FALSE), "")</f>
        <v>1970</v>
      </c>
      <c r="F819" s="2" t="str">
        <f>IF(A819&lt;&gt;"", VLOOKUP(A819, imdb_netflix_v5!A$2:H$7370, 7, FALSE), "")</f>
        <v>NA</v>
      </c>
    </row>
    <row r="820" ht="15.75" customHeight="1">
      <c r="A820" s="1" t="str">
        <f>IFERROR(__xludf.DUMMYFUNCTION("""COMPUTED_VALUE"""),"to your eternity")</f>
        <v>to your eternity</v>
      </c>
      <c r="B820" s="1" t="str">
        <f>IF(A820&lt;&gt;"", VLOOKUP(A820, imdb_netflix_v5!A$2:H$7370, 2, FALSE), "")</f>
        <v>TV Show</v>
      </c>
      <c r="C820" s="2" t="str">
        <f>IF(A820&lt;&gt;"", VLOOKUP(A820, imdb_netflix_v5!A$2:H$7370, 3, FALSE), "")</f>
        <v>Adventure, Animation, Drama</v>
      </c>
      <c r="D820" s="2">
        <f>IF(A820&lt;&gt;"", VLOOKUP(A820, imdb_netflix_v5!A$2:H$7370, 4, FALSE), "")</f>
        <v>8.3</v>
      </c>
      <c r="E820" s="2">
        <f>IF(A820&lt;&gt;"", VLOOKUP(A820, imdb_netflix_v5!A$2:H$7370, 5, FALSE), "")</f>
        <v>2021</v>
      </c>
      <c r="F820" s="2" t="str">
        <f>IF(A820&lt;&gt;"", VLOOKUP(A820, imdb_netflix_v5!A$2:H$7370, 7, FALSE), "")</f>
        <v>NA</v>
      </c>
    </row>
    <row r="821" ht="15.75" customHeight="1">
      <c r="A821" s="1" t="str">
        <f>IFERROR(__xludf.DUMMYFUNCTION("""COMPUTED_VALUE"""),"frozen stiff")</f>
        <v>frozen stiff</v>
      </c>
      <c r="B821" s="1" t="str">
        <f>IF(A821&lt;&gt;"", VLOOKUP(A821, imdb_netflix_v5!A$2:H$7370, 2, FALSE), "")</f>
        <v>Movie</v>
      </c>
      <c r="C821" s="2" t="str">
        <f>IF(A821&lt;&gt;"", VLOOKUP(A821, imdb_netflix_v5!A$2:H$7370, 3, FALSE), "")</f>
        <v>Comedy, Drama</v>
      </c>
      <c r="D821" s="2">
        <f>IF(A821&lt;&gt;"", VLOOKUP(A821, imdb_netflix_v5!A$2:H$7370, 4, FALSE), "")</f>
        <v>8.3</v>
      </c>
      <c r="E821" s="2">
        <f>IF(A821&lt;&gt;"", VLOOKUP(A821, imdb_netflix_v5!A$2:H$7370, 5, FALSE), "")</f>
        <v>2002</v>
      </c>
      <c r="F821" s="2" t="str">
        <f>IF(A821&lt;&gt;"", VLOOKUP(A821, imdb_netflix_v5!A$2:H$7370, 7, FALSE), "")</f>
        <v>NA</v>
      </c>
    </row>
    <row r="822" ht="15.75" customHeight="1">
      <c r="A822" s="1" t="str">
        <f>IFERROR(__xludf.DUMMYFUNCTION("""COMPUTED_VALUE"""),"a bit of fry and laurie")</f>
        <v>a bit of fry and laurie</v>
      </c>
      <c r="B822" s="1" t="str">
        <f>IF(A822&lt;&gt;"", VLOOKUP(A822, imdb_netflix_v5!A$2:H$7370, 2, FALSE), "")</f>
        <v>TV Show</v>
      </c>
      <c r="C822" s="2" t="str">
        <f>IF(A822&lt;&gt;"", VLOOKUP(A822, imdb_netflix_v5!A$2:H$7370, 3, FALSE), "")</f>
        <v>Comedy</v>
      </c>
      <c r="D822" s="2">
        <f>IF(A822&lt;&gt;"", VLOOKUP(A822, imdb_netflix_v5!A$2:H$7370, 4, FALSE), "")</f>
        <v>8.3</v>
      </c>
      <c r="E822" s="2">
        <f>IF(A822&lt;&gt;"", VLOOKUP(A822, imdb_netflix_v5!A$2:H$7370, 5, FALSE), "")</f>
        <v>1987</v>
      </c>
      <c r="F822" s="2" t="str">
        <f>IF(A822&lt;&gt;"", VLOOKUP(A822, imdb_netflix_v5!A$2:H$7370, 7, FALSE), "")</f>
        <v>NA</v>
      </c>
    </row>
    <row r="823" ht="15.75" customHeight="1">
      <c r="A823" s="1" t="str">
        <f>IFERROR(__xludf.DUMMYFUNCTION("""COMPUTED_VALUE"""),"the wolf of wall street")</f>
        <v>the wolf of wall street</v>
      </c>
      <c r="B823" s="1" t="str">
        <f>IF(A823&lt;&gt;"", VLOOKUP(A823, imdb_netflix_v5!A$2:H$7370, 2, FALSE), "")</f>
        <v>Movie</v>
      </c>
      <c r="C823" s="2" t="str">
        <f>IF(A823&lt;&gt;"", VLOOKUP(A823, imdb_netflix_v5!A$2:H$7370, 3, FALSE), "")</f>
        <v>Biography, Comedy, Crime</v>
      </c>
      <c r="D823" s="2">
        <f>IF(A823&lt;&gt;"", VLOOKUP(A823, imdb_netflix_v5!A$2:H$7370, 4, FALSE), "")</f>
        <v>8.2</v>
      </c>
      <c r="E823" s="2">
        <f>IF(A823&lt;&gt;"", VLOOKUP(A823, imdb_netflix_v5!A$2:H$7370, 5, FALSE), "")</f>
        <v>2013</v>
      </c>
      <c r="F823" s="2">
        <f>IF(A823&lt;&gt;"", VLOOKUP(A823, imdb_netflix_v5!A$2:H$7370, 7, FALSE), "")</f>
        <v>9700000</v>
      </c>
    </row>
    <row r="824" ht="15.75" customHeight="1">
      <c r="A824" s="1" t="str">
        <f>IFERROR(__xludf.DUMMYFUNCTION("""COMPUTED_VALUE"""),"batman begins")</f>
        <v>batman begins</v>
      </c>
      <c r="B824" s="1" t="str">
        <f>IF(A824&lt;&gt;"", VLOOKUP(A824, imdb_netflix_v5!A$2:H$7370, 2, FALSE), "")</f>
        <v>Movie</v>
      </c>
      <c r="C824" s="2" t="str">
        <f>IF(A824&lt;&gt;"", VLOOKUP(A824, imdb_netflix_v5!A$2:H$7370, 3, FALSE), "")</f>
        <v>Action, Drama</v>
      </c>
      <c r="D824" s="2">
        <f>IF(A824&lt;&gt;"", VLOOKUP(A824, imdb_netflix_v5!A$2:H$7370, 4, FALSE), "")</f>
        <v>8.2</v>
      </c>
      <c r="E824" s="2">
        <f>IF(A824&lt;&gt;"", VLOOKUP(A824, imdb_netflix_v5!A$2:H$7370, 5, FALSE), "")</f>
        <v>2005</v>
      </c>
      <c r="F824" s="2" t="str">
        <f>IF(A824&lt;&gt;"", VLOOKUP(A824, imdb_netflix_v5!A$2:H$7370, 7, FALSE), "")</f>
        <v>NA</v>
      </c>
    </row>
    <row r="825" ht="15.75" customHeight="1">
      <c r="A825" s="1" t="str">
        <f>IFERROR(__xludf.DUMMYFUNCTION("""COMPUTED_VALUE"""),"shutter island")</f>
        <v>shutter island</v>
      </c>
      <c r="B825" s="1" t="str">
        <f>IF(A825&lt;&gt;"", VLOOKUP(A825, imdb_netflix_v5!A$2:H$7370, 2, FALSE), "")</f>
        <v>Movie</v>
      </c>
      <c r="C825" s="2" t="str">
        <f>IF(A825&lt;&gt;"", VLOOKUP(A825, imdb_netflix_v5!A$2:H$7370, 3, FALSE), "")</f>
        <v>Drama, Mystery, Thriller</v>
      </c>
      <c r="D825" s="2">
        <f>IF(A825&lt;&gt;"", VLOOKUP(A825, imdb_netflix_v5!A$2:H$7370, 4, FALSE), "")</f>
        <v>8.2</v>
      </c>
      <c r="E825" s="2">
        <f>IF(A825&lt;&gt;"", VLOOKUP(A825, imdb_netflix_v5!A$2:H$7370, 5, FALSE), "")</f>
        <v>2010</v>
      </c>
      <c r="F825" s="2" t="str">
        <f>IF(A825&lt;&gt;"", VLOOKUP(A825, imdb_netflix_v5!A$2:H$7370, 7, FALSE), "")</f>
        <v>NA</v>
      </c>
    </row>
    <row r="826" ht="15.75" customHeight="1">
      <c r="A826" s="1" t="str">
        <f>IFERROR(__xludf.DUMMYFUNCTION("""COMPUTED_VALUE"""),"the truman show")</f>
        <v>the truman show</v>
      </c>
      <c r="B826" s="1" t="str">
        <f>IF(A826&lt;&gt;"", VLOOKUP(A826, imdb_netflix_v5!A$2:H$7370, 2, FALSE), "")</f>
        <v>Movie</v>
      </c>
      <c r="C826" s="2" t="str">
        <f>IF(A826&lt;&gt;"", VLOOKUP(A826, imdb_netflix_v5!A$2:H$7370, 3, FALSE), "")</f>
        <v>Comedy, Drama</v>
      </c>
      <c r="D826" s="2">
        <f>IF(A826&lt;&gt;"", VLOOKUP(A826, imdb_netflix_v5!A$2:H$7370, 4, FALSE), "")</f>
        <v>8.2</v>
      </c>
      <c r="E826" s="2">
        <f>IF(A826&lt;&gt;"", VLOOKUP(A826, imdb_netflix_v5!A$2:H$7370, 5, FALSE), "")</f>
        <v>1998</v>
      </c>
      <c r="F826" s="2" t="str">
        <f>IF(A826&lt;&gt;"", VLOOKUP(A826, imdb_netflix_v5!A$2:H$7370, 7, FALSE), "")</f>
        <v>NA</v>
      </c>
    </row>
    <row r="827" ht="15.75" customHeight="1">
      <c r="A827" s="1" t="str">
        <f>IFERROR(__xludf.DUMMYFUNCTION("""COMPUTED_VALUE"""),"kill bill vol. 1")</f>
        <v>kill bill vol. 1</v>
      </c>
      <c r="B827" s="1" t="str">
        <f>IF(A827&lt;&gt;"", VLOOKUP(A827, imdb_netflix_v5!A$2:H$7370, 2, FALSE), "")</f>
        <v>Movie</v>
      </c>
      <c r="C827" s="2" t="str">
        <f>IF(A827&lt;&gt;"", VLOOKUP(A827, imdb_netflix_v5!A$2:H$7370, 3, FALSE), "")</f>
        <v>Action, Crime, Thriller</v>
      </c>
      <c r="D827" s="2">
        <f>IF(A827&lt;&gt;"", VLOOKUP(A827, imdb_netflix_v5!A$2:H$7370, 4, FALSE), "")</f>
        <v>8.2</v>
      </c>
      <c r="E827" s="2">
        <f>IF(A827&lt;&gt;"", VLOOKUP(A827, imdb_netflix_v5!A$2:H$7370, 5, FALSE), "")</f>
        <v>2003</v>
      </c>
      <c r="F827" s="2" t="str">
        <f>IF(A827&lt;&gt;"", VLOOKUP(A827, imdb_netflix_v5!A$2:H$7370, 7, FALSE), "")</f>
        <v>NA</v>
      </c>
    </row>
    <row r="828" ht="15.75" customHeight="1">
      <c r="A828" s="1" t="str">
        <f>IFERROR(__xludf.DUMMYFUNCTION("""COMPUTED_VALUE"""),"finding nemo")</f>
        <v>finding nemo</v>
      </c>
      <c r="B828" s="1" t="str">
        <f>IF(A828&lt;&gt;"", VLOOKUP(A828, imdb_netflix_v5!A$2:H$7370, 2, FALSE), "")</f>
        <v>Movie</v>
      </c>
      <c r="C828" s="2" t="str">
        <f>IF(A828&lt;&gt;"", VLOOKUP(A828, imdb_netflix_v5!A$2:H$7370, 3, FALSE), "")</f>
        <v>Adventure, Animation, Comedy</v>
      </c>
      <c r="D828" s="2">
        <f>IF(A828&lt;&gt;"", VLOOKUP(A828, imdb_netflix_v5!A$2:H$7370, 4, FALSE), "")</f>
        <v>8.2</v>
      </c>
      <c r="E828" s="2">
        <f>IF(A828&lt;&gt;"", VLOOKUP(A828, imdb_netflix_v5!A$2:H$7370, 5, FALSE), "")</f>
        <v>2003</v>
      </c>
      <c r="F828" s="2" t="str">
        <f>IF(A828&lt;&gt;"", VLOOKUP(A828, imdb_netflix_v5!A$2:H$7370, 7, FALSE), "")</f>
        <v>NA</v>
      </c>
    </row>
    <row r="829" ht="15.75" customHeight="1">
      <c r="A829" s="1" t="str">
        <f>IFERROR(__xludf.DUMMYFUNCTION("""COMPUTED_VALUE"""),"jurassic park")</f>
        <v>jurassic park</v>
      </c>
      <c r="B829" s="1" t="str">
        <f>IF(A829&lt;&gt;"", VLOOKUP(A829, imdb_netflix_v5!A$2:H$7370, 2, FALSE), "")</f>
        <v>Movie</v>
      </c>
      <c r="C829" s="2" t="str">
        <f>IF(A829&lt;&gt;"", VLOOKUP(A829, imdb_netflix_v5!A$2:H$7370, 3, FALSE), "")</f>
        <v>Action, Adventure, Sci-Fi</v>
      </c>
      <c r="D829" s="2">
        <f>IF(A829&lt;&gt;"", VLOOKUP(A829, imdb_netflix_v5!A$2:H$7370, 4, FALSE), "")</f>
        <v>8.2</v>
      </c>
      <c r="E829" s="2">
        <f>IF(A829&lt;&gt;"", VLOOKUP(A829, imdb_netflix_v5!A$2:H$7370, 5, FALSE), "")</f>
        <v>1993</v>
      </c>
      <c r="F829" s="2" t="str">
        <f>IF(A829&lt;&gt;"", VLOOKUP(A829, imdb_netflix_v5!A$2:H$7370, 7, FALSE), "")</f>
        <v>NA</v>
      </c>
    </row>
    <row r="830" ht="15.75" customHeight="1">
      <c r="A830" s="1" t="str">
        <f>IFERROR(__xludf.DUMMYFUNCTION("""COMPUTED_VALUE"""),"no country for old men")</f>
        <v>no country for old men</v>
      </c>
      <c r="B830" s="1" t="str">
        <f>IF(A830&lt;&gt;"", VLOOKUP(A830, imdb_netflix_v5!A$2:H$7370, 2, FALSE), "")</f>
        <v>Movie</v>
      </c>
      <c r="C830" s="2" t="str">
        <f>IF(A830&lt;&gt;"", VLOOKUP(A830, imdb_netflix_v5!A$2:H$7370, 3, FALSE), "")</f>
        <v>Crime, Drama, Thriller</v>
      </c>
      <c r="D830" s="2">
        <f>IF(A830&lt;&gt;"", VLOOKUP(A830, imdb_netflix_v5!A$2:H$7370, 4, FALSE), "")</f>
        <v>8.2</v>
      </c>
      <c r="E830" s="2">
        <f>IF(A830&lt;&gt;"", VLOOKUP(A830, imdb_netflix_v5!A$2:H$7370, 5, FALSE), "")</f>
        <v>2007</v>
      </c>
      <c r="F830" s="2" t="str">
        <f>IF(A830&lt;&gt;"", VLOOKUP(A830, imdb_netflix_v5!A$2:H$7370, 7, FALSE), "")</f>
        <v>NA</v>
      </c>
    </row>
    <row r="831" ht="15.75" customHeight="1">
      <c r="A831" s="1" t="str">
        <f>IFERROR(__xludf.DUMMYFUNCTION("""COMPUTED_VALUE"""),"the sixth sense")</f>
        <v>the sixth sense</v>
      </c>
      <c r="B831" s="1" t="str">
        <f>IF(A831&lt;&gt;"", VLOOKUP(A831, imdb_netflix_v5!A$2:H$7370, 2, FALSE), "")</f>
        <v>Movie</v>
      </c>
      <c r="C831" s="2" t="str">
        <f>IF(A831&lt;&gt;"", VLOOKUP(A831, imdb_netflix_v5!A$2:H$7370, 3, FALSE), "")</f>
        <v>Drama, Mystery, Thriller</v>
      </c>
      <c r="D831" s="2">
        <f>IF(A831&lt;&gt;"", VLOOKUP(A831, imdb_netflix_v5!A$2:H$7370, 4, FALSE), "")</f>
        <v>8.2</v>
      </c>
      <c r="E831" s="2">
        <f>IF(A831&lt;&gt;"", VLOOKUP(A831, imdb_netflix_v5!A$2:H$7370, 5, FALSE), "")</f>
        <v>1999</v>
      </c>
      <c r="F831" s="2" t="str">
        <f>IF(A831&lt;&gt;"", VLOOKUP(A831, imdb_netflix_v5!A$2:H$7370, 7, FALSE), "")</f>
        <v>NA</v>
      </c>
    </row>
    <row r="832" ht="15.75" customHeight="1">
      <c r="A832" s="1" t="str">
        <f>IFERROR(__xludf.DUMMYFUNCTION("""COMPUTED_VALUE"""),"a beautiful mind")</f>
        <v>a beautiful mind</v>
      </c>
      <c r="B832" s="1" t="str">
        <f>IF(A832&lt;&gt;"", VLOOKUP(A832, imdb_netflix_v5!A$2:H$7370, 2, FALSE), "")</f>
        <v>Movie</v>
      </c>
      <c r="C832" s="2" t="str">
        <f>IF(A832&lt;&gt;"", VLOOKUP(A832, imdb_netflix_v5!A$2:H$7370, 3, FALSE), "")</f>
        <v>Biography, Drama, Mystery</v>
      </c>
      <c r="D832" s="2">
        <f>IF(A832&lt;&gt;"", VLOOKUP(A832, imdb_netflix_v5!A$2:H$7370, 4, FALSE), "")</f>
        <v>8.2</v>
      </c>
      <c r="E832" s="2">
        <f>IF(A832&lt;&gt;"", VLOOKUP(A832, imdb_netflix_v5!A$2:H$7370, 5, FALSE), "")</f>
        <v>2001</v>
      </c>
      <c r="F832" s="2" t="str">
        <f>IF(A832&lt;&gt;"", VLOOKUP(A832, imdb_netflix_v5!A$2:H$7370, 7, FALSE), "")</f>
        <v>NA</v>
      </c>
    </row>
    <row r="833" ht="15.75" customHeight="1">
      <c r="A833" s="1" t="str">
        <f>IFERROR(__xludf.DUMMYFUNCTION("""COMPUTED_VALUE"""),"die hard")</f>
        <v>die hard</v>
      </c>
      <c r="B833" s="1" t="str">
        <f>IF(A833&lt;&gt;"", VLOOKUP(A833, imdb_netflix_v5!A$2:H$7370, 2, FALSE), "")</f>
        <v>Movie</v>
      </c>
      <c r="C833" s="2" t="str">
        <f>IF(A833&lt;&gt;"", VLOOKUP(A833, imdb_netflix_v5!A$2:H$7370, 3, FALSE), "")</f>
        <v>Action, Thriller</v>
      </c>
      <c r="D833" s="2">
        <f>IF(A833&lt;&gt;"", VLOOKUP(A833, imdb_netflix_v5!A$2:H$7370, 4, FALSE), "")</f>
        <v>8.2</v>
      </c>
      <c r="E833" s="2">
        <f>IF(A833&lt;&gt;"", VLOOKUP(A833, imdb_netflix_v5!A$2:H$7370, 5, FALSE), "")</f>
        <v>1988</v>
      </c>
      <c r="F833" s="2" t="str">
        <f>IF(A833&lt;&gt;"", VLOOKUP(A833, imdb_netflix_v5!A$2:H$7370, 7, FALSE), "")</f>
        <v>NA</v>
      </c>
    </row>
    <row r="834" ht="15.75" customHeight="1">
      <c r="A834" s="1" t="str">
        <f>IFERROR(__xludf.DUMMYFUNCTION("""COMPUTED_VALUE"""),"taxi driver")</f>
        <v>taxi driver</v>
      </c>
      <c r="B834" s="1" t="str">
        <f>IF(A834&lt;&gt;"", VLOOKUP(A834, imdb_netflix_v5!A$2:H$7370, 2, FALSE), "")</f>
        <v>Movie</v>
      </c>
      <c r="C834" s="2" t="str">
        <f>IF(A834&lt;&gt;"", VLOOKUP(A834, imdb_netflix_v5!A$2:H$7370, 3, FALSE), "")</f>
        <v>Crime, Drama</v>
      </c>
      <c r="D834" s="2">
        <f>IF(A834&lt;&gt;"", VLOOKUP(A834, imdb_netflix_v5!A$2:H$7370, 4, FALSE), "")</f>
        <v>8.2</v>
      </c>
      <c r="E834" s="2">
        <f>IF(A834&lt;&gt;"", VLOOKUP(A834, imdb_netflix_v5!A$2:H$7370, 5, FALSE), "")</f>
        <v>1976</v>
      </c>
      <c r="F834" s="2" t="str">
        <f>IF(A834&lt;&gt;"", VLOOKUP(A834, imdb_netflix_v5!A$2:H$7370, 7, FALSE), "")</f>
        <v>NA</v>
      </c>
    </row>
    <row r="835" ht="15.75" customHeight="1">
      <c r="A835" s="1" t="str">
        <f>IFERROR(__xludf.DUMMYFUNCTION("""COMPUTED_VALUE"""),"snatch")</f>
        <v>snatch</v>
      </c>
      <c r="B835" s="1" t="str">
        <f>IF(A835&lt;&gt;"", VLOOKUP(A835, imdb_netflix_v5!A$2:H$7370, 2, FALSE), "")</f>
        <v>Movie</v>
      </c>
      <c r="C835" s="2" t="str">
        <f>IF(A835&lt;&gt;"", VLOOKUP(A835, imdb_netflix_v5!A$2:H$7370, 3, FALSE), "")</f>
        <v>Comedy, Crime</v>
      </c>
      <c r="D835" s="2">
        <f>IF(A835&lt;&gt;"", VLOOKUP(A835, imdb_netflix_v5!A$2:H$7370, 4, FALSE), "")</f>
        <v>8.2</v>
      </c>
      <c r="E835" s="2">
        <f>IF(A835&lt;&gt;"", VLOOKUP(A835, imdb_netflix_v5!A$2:H$7370, 5, FALSE), "")</f>
        <v>2000</v>
      </c>
      <c r="F835" s="2" t="str">
        <f>IF(A835&lt;&gt;"", VLOOKUP(A835, imdb_netflix_v5!A$2:H$7370, 7, FALSE), "")</f>
        <v>NA</v>
      </c>
    </row>
    <row r="836" ht="15.75" customHeight="1">
      <c r="A836" s="1" t="str">
        <f>IFERROR(__xludf.DUMMYFUNCTION("""COMPUTED_VALUE"""),"spider-man no way home")</f>
        <v>spider-man no way home</v>
      </c>
      <c r="B836" s="1" t="str">
        <f>IF(A836&lt;&gt;"", VLOOKUP(A836, imdb_netflix_v5!A$2:H$7370, 2, FALSE), "")</f>
        <v>Movie</v>
      </c>
      <c r="C836" s="2" t="str">
        <f>IF(A836&lt;&gt;"", VLOOKUP(A836, imdb_netflix_v5!A$2:H$7370, 3, FALSE), "")</f>
        <v>Action, Adventure, Fantasy</v>
      </c>
      <c r="D836" s="2">
        <f>IF(A836&lt;&gt;"", VLOOKUP(A836, imdb_netflix_v5!A$2:H$7370, 4, FALSE), "")</f>
        <v>8.2</v>
      </c>
      <c r="E836" s="2">
        <f>IF(A836&lt;&gt;"", VLOOKUP(A836, imdb_netflix_v5!A$2:H$7370, 5, FALSE), "")</f>
        <v>2021</v>
      </c>
      <c r="F836" s="2">
        <f>IF(A836&lt;&gt;"", VLOOKUP(A836, imdb_netflix_v5!A$2:H$7370, 7, FALSE), "")</f>
        <v>8080000</v>
      </c>
    </row>
    <row r="837" ht="15.75" customHeight="1">
      <c r="A837" s="1" t="str">
        <f>IFERROR(__xludf.DUMMYFUNCTION("""COMPUTED_VALUE"""),"a clockwork orange")</f>
        <v>a clockwork orange</v>
      </c>
      <c r="B837" s="1" t="str">
        <f>IF(A837&lt;&gt;"", VLOOKUP(A837, imdb_netflix_v5!A$2:H$7370, 2, FALSE), "")</f>
        <v>Movie</v>
      </c>
      <c r="C837" s="2" t="str">
        <f>IF(A837&lt;&gt;"", VLOOKUP(A837, imdb_netflix_v5!A$2:H$7370, 3, FALSE), "")</f>
        <v>Crime, Sci-Fi</v>
      </c>
      <c r="D837" s="2">
        <f>IF(A837&lt;&gt;"", VLOOKUP(A837, imdb_netflix_v5!A$2:H$7370, 4, FALSE), "")</f>
        <v>8.2</v>
      </c>
      <c r="E837" s="2">
        <f>IF(A837&lt;&gt;"", VLOOKUP(A837, imdb_netflix_v5!A$2:H$7370, 5, FALSE), "")</f>
        <v>1971</v>
      </c>
      <c r="F837" s="2" t="str">
        <f>IF(A837&lt;&gt;"", VLOOKUP(A837, imdb_netflix_v5!A$2:H$7370, 7, FALSE), "")</f>
        <v>NA</v>
      </c>
    </row>
    <row r="838" ht="15.75" customHeight="1">
      <c r="A838" s="1" t="str">
        <f>IFERROR(__xludf.DUMMYFUNCTION("""COMPUTED_VALUE"""),"prisoners")</f>
        <v>prisoners</v>
      </c>
      <c r="B838" s="1" t="str">
        <f>IF(A838&lt;&gt;"", VLOOKUP(A838, imdb_netflix_v5!A$2:H$7370, 2, FALSE), "")</f>
        <v>Movie</v>
      </c>
      <c r="C838" s="2" t="str">
        <f>IF(A838&lt;&gt;"", VLOOKUP(A838, imdb_netflix_v5!A$2:H$7370, 3, FALSE), "")</f>
        <v>Crime, Drama, Mystery</v>
      </c>
      <c r="D838" s="2">
        <f>IF(A838&lt;&gt;"", VLOOKUP(A838, imdb_netflix_v5!A$2:H$7370, 4, FALSE), "")</f>
        <v>8.2</v>
      </c>
      <c r="E838" s="2">
        <f>IF(A838&lt;&gt;"", VLOOKUP(A838, imdb_netflix_v5!A$2:H$7370, 5, FALSE), "")</f>
        <v>2013</v>
      </c>
      <c r="F838" s="2">
        <f>IF(A838&lt;&gt;"", VLOOKUP(A838, imdb_netflix_v5!A$2:H$7370, 7, FALSE), "")</f>
        <v>5100000</v>
      </c>
    </row>
    <row r="839" ht="15.75" customHeight="1">
      <c r="A839" s="1" t="str">
        <f>IFERROR(__xludf.DUMMYFUNCTION("""COMPUTED_VALUE"""),"indiana jones and the last crusade")</f>
        <v>indiana jones and the last crusade</v>
      </c>
      <c r="B839" s="1" t="str">
        <f>IF(A839&lt;&gt;"", VLOOKUP(A839, imdb_netflix_v5!A$2:H$7370, 2, FALSE), "")</f>
        <v>Movie</v>
      </c>
      <c r="C839" s="2" t="str">
        <f>IF(A839&lt;&gt;"", VLOOKUP(A839, imdb_netflix_v5!A$2:H$7370, 3, FALSE), "")</f>
        <v>Action, Adventure</v>
      </c>
      <c r="D839" s="2">
        <f>IF(A839&lt;&gt;"", VLOOKUP(A839, imdb_netflix_v5!A$2:H$7370, 4, FALSE), "")</f>
        <v>8.2</v>
      </c>
      <c r="E839" s="2">
        <f>IF(A839&lt;&gt;"", VLOOKUP(A839, imdb_netflix_v5!A$2:H$7370, 5, FALSE), "")</f>
        <v>1989</v>
      </c>
      <c r="F839" s="2" t="str">
        <f>IF(A839&lt;&gt;"", VLOOKUP(A839, imdb_netflix_v5!A$2:H$7370, 7, FALSE), "")</f>
        <v>NA</v>
      </c>
    </row>
    <row r="840" ht="15.75" customHeight="1">
      <c r="A840" s="1" t="str">
        <f>IFERROR(__xludf.DUMMYFUNCTION("""COMPUTED_VALUE"""),"full metal jacket")</f>
        <v>full metal jacket</v>
      </c>
      <c r="B840" s="1" t="str">
        <f>IF(A840&lt;&gt;"", VLOOKUP(A840, imdb_netflix_v5!A$2:H$7370, 2, FALSE), "")</f>
        <v>Movie</v>
      </c>
      <c r="C840" s="2" t="str">
        <f>IF(A840&lt;&gt;"", VLOOKUP(A840, imdb_netflix_v5!A$2:H$7370, 3, FALSE), "")</f>
        <v>Drama, War</v>
      </c>
      <c r="D840" s="2">
        <f>IF(A840&lt;&gt;"", VLOOKUP(A840, imdb_netflix_v5!A$2:H$7370, 4, FALSE), "")</f>
        <v>8.2</v>
      </c>
      <c r="E840" s="2">
        <f>IF(A840&lt;&gt;"", VLOOKUP(A840, imdb_netflix_v5!A$2:H$7370, 5, FALSE), "")</f>
        <v>1987</v>
      </c>
      <c r="F840" s="2" t="str">
        <f>IF(A840&lt;&gt;"", VLOOKUP(A840, imdb_netflix_v5!A$2:H$7370, 7, FALSE), "")</f>
        <v>NA</v>
      </c>
    </row>
    <row r="841" ht="15.75" customHeight="1">
      <c r="A841" s="1" t="str">
        <f>IFERROR(__xludf.DUMMYFUNCTION("""COMPUTED_VALUE"""),"top gun maverick")</f>
        <v>top gun maverick</v>
      </c>
      <c r="B841" s="1" t="str">
        <f>IF(A841&lt;&gt;"", VLOOKUP(A841, imdb_netflix_v5!A$2:H$7370, 2, FALSE), "")</f>
        <v>Movie</v>
      </c>
      <c r="C841" s="2" t="str">
        <f>IF(A841&lt;&gt;"", VLOOKUP(A841, imdb_netflix_v5!A$2:H$7370, 3, FALSE), "")</f>
        <v>Action, Drama</v>
      </c>
      <c r="D841" s="2">
        <f>IF(A841&lt;&gt;"", VLOOKUP(A841, imdb_netflix_v5!A$2:H$7370, 4, FALSE), "")</f>
        <v>8.2</v>
      </c>
      <c r="E841" s="2">
        <f>IF(A841&lt;&gt;"", VLOOKUP(A841, imdb_netflix_v5!A$2:H$7370, 5, FALSE), "")</f>
        <v>2022</v>
      </c>
      <c r="F841" s="2" t="str">
        <f>IF(A841&lt;&gt;"", VLOOKUP(A841, imdb_netflix_v5!A$2:H$7370, 7, FALSE), "")</f>
        <v>NA</v>
      </c>
    </row>
    <row r="842" ht="15.75" customHeight="1">
      <c r="A842" s="1" t="str">
        <f>IFERROR(__xludf.DUMMYFUNCTION("""COMPUTED_VALUE"""),"pans labyrinth")</f>
        <v>pans labyrinth</v>
      </c>
      <c r="B842" s="1" t="str">
        <f>IF(A842&lt;&gt;"", VLOOKUP(A842, imdb_netflix_v5!A$2:H$7370, 2, FALSE), "")</f>
        <v>Movie</v>
      </c>
      <c r="C842" s="2" t="str">
        <f>IF(A842&lt;&gt;"", VLOOKUP(A842, imdb_netflix_v5!A$2:H$7370, 3, FALSE), "")</f>
        <v>Drama, Fantasy, War</v>
      </c>
      <c r="D842" s="2">
        <f>IF(A842&lt;&gt;"", VLOOKUP(A842, imdb_netflix_v5!A$2:H$7370, 4, FALSE), "")</f>
        <v>8.2</v>
      </c>
      <c r="E842" s="2">
        <f>IF(A842&lt;&gt;"", VLOOKUP(A842, imdb_netflix_v5!A$2:H$7370, 5, FALSE), "")</f>
        <v>2006</v>
      </c>
      <c r="F842" s="2" t="str">
        <f>IF(A842&lt;&gt;"", VLOOKUP(A842, imdb_netflix_v5!A$2:H$7370, 7, FALSE), "")</f>
        <v>NA</v>
      </c>
    </row>
    <row r="843" ht="15.75" customHeight="1">
      <c r="A843" s="1">
        <f>IFERROR(__xludf.DUMMYFUNCTION("""COMPUTED_VALUE"""),1917.0)</f>
        <v>1917</v>
      </c>
      <c r="B843" s="1" t="str">
        <f>IF(A843&lt;&gt;"", VLOOKUP(A843, imdb_netflix_v5!A$2:H$7370, 2, FALSE), "")</f>
        <v>Movie</v>
      </c>
      <c r="C843" s="2" t="str">
        <f>IF(A843&lt;&gt;"", VLOOKUP(A843, imdb_netflix_v5!A$2:H$7370, 3, FALSE), "")</f>
        <v>Action, Drama, War</v>
      </c>
      <c r="D843" s="2">
        <f>IF(A843&lt;&gt;"", VLOOKUP(A843, imdb_netflix_v5!A$2:H$7370, 4, FALSE), "")</f>
        <v>8.2</v>
      </c>
      <c r="E843" s="2">
        <f>IF(A843&lt;&gt;"", VLOOKUP(A843, imdb_netflix_v5!A$2:H$7370, 5, FALSE), "")</f>
        <v>2019</v>
      </c>
      <c r="F843" s="2">
        <f>IF(A843&lt;&gt;"", VLOOKUP(A843, imdb_netflix_v5!A$2:H$7370, 7, FALSE), "")</f>
        <v>10840000</v>
      </c>
    </row>
    <row r="844" ht="15.75" customHeight="1">
      <c r="A844" s="1" t="str">
        <f>IFERROR(__xludf.DUMMYFUNCTION("""COMPUTED_VALUE"""),"there will be blood")</f>
        <v>there will be blood</v>
      </c>
      <c r="B844" s="1" t="str">
        <f>IF(A844&lt;&gt;"", VLOOKUP(A844, imdb_netflix_v5!A$2:H$7370, 2, FALSE), "")</f>
        <v>Movie</v>
      </c>
      <c r="C844" s="2" t="str">
        <f>IF(A844&lt;&gt;"", VLOOKUP(A844, imdb_netflix_v5!A$2:H$7370, 3, FALSE), "")</f>
        <v>Drama</v>
      </c>
      <c r="D844" s="2">
        <f>IF(A844&lt;&gt;"", VLOOKUP(A844, imdb_netflix_v5!A$2:H$7370, 4, FALSE), "")</f>
        <v>8.2</v>
      </c>
      <c r="E844" s="2">
        <f>IF(A844&lt;&gt;"", VLOOKUP(A844, imdb_netflix_v5!A$2:H$7370, 5, FALSE), "")</f>
        <v>2007</v>
      </c>
      <c r="F844" s="2" t="str">
        <f>IF(A844&lt;&gt;"", VLOOKUP(A844, imdb_netflix_v5!A$2:H$7370, 7, FALSE), "")</f>
        <v>NA</v>
      </c>
    </row>
    <row r="845" ht="15.75" customHeight="1">
      <c r="A845" s="1" t="str">
        <f>IFERROR(__xludf.DUMMYFUNCTION("""COMPUTED_VALUE"""),"l.a. confidential")</f>
        <v>l.a. confidential</v>
      </c>
      <c r="B845" s="1" t="str">
        <f>IF(A845&lt;&gt;"", VLOOKUP(A845, imdb_netflix_v5!A$2:H$7370, 2, FALSE), "")</f>
        <v>Movie</v>
      </c>
      <c r="C845" s="2" t="str">
        <f>IF(A845&lt;&gt;"", VLOOKUP(A845, imdb_netflix_v5!A$2:H$7370, 3, FALSE), "")</f>
        <v>Crime, Drama, Mystery</v>
      </c>
      <c r="D845" s="2">
        <f>IF(A845&lt;&gt;"", VLOOKUP(A845, imdb_netflix_v5!A$2:H$7370, 4, FALSE), "")</f>
        <v>8.2</v>
      </c>
      <c r="E845" s="2">
        <f>IF(A845&lt;&gt;"", VLOOKUP(A845, imdb_netflix_v5!A$2:H$7370, 5, FALSE), "")</f>
        <v>1997</v>
      </c>
      <c r="F845" s="2" t="str">
        <f>IF(A845&lt;&gt;"", VLOOKUP(A845, imdb_netflix_v5!A$2:H$7370, 7, FALSE), "")</f>
        <v>NA</v>
      </c>
    </row>
    <row r="846" ht="15.75" customHeight="1">
      <c r="A846" s="1" t="str">
        <f>IFERROR(__xludf.DUMMYFUNCTION("""COMPUTED_VALUE"""),"green book")</f>
        <v>green book</v>
      </c>
      <c r="B846" s="1" t="str">
        <f>IF(A846&lt;&gt;"", VLOOKUP(A846, imdb_netflix_v5!A$2:H$7370, 2, FALSE), "")</f>
        <v>Movie</v>
      </c>
      <c r="C846" s="2" t="str">
        <f>IF(A846&lt;&gt;"", VLOOKUP(A846, imdb_netflix_v5!A$2:H$7370, 3, FALSE), "")</f>
        <v>Biography, Comedy, Drama</v>
      </c>
      <c r="D846" s="2">
        <f>IF(A846&lt;&gt;"", VLOOKUP(A846, imdb_netflix_v5!A$2:H$7370, 4, FALSE), "")</f>
        <v>8.2</v>
      </c>
      <c r="E846" s="2">
        <f>IF(A846&lt;&gt;"", VLOOKUP(A846, imdb_netflix_v5!A$2:H$7370, 5, FALSE), "")</f>
        <v>2018</v>
      </c>
      <c r="F846" s="2" t="str">
        <f>IF(A846&lt;&gt;"", VLOOKUP(A846, imdb_netflix_v5!A$2:H$7370, 7, FALSE), "")</f>
        <v>NA</v>
      </c>
    </row>
    <row r="847" ht="15.75" customHeight="1">
      <c r="A847" s="1" t="str">
        <f>IFERROR(__xludf.DUMMYFUNCTION("""COMPUTED_VALUE"""),"monty python and the holy grail")</f>
        <v>monty python and the holy grail</v>
      </c>
      <c r="B847" s="1" t="str">
        <f>IF(A847&lt;&gt;"", VLOOKUP(A847, imdb_netflix_v5!A$2:H$7370, 2, FALSE), "")</f>
        <v>Movie</v>
      </c>
      <c r="C847" s="2" t="str">
        <f>IF(A847&lt;&gt;"", VLOOKUP(A847, imdb_netflix_v5!A$2:H$7370, 3, FALSE), "")</f>
        <v>Adventure, Comedy, Fantasy</v>
      </c>
      <c r="D847" s="2">
        <f>IF(A847&lt;&gt;"", VLOOKUP(A847, imdb_netflix_v5!A$2:H$7370, 4, FALSE), "")</f>
        <v>8.2</v>
      </c>
      <c r="E847" s="2">
        <f>IF(A847&lt;&gt;"", VLOOKUP(A847, imdb_netflix_v5!A$2:H$7370, 5, FALSE), "")</f>
        <v>1975</v>
      </c>
      <c r="F847" s="2" t="str">
        <f>IF(A847&lt;&gt;"", VLOOKUP(A847, imdb_netflix_v5!A$2:H$7370, 7, FALSE), "")</f>
        <v>NA</v>
      </c>
    </row>
    <row r="848" ht="15.75" customHeight="1">
      <c r="A848" s="1" t="str">
        <f>IFERROR(__xludf.DUMMYFUNCTION("""COMPUTED_VALUE"""),"casino")</f>
        <v>casino</v>
      </c>
      <c r="B848" s="1" t="str">
        <f>IF(A848&lt;&gt;"", VLOOKUP(A848, imdb_netflix_v5!A$2:H$7370, 2, FALSE), "")</f>
        <v>Movie</v>
      </c>
      <c r="C848" s="2" t="str">
        <f>IF(A848&lt;&gt;"", VLOOKUP(A848, imdb_netflix_v5!A$2:H$7370, 3, FALSE), "")</f>
        <v>Crime, Drama</v>
      </c>
      <c r="D848" s="2">
        <f>IF(A848&lt;&gt;"", VLOOKUP(A848, imdb_netflix_v5!A$2:H$7370, 4, FALSE), "")</f>
        <v>8.2</v>
      </c>
      <c r="E848" s="2">
        <f>IF(A848&lt;&gt;"", VLOOKUP(A848, imdb_netflix_v5!A$2:H$7370, 5, FALSE), "")</f>
        <v>1995</v>
      </c>
      <c r="F848" s="2" t="str">
        <f>IF(A848&lt;&gt;"", VLOOKUP(A848, imdb_netflix_v5!A$2:H$7370, 7, FALSE), "")</f>
        <v>NA</v>
      </c>
    </row>
    <row r="849" ht="15.75" customHeight="1">
      <c r="A849" s="1" t="str">
        <f>IFERROR(__xludf.DUMMYFUNCTION("""COMPUTED_VALUE"""),"money heist")</f>
        <v>money heist</v>
      </c>
      <c r="B849" s="1" t="str">
        <f>IF(A849&lt;&gt;"", VLOOKUP(A849, imdb_netflix_v5!A$2:H$7370, 2, FALSE), "")</f>
        <v>TV Show</v>
      </c>
      <c r="C849" s="2" t="str">
        <f>IF(A849&lt;&gt;"", VLOOKUP(A849, imdb_netflix_v5!A$2:H$7370, 3, FALSE), "")</f>
        <v>Action, Crime, Drama</v>
      </c>
      <c r="D849" s="2">
        <f>IF(A849&lt;&gt;"", VLOOKUP(A849, imdb_netflix_v5!A$2:H$7370, 4, FALSE), "")</f>
        <v>8.2</v>
      </c>
      <c r="E849" s="2">
        <f>IF(A849&lt;&gt;"", VLOOKUP(A849, imdb_netflix_v5!A$2:H$7370, 5, FALSE), "")</f>
        <v>2017</v>
      </c>
      <c r="F849" s="2">
        <f>IF(A849&lt;&gt;"", VLOOKUP(A849, imdb_netflix_v5!A$2:H$7370, 7, FALSE), "")</f>
        <v>8570000</v>
      </c>
    </row>
    <row r="850" ht="15.75" customHeight="1">
      <c r="A850" s="1" t="str">
        <f>IFERROR(__xludf.DUMMYFUNCTION("""COMPUTED_VALUE"""),"the thing")</f>
        <v>the thing</v>
      </c>
      <c r="B850" s="1" t="str">
        <f>IF(A850&lt;&gt;"", VLOOKUP(A850, imdb_netflix_v5!A$2:H$7370, 2, FALSE), "")</f>
        <v>Movie</v>
      </c>
      <c r="C850" s="2" t="str">
        <f>IF(A850&lt;&gt;"", VLOOKUP(A850, imdb_netflix_v5!A$2:H$7370, 3, FALSE), "")</f>
        <v>Horror, Mystery, Sci-Fi</v>
      </c>
      <c r="D850" s="2">
        <f>IF(A850&lt;&gt;"", VLOOKUP(A850, imdb_netflix_v5!A$2:H$7370, 4, FALSE), "")</f>
        <v>8.2</v>
      </c>
      <c r="E850" s="2">
        <f>IF(A850&lt;&gt;"", VLOOKUP(A850, imdb_netflix_v5!A$2:H$7370, 5, FALSE), "")</f>
        <v>1982</v>
      </c>
      <c r="F850" s="2" t="str">
        <f>IF(A850&lt;&gt;"", VLOOKUP(A850, imdb_netflix_v5!A$2:H$7370, 7, FALSE), "")</f>
        <v>NA</v>
      </c>
    </row>
    <row r="851" ht="15.75" customHeight="1">
      <c r="A851" s="1" t="str">
        <f>IFERROR(__xludf.DUMMYFUNCTION("""COMPUTED_VALUE"""),"howls moving castle")</f>
        <v>howls moving castle</v>
      </c>
      <c r="B851" s="1" t="str">
        <f>IF(A851&lt;&gt;"", VLOOKUP(A851, imdb_netflix_v5!A$2:H$7370, 2, FALSE), "")</f>
        <v>Movie</v>
      </c>
      <c r="C851" s="2" t="str">
        <f>IF(A851&lt;&gt;"", VLOOKUP(A851, imdb_netflix_v5!A$2:H$7370, 3, FALSE), "")</f>
        <v>Adventure, Animation, Family</v>
      </c>
      <c r="D851" s="2">
        <f>IF(A851&lt;&gt;"", VLOOKUP(A851, imdb_netflix_v5!A$2:H$7370, 4, FALSE), "")</f>
        <v>8.2</v>
      </c>
      <c r="E851" s="2">
        <f>IF(A851&lt;&gt;"", VLOOKUP(A851, imdb_netflix_v5!A$2:H$7370, 5, FALSE), "")</f>
        <v>2004</v>
      </c>
      <c r="F851" s="2" t="str">
        <f>IF(A851&lt;&gt;"", VLOOKUP(A851, imdb_netflix_v5!A$2:H$7370, 7, FALSE), "")</f>
        <v>NA</v>
      </c>
    </row>
    <row r="852" ht="15.75" customHeight="1">
      <c r="A852" s="1" t="str">
        <f>IFERROR(__xludf.DUMMYFUNCTION("""COMPUTED_VALUE"""),"unforgiven")</f>
        <v>unforgiven</v>
      </c>
      <c r="B852" s="1" t="str">
        <f>IF(A852&lt;&gt;"", VLOOKUP(A852, imdb_netflix_v5!A$2:H$7370, 2, FALSE), "")</f>
        <v>Movie</v>
      </c>
      <c r="C852" s="2" t="str">
        <f>IF(A852&lt;&gt;"", VLOOKUP(A852, imdb_netflix_v5!A$2:H$7370, 3, FALSE), "")</f>
        <v>Drama, Western</v>
      </c>
      <c r="D852" s="2">
        <f>IF(A852&lt;&gt;"", VLOOKUP(A852, imdb_netflix_v5!A$2:H$7370, 4, FALSE), "")</f>
        <v>8.2</v>
      </c>
      <c r="E852" s="2">
        <f>IF(A852&lt;&gt;"", VLOOKUP(A852, imdb_netflix_v5!A$2:H$7370, 5, FALSE), "")</f>
        <v>1992</v>
      </c>
      <c r="F852" s="2" t="str">
        <f>IF(A852&lt;&gt;"", VLOOKUP(A852, imdb_netflix_v5!A$2:H$7370, 7, FALSE), "")</f>
        <v>NA</v>
      </c>
    </row>
    <row r="853" ht="15.75" customHeight="1">
      <c r="A853" s="1" t="str">
        <f>IFERROR(__xludf.DUMMYFUNCTION("""COMPUTED_VALUE"""),"loki")</f>
        <v>loki</v>
      </c>
      <c r="B853" s="1" t="str">
        <f>IF(A853&lt;&gt;"", VLOOKUP(A853, imdb_netflix_v5!A$2:H$7370, 2, FALSE), "")</f>
        <v>TV Show</v>
      </c>
      <c r="C853" s="2" t="str">
        <f>IF(A853&lt;&gt;"", VLOOKUP(A853, imdb_netflix_v5!A$2:H$7370, 3, FALSE), "")</f>
        <v>Action, Adventure, Fantasy</v>
      </c>
      <c r="D853" s="2">
        <f>IF(A853&lt;&gt;"", VLOOKUP(A853, imdb_netflix_v5!A$2:H$7370, 4, FALSE), "")</f>
        <v>8.2</v>
      </c>
      <c r="E853" s="2">
        <f>IF(A853&lt;&gt;"", VLOOKUP(A853, imdb_netflix_v5!A$2:H$7370, 5, FALSE), "")</f>
        <v>2021</v>
      </c>
      <c r="F853" s="2" t="str">
        <f>IF(A853&lt;&gt;"", VLOOKUP(A853, imdb_netflix_v5!A$2:H$7370, 7, FALSE), "")</f>
        <v>NA</v>
      </c>
    </row>
    <row r="854" ht="15.75" customHeight="1">
      <c r="A854" s="1" t="str">
        <f>IFERROR(__xludf.DUMMYFUNCTION("""COMPUTED_VALUE"""),"downfall")</f>
        <v>downfall</v>
      </c>
      <c r="B854" s="1" t="str">
        <f>IF(A854&lt;&gt;"", VLOOKUP(A854, imdb_netflix_v5!A$2:H$7370, 2, FALSE), "")</f>
        <v>Movie</v>
      </c>
      <c r="C854" s="2" t="str">
        <f>IF(A854&lt;&gt;"", VLOOKUP(A854, imdb_netflix_v5!A$2:H$7370, 3, FALSE), "")</f>
        <v>Biography, Drama, History</v>
      </c>
      <c r="D854" s="2">
        <f>IF(A854&lt;&gt;"", VLOOKUP(A854, imdb_netflix_v5!A$2:H$7370, 4, FALSE), "")</f>
        <v>8.2</v>
      </c>
      <c r="E854" s="2">
        <f>IF(A854&lt;&gt;"", VLOOKUP(A854, imdb_netflix_v5!A$2:H$7370, 5, FALSE), "")</f>
        <v>2004</v>
      </c>
      <c r="F854" s="2" t="str">
        <f>IF(A854&lt;&gt;"", VLOOKUP(A854, imdb_netflix_v5!A$2:H$7370, 7, FALSE), "")</f>
        <v>NA</v>
      </c>
    </row>
    <row r="855" ht="15.75" customHeight="1">
      <c r="A855" s="1" t="str">
        <f>IFERROR(__xludf.DUMMYFUNCTION("""COMPUTED_VALUE"""),"sex education")</f>
        <v>sex education</v>
      </c>
      <c r="B855" s="1" t="str">
        <f>IF(A855&lt;&gt;"", VLOOKUP(A855, imdb_netflix_v5!A$2:H$7370, 2, FALSE), "")</f>
        <v>TV Show</v>
      </c>
      <c r="C855" s="2" t="str">
        <f>IF(A855&lt;&gt;"", VLOOKUP(A855, imdb_netflix_v5!A$2:H$7370, 3, FALSE), "")</f>
        <v>Comedy, Drama, Romance</v>
      </c>
      <c r="D855" s="2">
        <f>IF(A855&lt;&gt;"", VLOOKUP(A855, imdb_netflix_v5!A$2:H$7370, 4, FALSE), "")</f>
        <v>8.2</v>
      </c>
      <c r="E855" s="2">
        <f>IF(A855&lt;&gt;"", VLOOKUP(A855, imdb_netflix_v5!A$2:H$7370, 5, FALSE), "")</f>
        <v>2019</v>
      </c>
      <c r="F855" s="2">
        <f>IF(A855&lt;&gt;"", VLOOKUP(A855, imdb_netflix_v5!A$2:H$7370, 7, FALSE), "")</f>
        <v>13800000</v>
      </c>
    </row>
    <row r="856" ht="15.75" customHeight="1">
      <c r="A856" s="1" t="str">
        <f>IFERROR(__xludf.DUMMYFUNCTION("""COMPUTED_VALUE"""),"gone with the wind")</f>
        <v>gone with the wind</v>
      </c>
      <c r="B856" s="1" t="str">
        <f>IF(A856&lt;&gt;"", VLOOKUP(A856, imdb_netflix_v5!A$2:H$7370, 2, FALSE), "")</f>
        <v>Movie</v>
      </c>
      <c r="C856" s="2" t="str">
        <f>IF(A856&lt;&gt;"", VLOOKUP(A856, imdb_netflix_v5!A$2:H$7370, 3, FALSE), "")</f>
        <v>Drama, Romance, War</v>
      </c>
      <c r="D856" s="2">
        <f>IF(A856&lt;&gt;"", VLOOKUP(A856, imdb_netflix_v5!A$2:H$7370, 4, FALSE), "")</f>
        <v>8.2</v>
      </c>
      <c r="E856" s="2">
        <f>IF(A856&lt;&gt;"", VLOOKUP(A856, imdb_netflix_v5!A$2:H$7370, 5, FALSE), "")</f>
        <v>1939</v>
      </c>
      <c r="F856" s="2" t="str">
        <f>IF(A856&lt;&gt;"", VLOOKUP(A856, imdb_netflix_v5!A$2:H$7370, 7, FALSE), "")</f>
        <v>NA</v>
      </c>
    </row>
    <row r="857" ht="15.75" customHeight="1">
      <c r="A857" s="1" t="str">
        <f>IFERROR(__xludf.DUMMYFUNCTION("""COMPUTED_VALUE"""),"some like it hot")</f>
        <v>some like it hot</v>
      </c>
      <c r="B857" s="1" t="str">
        <f>IF(A857&lt;&gt;"", VLOOKUP(A857, imdb_netflix_v5!A$2:H$7370, 2, FALSE), "")</f>
        <v>Movie</v>
      </c>
      <c r="C857" s="2" t="str">
        <f>IF(A857&lt;&gt;"", VLOOKUP(A857, imdb_netflix_v5!A$2:H$7370, 3, FALSE), "")</f>
        <v>Comedy, Music, Romance</v>
      </c>
      <c r="D857" s="2">
        <f>IF(A857&lt;&gt;"", VLOOKUP(A857, imdb_netflix_v5!A$2:H$7370, 4, FALSE), "")</f>
        <v>8.2</v>
      </c>
      <c r="E857" s="2">
        <f>IF(A857&lt;&gt;"", VLOOKUP(A857, imdb_netflix_v5!A$2:H$7370, 5, FALSE), "")</f>
        <v>1959</v>
      </c>
      <c r="F857" s="2" t="str">
        <f>IF(A857&lt;&gt;"", VLOOKUP(A857, imdb_netflix_v5!A$2:H$7370, 7, FALSE), "")</f>
        <v>NA</v>
      </c>
    </row>
    <row r="858" ht="15.75" customHeight="1">
      <c r="A858" s="1" t="str">
        <f>IFERROR(__xludf.DUMMYFUNCTION("""COMPUTED_VALUE"""),"for a few dollars more")</f>
        <v>for a few dollars more</v>
      </c>
      <c r="B858" s="1" t="str">
        <f>IF(A858&lt;&gt;"", VLOOKUP(A858, imdb_netflix_v5!A$2:H$7370, 2, FALSE), "")</f>
        <v>Movie</v>
      </c>
      <c r="C858" s="2" t="str">
        <f>IF(A858&lt;&gt;"", VLOOKUP(A858, imdb_netflix_v5!A$2:H$7370, 3, FALSE), "")</f>
        <v>Drama, Western</v>
      </c>
      <c r="D858" s="2">
        <f>IF(A858&lt;&gt;"", VLOOKUP(A858, imdb_netflix_v5!A$2:H$7370, 4, FALSE), "")</f>
        <v>8.2</v>
      </c>
      <c r="E858" s="2">
        <f>IF(A858&lt;&gt;"", VLOOKUP(A858, imdb_netflix_v5!A$2:H$7370, 5, FALSE), "")</f>
        <v>1965</v>
      </c>
      <c r="F858" s="2" t="str">
        <f>IF(A858&lt;&gt;"", VLOOKUP(A858, imdb_netflix_v5!A$2:H$7370, 7, FALSE), "")</f>
        <v>NA</v>
      </c>
    </row>
    <row r="859" ht="15.75" customHeight="1">
      <c r="A859" s="1" t="str">
        <f>IFERROR(__xludf.DUMMYFUNCTION("""COMPUTED_VALUE"""),"the elephant man")</f>
        <v>the elephant man</v>
      </c>
      <c r="B859" s="1" t="str">
        <f>IF(A859&lt;&gt;"", VLOOKUP(A859, imdb_netflix_v5!A$2:H$7370, 2, FALSE), "")</f>
        <v>Movie</v>
      </c>
      <c r="C859" s="2" t="str">
        <f>IF(A859&lt;&gt;"", VLOOKUP(A859, imdb_netflix_v5!A$2:H$7370, 3, FALSE), "")</f>
        <v>Biography, Drama</v>
      </c>
      <c r="D859" s="2">
        <f>IF(A859&lt;&gt;"", VLOOKUP(A859, imdb_netflix_v5!A$2:H$7370, 4, FALSE), "")</f>
        <v>8.2</v>
      </c>
      <c r="E859" s="2">
        <f>IF(A859&lt;&gt;"", VLOOKUP(A859, imdb_netflix_v5!A$2:H$7370, 5, FALSE), "")</f>
        <v>1980</v>
      </c>
      <c r="F859" s="2" t="str">
        <f>IF(A859&lt;&gt;"", VLOOKUP(A859, imdb_netflix_v5!A$2:H$7370, 7, FALSE), "")</f>
        <v>NA</v>
      </c>
    </row>
    <row r="860" ht="15.75" customHeight="1">
      <c r="A860" s="1" t="str">
        <f>IFERROR(__xludf.DUMMYFUNCTION("""COMPUTED_VALUE"""),"the great escape")</f>
        <v>the great escape</v>
      </c>
      <c r="B860" s="1" t="str">
        <f>IF(A860&lt;&gt;"", VLOOKUP(A860, imdb_netflix_v5!A$2:H$7370, 2, FALSE), "")</f>
        <v>Movie</v>
      </c>
      <c r="C860" s="2" t="str">
        <f>IF(A860&lt;&gt;"", VLOOKUP(A860, imdb_netflix_v5!A$2:H$7370, 3, FALSE), "")</f>
        <v>Adventure, Drama, Thriller</v>
      </c>
      <c r="D860" s="2">
        <f>IF(A860&lt;&gt;"", VLOOKUP(A860, imdb_netflix_v5!A$2:H$7370, 4, FALSE), "")</f>
        <v>8.2</v>
      </c>
      <c r="E860" s="2">
        <f>IF(A860&lt;&gt;"", VLOOKUP(A860, imdb_netflix_v5!A$2:H$7370, 5, FALSE), "")</f>
        <v>1963</v>
      </c>
      <c r="F860" s="2" t="str">
        <f>IF(A860&lt;&gt;"", VLOOKUP(A860, imdb_netflix_v5!A$2:H$7370, 7, FALSE), "")</f>
        <v>NA</v>
      </c>
    </row>
    <row r="861" ht="15.75" customHeight="1">
      <c r="A861" s="1" t="str">
        <f>IFERROR(__xludf.DUMMYFUNCTION("""COMPUTED_VALUE"""),"the secret in their eyes")</f>
        <v>the secret in their eyes</v>
      </c>
      <c r="B861" s="1" t="str">
        <f>IF(A861&lt;&gt;"", VLOOKUP(A861, imdb_netflix_v5!A$2:H$7370, 2, FALSE), "")</f>
        <v>Movie</v>
      </c>
      <c r="C861" s="2" t="str">
        <f>IF(A861&lt;&gt;"", VLOOKUP(A861, imdb_netflix_v5!A$2:H$7370, 3, FALSE), "")</f>
        <v>Drama, Mystery, Romance</v>
      </c>
      <c r="D861" s="2">
        <f>IF(A861&lt;&gt;"", VLOOKUP(A861, imdb_netflix_v5!A$2:H$7370, 4, FALSE), "")</f>
        <v>8.2</v>
      </c>
      <c r="E861" s="2">
        <f>IF(A861&lt;&gt;"", VLOOKUP(A861, imdb_netflix_v5!A$2:H$7370, 5, FALSE), "")</f>
        <v>2009</v>
      </c>
      <c r="F861" s="2" t="str">
        <f>IF(A861&lt;&gt;"", VLOOKUP(A861, imdb_netflix_v5!A$2:H$7370, 7, FALSE), "")</f>
        <v>NA</v>
      </c>
    </row>
    <row r="862" ht="15.75" customHeight="1">
      <c r="A862" s="1" t="str">
        <f>IFERROR(__xludf.DUMMYFUNCTION("""COMPUTED_VALUE"""),"the mentalist")</f>
        <v>the mentalist</v>
      </c>
      <c r="B862" s="1" t="str">
        <f>IF(A862&lt;&gt;"", VLOOKUP(A862, imdb_netflix_v5!A$2:H$7370, 2, FALSE), "")</f>
        <v>TV Show</v>
      </c>
      <c r="C862" s="2" t="str">
        <f>IF(A862&lt;&gt;"", VLOOKUP(A862, imdb_netflix_v5!A$2:H$7370, 3, FALSE), "")</f>
        <v>Crime, Drama, Mystery</v>
      </c>
      <c r="D862" s="2">
        <f>IF(A862&lt;&gt;"", VLOOKUP(A862, imdb_netflix_v5!A$2:H$7370, 4, FALSE), "")</f>
        <v>8.2</v>
      </c>
      <c r="E862" s="2">
        <f>IF(A862&lt;&gt;"", VLOOKUP(A862, imdb_netflix_v5!A$2:H$7370, 5, FALSE), "")</f>
        <v>2008</v>
      </c>
      <c r="F862" s="2" t="str">
        <f>IF(A862&lt;&gt;"", VLOOKUP(A862, imdb_netflix_v5!A$2:H$7370, 7, FALSE), "")</f>
        <v>NA</v>
      </c>
    </row>
    <row r="863" ht="15.75" customHeight="1">
      <c r="A863" s="1" t="str">
        <f>IFERROR(__xludf.DUMMYFUNCTION("""COMPUTED_VALUE"""),"the father")</f>
        <v>the father</v>
      </c>
      <c r="B863" s="1" t="str">
        <f>IF(A863&lt;&gt;"", VLOOKUP(A863, imdb_netflix_v5!A$2:H$7370, 2, FALSE), "")</f>
        <v>Movie</v>
      </c>
      <c r="C863" s="2" t="str">
        <f>IF(A863&lt;&gt;"", VLOOKUP(A863, imdb_netflix_v5!A$2:H$7370, 3, FALSE), "")</f>
        <v>Drama, Mystery</v>
      </c>
      <c r="D863" s="2">
        <f>IF(A863&lt;&gt;"", VLOOKUP(A863, imdb_netflix_v5!A$2:H$7370, 4, FALSE), "")</f>
        <v>8.2</v>
      </c>
      <c r="E863" s="2">
        <f>IF(A863&lt;&gt;"", VLOOKUP(A863, imdb_netflix_v5!A$2:H$7370, 5, FALSE), "")</f>
        <v>2020</v>
      </c>
      <c r="F863" s="2">
        <f>IF(A863&lt;&gt;"", VLOOKUP(A863, imdb_netflix_v5!A$2:H$7370, 7, FALSE), "")</f>
        <v>5070000</v>
      </c>
    </row>
    <row r="864" ht="15.75" customHeight="1">
      <c r="A864" s="1" t="str">
        <f>IFERROR(__xludf.DUMMYFUNCTION("""COMPUTED_VALUE"""),"klaus")</f>
        <v>klaus</v>
      </c>
      <c r="B864" s="1" t="str">
        <f>IF(A864&lt;&gt;"", VLOOKUP(A864, imdb_netflix_v5!A$2:H$7370, 2, FALSE), "")</f>
        <v>Movie</v>
      </c>
      <c r="C864" s="2" t="str">
        <f>IF(A864&lt;&gt;"", VLOOKUP(A864, imdb_netflix_v5!A$2:H$7370, 3, FALSE), "")</f>
        <v>Adventure, Animation, Comedy</v>
      </c>
      <c r="D864" s="2">
        <f>IF(A864&lt;&gt;"", VLOOKUP(A864, imdb_netflix_v5!A$2:H$7370, 4, FALSE), "")</f>
        <v>8.2</v>
      </c>
      <c r="E864" s="2">
        <f>IF(A864&lt;&gt;"", VLOOKUP(A864, imdb_netflix_v5!A$2:H$7370, 5, FALSE), "")</f>
        <v>2019</v>
      </c>
      <c r="F864" s="2" t="str">
        <f>IF(A864&lt;&gt;"", VLOOKUP(A864, imdb_netflix_v5!A$2:H$7370, 7, FALSE), "")</f>
        <v>NA</v>
      </c>
    </row>
    <row r="865" ht="15.75" customHeight="1">
      <c r="A865" s="1" t="str">
        <f>IFERROR(__xludf.DUMMYFUNCTION("""COMPUTED_VALUE"""),"the good place")</f>
        <v>the good place</v>
      </c>
      <c r="B865" s="1" t="str">
        <f>IF(A865&lt;&gt;"", VLOOKUP(A865, imdb_netflix_v5!A$2:H$7370, 2, FALSE), "")</f>
        <v>TV Show</v>
      </c>
      <c r="C865" s="2" t="str">
        <f>IF(A865&lt;&gt;"", VLOOKUP(A865, imdb_netflix_v5!A$2:H$7370, 3, FALSE), "")</f>
        <v>Comedy, Drama, Fantasy</v>
      </c>
      <c r="D865" s="2">
        <f>IF(A865&lt;&gt;"", VLOOKUP(A865, imdb_netflix_v5!A$2:H$7370, 4, FALSE), "")</f>
        <v>8.2</v>
      </c>
      <c r="E865" s="2">
        <f>IF(A865&lt;&gt;"", VLOOKUP(A865, imdb_netflix_v5!A$2:H$7370, 5, FALSE), "")</f>
        <v>2016</v>
      </c>
      <c r="F865" s="2" t="str">
        <f>IF(A865&lt;&gt;"", VLOOKUP(A865, imdb_netflix_v5!A$2:H$7370, 7, FALSE), "")</f>
        <v>NA</v>
      </c>
    </row>
    <row r="866" ht="15.75" customHeight="1">
      <c r="A866" s="1" t="str">
        <f>IFERROR(__xludf.DUMMYFUNCTION("""COMPUTED_VALUE"""),"dial m for murder")</f>
        <v>dial m for murder</v>
      </c>
      <c r="B866" s="1" t="str">
        <f>IF(A866&lt;&gt;"", VLOOKUP(A866, imdb_netflix_v5!A$2:H$7370, 2, FALSE), "")</f>
        <v>Movie</v>
      </c>
      <c r="C866" s="2" t="str">
        <f>IF(A866&lt;&gt;"", VLOOKUP(A866, imdb_netflix_v5!A$2:H$7370, 3, FALSE), "")</f>
        <v>Crime, Thriller</v>
      </c>
      <c r="D866" s="2">
        <f>IF(A866&lt;&gt;"", VLOOKUP(A866, imdb_netflix_v5!A$2:H$7370, 4, FALSE), "")</f>
        <v>8.2</v>
      </c>
      <c r="E866" s="2">
        <f>IF(A866&lt;&gt;"", VLOOKUP(A866, imdb_netflix_v5!A$2:H$7370, 5, FALSE), "")</f>
        <v>1954</v>
      </c>
      <c r="F866" s="2" t="str">
        <f>IF(A866&lt;&gt;"", VLOOKUP(A866, imdb_netflix_v5!A$2:H$7370, 7, FALSE), "")</f>
        <v>NA</v>
      </c>
    </row>
    <row r="867" ht="15.75" customHeight="1">
      <c r="A867" s="1" t="str">
        <f>IFERROR(__xludf.DUMMYFUNCTION("""COMPUTED_VALUE"""),"rashomon")</f>
        <v>rashomon</v>
      </c>
      <c r="B867" s="1" t="str">
        <f>IF(A867&lt;&gt;"", VLOOKUP(A867, imdb_netflix_v5!A$2:H$7370, 2, FALSE), "")</f>
        <v>Movie</v>
      </c>
      <c r="C867" s="2" t="str">
        <f>IF(A867&lt;&gt;"", VLOOKUP(A867, imdb_netflix_v5!A$2:H$7370, 3, FALSE), "")</f>
        <v>Crime, Drama, Mystery</v>
      </c>
      <c r="D867" s="2">
        <f>IF(A867&lt;&gt;"", VLOOKUP(A867, imdb_netflix_v5!A$2:H$7370, 4, FALSE), "")</f>
        <v>8.2</v>
      </c>
      <c r="E867" s="2">
        <f>IF(A867&lt;&gt;"", VLOOKUP(A867, imdb_netflix_v5!A$2:H$7370, 5, FALSE), "")</f>
        <v>1950</v>
      </c>
      <c r="F867" s="2" t="str">
        <f>IF(A867&lt;&gt;"", VLOOKUP(A867, imdb_netflix_v5!A$2:H$7370, 7, FALSE), "")</f>
        <v>NA</v>
      </c>
    </row>
    <row r="868" ht="15.75" customHeight="1">
      <c r="A868" s="1" t="str">
        <f>IFERROR(__xludf.DUMMYFUNCTION("""COMPUTED_VALUE"""),"sense8")</f>
        <v>sense8</v>
      </c>
      <c r="B868" s="1" t="str">
        <f>IF(A868&lt;&gt;"", VLOOKUP(A868, imdb_netflix_v5!A$2:H$7370, 2, FALSE), "")</f>
        <v>TV Show</v>
      </c>
      <c r="C868" s="2" t="str">
        <f>IF(A868&lt;&gt;"", VLOOKUP(A868, imdb_netflix_v5!A$2:H$7370, 3, FALSE), "")</f>
        <v>Drama, Mystery, Sci-Fi</v>
      </c>
      <c r="D868" s="2">
        <f>IF(A868&lt;&gt;"", VLOOKUP(A868, imdb_netflix_v5!A$2:H$7370, 4, FALSE), "")</f>
        <v>8.2</v>
      </c>
      <c r="E868" s="2">
        <f>IF(A868&lt;&gt;"", VLOOKUP(A868, imdb_netflix_v5!A$2:H$7370, 5, FALSE), "")</f>
        <v>2015</v>
      </c>
      <c r="F868" s="2" t="str">
        <f>IF(A868&lt;&gt;"", VLOOKUP(A868, imdb_netflix_v5!A$2:H$7370, 7, FALSE), "")</f>
        <v>NA</v>
      </c>
    </row>
    <row r="869" ht="15.75" customHeight="1">
      <c r="A869" s="1" t="str">
        <f>IFERROR(__xludf.DUMMYFUNCTION("""COMPUTED_VALUE"""),"gilmore girls")</f>
        <v>gilmore girls</v>
      </c>
      <c r="B869" s="1" t="str">
        <f>IF(A869&lt;&gt;"", VLOOKUP(A869, imdb_netflix_v5!A$2:H$7370, 2, FALSE), "")</f>
        <v>TV Show</v>
      </c>
      <c r="C869" s="2" t="str">
        <f>IF(A869&lt;&gt;"", VLOOKUP(A869, imdb_netflix_v5!A$2:H$7370, 3, FALSE), "")</f>
        <v>Comedy, Drama</v>
      </c>
      <c r="D869" s="2">
        <f>IF(A869&lt;&gt;"", VLOOKUP(A869, imdb_netflix_v5!A$2:H$7370, 4, FALSE), "")</f>
        <v>8.2</v>
      </c>
      <c r="E869" s="2">
        <f>IF(A869&lt;&gt;"", VLOOKUP(A869, imdb_netflix_v5!A$2:H$7370, 5, FALSE), "")</f>
        <v>2000</v>
      </c>
      <c r="F869" s="2" t="str">
        <f>IF(A869&lt;&gt;"", VLOOKUP(A869, imdb_netflix_v5!A$2:H$7370, 7, FALSE), "")</f>
        <v>NA</v>
      </c>
    </row>
    <row r="870" ht="15.75" customHeight="1">
      <c r="A870" s="1" t="str">
        <f>IFERROR(__xludf.DUMMYFUNCTION("""COMPUTED_VALUE"""),"k.g.f chapter 2")</f>
        <v>k.g.f chapter 2</v>
      </c>
      <c r="B870" s="1" t="str">
        <f>IF(A870&lt;&gt;"", VLOOKUP(A870, imdb_netflix_v5!A$2:H$7370, 2, FALSE), "")</f>
        <v>Movie</v>
      </c>
      <c r="C870" s="2" t="str">
        <f>IF(A870&lt;&gt;"", VLOOKUP(A870, imdb_netflix_v5!A$2:H$7370, 3, FALSE), "")</f>
        <v>Action, Crime, Drama</v>
      </c>
      <c r="D870" s="2">
        <f>IF(A870&lt;&gt;"", VLOOKUP(A870, imdb_netflix_v5!A$2:H$7370, 4, FALSE), "")</f>
        <v>8.2</v>
      </c>
      <c r="E870" s="2">
        <f>IF(A870&lt;&gt;"", VLOOKUP(A870, imdb_netflix_v5!A$2:H$7370, 5, FALSE), "")</f>
        <v>2022</v>
      </c>
      <c r="F870" s="2" t="str">
        <f>IF(A870&lt;&gt;"", VLOOKUP(A870, imdb_netflix_v5!A$2:H$7370, 7, FALSE), "")</f>
        <v>NA</v>
      </c>
    </row>
    <row r="871" ht="15.75" customHeight="1">
      <c r="A871" s="1" t="str">
        <f>IFERROR(__xludf.DUMMYFUNCTION("""COMPUTED_VALUE"""),"chuck")</f>
        <v>chuck</v>
      </c>
      <c r="B871" s="1" t="str">
        <f>IF(A871&lt;&gt;"", VLOOKUP(A871, imdb_netflix_v5!A$2:H$7370, 2, FALSE), "")</f>
        <v>TV Show</v>
      </c>
      <c r="C871" s="2" t="str">
        <f>IF(A871&lt;&gt;"", VLOOKUP(A871, imdb_netflix_v5!A$2:H$7370, 3, FALSE), "")</f>
        <v>Action, Comedy, Drama</v>
      </c>
      <c r="D871" s="2">
        <f>IF(A871&lt;&gt;"", VLOOKUP(A871, imdb_netflix_v5!A$2:H$7370, 4, FALSE), "")</f>
        <v>8.2</v>
      </c>
      <c r="E871" s="2">
        <f>IF(A871&lt;&gt;"", VLOOKUP(A871, imdb_netflix_v5!A$2:H$7370, 5, FALSE), "")</f>
        <v>2007</v>
      </c>
      <c r="F871" s="2" t="str">
        <f>IF(A871&lt;&gt;"", VLOOKUP(A871, imdb_netflix_v5!A$2:H$7370, 7, FALSE), "")</f>
        <v>NA</v>
      </c>
    </row>
    <row r="872" ht="15.75" customHeight="1">
      <c r="A872" s="1" t="str">
        <f>IFERROR(__xludf.DUMMYFUNCTION("""COMPUTED_VALUE"""),"malcolm in the middle")</f>
        <v>malcolm in the middle</v>
      </c>
      <c r="B872" s="1" t="str">
        <f>IF(A872&lt;&gt;"", VLOOKUP(A872, imdb_netflix_v5!A$2:H$7370, 2, FALSE), "")</f>
        <v>TV Show</v>
      </c>
      <c r="C872" s="2" t="str">
        <f>IF(A872&lt;&gt;"", VLOOKUP(A872, imdb_netflix_v5!A$2:H$7370, 3, FALSE), "")</f>
        <v>Comedy, Family</v>
      </c>
      <c r="D872" s="2">
        <f>IF(A872&lt;&gt;"", VLOOKUP(A872, imdb_netflix_v5!A$2:H$7370, 4, FALSE), "")</f>
        <v>8.2</v>
      </c>
      <c r="E872" s="2">
        <f>IF(A872&lt;&gt;"", VLOOKUP(A872, imdb_netflix_v5!A$2:H$7370, 5, FALSE), "")</f>
        <v>2000</v>
      </c>
      <c r="F872" s="2" t="str">
        <f>IF(A872&lt;&gt;"", VLOOKUP(A872, imdb_netflix_v5!A$2:H$7370, 7, FALSE), "")</f>
        <v>NA</v>
      </c>
    </row>
    <row r="873" ht="15.75" customHeight="1">
      <c r="A873" s="1" t="str">
        <f>IFERROR(__xludf.DUMMYFUNCTION("""COMPUTED_VALUE"""),"white collar")</f>
        <v>white collar</v>
      </c>
      <c r="B873" s="1" t="str">
        <f>IF(A873&lt;&gt;"", VLOOKUP(A873, imdb_netflix_v5!A$2:H$7370, 2, FALSE), "")</f>
        <v>TV Show</v>
      </c>
      <c r="C873" s="2" t="str">
        <f>IF(A873&lt;&gt;"", VLOOKUP(A873, imdb_netflix_v5!A$2:H$7370, 3, FALSE), "")</f>
        <v>Comedy, Crime, Drama</v>
      </c>
      <c r="D873" s="2">
        <f>IF(A873&lt;&gt;"", VLOOKUP(A873, imdb_netflix_v5!A$2:H$7370, 4, FALSE), "")</f>
        <v>8.2</v>
      </c>
      <c r="E873" s="2">
        <f>IF(A873&lt;&gt;"", VLOOKUP(A873, imdb_netflix_v5!A$2:H$7370, 5, FALSE), "")</f>
        <v>2009</v>
      </c>
      <c r="F873" s="2" t="str">
        <f>IF(A873&lt;&gt;"", VLOOKUP(A873, imdb_netflix_v5!A$2:H$7370, 7, FALSE), "")</f>
        <v>NA</v>
      </c>
    </row>
    <row r="874" ht="15.75" customHeight="1">
      <c r="A874" s="1" t="str">
        <f>IFERROR(__xludf.DUMMYFUNCTION("""COMPUTED_VALUE"""),"all about eve")</f>
        <v>all about eve</v>
      </c>
      <c r="B874" s="1" t="str">
        <f>IF(A874&lt;&gt;"", VLOOKUP(A874, imdb_netflix_v5!A$2:H$7370, 2, FALSE), "")</f>
        <v>Movie</v>
      </c>
      <c r="C874" s="2" t="str">
        <f>IF(A874&lt;&gt;"", VLOOKUP(A874, imdb_netflix_v5!A$2:H$7370, 3, FALSE), "")</f>
        <v>Drama</v>
      </c>
      <c r="D874" s="2">
        <f>IF(A874&lt;&gt;"", VLOOKUP(A874, imdb_netflix_v5!A$2:H$7370, 4, FALSE), "")</f>
        <v>8.2</v>
      </c>
      <c r="E874" s="2">
        <f>IF(A874&lt;&gt;"", VLOOKUP(A874, imdb_netflix_v5!A$2:H$7370, 5, FALSE), "")</f>
        <v>1950</v>
      </c>
      <c r="F874" s="2" t="str">
        <f>IF(A874&lt;&gt;"", VLOOKUP(A874, imdb_netflix_v5!A$2:H$7370, 7, FALSE), "")</f>
        <v>NA</v>
      </c>
    </row>
    <row r="875" ht="15.75" customHeight="1">
      <c r="A875" s="1" t="str">
        <f>IFERROR(__xludf.DUMMYFUNCTION("""COMPUTED_VALUE"""),"ran")</f>
        <v>ran</v>
      </c>
      <c r="B875" s="1" t="str">
        <f>IF(A875&lt;&gt;"", VLOOKUP(A875, imdb_netflix_v5!A$2:H$7370, 2, FALSE), "")</f>
        <v>Movie</v>
      </c>
      <c r="C875" s="2" t="str">
        <f>IF(A875&lt;&gt;"", VLOOKUP(A875, imdb_netflix_v5!A$2:H$7370, 3, FALSE), "")</f>
        <v>Action, Drama, War</v>
      </c>
      <c r="D875" s="2">
        <f>IF(A875&lt;&gt;"", VLOOKUP(A875, imdb_netflix_v5!A$2:H$7370, 4, FALSE), "")</f>
        <v>8.2</v>
      </c>
      <c r="E875" s="2">
        <f>IF(A875&lt;&gt;"", VLOOKUP(A875, imdb_netflix_v5!A$2:H$7370, 5, FALSE), "")</f>
        <v>1985</v>
      </c>
      <c r="F875" s="2" t="str">
        <f>IF(A875&lt;&gt;"", VLOOKUP(A875, imdb_netflix_v5!A$2:H$7370, 7, FALSE), "")</f>
        <v>NA</v>
      </c>
    </row>
    <row r="876" ht="15.75" customHeight="1">
      <c r="A876" s="1" t="str">
        <f>IFERROR(__xludf.DUMMYFUNCTION("""COMPUTED_VALUE"""),"the kid")</f>
        <v>the kid</v>
      </c>
      <c r="B876" s="1" t="str">
        <f>IF(A876&lt;&gt;"", VLOOKUP(A876, imdb_netflix_v5!A$2:H$7370, 2, FALSE), "")</f>
        <v>Movie</v>
      </c>
      <c r="C876" s="2" t="str">
        <f>IF(A876&lt;&gt;"", VLOOKUP(A876, imdb_netflix_v5!A$2:H$7370, 3, FALSE), "")</f>
        <v>Comedy, Drama, Family</v>
      </c>
      <c r="D876" s="2">
        <f>IF(A876&lt;&gt;"", VLOOKUP(A876, imdb_netflix_v5!A$2:H$7370, 4, FALSE), "")</f>
        <v>8.2</v>
      </c>
      <c r="E876" s="2">
        <f>IF(A876&lt;&gt;"", VLOOKUP(A876, imdb_netflix_v5!A$2:H$7370, 5, FALSE), "")</f>
        <v>1921</v>
      </c>
      <c r="F876" s="2" t="str">
        <f>IF(A876&lt;&gt;"", VLOOKUP(A876, imdb_netflix_v5!A$2:H$7370, 7, FALSE), "")</f>
        <v>NA</v>
      </c>
    </row>
    <row r="877" ht="15.75" customHeight="1">
      <c r="A877" s="1" t="str">
        <f>IFERROR(__xludf.DUMMYFUNCTION("""COMPUTED_VALUE"""),"watchmen")</f>
        <v>watchmen</v>
      </c>
      <c r="B877" s="1" t="str">
        <f>IF(A877&lt;&gt;"", VLOOKUP(A877, imdb_netflix_v5!A$2:H$7370, 2, FALSE), "")</f>
        <v>TV Show</v>
      </c>
      <c r="C877" s="2" t="str">
        <f>IF(A877&lt;&gt;"", VLOOKUP(A877, imdb_netflix_v5!A$2:H$7370, 3, FALSE), "")</f>
        <v>Crime, Drama, Mystery</v>
      </c>
      <c r="D877" s="2">
        <f>IF(A877&lt;&gt;"", VLOOKUP(A877, imdb_netflix_v5!A$2:H$7370, 4, FALSE), "")</f>
        <v>8.2</v>
      </c>
      <c r="E877" s="2">
        <f>IF(A877&lt;&gt;"", VLOOKUP(A877, imdb_netflix_v5!A$2:H$7370, 5, FALSE), "")</f>
        <v>2019</v>
      </c>
      <c r="F877" s="2" t="str">
        <f>IF(A877&lt;&gt;"", VLOOKUP(A877, imdb_netflix_v5!A$2:H$7370, 7, FALSE), "")</f>
        <v>NA</v>
      </c>
    </row>
    <row r="878" ht="15.75" customHeight="1">
      <c r="A878" s="1" t="str">
        <f>IFERROR(__xludf.DUMMYFUNCTION("""COMPUTED_VALUE"""),"the morning show")</f>
        <v>the morning show</v>
      </c>
      <c r="B878" s="1" t="str">
        <f>IF(A878&lt;&gt;"", VLOOKUP(A878, imdb_netflix_v5!A$2:H$7370, 2, FALSE), "")</f>
        <v>TV Show</v>
      </c>
      <c r="C878" s="2" t="str">
        <f>IF(A878&lt;&gt;"", VLOOKUP(A878, imdb_netflix_v5!A$2:H$7370, 3, FALSE), "")</f>
        <v>Drama</v>
      </c>
      <c r="D878" s="2">
        <f>IF(A878&lt;&gt;"", VLOOKUP(A878, imdb_netflix_v5!A$2:H$7370, 4, FALSE), "")</f>
        <v>8.2</v>
      </c>
      <c r="E878" s="2">
        <f>IF(A878&lt;&gt;"", VLOOKUP(A878, imdb_netflix_v5!A$2:H$7370, 5, FALSE), "")</f>
        <v>2019</v>
      </c>
      <c r="F878" s="2" t="str">
        <f>IF(A878&lt;&gt;"", VLOOKUP(A878, imdb_netflix_v5!A$2:H$7370, 7, FALSE), "")</f>
        <v>NA</v>
      </c>
    </row>
    <row r="879" ht="15.75" customHeight="1">
      <c r="A879" s="1" t="str">
        <f>IFERROR(__xludf.DUMMYFUNCTION("""COMPUTED_VALUE"""),"the treasure of the sierra madre")</f>
        <v>the treasure of the sierra madre</v>
      </c>
      <c r="B879" s="1" t="str">
        <f>IF(A879&lt;&gt;"", VLOOKUP(A879, imdb_netflix_v5!A$2:H$7370, 2, FALSE), "")</f>
        <v>Movie</v>
      </c>
      <c r="C879" s="2" t="str">
        <f>IF(A879&lt;&gt;"", VLOOKUP(A879, imdb_netflix_v5!A$2:H$7370, 3, FALSE), "")</f>
        <v>Adventure, Drama, Western</v>
      </c>
      <c r="D879" s="2">
        <f>IF(A879&lt;&gt;"", VLOOKUP(A879, imdb_netflix_v5!A$2:H$7370, 4, FALSE), "")</f>
        <v>8.2</v>
      </c>
      <c r="E879" s="2">
        <f>IF(A879&lt;&gt;"", VLOOKUP(A879, imdb_netflix_v5!A$2:H$7370, 5, FALSE), "")</f>
        <v>1948</v>
      </c>
      <c r="F879" s="2" t="str">
        <f>IF(A879&lt;&gt;"", VLOOKUP(A879, imdb_netflix_v5!A$2:H$7370, 7, FALSE), "")</f>
        <v>NA</v>
      </c>
    </row>
    <row r="880" ht="15.75" customHeight="1">
      <c r="A880" s="1" t="str">
        <f>IFERROR(__xludf.DUMMYFUNCTION("""COMPUTED_VALUE"""),"yojimbo")</f>
        <v>yojimbo</v>
      </c>
      <c r="B880" s="1" t="str">
        <f>IF(A880&lt;&gt;"", VLOOKUP(A880, imdb_netflix_v5!A$2:H$7370, 2, FALSE), "")</f>
        <v>Movie</v>
      </c>
      <c r="C880" s="2" t="str">
        <f>IF(A880&lt;&gt;"", VLOOKUP(A880, imdb_netflix_v5!A$2:H$7370, 3, FALSE), "")</f>
        <v>Action, Drama, Thriller</v>
      </c>
      <c r="D880" s="2">
        <f>IF(A880&lt;&gt;"", VLOOKUP(A880, imdb_netflix_v5!A$2:H$7370, 4, FALSE), "")</f>
        <v>8.2</v>
      </c>
      <c r="E880" s="2">
        <f>IF(A880&lt;&gt;"", VLOOKUP(A880, imdb_netflix_v5!A$2:H$7370, 5, FALSE), "")</f>
        <v>1961</v>
      </c>
      <c r="F880" s="2" t="str">
        <f>IF(A880&lt;&gt;"", VLOOKUP(A880, imdb_netflix_v5!A$2:H$7370, 7, FALSE), "")</f>
        <v>NA</v>
      </c>
    </row>
    <row r="881" ht="15.75" customHeight="1">
      <c r="A881" s="1" t="str">
        <f>IFERROR(__xludf.DUMMYFUNCTION("""COMPUTED_VALUE"""),"penny dreadful")</f>
        <v>penny dreadful</v>
      </c>
      <c r="B881" s="1" t="str">
        <f>IF(A881&lt;&gt;"", VLOOKUP(A881, imdb_netflix_v5!A$2:H$7370, 2, FALSE), "")</f>
        <v>TV Show</v>
      </c>
      <c r="C881" s="2" t="str">
        <f>IF(A881&lt;&gt;"", VLOOKUP(A881, imdb_netflix_v5!A$2:H$7370, 3, FALSE), "")</f>
        <v>Drama, Fantasy, Horror</v>
      </c>
      <c r="D881" s="2">
        <f>IF(A881&lt;&gt;"", VLOOKUP(A881, imdb_netflix_v5!A$2:H$7370, 4, FALSE), "")</f>
        <v>8.2</v>
      </c>
      <c r="E881" s="2">
        <f>IF(A881&lt;&gt;"", VLOOKUP(A881, imdb_netflix_v5!A$2:H$7370, 5, FALSE), "")</f>
        <v>2014</v>
      </c>
      <c r="F881" s="2" t="str">
        <f>IF(A881&lt;&gt;"", VLOOKUP(A881, imdb_netflix_v5!A$2:H$7370, 7, FALSE), "")</f>
        <v>NA</v>
      </c>
    </row>
    <row r="882" ht="15.75" customHeight="1">
      <c r="A882" s="1" t="str">
        <f>IFERROR(__xludf.DUMMYFUNCTION("""COMPUTED_VALUE"""),"baahubali 2 the conclusion")</f>
        <v>baahubali 2 the conclusion</v>
      </c>
      <c r="B882" s="1" t="str">
        <f>IF(A882&lt;&gt;"", VLOOKUP(A882, imdb_netflix_v5!A$2:H$7370, 2, FALSE), "")</f>
        <v>Movie</v>
      </c>
      <c r="C882" s="2" t="str">
        <f>IF(A882&lt;&gt;"", VLOOKUP(A882, imdb_netflix_v5!A$2:H$7370, 3, FALSE), "")</f>
        <v>Action, Drama</v>
      </c>
      <c r="D882" s="2">
        <f>IF(A882&lt;&gt;"", VLOOKUP(A882, imdb_netflix_v5!A$2:H$7370, 4, FALSE), "")</f>
        <v>8.2</v>
      </c>
      <c r="E882" s="2">
        <f>IF(A882&lt;&gt;"", VLOOKUP(A882, imdb_netflix_v5!A$2:H$7370, 5, FALSE), "")</f>
        <v>2017</v>
      </c>
      <c r="F882" s="2" t="str">
        <f>IF(A882&lt;&gt;"", VLOOKUP(A882, imdb_netflix_v5!A$2:H$7370, 7, FALSE), "")</f>
        <v>NA</v>
      </c>
    </row>
    <row r="883" ht="15.75" customHeight="1">
      <c r="A883" s="1" t="str">
        <f>IFERROR(__xludf.DUMMYFUNCTION("""COMPUTED_VALUE"""),"black sails")</f>
        <v>black sails</v>
      </c>
      <c r="B883" s="1" t="str">
        <f>IF(A883&lt;&gt;"", VLOOKUP(A883, imdb_netflix_v5!A$2:H$7370, 2, FALSE), "")</f>
        <v>TV Show</v>
      </c>
      <c r="C883" s="2" t="str">
        <f>IF(A883&lt;&gt;"", VLOOKUP(A883, imdb_netflix_v5!A$2:H$7370, 3, FALSE), "")</f>
        <v>Action, Adventure, Drama</v>
      </c>
      <c r="D883" s="2">
        <f>IF(A883&lt;&gt;"", VLOOKUP(A883, imdb_netflix_v5!A$2:H$7370, 4, FALSE), "")</f>
        <v>8.2</v>
      </c>
      <c r="E883" s="2">
        <f>IF(A883&lt;&gt;"", VLOOKUP(A883, imdb_netflix_v5!A$2:H$7370, 5, FALSE), "")</f>
        <v>2014</v>
      </c>
      <c r="F883" s="2" t="str">
        <f>IF(A883&lt;&gt;"", VLOOKUP(A883, imdb_netflix_v5!A$2:H$7370, 7, FALSE), "")</f>
        <v>NA</v>
      </c>
    </row>
    <row r="884" ht="15.75" customHeight="1">
      <c r="A884" s="1" t="str">
        <f>IFERROR(__xludf.DUMMYFUNCTION("""COMPUTED_VALUE"""),"spongebob squarepants")</f>
        <v>spongebob squarepants</v>
      </c>
      <c r="B884" s="1" t="str">
        <f>IF(A884&lt;&gt;"", VLOOKUP(A884, imdb_netflix_v5!A$2:H$7370, 2, FALSE), "")</f>
        <v>TV Show</v>
      </c>
      <c r="C884" s="2" t="str">
        <f>IF(A884&lt;&gt;"", VLOOKUP(A884, imdb_netflix_v5!A$2:H$7370, 3, FALSE), "")</f>
        <v>Animation, Comedy, Family</v>
      </c>
      <c r="D884" s="2">
        <f>IF(A884&lt;&gt;"", VLOOKUP(A884, imdb_netflix_v5!A$2:H$7370, 4, FALSE), "")</f>
        <v>8.2</v>
      </c>
      <c r="E884" s="2">
        <f>IF(A884&lt;&gt;"", VLOOKUP(A884, imdb_netflix_v5!A$2:H$7370, 5, FALSE), "")</f>
        <v>1999</v>
      </c>
      <c r="F884" s="2" t="str">
        <f>IF(A884&lt;&gt;"", VLOOKUP(A884, imdb_netflix_v5!A$2:H$7370, 7, FALSE), "")</f>
        <v>NA</v>
      </c>
    </row>
    <row r="885" ht="15.75" customHeight="1">
      <c r="A885" s="1" t="str">
        <f>IFERROR(__xludf.DUMMYFUNCTION("""COMPUTED_VALUE"""),"the mountain ii")</f>
        <v>the mountain ii</v>
      </c>
      <c r="B885" s="1" t="str">
        <f>IF(A885&lt;&gt;"", VLOOKUP(A885, imdb_netflix_v5!A$2:H$7370, 2, FALSE), "")</f>
        <v>Movie</v>
      </c>
      <c r="C885" s="2" t="str">
        <f>IF(A885&lt;&gt;"", VLOOKUP(A885, imdb_netflix_v5!A$2:H$7370, 3, FALSE), "")</f>
        <v>Action, Drama, War</v>
      </c>
      <c r="D885" s="2">
        <f>IF(A885&lt;&gt;"", VLOOKUP(A885, imdb_netflix_v5!A$2:H$7370, 4, FALSE), "")</f>
        <v>8.2</v>
      </c>
      <c r="E885" s="2">
        <f>IF(A885&lt;&gt;"", VLOOKUP(A885, imdb_netflix_v5!A$2:H$7370, 5, FALSE), "")</f>
        <v>2016</v>
      </c>
      <c r="F885" s="2" t="str">
        <f>IF(A885&lt;&gt;"", VLOOKUP(A885, imdb_netflix_v5!A$2:H$7370, 7, FALSE), "")</f>
        <v>NA</v>
      </c>
    </row>
    <row r="886" ht="15.75" customHeight="1">
      <c r="A886" s="1" t="str">
        <f>IFERROR(__xludf.DUMMYFUNCTION("""COMPUTED_VALUE"""),"misfits")</f>
        <v>misfits</v>
      </c>
      <c r="B886" s="1" t="str">
        <f>IF(A886&lt;&gt;"", VLOOKUP(A886, imdb_netflix_v5!A$2:H$7370, 2, FALSE), "")</f>
        <v>TV Show</v>
      </c>
      <c r="C886" s="2" t="str">
        <f>IF(A886&lt;&gt;"", VLOOKUP(A886, imdb_netflix_v5!A$2:H$7370, 3, FALSE), "")</f>
        <v>Comedy, Drama, Fantasy</v>
      </c>
      <c r="D886" s="2">
        <f>IF(A886&lt;&gt;"", VLOOKUP(A886, imdb_netflix_v5!A$2:H$7370, 4, FALSE), "")</f>
        <v>8.2</v>
      </c>
      <c r="E886" s="2">
        <f>IF(A886&lt;&gt;"", VLOOKUP(A886, imdb_netflix_v5!A$2:H$7370, 5, FALSE), "")</f>
        <v>2009</v>
      </c>
      <c r="F886" s="2" t="str">
        <f>IF(A886&lt;&gt;"", VLOOKUP(A886, imdb_netflix_v5!A$2:H$7370, 7, FALSE), "")</f>
        <v>NA</v>
      </c>
    </row>
    <row r="887" ht="15.75" customHeight="1">
      <c r="A887" s="1" t="str">
        <f>IFERROR(__xludf.DUMMYFUNCTION("""COMPUTED_VALUE"""),"atypical")</f>
        <v>atypical</v>
      </c>
      <c r="B887" s="1" t="str">
        <f>IF(A887&lt;&gt;"", VLOOKUP(A887, imdb_netflix_v5!A$2:H$7370, 2, FALSE), "")</f>
        <v>TV Show</v>
      </c>
      <c r="C887" s="2" t="str">
        <f>IF(A887&lt;&gt;"", VLOOKUP(A887, imdb_netflix_v5!A$2:H$7370, 3, FALSE), "")</f>
        <v>Comedy, Drama</v>
      </c>
      <c r="D887" s="2">
        <f>IF(A887&lt;&gt;"", VLOOKUP(A887, imdb_netflix_v5!A$2:H$7370, 4, FALSE), "")</f>
        <v>8.2</v>
      </c>
      <c r="E887" s="2">
        <f>IF(A887&lt;&gt;"", VLOOKUP(A887, imdb_netflix_v5!A$2:H$7370, 5, FALSE), "")</f>
        <v>2017</v>
      </c>
      <c r="F887" s="2">
        <f>IF(A887&lt;&gt;"", VLOOKUP(A887, imdb_netflix_v5!A$2:H$7370, 7, FALSE), "")</f>
        <v>15920000</v>
      </c>
    </row>
    <row r="888" ht="15.75" customHeight="1">
      <c r="A888" s="1" t="str">
        <f>IFERROR(__xludf.DUMMYFUNCTION("""COMPUTED_VALUE"""),"andhadhun")</f>
        <v>andhadhun</v>
      </c>
      <c r="B888" s="1" t="str">
        <f>IF(A888&lt;&gt;"", VLOOKUP(A888, imdb_netflix_v5!A$2:H$7370, 2, FALSE), "")</f>
        <v>Movie</v>
      </c>
      <c r="C888" s="2" t="str">
        <f>IF(A888&lt;&gt;"", VLOOKUP(A888, imdb_netflix_v5!A$2:H$7370, 3, FALSE), "")</f>
        <v>Crime, Mystery, Thriller</v>
      </c>
      <c r="D888" s="2">
        <f>IF(A888&lt;&gt;"", VLOOKUP(A888, imdb_netflix_v5!A$2:H$7370, 4, FALSE), "")</f>
        <v>8.2</v>
      </c>
      <c r="E888" s="2">
        <f>IF(A888&lt;&gt;"", VLOOKUP(A888, imdb_netflix_v5!A$2:H$7370, 5, FALSE), "")</f>
        <v>2018</v>
      </c>
      <c r="F888" s="2" t="str">
        <f>IF(A888&lt;&gt;"", VLOOKUP(A888, imdb_netflix_v5!A$2:H$7370, 7, FALSE), "")</f>
        <v>NA</v>
      </c>
    </row>
    <row r="889" ht="15.75" customHeight="1">
      <c r="A889" s="1" t="str">
        <f>IFERROR(__xludf.DUMMYFUNCTION("""COMPUTED_VALUE"""),"gangs of wasseypur")</f>
        <v>gangs of wasseypur</v>
      </c>
      <c r="B889" s="1" t="str">
        <f>IF(A889&lt;&gt;"", VLOOKUP(A889, imdb_netflix_v5!A$2:H$7370, 2, FALSE), "")</f>
        <v>Movie</v>
      </c>
      <c r="C889" s="2" t="str">
        <f>IF(A889&lt;&gt;"", VLOOKUP(A889, imdb_netflix_v5!A$2:H$7370, 3, FALSE), "")</f>
        <v>Action, Comedy, Crime</v>
      </c>
      <c r="D889" s="2">
        <f>IF(A889&lt;&gt;"", VLOOKUP(A889, imdb_netflix_v5!A$2:H$7370, 4, FALSE), "")</f>
        <v>8.2</v>
      </c>
      <c r="E889" s="2">
        <f>IF(A889&lt;&gt;"", VLOOKUP(A889, imdb_netflix_v5!A$2:H$7370, 5, FALSE), "")</f>
        <v>2012</v>
      </c>
      <c r="F889" s="2" t="str">
        <f>IF(A889&lt;&gt;"", VLOOKUP(A889, imdb_netflix_v5!A$2:H$7370, 7, FALSE), "")</f>
        <v>NA</v>
      </c>
    </row>
    <row r="890" ht="15.75" customHeight="1">
      <c r="A890" s="1" t="str">
        <f>IFERROR(__xludf.DUMMYFUNCTION("""COMPUTED_VALUE"""),"kantara")</f>
        <v>kantara</v>
      </c>
      <c r="B890" s="1" t="str">
        <f>IF(A890&lt;&gt;"", VLOOKUP(A890, imdb_netflix_v5!A$2:H$7370, 2, FALSE), "")</f>
        <v>Movie</v>
      </c>
      <c r="C890" s="2" t="str">
        <f>IF(A890&lt;&gt;"", VLOOKUP(A890, imdb_netflix_v5!A$2:H$7370, 3, FALSE), "")</f>
        <v>Action, Adventure, Drama</v>
      </c>
      <c r="D890" s="2">
        <f>IF(A890&lt;&gt;"", VLOOKUP(A890, imdb_netflix_v5!A$2:H$7370, 4, FALSE), "")</f>
        <v>8.2</v>
      </c>
      <c r="E890" s="2">
        <f>IF(A890&lt;&gt;"", VLOOKUP(A890, imdb_netflix_v5!A$2:H$7370, 5, FALSE), "")</f>
        <v>2022</v>
      </c>
      <c r="F890" s="2" t="str">
        <f>IF(A890&lt;&gt;"", VLOOKUP(A890, imdb_netflix_v5!A$2:H$7370, 7, FALSE), "")</f>
        <v>NA</v>
      </c>
    </row>
    <row r="891" ht="15.75" customHeight="1">
      <c r="A891" s="1" t="str">
        <f>IFERROR(__xludf.DUMMYFUNCTION("""COMPUTED_VALUE"""),"k.g.f chapter 1")</f>
        <v>k.g.f chapter 1</v>
      </c>
      <c r="B891" s="1" t="str">
        <f>IF(A891&lt;&gt;"", VLOOKUP(A891, imdb_netflix_v5!A$2:H$7370, 2, FALSE), "")</f>
        <v>Movie</v>
      </c>
      <c r="C891" s="2" t="str">
        <f>IF(A891&lt;&gt;"", VLOOKUP(A891, imdb_netflix_v5!A$2:H$7370, 3, FALSE), "")</f>
        <v>Action, Crime, Drama</v>
      </c>
      <c r="D891" s="2">
        <f>IF(A891&lt;&gt;"", VLOOKUP(A891, imdb_netflix_v5!A$2:H$7370, 4, FALSE), "")</f>
        <v>8.2</v>
      </c>
      <c r="E891" s="2">
        <f>IF(A891&lt;&gt;"", VLOOKUP(A891, imdb_netflix_v5!A$2:H$7370, 5, FALSE), "")</f>
        <v>2018</v>
      </c>
      <c r="F891" s="2" t="str">
        <f>IF(A891&lt;&gt;"", VLOOKUP(A891, imdb_netflix_v5!A$2:H$7370, 7, FALSE), "")</f>
        <v>NA</v>
      </c>
    </row>
    <row r="892" ht="15.75" customHeight="1">
      <c r="A892" s="1" t="str">
        <f>IFERROR(__xludf.DUMMYFUNCTION("""COMPUTED_VALUE"""),"swades")</f>
        <v>swades</v>
      </c>
      <c r="B892" s="1" t="str">
        <f>IF(A892&lt;&gt;"", VLOOKUP(A892, imdb_netflix_v5!A$2:H$7370, 2, FALSE), "")</f>
        <v>Movie</v>
      </c>
      <c r="C892" s="2" t="str">
        <f>IF(A892&lt;&gt;"", VLOOKUP(A892, imdb_netflix_v5!A$2:H$7370, 3, FALSE), "")</f>
        <v>Drama, Musical</v>
      </c>
      <c r="D892" s="2">
        <f>IF(A892&lt;&gt;"", VLOOKUP(A892, imdb_netflix_v5!A$2:H$7370, 4, FALSE), "")</f>
        <v>8.2</v>
      </c>
      <c r="E892" s="2">
        <f>IF(A892&lt;&gt;"", VLOOKUP(A892, imdb_netflix_v5!A$2:H$7370, 5, FALSE), "")</f>
        <v>2004</v>
      </c>
      <c r="F892" s="2" t="str">
        <f>IF(A892&lt;&gt;"", VLOOKUP(A892, imdb_netflix_v5!A$2:H$7370, 7, FALSE), "")</f>
        <v>NA</v>
      </c>
    </row>
    <row r="893" ht="15.75" customHeight="1">
      <c r="A893" s="1" t="str">
        <f>IFERROR(__xludf.DUMMYFUNCTION("""COMPUTED_VALUE"""),"frasier")</f>
        <v>frasier</v>
      </c>
      <c r="B893" s="1" t="str">
        <f>IF(A893&lt;&gt;"", VLOOKUP(A893, imdb_netflix_v5!A$2:H$7370, 2, FALSE), "")</f>
        <v>TV Show</v>
      </c>
      <c r="C893" s="2" t="str">
        <f>IF(A893&lt;&gt;"", VLOOKUP(A893, imdb_netflix_v5!A$2:H$7370, 3, FALSE), "")</f>
        <v>Comedy</v>
      </c>
      <c r="D893" s="2">
        <f>IF(A893&lt;&gt;"", VLOOKUP(A893, imdb_netflix_v5!A$2:H$7370, 4, FALSE), "")</f>
        <v>8.2</v>
      </c>
      <c r="E893" s="2">
        <f>IF(A893&lt;&gt;"", VLOOKUP(A893, imdb_netflix_v5!A$2:H$7370, 5, FALSE), "")</f>
        <v>1993</v>
      </c>
      <c r="F893" s="2" t="str">
        <f>IF(A893&lt;&gt;"", VLOOKUP(A893, imdb_netflix_v5!A$2:H$7370, 7, FALSE), "")</f>
        <v>NA</v>
      </c>
    </row>
    <row r="894" ht="15.75" customHeight="1">
      <c r="A894" s="1" t="str">
        <f>IFERROR(__xludf.DUMMYFUNCTION("""COMPUTED_VALUE"""),"the wild robot")</f>
        <v>the wild robot</v>
      </c>
      <c r="B894" s="1" t="str">
        <f>IF(A894&lt;&gt;"", VLOOKUP(A894, imdb_netflix_v5!A$2:H$7370, 2, FALSE), "")</f>
        <v>Movie</v>
      </c>
      <c r="C894" s="2" t="str">
        <f>IF(A894&lt;&gt;"", VLOOKUP(A894, imdb_netflix_v5!A$2:H$7370, 3, FALSE), "")</f>
        <v>Animation, Sci-Fi</v>
      </c>
      <c r="D894" s="2">
        <f>IF(A894&lt;&gt;"", VLOOKUP(A894, imdb_netflix_v5!A$2:H$7370, 4, FALSE), "")</f>
        <v>8.2</v>
      </c>
      <c r="E894" s="2">
        <f>IF(A894&lt;&gt;"", VLOOKUP(A894, imdb_netflix_v5!A$2:H$7370, 5, FALSE), "")</f>
        <v>2024</v>
      </c>
      <c r="F894" s="2" t="str">
        <f>IF(A894&lt;&gt;"", VLOOKUP(A894, imdb_netflix_v5!A$2:H$7370, 7, FALSE), "")</f>
        <v>NA</v>
      </c>
    </row>
    <row r="895" ht="15.75" customHeight="1">
      <c r="A895" s="1" t="str">
        <f>IFERROR(__xludf.DUMMYFUNCTION("""COMPUTED_VALUE"""),"bobs burgers")</f>
        <v>bobs burgers</v>
      </c>
      <c r="B895" s="1" t="str">
        <f>IF(A895&lt;&gt;"", VLOOKUP(A895, imdb_netflix_v5!A$2:H$7370, 2, FALSE), "")</f>
        <v>TV Show</v>
      </c>
      <c r="C895" s="2" t="str">
        <f>IF(A895&lt;&gt;"", VLOOKUP(A895, imdb_netflix_v5!A$2:H$7370, 3, FALSE), "")</f>
        <v>Animation, Comedy</v>
      </c>
      <c r="D895" s="2">
        <f>IF(A895&lt;&gt;"", VLOOKUP(A895, imdb_netflix_v5!A$2:H$7370, 4, FALSE), "")</f>
        <v>8.2</v>
      </c>
      <c r="E895" s="2">
        <f>IF(A895&lt;&gt;"", VLOOKUP(A895, imdb_netflix_v5!A$2:H$7370, 5, FALSE), "")</f>
        <v>2011</v>
      </c>
      <c r="F895" s="2" t="str">
        <f>IF(A895&lt;&gt;"", VLOOKUP(A895, imdb_netflix_v5!A$2:H$7370, 7, FALSE), "")</f>
        <v>NA</v>
      </c>
    </row>
    <row r="896" ht="15.75" customHeight="1">
      <c r="A896" s="1" t="str">
        <f>IFERROR(__xludf.DUMMYFUNCTION("""COMPUTED_VALUE"""),"my father and my son")</f>
        <v>my father and my son</v>
      </c>
      <c r="B896" s="1" t="str">
        <f>IF(A896&lt;&gt;"", VLOOKUP(A896, imdb_netflix_v5!A$2:H$7370, 2, FALSE), "")</f>
        <v>Movie</v>
      </c>
      <c r="C896" s="2" t="str">
        <f>IF(A896&lt;&gt;"", VLOOKUP(A896, imdb_netflix_v5!A$2:H$7370, 3, FALSE), "")</f>
        <v>Drama, Family</v>
      </c>
      <c r="D896" s="2">
        <f>IF(A896&lt;&gt;"", VLOOKUP(A896, imdb_netflix_v5!A$2:H$7370, 4, FALSE), "")</f>
        <v>8.2</v>
      </c>
      <c r="E896" s="2">
        <f>IF(A896&lt;&gt;"", VLOOKUP(A896, imdb_netflix_v5!A$2:H$7370, 5, FALSE), "")</f>
        <v>2005</v>
      </c>
      <c r="F896" s="2" t="str">
        <f>IF(A896&lt;&gt;"", VLOOKUP(A896, imdb_netflix_v5!A$2:H$7370, 7, FALSE), "")</f>
        <v>NA</v>
      </c>
    </row>
    <row r="897" ht="15.75" customHeight="1">
      <c r="A897" s="1" t="str">
        <f>IFERROR(__xludf.DUMMYFUNCTION("""COMPUTED_VALUE"""),"skins")</f>
        <v>skins</v>
      </c>
      <c r="B897" s="1" t="str">
        <f>IF(A897&lt;&gt;"", VLOOKUP(A897, imdb_netflix_v5!A$2:H$7370, 2, FALSE), "")</f>
        <v>TV Show</v>
      </c>
      <c r="C897" s="2" t="str">
        <f>IF(A897&lt;&gt;"", VLOOKUP(A897, imdb_netflix_v5!A$2:H$7370, 3, FALSE), "")</f>
        <v>Drama</v>
      </c>
      <c r="D897" s="2">
        <f>IF(A897&lt;&gt;"", VLOOKUP(A897, imdb_netflix_v5!A$2:H$7370, 4, FALSE), "")</f>
        <v>8.2</v>
      </c>
      <c r="E897" s="2">
        <f>IF(A897&lt;&gt;"", VLOOKUP(A897, imdb_netflix_v5!A$2:H$7370, 5, FALSE), "")</f>
        <v>2007</v>
      </c>
      <c r="F897" s="2" t="str">
        <f>IF(A897&lt;&gt;"", VLOOKUP(A897, imdb_netflix_v5!A$2:H$7370, 7, FALSE), "")</f>
        <v>NA</v>
      </c>
    </row>
    <row r="898" ht="15.75" customHeight="1">
      <c r="A898" s="1" t="str">
        <f>IFERROR(__xludf.DUMMYFUNCTION("""COMPUTED_VALUE"""),"zindagi na milegi dobara")</f>
        <v>zindagi na milegi dobara</v>
      </c>
      <c r="B898" s="1" t="str">
        <f>IF(A898&lt;&gt;"", VLOOKUP(A898, imdb_netflix_v5!A$2:H$7370, 2, FALSE), "")</f>
        <v>Movie</v>
      </c>
      <c r="C898" s="2" t="str">
        <f>IF(A898&lt;&gt;"", VLOOKUP(A898, imdb_netflix_v5!A$2:H$7370, 3, FALSE), "")</f>
        <v>Comedy, Drama, Musical</v>
      </c>
      <c r="D898" s="2">
        <f>IF(A898&lt;&gt;"", VLOOKUP(A898, imdb_netflix_v5!A$2:H$7370, 4, FALSE), "")</f>
        <v>8.2</v>
      </c>
      <c r="E898" s="2">
        <f>IF(A898&lt;&gt;"", VLOOKUP(A898, imdb_netflix_v5!A$2:H$7370, 5, FALSE), "")</f>
        <v>2011</v>
      </c>
      <c r="F898" s="2" t="str">
        <f>IF(A898&lt;&gt;"", VLOOKUP(A898, imdb_netflix_v5!A$2:H$7370, 7, FALSE), "")</f>
        <v>NA</v>
      </c>
    </row>
    <row r="899" ht="15.75" customHeight="1">
      <c r="A899" s="1" t="str">
        <f>IFERROR(__xludf.DUMMYFUNCTION("""COMPUTED_VALUE"""),"my hero academia")</f>
        <v>my hero academia</v>
      </c>
      <c r="B899" s="1" t="str">
        <f>IF(A899&lt;&gt;"", VLOOKUP(A899, imdb_netflix_v5!A$2:H$7370, 2, FALSE), "")</f>
        <v>TV Show</v>
      </c>
      <c r="C899" s="2" t="str">
        <f>IF(A899&lt;&gt;"", VLOOKUP(A899, imdb_netflix_v5!A$2:H$7370, 3, FALSE), "")</f>
        <v>Action, Adventure, Animation</v>
      </c>
      <c r="D899" s="2">
        <f>IF(A899&lt;&gt;"", VLOOKUP(A899, imdb_netflix_v5!A$2:H$7370, 4, FALSE), "")</f>
        <v>8.2</v>
      </c>
      <c r="E899" s="2">
        <f>IF(A899&lt;&gt;"", VLOOKUP(A899, imdb_netflix_v5!A$2:H$7370, 5, FALSE), "")</f>
        <v>2016</v>
      </c>
      <c r="F899" s="2" t="str">
        <f>IF(A899&lt;&gt;"", VLOOKUP(A899, imdb_netflix_v5!A$2:H$7370, 7, FALSE), "")</f>
        <v>NA</v>
      </c>
    </row>
    <row r="900" ht="15.75" customHeight="1">
      <c r="A900" s="1" t="str">
        <f>IFERROR(__xludf.DUMMYFUNCTION("""COMPUTED_VALUE"""),"children of heaven")</f>
        <v>children of heaven</v>
      </c>
      <c r="B900" s="1" t="str">
        <f>IF(A900&lt;&gt;"", VLOOKUP(A900, imdb_netflix_v5!A$2:H$7370, 2, FALSE), "")</f>
        <v>Movie</v>
      </c>
      <c r="C900" s="2" t="str">
        <f>IF(A900&lt;&gt;"", VLOOKUP(A900, imdb_netflix_v5!A$2:H$7370, 3, FALSE), "")</f>
        <v>Drama, Family, Sport</v>
      </c>
      <c r="D900" s="2">
        <f>IF(A900&lt;&gt;"", VLOOKUP(A900, imdb_netflix_v5!A$2:H$7370, 4, FALSE), "")</f>
        <v>8.2</v>
      </c>
      <c r="E900" s="2">
        <f>IF(A900&lt;&gt;"", VLOOKUP(A900, imdb_netflix_v5!A$2:H$7370, 5, FALSE), "")</f>
        <v>1997</v>
      </c>
      <c r="F900" s="2" t="str">
        <f>IF(A900&lt;&gt;"", VLOOKUP(A900, imdb_netflix_v5!A$2:H$7370, 7, FALSE), "")</f>
        <v>NA</v>
      </c>
    </row>
    <row r="901" ht="15.75" customHeight="1">
      <c r="A901" s="1" t="str">
        <f>IFERROR(__xludf.DUMMYFUNCTION("""COMPUTED_VALUE"""),"godless")</f>
        <v>godless</v>
      </c>
      <c r="B901" s="1" t="str">
        <f>IF(A901&lt;&gt;"", VLOOKUP(A901, imdb_netflix_v5!A$2:H$7370, 2, FALSE), "")</f>
        <v>TV Show</v>
      </c>
      <c r="C901" s="2" t="str">
        <f>IF(A901&lt;&gt;"", VLOOKUP(A901, imdb_netflix_v5!A$2:H$7370, 3, FALSE), "")</f>
        <v>Action, Drama, Western</v>
      </c>
      <c r="D901" s="2">
        <f>IF(A901&lt;&gt;"", VLOOKUP(A901, imdb_netflix_v5!A$2:H$7370, 4, FALSE), "")</f>
        <v>8.2</v>
      </c>
      <c r="E901" s="2">
        <f>IF(A901&lt;&gt;"", VLOOKUP(A901, imdb_netflix_v5!A$2:H$7370, 5, FALSE), "")</f>
        <v>2017</v>
      </c>
      <c r="F901" s="2" t="str">
        <f>IF(A901&lt;&gt;"", VLOOKUP(A901, imdb_netflix_v5!A$2:H$7370, 7, FALSE), "")</f>
        <v>NA</v>
      </c>
    </row>
    <row r="902" ht="15.75" customHeight="1">
      <c r="A902" s="1" t="str">
        <f>IFERROR(__xludf.DUMMYFUNCTION("""COMPUTED_VALUE"""),"inside job")</f>
        <v>inside job</v>
      </c>
      <c r="B902" s="1" t="str">
        <f>IF(A902&lt;&gt;"", VLOOKUP(A902, imdb_netflix_v5!A$2:H$7370, 2, FALSE), "")</f>
        <v>Movie</v>
      </c>
      <c r="C902" s="2" t="str">
        <f>IF(A902&lt;&gt;"", VLOOKUP(A902, imdb_netflix_v5!A$2:H$7370, 3, FALSE), "")</f>
        <v>Crime, Documentary</v>
      </c>
      <c r="D902" s="2">
        <f>IF(A902&lt;&gt;"", VLOOKUP(A902, imdb_netflix_v5!A$2:H$7370, 4, FALSE), "")</f>
        <v>8.2</v>
      </c>
      <c r="E902" s="2">
        <f>IF(A902&lt;&gt;"", VLOOKUP(A902, imdb_netflix_v5!A$2:H$7370, 5, FALSE), "")</f>
        <v>2010</v>
      </c>
      <c r="F902" s="2">
        <f>IF(A902&lt;&gt;"", VLOOKUP(A902, imdb_netflix_v5!A$2:H$7370, 7, FALSE), "")</f>
        <v>21240000</v>
      </c>
    </row>
    <row r="903" ht="15.75" customHeight="1">
      <c r="A903" s="1" t="str">
        <f>IFERROR(__xludf.DUMMYFUNCTION("""COMPUTED_VALUE"""),"demon slayer kimetsu no yaiba - the movie mugen train")</f>
        <v>demon slayer kimetsu no yaiba - the movie mugen train</v>
      </c>
      <c r="B903" s="1" t="str">
        <f>IF(A903&lt;&gt;"", VLOOKUP(A903, imdb_netflix_v5!A$2:H$7370, 2, FALSE), "")</f>
        <v>Movie</v>
      </c>
      <c r="C903" s="2" t="str">
        <f>IF(A903&lt;&gt;"", VLOOKUP(A903, imdb_netflix_v5!A$2:H$7370, 3, FALSE), "")</f>
        <v>Action, Adventure, Animation</v>
      </c>
      <c r="D903" s="2">
        <f>IF(A903&lt;&gt;"", VLOOKUP(A903, imdb_netflix_v5!A$2:H$7370, 4, FALSE), "")</f>
        <v>8.2</v>
      </c>
      <c r="E903" s="2">
        <f>IF(A903&lt;&gt;"", VLOOKUP(A903, imdb_netflix_v5!A$2:H$7370, 5, FALSE), "")</f>
        <v>2020</v>
      </c>
      <c r="F903" s="2" t="str">
        <f>IF(A903&lt;&gt;"", VLOOKUP(A903, imdb_netflix_v5!A$2:H$7370, 7, FALSE), "")</f>
        <v>NA</v>
      </c>
    </row>
    <row r="904" ht="15.75" customHeight="1">
      <c r="A904" s="1" t="str">
        <f>IFERROR(__xludf.DUMMYFUNCTION("""COMPUTED_VALUE"""),"master of none")</f>
        <v>master of none</v>
      </c>
      <c r="B904" s="1" t="str">
        <f>IF(A904&lt;&gt;"", VLOOKUP(A904, imdb_netflix_v5!A$2:H$7370, 2, FALSE), "")</f>
        <v>TV Show</v>
      </c>
      <c r="C904" s="2" t="str">
        <f>IF(A904&lt;&gt;"", VLOOKUP(A904, imdb_netflix_v5!A$2:H$7370, 3, FALSE), "")</f>
        <v>Comedy, Drama</v>
      </c>
      <c r="D904" s="2">
        <f>IF(A904&lt;&gt;"", VLOOKUP(A904, imdb_netflix_v5!A$2:H$7370, 4, FALSE), "")</f>
        <v>8.2</v>
      </c>
      <c r="E904" s="2">
        <f>IF(A904&lt;&gt;"", VLOOKUP(A904, imdb_netflix_v5!A$2:H$7370, 5, FALSE), "")</f>
        <v>2015</v>
      </c>
      <c r="F904" s="2" t="str">
        <f>IF(A904&lt;&gt;"", VLOOKUP(A904, imdb_netflix_v5!A$2:H$7370, 7, FALSE), "")</f>
        <v>NA</v>
      </c>
    </row>
    <row r="905" ht="15.75" customHeight="1">
      <c r="A905" s="1" t="str">
        <f>IFERROR(__xludf.DUMMYFUNCTION("""COMPUTED_VALUE"""),"bleach")</f>
        <v>bleach</v>
      </c>
      <c r="B905" s="1" t="str">
        <f>IF(A905&lt;&gt;"", VLOOKUP(A905, imdb_netflix_v5!A$2:H$7370, 2, FALSE), "")</f>
        <v>TV Show</v>
      </c>
      <c r="C905" s="2" t="str">
        <f>IF(A905&lt;&gt;"", VLOOKUP(A905, imdb_netflix_v5!A$2:H$7370, 3, FALSE), "")</f>
        <v>Action, Adventure, Animation</v>
      </c>
      <c r="D905" s="2">
        <f>IF(A905&lt;&gt;"", VLOOKUP(A905, imdb_netflix_v5!A$2:H$7370, 4, FALSE), "")</f>
        <v>8.2</v>
      </c>
      <c r="E905" s="2">
        <f>IF(A905&lt;&gt;"", VLOOKUP(A905, imdb_netflix_v5!A$2:H$7370, 5, FALSE), "")</f>
        <v>2004</v>
      </c>
      <c r="F905" s="2" t="str">
        <f>IF(A905&lt;&gt;"", VLOOKUP(A905, imdb_netflix_v5!A$2:H$7370, 7, FALSE), "")</f>
        <v>NA</v>
      </c>
    </row>
    <row r="906" ht="15.75" customHeight="1">
      <c r="A906" s="1" t="str">
        <f>IFERROR(__xludf.DUMMYFUNCTION("""COMPUTED_VALUE"""),"hera pheri")</f>
        <v>hera pheri</v>
      </c>
      <c r="B906" s="1" t="str">
        <f>IF(A906&lt;&gt;"", VLOOKUP(A906, imdb_netflix_v5!A$2:H$7370, 2, FALSE), "")</f>
        <v>Movie</v>
      </c>
      <c r="C906" s="2" t="str">
        <f>IF(A906&lt;&gt;"", VLOOKUP(A906, imdb_netflix_v5!A$2:H$7370, 3, FALSE), "")</f>
        <v>Action, Comedy, Crime</v>
      </c>
      <c r="D906" s="2">
        <f>IF(A906&lt;&gt;"", VLOOKUP(A906, imdb_netflix_v5!A$2:H$7370, 4, FALSE), "")</f>
        <v>8.2</v>
      </c>
      <c r="E906" s="2">
        <f>IF(A906&lt;&gt;"", VLOOKUP(A906, imdb_netflix_v5!A$2:H$7370, 5, FALSE), "")</f>
        <v>2000</v>
      </c>
      <c r="F906" s="2" t="str">
        <f>IF(A906&lt;&gt;"", VLOOKUP(A906, imdb_netflix_v5!A$2:H$7370, 7, FALSE), "")</f>
        <v>NA</v>
      </c>
    </row>
    <row r="907" ht="15.75" customHeight="1">
      <c r="A907" s="1" t="str">
        <f>IFERROR(__xludf.DUMMYFUNCTION("""COMPUTED_VALUE"""),"uri the surgical strike")</f>
        <v>uri the surgical strike</v>
      </c>
      <c r="B907" s="1" t="str">
        <f>IF(A907&lt;&gt;"", VLOOKUP(A907, imdb_netflix_v5!A$2:H$7370, 2, FALSE), "")</f>
        <v>Movie</v>
      </c>
      <c r="C907" s="2" t="str">
        <f>IF(A907&lt;&gt;"", VLOOKUP(A907, imdb_netflix_v5!A$2:H$7370, 3, FALSE), "")</f>
        <v>Action, Drama, History</v>
      </c>
      <c r="D907" s="2">
        <f>IF(A907&lt;&gt;"", VLOOKUP(A907, imdb_netflix_v5!A$2:H$7370, 4, FALSE), "")</f>
        <v>8.2</v>
      </c>
      <c r="E907" s="2">
        <f>IF(A907&lt;&gt;"", VLOOKUP(A907, imdb_netflix_v5!A$2:H$7370, 5, FALSE), "")</f>
        <v>2019</v>
      </c>
      <c r="F907" s="2" t="str">
        <f>IF(A907&lt;&gt;"", VLOOKUP(A907, imdb_netflix_v5!A$2:H$7370, 7, FALSE), "")</f>
        <v>NA</v>
      </c>
    </row>
    <row r="908" ht="15.75" customHeight="1">
      <c r="A908" s="1" t="str">
        <f>IFERROR(__xludf.DUMMYFUNCTION("""COMPUTED_VALUE"""),"searching for sugar man")</f>
        <v>searching for sugar man</v>
      </c>
      <c r="B908" s="1" t="str">
        <f>IF(A908&lt;&gt;"", VLOOKUP(A908, imdb_netflix_v5!A$2:H$7370, 2, FALSE), "")</f>
        <v>Movie</v>
      </c>
      <c r="C908" s="2" t="str">
        <f>IF(A908&lt;&gt;"", VLOOKUP(A908, imdb_netflix_v5!A$2:H$7370, 3, FALSE), "")</f>
        <v>Biography, Documentary, Music</v>
      </c>
      <c r="D908" s="2">
        <f>IF(A908&lt;&gt;"", VLOOKUP(A908, imdb_netflix_v5!A$2:H$7370, 4, FALSE), "")</f>
        <v>8.2</v>
      </c>
      <c r="E908" s="2">
        <f>IF(A908&lt;&gt;"", VLOOKUP(A908, imdb_netflix_v5!A$2:H$7370, 5, FALSE), "")</f>
        <v>2012</v>
      </c>
      <c r="F908" s="2" t="str">
        <f>IF(A908&lt;&gt;"", VLOOKUP(A908, imdb_netflix_v5!A$2:H$7370, 7, FALSE), "")</f>
        <v>NA</v>
      </c>
    </row>
    <row r="909" ht="15.75" customHeight="1">
      <c r="A909" s="1" t="str">
        <f>IFERROR(__xludf.DUMMYFUNCTION("""COMPUTED_VALUE"""),"bhaag milkha bhaag")</f>
        <v>bhaag milkha bhaag</v>
      </c>
      <c r="B909" s="1" t="str">
        <f>IF(A909&lt;&gt;"", VLOOKUP(A909, imdb_netflix_v5!A$2:H$7370, 2, FALSE), "")</f>
        <v>Movie</v>
      </c>
      <c r="C909" s="2" t="str">
        <f>IF(A909&lt;&gt;"", VLOOKUP(A909, imdb_netflix_v5!A$2:H$7370, 3, FALSE), "")</f>
        <v>Biography, Drama, Sport</v>
      </c>
      <c r="D909" s="2">
        <f>IF(A909&lt;&gt;"", VLOOKUP(A909, imdb_netflix_v5!A$2:H$7370, 4, FALSE), "")</f>
        <v>8.2</v>
      </c>
      <c r="E909" s="2">
        <f>IF(A909&lt;&gt;"", VLOOKUP(A909, imdb_netflix_v5!A$2:H$7370, 5, FALSE), "")</f>
        <v>2013</v>
      </c>
      <c r="F909" s="2" t="str">
        <f>IF(A909&lt;&gt;"", VLOOKUP(A909, imdb_netflix_v5!A$2:H$7370, 7, FALSE), "")</f>
        <v>NA</v>
      </c>
    </row>
    <row r="910" ht="15.75" customHeight="1">
      <c r="A910" s="1" t="str">
        <f>IFERROR(__xludf.DUMMYFUNCTION("""COMPUTED_VALUE"""),"tumbbad")</f>
        <v>tumbbad</v>
      </c>
      <c r="B910" s="1" t="str">
        <f>IF(A910&lt;&gt;"", VLOOKUP(A910, imdb_netflix_v5!A$2:H$7370, 2, FALSE), "")</f>
        <v>Movie</v>
      </c>
      <c r="C910" s="2" t="str">
        <f>IF(A910&lt;&gt;"", VLOOKUP(A910, imdb_netflix_v5!A$2:H$7370, 3, FALSE), "")</f>
        <v>Drama, Fantasy, Horror</v>
      </c>
      <c r="D910" s="2">
        <f>IF(A910&lt;&gt;"", VLOOKUP(A910, imdb_netflix_v5!A$2:H$7370, 4, FALSE), "")</f>
        <v>8.2</v>
      </c>
      <c r="E910" s="2">
        <f>IF(A910&lt;&gt;"", VLOOKUP(A910, imdb_netflix_v5!A$2:H$7370, 5, FALSE), "")</f>
        <v>2018</v>
      </c>
      <c r="F910" s="2" t="str">
        <f>IF(A910&lt;&gt;"", VLOOKUP(A910, imdb_netflix_v5!A$2:H$7370, 7, FALSE), "")</f>
        <v>NA</v>
      </c>
    </row>
    <row r="911" ht="15.75" customHeight="1">
      <c r="A911" s="1" t="str">
        <f>IFERROR(__xludf.DUMMYFUNCTION("""COMPUTED_VALUE"""),"eastbound &amp; down")</f>
        <v>eastbound &amp; down</v>
      </c>
      <c r="B911" s="1" t="str">
        <f>IF(A911&lt;&gt;"", VLOOKUP(A911, imdb_netflix_v5!A$2:H$7370, 2, FALSE), "")</f>
        <v>TV Show</v>
      </c>
      <c r="C911" s="2" t="str">
        <f>IF(A911&lt;&gt;"", VLOOKUP(A911, imdb_netflix_v5!A$2:H$7370, 3, FALSE), "")</f>
        <v>Comedy, Drama, Sport</v>
      </c>
      <c r="D911" s="2">
        <f>IF(A911&lt;&gt;"", VLOOKUP(A911, imdb_netflix_v5!A$2:H$7370, 4, FALSE), "")</f>
        <v>8.2</v>
      </c>
      <c r="E911" s="2">
        <f>IF(A911&lt;&gt;"", VLOOKUP(A911, imdb_netflix_v5!A$2:H$7370, 5, FALSE), "")</f>
        <v>2009</v>
      </c>
      <c r="F911" s="2" t="str">
        <f>IF(A911&lt;&gt;"", VLOOKUP(A911, imdb_netflix_v5!A$2:H$7370, 7, FALSE), "")</f>
        <v>NA</v>
      </c>
    </row>
    <row r="912" ht="15.75" customHeight="1">
      <c r="A912" s="1" t="str">
        <f>IFERROR(__xludf.DUMMYFUNCTION("""COMPUTED_VALUE"""),"forever")</f>
        <v>forever</v>
      </c>
      <c r="B912" s="1" t="str">
        <f>IF(A912&lt;&gt;"", VLOOKUP(A912, imdb_netflix_v5!A$2:H$7370, 2, FALSE), "")</f>
        <v>TV Show</v>
      </c>
      <c r="C912" s="2" t="str">
        <f>IF(A912&lt;&gt;"", VLOOKUP(A912, imdb_netflix_v5!A$2:H$7370, 3, FALSE), "")</f>
        <v>Crime, Drama, Fantasy</v>
      </c>
      <c r="D912" s="2">
        <f>IF(A912&lt;&gt;"", VLOOKUP(A912, imdb_netflix_v5!A$2:H$7370, 4, FALSE), "")</f>
        <v>8.2</v>
      </c>
      <c r="E912" s="2">
        <f>IF(A912&lt;&gt;"", VLOOKUP(A912, imdb_netflix_v5!A$2:H$7370, 5, FALSE), "")</f>
        <v>2014</v>
      </c>
      <c r="F912" s="2" t="str">
        <f>IF(A912&lt;&gt;"", VLOOKUP(A912, imdb_netflix_v5!A$2:H$7370, 7, FALSE), "")</f>
        <v>NA</v>
      </c>
    </row>
    <row r="913" ht="15.75" customHeight="1">
      <c r="A913" s="1" t="str">
        <f>IFERROR(__xludf.DUMMYFUNCTION("""COMPUTED_VALUE"""),"sherlock jr.")</f>
        <v>sherlock jr.</v>
      </c>
      <c r="B913" s="1" t="str">
        <f>IF(A913&lt;&gt;"", VLOOKUP(A913, imdb_netflix_v5!A$2:H$7370, 2, FALSE), "")</f>
        <v>Movie</v>
      </c>
      <c r="C913" s="2" t="str">
        <f>IF(A913&lt;&gt;"", VLOOKUP(A913, imdb_netflix_v5!A$2:H$7370, 3, FALSE), "")</f>
        <v>Action, Comedy, Romance</v>
      </c>
      <c r="D913" s="2">
        <f>IF(A913&lt;&gt;"", VLOOKUP(A913, imdb_netflix_v5!A$2:H$7370, 4, FALSE), "")</f>
        <v>8.2</v>
      </c>
      <c r="E913" s="2">
        <f>IF(A913&lt;&gt;"", VLOOKUP(A913, imdb_netflix_v5!A$2:H$7370, 5, FALSE), "")</f>
        <v>1924</v>
      </c>
      <c r="F913" s="2" t="str">
        <f>IF(A913&lt;&gt;"", VLOOKUP(A913, imdb_netflix_v5!A$2:H$7370, 7, FALSE), "")</f>
        <v>NA</v>
      </c>
    </row>
    <row r="914" ht="15.75" customHeight="1">
      <c r="A914" s="1" t="str">
        <f>IFERROR(__xludf.DUMMYFUNCTION("""COMPUTED_VALUE"""),"grace and frankie")</f>
        <v>grace and frankie</v>
      </c>
      <c r="B914" s="1" t="str">
        <f>IF(A914&lt;&gt;"", VLOOKUP(A914, imdb_netflix_v5!A$2:H$7370, 2, FALSE), "")</f>
        <v>TV Show</v>
      </c>
      <c r="C914" s="2" t="str">
        <f>IF(A914&lt;&gt;"", VLOOKUP(A914, imdb_netflix_v5!A$2:H$7370, 3, FALSE), "")</f>
        <v>Comedy</v>
      </c>
      <c r="D914" s="2">
        <f>IF(A914&lt;&gt;"", VLOOKUP(A914, imdb_netflix_v5!A$2:H$7370, 4, FALSE), "")</f>
        <v>8.2</v>
      </c>
      <c r="E914" s="2">
        <f>IF(A914&lt;&gt;"", VLOOKUP(A914, imdb_netflix_v5!A$2:H$7370, 5, FALSE), "")</f>
        <v>2015</v>
      </c>
      <c r="F914" s="2">
        <f>IF(A914&lt;&gt;"", VLOOKUP(A914, imdb_netflix_v5!A$2:H$7370, 7, FALSE), "")</f>
        <v>12260000</v>
      </c>
    </row>
    <row r="915" ht="15.75" customHeight="1">
      <c r="A915" s="1" t="str">
        <f>IFERROR(__xludf.DUMMYFUNCTION("""COMPUTED_VALUE"""),"miracle in cell no. 7")</f>
        <v>miracle in cell no. 7</v>
      </c>
      <c r="B915" s="1" t="str">
        <f>IF(A915&lt;&gt;"", VLOOKUP(A915, imdb_netflix_v5!A$2:H$7370, 2, FALSE), "")</f>
        <v>Movie</v>
      </c>
      <c r="C915" s="2" t="str">
        <f>IF(A915&lt;&gt;"", VLOOKUP(A915, imdb_netflix_v5!A$2:H$7370, 3, FALSE), "")</f>
        <v>Drama</v>
      </c>
      <c r="D915" s="2">
        <f>IF(A915&lt;&gt;"", VLOOKUP(A915, imdb_netflix_v5!A$2:H$7370, 4, FALSE), "")</f>
        <v>8.2</v>
      </c>
      <c r="E915" s="2">
        <f>IF(A915&lt;&gt;"", VLOOKUP(A915, imdb_netflix_v5!A$2:H$7370, 5, FALSE), "")</f>
        <v>2019</v>
      </c>
      <c r="F915" s="2" t="str">
        <f>IF(A915&lt;&gt;"", VLOOKUP(A915, imdb_netflix_v5!A$2:H$7370, 7, FALSE), "")</f>
        <v>NA</v>
      </c>
    </row>
    <row r="916" ht="15.75" customHeight="1">
      <c r="A916" s="1" t="str">
        <f>IFERROR(__xludf.DUMMYFUNCTION("""COMPUTED_VALUE"""),"mayor of kingstown")</f>
        <v>mayor of kingstown</v>
      </c>
      <c r="B916" s="1" t="str">
        <f>IF(A916&lt;&gt;"", VLOOKUP(A916, imdb_netflix_v5!A$2:H$7370, 2, FALSE), "")</f>
        <v>TV Show</v>
      </c>
      <c r="C916" s="2" t="str">
        <f>IF(A916&lt;&gt;"", VLOOKUP(A916, imdb_netflix_v5!A$2:H$7370, 3, FALSE), "")</f>
        <v>Crime, Drama, Thriller</v>
      </c>
      <c r="D916" s="2">
        <f>IF(A916&lt;&gt;"", VLOOKUP(A916, imdb_netflix_v5!A$2:H$7370, 4, FALSE), "")</f>
        <v>8.2</v>
      </c>
      <c r="E916" s="2">
        <f>IF(A916&lt;&gt;"", VLOOKUP(A916, imdb_netflix_v5!A$2:H$7370, 5, FALSE), "")</f>
        <v>2021</v>
      </c>
      <c r="F916" s="2" t="str">
        <f>IF(A916&lt;&gt;"", VLOOKUP(A916, imdb_netflix_v5!A$2:H$7370, 7, FALSE), "")</f>
        <v>NA</v>
      </c>
    </row>
    <row r="917" ht="15.75" customHeight="1">
      <c r="A917" s="1" t="str">
        <f>IFERROR(__xludf.DUMMYFUNCTION("""COMPUTED_VALUE"""),"the league")</f>
        <v>the league</v>
      </c>
      <c r="B917" s="1" t="str">
        <f>IF(A917&lt;&gt;"", VLOOKUP(A917, imdb_netflix_v5!A$2:H$7370, 2, FALSE), "")</f>
        <v>TV Show</v>
      </c>
      <c r="C917" s="2" t="str">
        <f>IF(A917&lt;&gt;"", VLOOKUP(A917, imdb_netflix_v5!A$2:H$7370, 3, FALSE), "")</f>
        <v>Comedy, Sport</v>
      </c>
      <c r="D917" s="2">
        <f>IF(A917&lt;&gt;"", VLOOKUP(A917, imdb_netflix_v5!A$2:H$7370, 4, FALSE), "")</f>
        <v>8.2</v>
      </c>
      <c r="E917" s="2">
        <f>IF(A917&lt;&gt;"", VLOOKUP(A917, imdb_netflix_v5!A$2:H$7370, 5, FALSE), "")</f>
        <v>2009</v>
      </c>
      <c r="F917" s="2" t="str">
        <f>IF(A917&lt;&gt;"", VLOOKUP(A917, imdb_netflix_v5!A$2:H$7370, 7, FALSE), "")</f>
        <v>NA</v>
      </c>
    </row>
    <row r="918" ht="15.75" customHeight="1">
      <c r="A918" s="1" t="str">
        <f>IFERROR(__xludf.DUMMYFUNCTION("""COMPUTED_VALUE"""),"vikram vedha")</f>
        <v>vikram vedha</v>
      </c>
      <c r="B918" s="1" t="str">
        <f>IF(A918&lt;&gt;"", VLOOKUP(A918, imdb_netflix_v5!A$2:H$7370, 2, FALSE), "")</f>
        <v>Movie</v>
      </c>
      <c r="C918" s="2" t="str">
        <f>IF(A918&lt;&gt;"", VLOOKUP(A918, imdb_netflix_v5!A$2:H$7370, 3, FALSE), "")</f>
        <v>Action, Crime, Drama</v>
      </c>
      <c r="D918" s="2">
        <f>IF(A918&lt;&gt;"", VLOOKUP(A918, imdb_netflix_v5!A$2:H$7370, 4, FALSE), "")</f>
        <v>8.2</v>
      </c>
      <c r="E918" s="2">
        <f>IF(A918&lt;&gt;"", VLOOKUP(A918, imdb_netflix_v5!A$2:H$7370, 5, FALSE), "")</f>
        <v>2017</v>
      </c>
      <c r="F918" s="2" t="str">
        <f>IF(A918&lt;&gt;"", VLOOKUP(A918, imdb_netflix_v5!A$2:H$7370, 7, FALSE), "")</f>
        <v>NA</v>
      </c>
    </row>
    <row r="919" ht="15.75" customHeight="1">
      <c r="A919" s="1" t="str">
        <f>IFERROR(__xludf.DUMMYFUNCTION("""COMPUTED_VALUE"""),"the promised neverland")</f>
        <v>the promised neverland</v>
      </c>
      <c r="B919" s="1" t="str">
        <f>IF(A919&lt;&gt;"", VLOOKUP(A919, imdb_netflix_v5!A$2:H$7370, 2, FALSE), "")</f>
        <v>TV Show</v>
      </c>
      <c r="C919" s="2" t="str">
        <f>IF(A919&lt;&gt;"", VLOOKUP(A919, imdb_netflix_v5!A$2:H$7370, 3, FALSE), "")</f>
        <v>Action, Adventure, Animation</v>
      </c>
      <c r="D919" s="2">
        <f>IF(A919&lt;&gt;"", VLOOKUP(A919, imdb_netflix_v5!A$2:H$7370, 4, FALSE), "")</f>
        <v>8.2</v>
      </c>
      <c r="E919" s="2">
        <f>IF(A919&lt;&gt;"", VLOOKUP(A919, imdb_netflix_v5!A$2:H$7370, 5, FALSE), "")</f>
        <v>2019</v>
      </c>
      <c r="F919" s="2" t="str">
        <f>IF(A919&lt;&gt;"", VLOOKUP(A919, imdb_netflix_v5!A$2:H$7370, 7, FALSE), "")</f>
        <v>NA</v>
      </c>
    </row>
    <row r="920" ht="15.75" customHeight="1">
      <c r="A920" s="1" t="str">
        <f>IFERROR(__xludf.DUMMYFUNCTION("""COMPUTED_VALUE"""),"final space")</f>
        <v>final space</v>
      </c>
      <c r="B920" s="1" t="str">
        <f>IF(A920&lt;&gt;"", VLOOKUP(A920, imdb_netflix_v5!A$2:H$7370, 2, FALSE), "")</f>
        <v>TV Show</v>
      </c>
      <c r="C920" s="2" t="str">
        <f>IF(A920&lt;&gt;"", VLOOKUP(A920, imdb_netflix_v5!A$2:H$7370, 3, FALSE), "")</f>
        <v>Action, Adventure, Animation</v>
      </c>
      <c r="D920" s="2">
        <f>IF(A920&lt;&gt;"", VLOOKUP(A920, imdb_netflix_v5!A$2:H$7370, 4, FALSE), "")</f>
        <v>8.2</v>
      </c>
      <c r="E920" s="2">
        <f>IF(A920&lt;&gt;"", VLOOKUP(A920, imdb_netflix_v5!A$2:H$7370, 5, FALSE), "")</f>
        <v>2018</v>
      </c>
      <c r="F920" s="2" t="str">
        <f>IF(A920&lt;&gt;"", VLOOKUP(A920, imdb_netflix_v5!A$2:H$7370, 7, FALSE), "")</f>
        <v>NA</v>
      </c>
    </row>
    <row r="921" ht="15.75" customHeight="1">
      <c r="A921" s="1" t="str">
        <f>IFERROR(__xludf.DUMMYFUNCTION("""COMPUTED_VALUE"""),"the golden girls")</f>
        <v>the golden girls</v>
      </c>
      <c r="B921" s="1" t="str">
        <f>IF(A921&lt;&gt;"", VLOOKUP(A921, imdb_netflix_v5!A$2:H$7370, 2, FALSE), "")</f>
        <v>TV Show</v>
      </c>
      <c r="C921" s="2" t="str">
        <f>IF(A921&lt;&gt;"", VLOOKUP(A921, imdb_netflix_v5!A$2:H$7370, 3, FALSE), "")</f>
        <v>Comedy, Drama</v>
      </c>
      <c r="D921" s="2">
        <f>IF(A921&lt;&gt;"", VLOOKUP(A921, imdb_netflix_v5!A$2:H$7370, 4, FALSE), "")</f>
        <v>8.2</v>
      </c>
      <c r="E921" s="2">
        <f>IF(A921&lt;&gt;"", VLOOKUP(A921, imdb_netflix_v5!A$2:H$7370, 5, FALSE), "")</f>
        <v>1985</v>
      </c>
      <c r="F921" s="2" t="str">
        <f>IF(A921&lt;&gt;"", VLOOKUP(A921, imdb_netflix_v5!A$2:H$7370, 7, FALSE), "")</f>
        <v>NA</v>
      </c>
    </row>
    <row r="922" ht="15.75" customHeight="1">
      <c r="A922" s="1" t="str">
        <f>IFERROR(__xludf.DUMMYFUNCTION("""COMPUTED_VALUE"""),"jury duty")</f>
        <v>jury duty</v>
      </c>
      <c r="B922" s="1" t="str">
        <f>IF(A922&lt;&gt;"", VLOOKUP(A922, imdb_netflix_v5!A$2:H$7370, 2, FALSE), "")</f>
        <v>TV Show</v>
      </c>
      <c r="C922" s="2" t="str">
        <f>IF(A922&lt;&gt;"", VLOOKUP(A922, imdb_netflix_v5!A$2:H$7370, 3, FALSE), "")</f>
        <v>Comedy</v>
      </c>
      <c r="D922" s="2">
        <f>IF(A922&lt;&gt;"", VLOOKUP(A922, imdb_netflix_v5!A$2:H$7370, 4, FALSE), "")</f>
        <v>8.2</v>
      </c>
      <c r="E922" s="2">
        <f>IF(A922&lt;&gt;"", VLOOKUP(A922, imdb_netflix_v5!A$2:H$7370, 5, FALSE), "")</f>
        <v>2023</v>
      </c>
      <c r="F922" s="2" t="str">
        <f>IF(A922&lt;&gt;"", VLOOKUP(A922, imdb_netflix_v5!A$2:H$7370, 7, FALSE), "")</f>
        <v>NA</v>
      </c>
    </row>
    <row r="923" ht="15.75" customHeight="1">
      <c r="A923" s="1" t="str">
        <f>IFERROR(__xludf.DUMMYFUNCTION("""COMPUTED_VALUE"""),"hacks")</f>
        <v>hacks</v>
      </c>
      <c r="B923" s="1" t="str">
        <f>IF(A923&lt;&gt;"", VLOOKUP(A923, imdb_netflix_v5!A$2:H$7370, 2, FALSE), "")</f>
        <v>TV Show</v>
      </c>
      <c r="C923" s="2" t="str">
        <f>IF(A923&lt;&gt;"", VLOOKUP(A923, imdb_netflix_v5!A$2:H$7370, 3, FALSE), "")</f>
        <v>Comedy, Drama</v>
      </c>
      <c r="D923" s="2">
        <f>IF(A923&lt;&gt;"", VLOOKUP(A923, imdb_netflix_v5!A$2:H$7370, 4, FALSE), "")</f>
        <v>8.2</v>
      </c>
      <c r="E923" s="2">
        <f>IF(A923&lt;&gt;"", VLOOKUP(A923, imdb_netflix_v5!A$2:H$7370, 5, FALSE), "")</f>
        <v>2021</v>
      </c>
      <c r="F923" s="2" t="str">
        <f>IF(A923&lt;&gt;"", VLOOKUP(A923, imdb_netflix_v5!A$2:H$7370, 7, FALSE), "")</f>
        <v>NA</v>
      </c>
    </row>
    <row r="924" ht="15.75" customHeight="1">
      <c r="A924" s="1" t="str">
        <f>IFERROR(__xludf.DUMMYFUNCTION("""COMPUTED_VALUE"""),"young royals")</f>
        <v>young royals</v>
      </c>
      <c r="B924" s="1" t="str">
        <f>IF(A924&lt;&gt;"", VLOOKUP(A924, imdb_netflix_v5!A$2:H$7370, 2, FALSE), "")</f>
        <v>TV Show</v>
      </c>
      <c r="C924" s="2" t="str">
        <f>IF(A924&lt;&gt;"", VLOOKUP(A924, imdb_netflix_v5!A$2:H$7370, 3, FALSE), "")</f>
        <v>Drama, Romance</v>
      </c>
      <c r="D924" s="2">
        <f>IF(A924&lt;&gt;"", VLOOKUP(A924, imdb_netflix_v5!A$2:H$7370, 4, FALSE), "")</f>
        <v>8.2</v>
      </c>
      <c r="E924" s="2">
        <f>IF(A924&lt;&gt;"", VLOOKUP(A924, imdb_netflix_v5!A$2:H$7370, 5, FALSE), "")</f>
        <v>2021</v>
      </c>
      <c r="F924" s="2">
        <f>IF(A924&lt;&gt;"", VLOOKUP(A924, imdb_netflix_v5!A$2:H$7370, 7, FALSE), "")</f>
        <v>6290000</v>
      </c>
    </row>
    <row r="925" ht="15.75" customHeight="1">
      <c r="A925" s="1" t="str">
        <f>IFERROR(__xludf.DUMMYFUNCTION("""COMPUTED_VALUE"""),"lessons in chemistry")</f>
        <v>lessons in chemistry</v>
      </c>
      <c r="B925" s="1" t="str">
        <f>IF(A925&lt;&gt;"", VLOOKUP(A925, imdb_netflix_v5!A$2:H$7370, 2, FALSE), "")</f>
        <v>TV Show</v>
      </c>
      <c r="C925" s="2" t="str">
        <f>IF(A925&lt;&gt;"", VLOOKUP(A925, imdb_netflix_v5!A$2:H$7370, 3, FALSE), "")</f>
        <v>Drama</v>
      </c>
      <c r="D925" s="2">
        <f>IF(A925&lt;&gt;"", VLOOKUP(A925, imdb_netflix_v5!A$2:H$7370, 4, FALSE), "")</f>
        <v>8.2</v>
      </c>
      <c r="E925" s="2">
        <f>IF(A925&lt;&gt;"", VLOOKUP(A925, imdb_netflix_v5!A$2:H$7370, 5, FALSE), "")</f>
        <v>2023</v>
      </c>
      <c r="F925" s="2" t="str">
        <f>IF(A925&lt;&gt;"", VLOOKUP(A925, imdb_netflix_v5!A$2:H$7370, 7, FALSE), "")</f>
        <v>NA</v>
      </c>
    </row>
    <row r="926" ht="15.75" customHeight="1">
      <c r="A926" s="1" t="str">
        <f>IFERROR(__xludf.DUMMYFUNCTION("""COMPUTED_VALUE"""),"animal kingdom")</f>
        <v>animal kingdom</v>
      </c>
      <c r="B926" s="1" t="str">
        <f>IF(A926&lt;&gt;"", VLOOKUP(A926, imdb_netflix_v5!A$2:H$7370, 2, FALSE), "")</f>
        <v>TV Show</v>
      </c>
      <c r="C926" s="2" t="str">
        <f>IF(A926&lt;&gt;"", VLOOKUP(A926, imdb_netflix_v5!A$2:H$7370, 3, FALSE), "")</f>
        <v>Crime, Drama</v>
      </c>
      <c r="D926" s="2">
        <f>IF(A926&lt;&gt;"", VLOOKUP(A926, imdb_netflix_v5!A$2:H$7370, 4, FALSE), "")</f>
        <v>8.2</v>
      </c>
      <c r="E926" s="2">
        <f>IF(A926&lt;&gt;"", VLOOKUP(A926, imdb_netflix_v5!A$2:H$7370, 5, FALSE), "")</f>
        <v>2016</v>
      </c>
      <c r="F926" s="2" t="str">
        <f>IF(A926&lt;&gt;"", VLOOKUP(A926, imdb_netflix_v5!A$2:H$7370, 7, FALSE), "")</f>
        <v>NA</v>
      </c>
    </row>
    <row r="927" ht="15.75" customHeight="1">
      <c r="A927" s="1" t="str">
        <f>IFERROR(__xludf.DUMMYFUNCTION("""COMPUTED_VALUE"""),"the kominsky method")</f>
        <v>the kominsky method</v>
      </c>
      <c r="B927" s="1" t="str">
        <f>IF(A927&lt;&gt;"", VLOOKUP(A927, imdb_netflix_v5!A$2:H$7370, 2, FALSE), "")</f>
        <v>TV Show</v>
      </c>
      <c r="C927" s="2" t="str">
        <f>IF(A927&lt;&gt;"", VLOOKUP(A927, imdb_netflix_v5!A$2:H$7370, 3, FALSE), "")</f>
        <v>Comedy, Drama</v>
      </c>
      <c r="D927" s="2">
        <f>IF(A927&lt;&gt;"", VLOOKUP(A927, imdb_netflix_v5!A$2:H$7370, 4, FALSE), "")</f>
        <v>8.2</v>
      </c>
      <c r="E927" s="2">
        <f>IF(A927&lt;&gt;"", VLOOKUP(A927, imdb_netflix_v5!A$2:H$7370, 5, FALSE), "")</f>
        <v>2018</v>
      </c>
      <c r="F927" s="2" t="str">
        <f>IF(A927&lt;&gt;"", VLOOKUP(A927, imdb_netflix_v5!A$2:H$7370, 7, FALSE), "")</f>
        <v>NA</v>
      </c>
    </row>
    <row r="928" ht="15.75" customHeight="1">
      <c r="A928" s="1" t="str">
        <f>IFERROR(__xludf.DUMMYFUNCTION("""COMPUTED_VALUE"""),"ayla the daughter of war")</f>
        <v>ayla the daughter of war</v>
      </c>
      <c r="B928" s="1" t="str">
        <f>IF(A928&lt;&gt;"", VLOOKUP(A928, imdb_netflix_v5!A$2:H$7370, 2, FALSE), "")</f>
        <v>Movie</v>
      </c>
      <c r="C928" s="2" t="str">
        <f>IF(A928&lt;&gt;"", VLOOKUP(A928, imdb_netflix_v5!A$2:H$7370, 3, FALSE), "")</f>
        <v>Biography, Drama, History</v>
      </c>
      <c r="D928" s="2">
        <f>IF(A928&lt;&gt;"", VLOOKUP(A928, imdb_netflix_v5!A$2:H$7370, 4, FALSE), "")</f>
        <v>8.2</v>
      </c>
      <c r="E928" s="2">
        <f>IF(A928&lt;&gt;"", VLOOKUP(A928, imdb_netflix_v5!A$2:H$7370, 5, FALSE), "")</f>
        <v>2017</v>
      </c>
      <c r="F928" s="2" t="str">
        <f>IF(A928&lt;&gt;"", VLOOKUP(A928, imdb_netflix_v5!A$2:H$7370, 7, FALSE), "")</f>
        <v>NA</v>
      </c>
    </row>
    <row r="929" ht="15.75" customHeight="1">
      <c r="A929" s="1" t="str">
        <f>IFERROR(__xludf.DUMMYFUNCTION("""COMPUTED_VALUE"""),"koyaanisqatsi")</f>
        <v>koyaanisqatsi</v>
      </c>
      <c r="B929" s="1" t="str">
        <f>IF(A929&lt;&gt;"", VLOOKUP(A929, imdb_netflix_v5!A$2:H$7370, 2, FALSE), "")</f>
        <v>Movie</v>
      </c>
      <c r="C929" s="2" t="str">
        <f>IF(A929&lt;&gt;"", VLOOKUP(A929, imdb_netflix_v5!A$2:H$7370, 3, FALSE), "")</f>
        <v>Documentary, Music</v>
      </c>
      <c r="D929" s="2">
        <f>IF(A929&lt;&gt;"", VLOOKUP(A929, imdb_netflix_v5!A$2:H$7370, 4, FALSE), "")</f>
        <v>8.2</v>
      </c>
      <c r="E929" s="2">
        <f>IF(A929&lt;&gt;"", VLOOKUP(A929, imdb_netflix_v5!A$2:H$7370, 5, FALSE), "")</f>
        <v>1982</v>
      </c>
      <c r="F929" s="2" t="str">
        <f>IF(A929&lt;&gt;"", VLOOKUP(A929, imdb_netflix_v5!A$2:H$7370, 7, FALSE), "")</f>
        <v>NA</v>
      </c>
    </row>
    <row r="930" ht="15.75" customHeight="1">
      <c r="A930" s="1" t="str">
        <f>IFERROR(__xludf.DUMMYFUNCTION("""COMPUTED_VALUE"""),"the act of killing")</f>
        <v>the act of killing</v>
      </c>
      <c r="B930" s="1" t="str">
        <f>IF(A930&lt;&gt;"", VLOOKUP(A930, imdb_netflix_v5!A$2:H$7370, 2, FALSE), "")</f>
        <v>Movie</v>
      </c>
      <c r="C930" s="2" t="str">
        <f>IF(A930&lt;&gt;"", VLOOKUP(A930, imdb_netflix_v5!A$2:H$7370, 3, FALSE), "")</f>
        <v>Biography, Crime, Documentary</v>
      </c>
      <c r="D930" s="2">
        <f>IF(A930&lt;&gt;"", VLOOKUP(A930, imdb_netflix_v5!A$2:H$7370, 4, FALSE), "")</f>
        <v>8.2</v>
      </c>
      <c r="E930" s="2">
        <f>IF(A930&lt;&gt;"", VLOOKUP(A930, imdb_netflix_v5!A$2:H$7370, 5, FALSE), "")</f>
        <v>2012</v>
      </c>
      <c r="F930" s="2" t="str">
        <f>IF(A930&lt;&gt;"", VLOOKUP(A930, imdb_netflix_v5!A$2:H$7370, 7, FALSE), "")</f>
        <v>NA</v>
      </c>
    </row>
    <row r="931" ht="15.75" customHeight="1">
      <c r="A931" s="1" t="str">
        <f>IFERROR(__xludf.DUMMYFUNCTION("""COMPUTED_VALUE"""),"steven universe")</f>
        <v>steven universe</v>
      </c>
      <c r="B931" s="1" t="str">
        <f>IF(A931&lt;&gt;"", VLOOKUP(A931, imdb_netflix_v5!A$2:H$7370, 2, FALSE), "")</f>
        <v>TV Show</v>
      </c>
      <c r="C931" s="2" t="str">
        <f>IF(A931&lt;&gt;"", VLOOKUP(A931, imdb_netflix_v5!A$2:H$7370, 3, FALSE), "")</f>
        <v>Action, Adventure, Animation</v>
      </c>
      <c r="D931" s="2">
        <f>IF(A931&lt;&gt;"", VLOOKUP(A931, imdb_netflix_v5!A$2:H$7370, 4, FALSE), "")</f>
        <v>8.2</v>
      </c>
      <c r="E931" s="2">
        <f>IF(A931&lt;&gt;"", VLOOKUP(A931, imdb_netflix_v5!A$2:H$7370, 5, FALSE), "")</f>
        <v>2013</v>
      </c>
      <c r="F931" s="2" t="str">
        <f>IF(A931&lt;&gt;"", VLOOKUP(A931, imdb_netflix_v5!A$2:H$7370, 7, FALSE), "")</f>
        <v>NA</v>
      </c>
    </row>
    <row r="932" ht="15.75" customHeight="1">
      <c r="A932" s="1" t="str">
        <f>IFERROR(__xludf.DUMMYFUNCTION("""COMPUTED_VALUE"""),"abbott elementary")</f>
        <v>abbott elementary</v>
      </c>
      <c r="B932" s="1" t="str">
        <f>IF(A932&lt;&gt;"", VLOOKUP(A932, imdb_netflix_v5!A$2:H$7370, 2, FALSE), "")</f>
        <v>TV Show</v>
      </c>
      <c r="C932" s="2" t="str">
        <f>IF(A932&lt;&gt;"", VLOOKUP(A932, imdb_netflix_v5!A$2:H$7370, 3, FALSE), "")</f>
        <v>Comedy</v>
      </c>
      <c r="D932" s="2">
        <f>IF(A932&lt;&gt;"", VLOOKUP(A932, imdb_netflix_v5!A$2:H$7370, 4, FALSE), "")</f>
        <v>8.2</v>
      </c>
      <c r="E932" s="2">
        <f>IF(A932&lt;&gt;"", VLOOKUP(A932, imdb_netflix_v5!A$2:H$7370, 5, FALSE), "")</f>
        <v>2021</v>
      </c>
      <c r="F932" s="2" t="str">
        <f>IF(A932&lt;&gt;"", VLOOKUP(A932, imdb_netflix_v5!A$2:H$7370, 7, FALSE), "")</f>
        <v>NA</v>
      </c>
    </row>
    <row r="933" ht="15.75" customHeight="1">
      <c r="A933" s="1" t="str">
        <f>IFERROR(__xludf.DUMMYFUNCTION("""COMPUTED_VALUE"""),"pather panchali")</f>
        <v>pather panchali</v>
      </c>
      <c r="B933" s="1" t="str">
        <f>IF(A933&lt;&gt;"", VLOOKUP(A933, imdb_netflix_v5!A$2:H$7370, 2, FALSE), "")</f>
        <v>Movie</v>
      </c>
      <c r="C933" s="2" t="str">
        <f>IF(A933&lt;&gt;"", VLOOKUP(A933, imdb_netflix_v5!A$2:H$7370, 3, FALSE), "")</f>
        <v>Drama</v>
      </c>
      <c r="D933" s="2">
        <f>IF(A933&lt;&gt;"", VLOOKUP(A933, imdb_netflix_v5!A$2:H$7370, 4, FALSE), "")</f>
        <v>8.2</v>
      </c>
      <c r="E933" s="2">
        <f>IF(A933&lt;&gt;"", VLOOKUP(A933, imdb_netflix_v5!A$2:H$7370, 5, FALSE), "")</f>
        <v>1955</v>
      </c>
      <c r="F933" s="2" t="str">
        <f>IF(A933&lt;&gt;"", VLOOKUP(A933, imdb_netflix_v5!A$2:H$7370, 7, FALSE), "")</f>
        <v>NA</v>
      </c>
    </row>
    <row r="934" ht="15.75" customHeight="1">
      <c r="A934" s="1" t="str">
        <f>IFERROR(__xludf.DUMMYFUNCTION("""COMPUTED_VALUE"""),"they shall not grow old")</f>
        <v>they shall not grow old</v>
      </c>
      <c r="B934" s="1" t="str">
        <f>IF(A934&lt;&gt;"", VLOOKUP(A934, imdb_netflix_v5!A$2:H$7370, 2, FALSE), "")</f>
        <v>Movie</v>
      </c>
      <c r="C934" s="2" t="str">
        <f>IF(A934&lt;&gt;"", VLOOKUP(A934, imdb_netflix_v5!A$2:H$7370, 3, FALSE), "")</f>
        <v>Documentary, History, War</v>
      </c>
      <c r="D934" s="2">
        <f>IF(A934&lt;&gt;"", VLOOKUP(A934, imdb_netflix_v5!A$2:H$7370, 4, FALSE), "")</f>
        <v>8.2</v>
      </c>
      <c r="E934" s="2">
        <f>IF(A934&lt;&gt;"", VLOOKUP(A934, imdb_netflix_v5!A$2:H$7370, 5, FALSE), "")</f>
        <v>2018</v>
      </c>
      <c r="F934" s="2" t="str">
        <f>IF(A934&lt;&gt;"", VLOOKUP(A934, imdb_netflix_v5!A$2:H$7370, 7, FALSE), "")</f>
        <v>NA</v>
      </c>
    </row>
    <row r="935" ht="15.75" customHeight="1">
      <c r="A935" s="1" t="str">
        <f>IFERROR(__xludf.DUMMYFUNCTION("""COMPUTED_VALUE"""),"black clover")</f>
        <v>black clover</v>
      </c>
      <c r="B935" s="1" t="str">
        <f>IF(A935&lt;&gt;"", VLOOKUP(A935, imdb_netflix_v5!A$2:H$7370, 2, FALSE), "")</f>
        <v>TV Show</v>
      </c>
      <c r="C935" s="2" t="str">
        <f>IF(A935&lt;&gt;"", VLOOKUP(A935, imdb_netflix_v5!A$2:H$7370, 3, FALSE), "")</f>
        <v>Action, Adventure, Animation</v>
      </c>
      <c r="D935" s="2">
        <f>IF(A935&lt;&gt;"", VLOOKUP(A935, imdb_netflix_v5!A$2:H$7370, 4, FALSE), "")</f>
        <v>8.2</v>
      </c>
      <c r="E935" s="2">
        <f>IF(A935&lt;&gt;"", VLOOKUP(A935, imdb_netflix_v5!A$2:H$7370, 5, FALSE), "")</f>
        <v>2017</v>
      </c>
      <c r="F935" s="2" t="str">
        <f>IF(A935&lt;&gt;"", VLOOKUP(A935, imdb_netflix_v5!A$2:H$7370, 7, FALSE), "")</f>
        <v>NA</v>
      </c>
    </row>
    <row r="936" ht="15.75" customHeight="1">
      <c r="A936" s="1" t="str">
        <f>IFERROR(__xludf.DUMMYFUNCTION("""COMPUTED_VALUE"""),"paan singh tomar")</f>
        <v>paan singh tomar</v>
      </c>
      <c r="B936" s="1" t="str">
        <f>IF(A936&lt;&gt;"", VLOOKUP(A936, imdb_netflix_v5!A$2:H$7370, 2, FALSE), "")</f>
        <v>Movie</v>
      </c>
      <c r="C936" s="2" t="str">
        <f>IF(A936&lt;&gt;"", VLOOKUP(A936, imdb_netflix_v5!A$2:H$7370, 3, FALSE), "")</f>
        <v>Action, Biography, Crime</v>
      </c>
      <c r="D936" s="2">
        <f>IF(A936&lt;&gt;"", VLOOKUP(A936, imdb_netflix_v5!A$2:H$7370, 4, FALSE), "")</f>
        <v>8.2</v>
      </c>
      <c r="E936" s="2">
        <f>IF(A936&lt;&gt;"", VLOOKUP(A936, imdb_netflix_v5!A$2:H$7370, 5, FALSE), "")</f>
        <v>2012</v>
      </c>
      <c r="F936" s="2" t="str">
        <f>IF(A936&lt;&gt;"", VLOOKUP(A936, imdb_netflix_v5!A$2:H$7370, 7, FALSE), "")</f>
        <v>NA</v>
      </c>
    </row>
    <row r="937" ht="15.75" customHeight="1">
      <c r="A937" s="1" t="str">
        <f>IFERROR(__xludf.DUMMYFUNCTION("""COMPUTED_VALUE"""),"13th")</f>
        <v>13th</v>
      </c>
      <c r="B937" s="1" t="str">
        <f>IF(A937&lt;&gt;"", VLOOKUP(A937, imdb_netflix_v5!A$2:H$7370, 2, FALSE), "")</f>
        <v>Movie</v>
      </c>
      <c r="C937" s="2" t="str">
        <f>IF(A937&lt;&gt;"", VLOOKUP(A937, imdb_netflix_v5!A$2:H$7370, 3, FALSE), "")</f>
        <v>Crime, Documentary, History</v>
      </c>
      <c r="D937" s="2">
        <f>IF(A937&lt;&gt;"", VLOOKUP(A937, imdb_netflix_v5!A$2:H$7370, 4, FALSE), "")</f>
        <v>8.2</v>
      </c>
      <c r="E937" s="2">
        <f>IF(A937&lt;&gt;"", VLOOKUP(A937, imdb_netflix_v5!A$2:H$7370, 5, FALSE), "")</f>
        <v>2016</v>
      </c>
      <c r="F937" s="2" t="str">
        <f>IF(A937&lt;&gt;"", VLOOKUP(A937, imdb_netflix_v5!A$2:H$7370, 7, FALSE), "")</f>
        <v>NA</v>
      </c>
    </row>
    <row r="938" ht="15.75" customHeight="1">
      <c r="A938" s="1" t="str">
        <f>IFERROR(__xludf.DUMMYFUNCTION("""COMPUTED_VALUE"""),"party down")</f>
        <v>party down</v>
      </c>
      <c r="B938" s="1" t="str">
        <f>IF(A938&lt;&gt;"", VLOOKUP(A938, imdb_netflix_v5!A$2:H$7370, 2, FALSE), "")</f>
        <v>TV Show</v>
      </c>
      <c r="C938" s="2" t="str">
        <f>IF(A938&lt;&gt;"", VLOOKUP(A938, imdb_netflix_v5!A$2:H$7370, 3, FALSE), "")</f>
        <v>Comedy, Drama</v>
      </c>
      <c r="D938" s="2">
        <f>IF(A938&lt;&gt;"", VLOOKUP(A938, imdb_netflix_v5!A$2:H$7370, 4, FALSE), "")</f>
        <v>8.2</v>
      </c>
      <c r="E938" s="2">
        <f>IF(A938&lt;&gt;"", VLOOKUP(A938, imdb_netflix_v5!A$2:H$7370, 5, FALSE), "")</f>
        <v>2009</v>
      </c>
      <c r="F938" s="2" t="str">
        <f>IF(A938&lt;&gt;"", VLOOKUP(A938, imdb_netflix_v5!A$2:H$7370, 7, FALSE), "")</f>
        <v>NA</v>
      </c>
    </row>
    <row r="939" ht="15.75" customHeight="1">
      <c r="A939" s="1" t="str">
        <f>IFERROR(__xludf.DUMMYFUNCTION("""COMPUTED_VALUE"""),"quantum leap")</f>
        <v>quantum leap</v>
      </c>
      <c r="B939" s="1" t="str">
        <f>IF(A939&lt;&gt;"", VLOOKUP(A939, imdb_netflix_v5!A$2:H$7370, 2, FALSE), "")</f>
        <v>TV Show</v>
      </c>
      <c r="C939" s="2" t="str">
        <f>IF(A939&lt;&gt;"", VLOOKUP(A939, imdb_netflix_v5!A$2:H$7370, 3, FALSE), "")</f>
        <v>Action, Adventure, Drama</v>
      </c>
      <c r="D939" s="2">
        <f>IF(A939&lt;&gt;"", VLOOKUP(A939, imdb_netflix_v5!A$2:H$7370, 4, FALSE), "")</f>
        <v>8.2</v>
      </c>
      <c r="E939" s="2">
        <f>IF(A939&lt;&gt;"", VLOOKUP(A939, imdb_netflix_v5!A$2:H$7370, 5, FALSE), "")</f>
        <v>1989</v>
      </c>
      <c r="F939" s="2" t="str">
        <f>IF(A939&lt;&gt;"", VLOOKUP(A939, imdb_netflix_v5!A$2:H$7370, 7, FALSE), "")</f>
        <v>NA</v>
      </c>
    </row>
    <row r="940" ht="15.75" customHeight="1">
      <c r="A940" s="1" t="str">
        <f>IFERROR(__xludf.DUMMYFUNCTION("""COMPUTED_VALUE"""),"dersu uzala")</f>
        <v>dersu uzala</v>
      </c>
      <c r="B940" s="1" t="str">
        <f>IF(A940&lt;&gt;"", VLOOKUP(A940, imdb_netflix_v5!A$2:H$7370, 2, FALSE), "")</f>
        <v>Movie</v>
      </c>
      <c r="C940" s="2" t="str">
        <f>IF(A940&lt;&gt;"", VLOOKUP(A940, imdb_netflix_v5!A$2:H$7370, 3, FALSE), "")</f>
        <v>Adventure, Biography, Drama</v>
      </c>
      <c r="D940" s="2">
        <f>IF(A940&lt;&gt;"", VLOOKUP(A940, imdb_netflix_v5!A$2:H$7370, 4, FALSE), "")</f>
        <v>8.2</v>
      </c>
      <c r="E940" s="2">
        <f>IF(A940&lt;&gt;"", VLOOKUP(A940, imdb_netflix_v5!A$2:H$7370, 5, FALSE), "")</f>
        <v>1975</v>
      </c>
      <c r="F940" s="2" t="str">
        <f>IF(A940&lt;&gt;"", VLOOKUP(A940, imdb_netflix_v5!A$2:H$7370, 7, FALSE), "")</f>
        <v>NA</v>
      </c>
    </row>
    <row r="941" ht="15.75" customHeight="1">
      <c r="A941" s="1" t="str">
        <f>IFERROR(__xludf.DUMMYFUNCTION("""COMPUTED_VALUE"""),"victoria")</f>
        <v>victoria</v>
      </c>
      <c r="B941" s="1" t="str">
        <f>IF(A941&lt;&gt;"", VLOOKUP(A941, imdb_netflix_v5!A$2:H$7370, 2, FALSE), "")</f>
        <v>TV Show</v>
      </c>
      <c r="C941" s="2" t="str">
        <f>IF(A941&lt;&gt;"", VLOOKUP(A941, imdb_netflix_v5!A$2:H$7370, 3, FALSE), "")</f>
        <v>Biography, Drama, History</v>
      </c>
      <c r="D941" s="2">
        <f>IF(A941&lt;&gt;"", VLOOKUP(A941, imdb_netflix_v5!A$2:H$7370, 4, FALSE), "")</f>
        <v>8.2</v>
      </c>
      <c r="E941" s="2">
        <f>IF(A941&lt;&gt;"", VLOOKUP(A941, imdb_netflix_v5!A$2:H$7370, 5, FALSE), "")</f>
        <v>2016</v>
      </c>
      <c r="F941" s="2" t="str">
        <f>IF(A941&lt;&gt;"", VLOOKUP(A941, imdb_netflix_v5!A$2:H$7370, 7, FALSE), "")</f>
        <v>NA</v>
      </c>
    </row>
    <row r="942" ht="15.75" customHeight="1">
      <c r="A942" s="1" t="str">
        <f>IFERROR(__xludf.DUMMYFUNCTION("""COMPUTED_VALUE"""),"the missing")</f>
        <v>the missing</v>
      </c>
      <c r="B942" s="1" t="str">
        <f>IF(A942&lt;&gt;"", VLOOKUP(A942, imdb_netflix_v5!A$2:H$7370, 2, FALSE), "")</f>
        <v>TV Show</v>
      </c>
      <c r="C942" s="2" t="str">
        <f>IF(A942&lt;&gt;"", VLOOKUP(A942, imdb_netflix_v5!A$2:H$7370, 3, FALSE), "")</f>
        <v>Crime, Drama, Mystery</v>
      </c>
      <c r="D942" s="2">
        <f>IF(A942&lt;&gt;"", VLOOKUP(A942, imdb_netflix_v5!A$2:H$7370, 4, FALSE), "")</f>
        <v>8.2</v>
      </c>
      <c r="E942" s="2">
        <f>IF(A942&lt;&gt;"", VLOOKUP(A942, imdb_netflix_v5!A$2:H$7370, 5, FALSE), "")</f>
        <v>2014</v>
      </c>
      <c r="F942" s="2" t="str">
        <f>IF(A942&lt;&gt;"", VLOOKUP(A942, imdb_netflix_v5!A$2:H$7370, 7, FALSE), "")</f>
        <v>NA</v>
      </c>
    </row>
    <row r="943" ht="15.75" customHeight="1">
      <c r="A943" s="1" t="str">
        <f>IFERROR(__xludf.DUMMYFUNCTION("""COMPUTED_VALUE"""),"the day of the jackal")</f>
        <v>the day of the jackal</v>
      </c>
      <c r="B943" s="1" t="str">
        <f>IF(A943&lt;&gt;"", VLOOKUP(A943, imdb_netflix_v5!A$2:H$7370, 2, FALSE), "")</f>
        <v>TV Show</v>
      </c>
      <c r="C943" s="2" t="str">
        <f>IF(A943&lt;&gt;"", VLOOKUP(A943, imdb_netflix_v5!A$2:H$7370, 3, FALSE), "")</f>
        <v>Action, Crime, Drama</v>
      </c>
      <c r="D943" s="2">
        <f>IF(A943&lt;&gt;"", VLOOKUP(A943, imdb_netflix_v5!A$2:H$7370, 4, FALSE), "")</f>
        <v>8.2</v>
      </c>
      <c r="E943" s="2">
        <f>IF(A943&lt;&gt;"", VLOOKUP(A943, imdb_netflix_v5!A$2:H$7370, 5, FALSE), "")</f>
        <v>2024</v>
      </c>
      <c r="F943" s="2" t="str">
        <f>IF(A943&lt;&gt;"", VLOOKUP(A943, imdb_netflix_v5!A$2:H$7370, 7, FALSE), "")</f>
        <v>NA</v>
      </c>
    </row>
    <row r="944" ht="15.75" customHeight="1">
      <c r="A944" s="1" t="str">
        <f>IFERROR(__xludf.DUMMYFUNCTION("""COMPUTED_VALUE"""),"the first born")</f>
        <v>the first born</v>
      </c>
      <c r="B944" s="1" t="str">
        <f>IF(A944&lt;&gt;"", VLOOKUP(A944, imdb_netflix_v5!A$2:H$7370, 2, FALSE), "")</f>
        <v>Movie</v>
      </c>
      <c r="C944" s="2" t="str">
        <f>IF(A944&lt;&gt;"", VLOOKUP(A944, imdb_netflix_v5!A$2:H$7370, 3, FALSE), "")</f>
        <v>Documentary, News</v>
      </c>
      <c r="D944" s="2">
        <f>IF(A944&lt;&gt;"", VLOOKUP(A944, imdb_netflix_v5!A$2:H$7370, 4, FALSE), "")</f>
        <v>8.2</v>
      </c>
      <c r="E944" s="2">
        <f>IF(A944&lt;&gt;"", VLOOKUP(A944, imdb_netflix_v5!A$2:H$7370, 5, FALSE), "")</f>
        <v>2016</v>
      </c>
      <c r="F944" s="2" t="str">
        <f>IF(A944&lt;&gt;"", VLOOKUP(A944, imdb_netflix_v5!A$2:H$7370, 7, FALSE), "")</f>
        <v>NA</v>
      </c>
    </row>
    <row r="945" ht="15.75" customHeight="1">
      <c r="A945" s="1" t="str">
        <f>IFERROR(__xludf.DUMMYFUNCTION("""COMPUTED_VALUE"""),"umberto d.")</f>
        <v>umberto d.</v>
      </c>
      <c r="B945" s="1" t="str">
        <f>IF(A945&lt;&gt;"", VLOOKUP(A945, imdb_netflix_v5!A$2:H$7370, 2, FALSE), "")</f>
        <v>Movie</v>
      </c>
      <c r="C945" s="2" t="str">
        <f>IF(A945&lt;&gt;"", VLOOKUP(A945, imdb_netflix_v5!A$2:H$7370, 3, FALSE), "")</f>
        <v>Drama</v>
      </c>
      <c r="D945" s="2">
        <f>IF(A945&lt;&gt;"", VLOOKUP(A945, imdb_netflix_v5!A$2:H$7370, 4, FALSE), "")</f>
        <v>8.2</v>
      </c>
      <c r="E945" s="2">
        <f>IF(A945&lt;&gt;"", VLOOKUP(A945, imdb_netflix_v5!A$2:H$7370, 5, FALSE), "")</f>
        <v>1952</v>
      </c>
      <c r="F945" s="2" t="str">
        <f>IF(A945&lt;&gt;"", VLOOKUP(A945, imdb_netflix_v5!A$2:H$7370, 7, FALSE), "")</f>
        <v>NA</v>
      </c>
    </row>
    <row r="946" ht="15.75" customHeight="1">
      <c r="A946" s="1" t="str">
        <f>IFERROR(__xludf.DUMMYFUNCTION("""COMPUTED_VALUE"""),"time")</f>
        <v>time</v>
      </c>
      <c r="B946" s="1" t="str">
        <f>IF(A946&lt;&gt;"", VLOOKUP(A946, imdb_netflix_v5!A$2:H$7370, 2, FALSE), "")</f>
        <v>TV Show</v>
      </c>
      <c r="C946" s="2" t="str">
        <f>IF(A946&lt;&gt;"", VLOOKUP(A946, imdb_netflix_v5!A$2:H$7370, 3, FALSE), "")</f>
        <v>Crime, Drama</v>
      </c>
      <c r="D946" s="2">
        <f>IF(A946&lt;&gt;"", VLOOKUP(A946, imdb_netflix_v5!A$2:H$7370, 4, FALSE), "")</f>
        <v>8.2</v>
      </c>
      <c r="E946" s="2">
        <f>IF(A946&lt;&gt;"", VLOOKUP(A946, imdb_netflix_v5!A$2:H$7370, 5, FALSE), "")</f>
        <v>2021</v>
      </c>
      <c r="F946" s="2" t="str">
        <f>IF(A946&lt;&gt;"", VLOOKUP(A946, imdb_netflix_v5!A$2:H$7370, 7, FALSE), "")</f>
        <v>NA</v>
      </c>
    </row>
    <row r="947" ht="15.75" customHeight="1">
      <c r="A947" s="1" t="str">
        <f>IFERROR(__xludf.DUMMYFUNCTION("""COMPUTED_VALUE"""),"rangasthalam")</f>
        <v>rangasthalam</v>
      </c>
      <c r="B947" s="1" t="str">
        <f>IF(A947&lt;&gt;"", VLOOKUP(A947, imdb_netflix_v5!A$2:H$7370, 2, FALSE), "")</f>
        <v>Movie</v>
      </c>
      <c r="C947" s="2" t="str">
        <f>IF(A947&lt;&gt;"", VLOOKUP(A947, imdb_netflix_v5!A$2:H$7370, 3, FALSE), "")</f>
        <v>Action, Drama</v>
      </c>
      <c r="D947" s="2">
        <f>IF(A947&lt;&gt;"", VLOOKUP(A947, imdb_netflix_v5!A$2:H$7370, 4, FALSE), "")</f>
        <v>8.2</v>
      </c>
      <c r="E947" s="2">
        <f>IF(A947&lt;&gt;"", VLOOKUP(A947, imdb_netflix_v5!A$2:H$7370, 5, FALSE), "")</f>
        <v>2018</v>
      </c>
      <c r="F947" s="2" t="str">
        <f>IF(A947&lt;&gt;"", VLOOKUP(A947, imdb_netflix_v5!A$2:H$7370, 7, FALSE), "")</f>
        <v>NA</v>
      </c>
    </row>
    <row r="948" ht="15.75" customHeight="1">
      <c r="A948" s="1" t="str">
        <f>IFERROR(__xludf.DUMMYFUNCTION("""COMPUTED_VALUE"""),"hellsing ultimate")</f>
        <v>hellsing ultimate</v>
      </c>
      <c r="B948" s="1" t="str">
        <f>IF(A948&lt;&gt;"", VLOOKUP(A948, imdb_netflix_v5!A$2:H$7370, 2, FALSE), "")</f>
        <v>TV Show</v>
      </c>
      <c r="C948" s="2" t="str">
        <f>IF(A948&lt;&gt;"", VLOOKUP(A948, imdb_netflix_v5!A$2:H$7370, 3, FALSE), "")</f>
        <v>Action, Animation, Fantasy</v>
      </c>
      <c r="D948" s="2">
        <f>IF(A948&lt;&gt;"", VLOOKUP(A948, imdb_netflix_v5!A$2:H$7370, 4, FALSE), "")</f>
        <v>8.2</v>
      </c>
      <c r="E948" s="2">
        <f>IF(A948&lt;&gt;"", VLOOKUP(A948, imdb_netflix_v5!A$2:H$7370, 5, FALSE), "")</f>
        <v>2006</v>
      </c>
      <c r="F948" s="2" t="str">
        <f>IF(A948&lt;&gt;"", VLOOKUP(A948, imdb_netflix_v5!A$2:H$7370, 7, FALSE), "")</f>
        <v>NA</v>
      </c>
    </row>
    <row r="949" ht="15.75" customHeight="1">
      <c r="A949" s="1" t="str">
        <f>IFERROR(__xludf.DUMMYFUNCTION("""COMPUTED_VALUE"""),"better off ted")</f>
        <v>better off ted</v>
      </c>
      <c r="B949" s="1" t="str">
        <f>IF(A949&lt;&gt;"", VLOOKUP(A949, imdb_netflix_v5!A$2:H$7370, 2, FALSE), "")</f>
        <v>TV Show</v>
      </c>
      <c r="C949" s="2" t="str">
        <f>IF(A949&lt;&gt;"", VLOOKUP(A949, imdb_netflix_v5!A$2:H$7370, 3, FALSE), "")</f>
        <v>Comedy, Sci-Fi</v>
      </c>
      <c r="D949" s="2">
        <f>IF(A949&lt;&gt;"", VLOOKUP(A949, imdb_netflix_v5!A$2:H$7370, 4, FALSE), "")</f>
        <v>8.2</v>
      </c>
      <c r="E949" s="2">
        <f>IF(A949&lt;&gt;"", VLOOKUP(A949, imdb_netflix_v5!A$2:H$7370, 5, FALSE), "")</f>
        <v>2009</v>
      </c>
      <c r="F949" s="2" t="str">
        <f>IF(A949&lt;&gt;"", VLOOKUP(A949, imdb_netflix_v5!A$2:H$7370, 7, FALSE), "")</f>
        <v>NA</v>
      </c>
    </row>
    <row r="950" ht="15.75" customHeight="1">
      <c r="A950" s="1" t="str">
        <f>IFERROR(__xludf.DUMMYFUNCTION("""COMPUTED_VALUE"""),"a man escaped")</f>
        <v>a man escaped</v>
      </c>
      <c r="B950" s="1" t="str">
        <f>IF(A950&lt;&gt;"", VLOOKUP(A950, imdb_netflix_v5!A$2:H$7370, 2, FALSE), "")</f>
        <v>Movie</v>
      </c>
      <c r="C950" s="2" t="str">
        <f>IF(A950&lt;&gt;"", VLOOKUP(A950, imdb_netflix_v5!A$2:H$7370, 3, FALSE), "")</f>
        <v>Drama, Thriller, War</v>
      </c>
      <c r="D950" s="2">
        <f>IF(A950&lt;&gt;"", VLOOKUP(A950, imdb_netflix_v5!A$2:H$7370, 4, FALSE), "")</f>
        <v>8.2</v>
      </c>
      <c r="E950" s="2">
        <f>IF(A950&lt;&gt;"", VLOOKUP(A950, imdb_netflix_v5!A$2:H$7370, 5, FALSE), "")</f>
        <v>1956</v>
      </c>
      <c r="F950" s="2" t="str">
        <f>IF(A950&lt;&gt;"", VLOOKUP(A950, imdb_netflix_v5!A$2:H$7370, 7, FALSE), "")</f>
        <v>NA</v>
      </c>
    </row>
    <row r="951" ht="15.75" customHeight="1">
      <c r="A951" s="1" t="str">
        <f>IFERROR(__xludf.DUMMYFUNCTION("""COMPUTED_VALUE"""),"the midnight gospel")</f>
        <v>the midnight gospel</v>
      </c>
      <c r="B951" s="1" t="str">
        <f>IF(A951&lt;&gt;"", VLOOKUP(A951, imdb_netflix_v5!A$2:H$7370, 2, FALSE), "")</f>
        <v>TV Show</v>
      </c>
      <c r="C951" s="2" t="str">
        <f>IF(A951&lt;&gt;"", VLOOKUP(A951, imdb_netflix_v5!A$2:H$7370, 3, FALSE), "")</f>
        <v>Adventure, Animation, Comedy</v>
      </c>
      <c r="D951" s="2">
        <f>IF(A951&lt;&gt;"", VLOOKUP(A951, imdb_netflix_v5!A$2:H$7370, 4, FALSE), "")</f>
        <v>8.2</v>
      </c>
      <c r="E951" s="2">
        <f>IF(A951&lt;&gt;"", VLOOKUP(A951, imdb_netflix_v5!A$2:H$7370, 5, FALSE), "")</f>
        <v>2020</v>
      </c>
      <c r="F951" s="2" t="str">
        <f>IF(A951&lt;&gt;"", VLOOKUP(A951, imdb_netflix_v5!A$2:H$7370, 7, FALSE), "")</f>
        <v>NA</v>
      </c>
    </row>
    <row r="952" ht="15.75" customHeight="1">
      <c r="A952" s="1" t="str">
        <f>IFERROR(__xludf.DUMMYFUNCTION("""COMPUTED_VALUE"""),"dave")</f>
        <v>dave</v>
      </c>
      <c r="B952" s="1" t="str">
        <f>IF(A952&lt;&gt;"", VLOOKUP(A952, imdb_netflix_v5!A$2:H$7370, 2, FALSE), "")</f>
        <v>TV Show</v>
      </c>
      <c r="C952" s="2" t="str">
        <f>IF(A952&lt;&gt;"", VLOOKUP(A952, imdb_netflix_v5!A$2:H$7370, 3, FALSE), "")</f>
        <v>Comedy, Music</v>
      </c>
      <c r="D952" s="2">
        <f>IF(A952&lt;&gt;"", VLOOKUP(A952, imdb_netflix_v5!A$2:H$7370, 4, FALSE), "")</f>
        <v>8.2</v>
      </c>
      <c r="E952" s="2">
        <f>IF(A952&lt;&gt;"", VLOOKUP(A952, imdb_netflix_v5!A$2:H$7370, 5, FALSE), "")</f>
        <v>2020</v>
      </c>
      <c r="F952" s="2" t="str">
        <f>IF(A952&lt;&gt;"", VLOOKUP(A952, imdb_netflix_v5!A$2:H$7370, 7, FALSE), "")</f>
        <v>NA</v>
      </c>
    </row>
    <row r="953" ht="15.75" customHeight="1">
      <c r="A953" s="1" t="str">
        <f>IFERROR(__xludf.DUMMYFUNCTION("""COMPUTED_VALUE"""),"maanaadu")</f>
        <v>maanaadu</v>
      </c>
      <c r="B953" s="1" t="str">
        <f>IF(A953&lt;&gt;"", VLOOKUP(A953, imdb_netflix_v5!A$2:H$7370, 2, FALSE), "")</f>
        <v>Movie</v>
      </c>
      <c r="C953" s="2" t="str">
        <f>IF(A953&lt;&gt;"", VLOOKUP(A953, imdb_netflix_v5!A$2:H$7370, 3, FALSE), "")</f>
        <v>Action, Adventure, Sci-Fi</v>
      </c>
      <c r="D953" s="2">
        <f>IF(A953&lt;&gt;"", VLOOKUP(A953, imdb_netflix_v5!A$2:H$7370, 4, FALSE), "")</f>
        <v>8.2</v>
      </c>
      <c r="E953" s="2">
        <f>IF(A953&lt;&gt;"", VLOOKUP(A953, imdb_netflix_v5!A$2:H$7370, 5, FALSE), "")</f>
        <v>2021</v>
      </c>
      <c r="F953" s="2" t="str">
        <f>IF(A953&lt;&gt;"", VLOOKUP(A953, imdb_netflix_v5!A$2:H$7370, 7, FALSE), "")</f>
        <v>NA</v>
      </c>
    </row>
    <row r="954" ht="15.75" customHeight="1">
      <c r="A954" s="1" t="str">
        <f>IFERROR(__xludf.DUMMYFUNCTION("""COMPUTED_VALUE"""),"kims convenience")</f>
        <v>kims convenience</v>
      </c>
      <c r="B954" s="1" t="str">
        <f>IF(A954&lt;&gt;"", VLOOKUP(A954, imdb_netflix_v5!A$2:H$7370, 2, FALSE), "")</f>
        <v>TV Show</v>
      </c>
      <c r="C954" s="2" t="str">
        <f>IF(A954&lt;&gt;"", VLOOKUP(A954, imdb_netflix_v5!A$2:H$7370, 3, FALSE), "")</f>
        <v>Comedy</v>
      </c>
      <c r="D954" s="2">
        <f>IF(A954&lt;&gt;"", VLOOKUP(A954, imdb_netflix_v5!A$2:H$7370, 4, FALSE), "")</f>
        <v>8.2</v>
      </c>
      <c r="E954" s="2">
        <f>IF(A954&lt;&gt;"", VLOOKUP(A954, imdb_netflix_v5!A$2:H$7370, 5, FALSE), "")</f>
        <v>2016</v>
      </c>
      <c r="F954" s="2" t="str">
        <f>IF(A954&lt;&gt;"", VLOOKUP(A954, imdb_netflix_v5!A$2:H$7370, 7, FALSE), "")</f>
        <v>NA</v>
      </c>
    </row>
    <row r="955" ht="15.75" customHeight="1">
      <c r="A955" s="1" t="str">
        <f>IFERROR(__xludf.DUMMYFUNCTION("""COMPUTED_VALUE"""),"khosla ka ghosla!")</f>
        <v>khosla ka ghosla!</v>
      </c>
      <c r="B955" s="1" t="str">
        <f>IF(A955&lt;&gt;"", VLOOKUP(A955, imdb_netflix_v5!A$2:H$7370, 2, FALSE), "")</f>
        <v>Movie</v>
      </c>
      <c r="C955" s="2" t="str">
        <f>IF(A955&lt;&gt;"", VLOOKUP(A955, imdb_netflix_v5!A$2:H$7370, 3, FALSE), "")</f>
        <v>Comedy, Crime, Drama</v>
      </c>
      <c r="D955" s="2">
        <f>IF(A955&lt;&gt;"", VLOOKUP(A955, imdb_netflix_v5!A$2:H$7370, 4, FALSE), "")</f>
        <v>8.2</v>
      </c>
      <c r="E955" s="2">
        <f>IF(A955&lt;&gt;"", VLOOKUP(A955, imdb_netflix_v5!A$2:H$7370, 5, FALSE), "")</f>
        <v>2006</v>
      </c>
      <c r="F955" s="2" t="str">
        <f>IF(A955&lt;&gt;"", VLOOKUP(A955, imdb_netflix_v5!A$2:H$7370, 7, FALSE), "")</f>
        <v>NA</v>
      </c>
    </row>
    <row r="956" ht="15.75" customHeight="1">
      <c r="A956" s="1" t="str">
        <f>IFERROR(__xludf.DUMMYFUNCTION("""COMPUTED_VALUE"""),"conan")</f>
        <v>conan</v>
      </c>
      <c r="B956" s="1" t="str">
        <f>IF(A956&lt;&gt;"", VLOOKUP(A956, imdb_netflix_v5!A$2:H$7370, 2, FALSE), "")</f>
        <v>TV Show</v>
      </c>
      <c r="C956" s="2" t="str">
        <f>IF(A956&lt;&gt;"", VLOOKUP(A956, imdb_netflix_v5!A$2:H$7370, 3, FALSE), "")</f>
        <v>Comedy, Music, Talk-Show</v>
      </c>
      <c r="D956" s="2">
        <f>IF(A956&lt;&gt;"", VLOOKUP(A956, imdb_netflix_v5!A$2:H$7370, 4, FALSE), "")</f>
        <v>8.2</v>
      </c>
      <c r="E956" s="2">
        <f>IF(A956&lt;&gt;"", VLOOKUP(A956, imdb_netflix_v5!A$2:H$7370, 5, FALSE), "")</f>
        <v>2010</v>
      </c>
      <c r="F956" s="2" t="str">
        <f>IF(A956&lt;&gt;"", VLOOKUP(A956, imdb_netflix_v5!A$2:H$7370, 7, FALSE), "")</f>
        <v>NA</v>
      </c>
    </row>
    <row r="957" ht="15.75" customHeight="1">
      <c r="A957" s="1" t="str">
        <f>IFERROR(__xludf.DUMMYFUNCTION("""COMPUTED_VALUE"""),"trigun")</f>
        <v>trigun</v>
      </c>
      <c r="B957" s="1" t="str">
        <f>IF(A957&lt;&gt;"", VLOOKUP(A957, imdb_netflix_v5!A$2:H$7370, 2, FALSE), "")</f>
        <v>TV Show</v>
      </c>
      <c r="C957" s="2" t="str">
        <f>IF(A957&lt;&gt;"", VLOOKUP(A957, imdb_netflix_v5!A$2:H$7370, 3, FALSE), "")</f>
        <v>Action, Adventure, Animation</v>
      </c>
      <c r="D957" s="2">
        <f>IF(A957&lt;&gt;"", VLOOKUP(A957, imdb_netflix_v5!A$2:H$7370, 4, FALSE), "")</f>
        <v>8.2</v>
      </c>
      <c r="E957" s="2">
        <f>IF(A957&lt;&gt;"", VLOOKUP(A957, imdb_netflix_v5!A$2:H$7370, 5, FALSE), "")</f>
        <v>1998</v>
      </c>
      <c r="F957" s="2" t="str">
        <f>IF(A957&lt;&gt;"", VLOOKUP(A957, imdb_netflix_v5!A$2:H$7370, 7, FALSE), "")</f>
        <v>NA</v>
      </c>
    </row>
    <row r="958" ht="15.75" customHeight="1">
      <c r="A958" s="1" t="str">
        <f>IFERROR(__xludf.DUMMYFUNCTION("""COMPUTED_VALUE"""),"undone")</f>
        <v>undone</v>
      </c>
      <c r="B958" s="1" t="str">
        <f>IF(A958&lt;&gt;"", VLOOKUP(A958, imdb_netflix_v5!A$2:H$7370, 2, FALSE), "")</f>
        <v>TV Show</v>
      </c>
      <c r="C958" s="2" t="str">
        <f>IF(A958&lt;&gt;"", VLOOKUP(A958, imdb_netflix_v5!A$2:H$7370, 3, FALSE), "")</f>
        <v>Animation, Drama, Fantasy</v>
      </c>
      <c r="D958" s="2">
        <f>IF(A958&lt;&gt;"", VLOOKUP(A958, imdb_netflix_v5!A$2:H$7370, 4, FALSE), "")</f>
        <v>8.2</v>
      </c>
      <c r="E958" s="2">
        <f>IF(A958&lt;&gt;"", VLOOKUP(A958, imdb_netflix_v5!A$2:H$7370, 5, FALSE), "")</f>
        <v>2019</v>
      </c>
      <c r="F958" s="2" t="str">
        <f>IF(A958&lt;&gt;"", VLOOKUP(A958, imdb_netflix_v5!A$2:H$7370, 7, FALSE), "")</f>
        <v>NA</v>
      </c>
    </row>
    <row r="959" ht="15.75" customHeight="1">
      <c r="A959" s="1" t="str">
        <f>IFERROR(__xludf.DUMMYFUNCTION("""COMPUTED_VALUE"""),"catastrophe")</f>
        <v>catastrophe</v>
      </c>
      <c r="B959" s="1" t="str">
        <f>IF(A959&lt;&gt;"", VLOOKUP(A959, imdb_netflix_v5!A$2:H$7370, 2, FALSE), "")</f>
        <v>TV Show</v>
      </c>
      <c r="C959" s="2" t="str">
        <f>IF(A959&lt;&gt;"", VLOOKUP(A959, imdb_netflix_v5!A$2:H$7370, 3, FALSE), "")</f>
        <v>Comedy</v>
      </c>
      <c r="D959" s="2">
        <f>IF(A959&lt;&gt;"", VLOOKUP(A959, imdb_netflix_v5!A$2:H$7370, 4, FALSE), "")</f>
        <v>8.2</v>
      </c>
      <c r="E959" s="2">
        <f>IF(A959&lt;&gt;"", VLOOKUP(A959, imdb_netflix_v5!A$2:H$7370, 5, FALSE), "")</f>
        <v>2015</v>
      </c>
      <c r="F959" s="2" t="str">
        <f>IF(A959&lt;&gt;"", VLOOKUP(A959, imdb_netflix_v5!A$2:H$7370, 7, FALSE), "")</f>
        <v>NA</v>
      </c>
    </row>
    <row r="960" ht="15.75" customHeight="1">
      <c r="A960" s="1" t="str">
        <f>IFERROR(__xludf.DUMMYFUNCTION("""COMPUTED_VALUE"""),"close-up")</f>
        <v>close-up</v>
      </c>
      <c r="B960" s="1" t="str">
        <f>IF(A960&lt;&gt;"", VLOOKUP(A960, imdb_netflix_v5!A$2:H$7370, 2, FALSE), "")</f>
        <v>Movie</v>
      </c>
      <c r="C960" s="2" t="str">
        <f>IF(A960&lt;&gt;"", VLOOKUP(A960, imdb_netflix_v5!A$2:H$7370, 3, FALSE), "")</f>
        <v>Biography, Crime, Drama</v>
      </c>
      <c r="D960" s="2">
        <f>IF(A960&lt;&gt;"", VLOOKUP(A960, imdb_netflix_v5!A$2:H$7370, 4, FALSE), "")</f>
        <v>8.2</v>
      </c>
      <c r="E960" s="2">
        <f>IF(A960&lt;&gt;"", VLOOKUP(A960, imdb_netflix_v5!A$2:H$7370, 5, FALSE), "")</f>
        <v>1990</v>
      </c>
      <c r="F960" s="2" t="str">
        <f>IF(A960&lt;&gt;"", VLOOKUP(A960, imdb_netflix_v5!A$2:H$7370, 7, FALSE), "")</f>
        <v>NA</v>
      </c>
    </row>
    <row r="961" ht="15.75" customHeight="1">
      <c r="A961" s="1" t="str">
        <f>IFERROR(__xludf.DUMMYFUNCTION("""COMPUTED_VALUE"""),"the get down")</f>
        <v>the get down</v>
      </c>
      <c r="B961" s="1" t="str">
        <f>IF(A961&lt;&gt;"", VLOOKUP(A961, imdb_netflix_v5!A$2:H$7370, 2, FALSE), "")</f>
        <v>TV Show</v>
      </c>
      <c r="C961" s="2" t="str">
        <f>IF(A961&lt;&gt;"", VLOOKUP(A961, imdb_netflix_v5!A$2:H$7370, 3, FALSE), "")</f>
        <v>Drama, Music, Musical</v>
      </c>
      <c r="D961" s="2">
        <f>IF(A961&lt;&gt;"", VLOOKUP(A961, imdb_netflix_v5!A$2:H$7370, 4, FALSE), "")</f>
        <v>8.2</v>
      </c>
      <c r="E961" s="2">
        <f>IF(A961&lt;&gt;"", VLOOKUP(A961, imdb_netflix_v5!A$2:H$7370, 5, FALSE), "")</f>
        <v>2016</v>
      </c>
      <c r="F961" s="2" t="str">
        <f>IF(A961&lt;&gt;"", VLOOKUP(A961, imdb_netflix_v5!A$2:H$7370, 7, FALSE), "")</f>
        <v>NA</v>
      </c>
    </row>
    <row r="962" ht="15.75" customHeight="1">
      <c r="A962" s="1" t="str">
        <f>IFERROR(__xludf.DUMMYFUNCTION("""COMPUTED_VALUE"""),"descendants of the sun")</f>
        <v>descendants of the sun</v>
      </c>
      <c r="B962" s="1" t="str">
        <f>IF(A962&lt;&gt;"", VLOOKUP(A962, imdb_netflix_v5!A$2:H$7370, 2, FALSE), "")</f>
        <v>TV Show</v>
      </c>
      <c r="C962" s="2" t="str">
        <f>IF(A962&lt;&gt;"", VLOOKUP(A962, imdb_netflix_v5!A$2:H$7370, 3, FALSE), "")</f>
        <v>Action, Comedy, Drama</v>
      </c>
      <c r="D962" s="2">
        <f>IF(A962&lt;&gt;"", VLOOKUP(A962, imdb_netflix_v5!A$2:H$7370, 4, FALSE), "")</f>
        <v>8.2</v>
      </c>
      <c r="E962" s="2">
        <f>IF(A962&lt;&gt;"", VLOOKUP(A962, imdb_netflix_v5!A$2:H$7370, 5, FALSE), "")</f>
        <v>2016</v>
      </c>
      <c r="F962" s="2" t="str">
        <f>IF(A962&lt;&gt;"", VLOOKUP(A962, imdb_netflix_v5!A$2:H$7370, 7, FALSE), "")</f>
        <v>NA</v>
      </c>
    </row>
    <row r="963" ht="15.75" customHeight="1">
      <c r="A963" s="1" t="str">
        <f>IFERROR(__xludf.DUMMYFUNCTION("""COMPUTED_VALUE"""),"manjummel boys")</f>
        <v>manjummel boys</v>
      </c>
      <c r="B963" s="1" t="str">
        <f>IF(A963&lt;&gt;"", VLOOKUP(A963, imdb_netflix_v5!A$2:H$7370, 2, FALSE), "")</f>
        <v>Movie</v>
      </c>
      <c r="C963" s="2" t="str">
        <f>IF(A963&lt;&gt;"", VLOOKUP(A963, imdb_netflix_v5!A$2:H$7370, 3, FALSE), "")</f>
        <v>Adventure, Drama, Thriller</v>
      </c>
      <c r="D963" s="2">
        <f>IF(A963&lt;&gt;"", VLOOKUP(A963, imdb_netflix_v5!A$2:H$7370, 4, FALSE), "")</f>
        <v>8.2</v>
      </c>
      <c r="E963" s="2">
        <f>IF(A963&lt;&gt;"", VLOOKUP(A963, imdb_netflix_v5!A$2:H$7370, 5, FALSE), "")</f>
        <v>2024</v>
      </c>
      <c r="F963" s="2" t="str">
        <f>IF(A963&lt;&gt;"", VLOOKUP(A963, imdb_netflix_v5!A$2:H$7370, 7, FALSE), "")</f>
        <v>NA</v>
      </c>
    </row>
    <row r="964" ht="15.75" customHeight="1">
      <c r="A964" s="1" t="str">
        <f>IFERROR(__xludf.DUMMYFUNCTION("""COMPUTED_VALUE"""),"hustle")</f>
        <v>hustle</v>
      </c>
      <c r="B964" s="1" t="str">
        <f>IF(A964&lt;&gt;"", VLOOKUP(A964, imdb_netflix_v5!A$2:H$7370, 2, FALSE), "")</f>
        <v>TV Show</v>
      </c>
      <c r="C964" s="2" t="str">
        <f>IF(A964&lt;&gt;"", VLOOKUP(A964, imdb_netflix_v5!A$2:H$7370, 3, FALSE), "")</f>
        <v>Crime, Drama, Mystery</v>
      </c>
      <c r="D964" s="2">
        <f>IF(A964&lt;&gt;"", VLOOKUP(A964, imdb_netflix_v5!A$2:H$7370, 4, FALSE), "")</f>
        <v>8.2</v>
      </c>
      <c r="E964" s="2">
        <f>IF(A964&lt;&gt;"", VLOOKUP(A964, imdb_netflix_v5!A$2:H$7370, 5, FALSE), "")</f>
        <v>2004</v>
      </c>
      <c r="F964" s="2">
        <f>IF(A964&lt;&gt;"", VLOOKUP(A964, imdb_netflix_v5!A$2:H$7370, 7, FALSE), "")</f>
        <v>6450000</v>
      </c>
    </row>
    <row r="965" ht="15.75" customHeight="1">
      <c r="A965" s="1" t="str">
        <f>IFERROR(__xludf.DUMMYFUNCTION("""COMPUTED_VALUE"""),"gavin &amp; stacey")</f>
        <v>gavin &amp; stacey</v>
      </c>
      <c r="B965" s="1" t="str">
        <f>IF(A965&lt;&gt;"", VLOOKUP(A965, imdb_netflix_v5!A$2:H$7370, 2, FALSE), "")</f>
        <v>TV Show</v>
      </c>
      <c r="C965" s="2" t="str">
        <f>IF(A965&lt;&gt;"", VLOOKUP(A965, imdb_netflix_v5!A$2:H$7370, 3, FALSE), "")</f>
        <v>Comedy, Drama, Romance</v>
      </c>
      <c r="D965" s="2">
        <f>IF(A965&lt;&gt;"", VLOOKUP(A965, imdb_netflix_v5!A$2:H$7370, 4, FALSE), "")</f>
        <v>8.2</v>
      </c>
      <c r="E965" s="2">
        <f>IF(A965&lt;&gt;"", VLOOKUP(A965, imdb_netflix_v5!A$2:H$7370, 5, FALSE), "")</f>
        <v>2007</v>
      </c>
      <c r="F965" s="2" t="str">
        <f>IF(A965&lt;&gt;"", VLOOKUP(A965, imdb_netflix_v5!A$2:H$7370, 7, FALSE), "")</f>
        <v>NA</v>
      </c>
    </row>
    <row r="966" ht="15.75" customHeight="1">
      <c r="A966" s="1" t="str">
        <f>IFERROR(__xludf.DUMMYFUNCTION("""COMPUTED_VALUE"""),"friday night dinner")</f>
        <v>friday night dinner</v>
      </c>
      <c r="B966" s="1" t="str">
        <f>IF(A966&lt;&gt;"", VLOOKUP(A966, imdb_netflix_v5!A$2:H$7370, 2, FALSE), "")</f>
        <v>TV Show</v>
      </c>
      <c r="C966" s="2" t="str">
        <f>IF(A966&lt;&gt;"", VLOOKUP(A966, imdb_netflix_v5!A$2:H$7370, 3, FALSE), "")</f>
        <v>Comedy</v>
      </c>
      <c r="D966" s="2">
        <f>IF(A966&lt;&gt;"", VLOOKUP(A966, imdb_netflix_v5!A$2:H$7370, 4, FALSE), "")</f>
        <v>8.2</v>
      </c>
      <c r="E966" s="2">
        <f>IF(A966&lt;&gt;"", VLOOKUP(A966, imdb_netflix_v5!A$2:H$7370, 5, FALSE), "")</f>
        <v>2011</v>
      </c>
      <c r="F966" s="2" t="str">
        <f>IF(A966&lt;&gt;"", VLOOKUP(A966, imdb_netflix_v5!A$2:H$7370, 7, FALSE), "")</f>
        <v>NA</v>
      </c>
    </row>
    <row r="967" ht="15.75" customHeight="1">
      <c r="A967" s="1" t="str">
        <f>IFERROR(__xludf.DUMMYFUNCTION("""COMPUTED_VALUE"""),"caliphate")</f>
        <v>caliphate</v>
      </c>
      <c r="B967" s="1" t="str">
        <f>IF(A967&lt;&gt;"", VLOOKUP(A967, imdb_netflix_v5!A$2:H$7370, 2, FALSE), "")</f>
        <v>TV Show</v>
      </c>
      <c r="C967" s="2" t="str">
        <f>IF(A967&lt;&gt;"", VLOOKUP(A967, imdb_netflix_v5!A$2:H$7370, 3, FALSE), "")</f>
        <v>Crime, Drama, Thriller</v>
      </c>
      <c r="D967" s="2">
        <f>IF(A967&lt;&gt;"", VLOOKUP(A967, imdb_netflix_v5!A$2:H$7370, 4, FALSE), "")</f>
        <v>8.2</v>
      </c>
      <c r="E967" s="2">
        <f>IF(A967&lt;&gt;"", VLOOKUP(A967, imdb_netflix_v5!A$2:H$7370, 5, FALSE), "")</f>
        <v>2020</v>
      </c>
      <c r="F967" s="2" t="str">
        <f>IF(A967&lt;&gt;"", VLOOKUP(A967, imdb_netflix_v5!A$2:H$7370, 7, FALSE), "")</f>
        <v>NA</v>
      </c>
    </row>
    <row r="968" ht="15.75" customHeight="1">
      <c r="A968" s="1" t="str">
        <f>IFERROR(__xludf.DUMMYFUNCTION("""COMPUTED_VALUE"""),"dororo")</f>
        <v>dororo</v>
      </c>
      <c r="B968" s="1" t="str">
        <f>IF(A968&lt;&gt;"", VLOOKUP(A968, imdb_netflix_v5!A$2:H$7370, 2, FALSE), "")</f>
        <v>TV Show</v>
      </c>
      <c r="C968" s="2" t="str">
        <f>IF(A968&lt;&gt;"", VLOOKUP(A968, imdb_netflix_v5!A$2:H$7370, 3, FALSE), "")</f>
        <v>Action, Adventure, Animation</v>
      </c>
      <c r="D968" s="2">
        <f>IF(A968&lt;&gt;"", VLOOKUP(A968, imdb_netflix_v5!A$2:H$7370, 4, FALSE), "")</f>
        <v>8.2</v>
      </c>
      <c r="E968" s="2">
        <f>IF(A968&lt;&gt;"", VLOOKUP(A968, imdb_netflix_v5!A$2:H$7370, 5, FALSE), "")</f>
        <v>2019</v>
      </c>
      <c r="F968" s="2" t="str">
        <f>IF(A968&lt;&gt;"", VLOOKUP(A968, imdb_netflix_v5!A$2:H$7370, 7, FALSE), "")</f>
        <v>NA</v>
      </c>
    </row>
    <row r="969" ht="15.75" customHeight="1">
      <c r="A969" s="1" t="str">
        <f>IFERROR(__xludf.DUMMYFUNCTION("""COMPUTED_VALUE"""),"rocco and his brothers")</f>
        <v>rocco and his brothers</v>
      </c>
      <c r="B969" s="1" t="str">
        <f>IF(A969&lt;&gt;"", VLOOKUP(A969, imdb_netflix_v5!A$2:H$7370, 2, FALSE), "")</f>
        <v>Movie</v>
      </c>
      <c r="C969" s="2" t="str">
        <f>IF(A969&lt;&gt;"", VLOOKUP(A969, imdb_netflix_v5!A$2:H$7370, 3, FALSE), "")</f>
        <v>Crime, Drama, Sport</v>
      </c>
      <c r="D969" s="2">
        <f>IF(A969&lt;&gt;"", VLOOKUP(A969, imdb_netflix_v5!A$2:H$7370, 4, FALSE), "")</f>
        <v>8.2</v>
      </c>
      <c r="E969" s="2">
        <f>IF(A969&lt;&gt;"", VLOOKUP(A969, imdb_netflix_v5!A$2:H$7370, 5, FALSE), "")</f>
        <v>1960</v>
      </c>
      <c r="F969" s="2" t="str">
        <f>IF(A969&lt;&gt;"", VLOOKUP(A969, imdb_netflix_v5!A$2:H$7370, 7, FALSE), "")</f>
        <v>NA</v>
      </c>
    </row>
    <row r="970" ht="15.75" customHeight="1">
      <c r="A970" s="1" t="str">
        <f>IFERROR(__xludf.DUMMYFUNCTION("""COMPUTED_VALUE"""),"the young and the damned")</f>
        <v>the young and the damned</v>
      </c>
      <c r="B970" s="1" t="str">
        <f>IF(A970&lt;&gt;"", VLOOKUP(A970, imdb_netflix_v5!A$2:H$7370, 2, FALSE), "")</f>
        <v>Movie</v>
      </c>
      <c r="C970" s="2" t="str">
        <f>IF(A970&lt;&gt;"", VLOOKUP(A970, imdb_netflix_v5!A$2:H$7370, 3, FALSE), "")</f>
        <v>Crime, Drama</v>
      </c>
      <c r="D970" s="2">
        <f>IF(A970&lt;&gt;"", VLOOKUP(A970, imdb_netflix_v5!A$2:H$7370, 4, FALSE), "")</f>
        <v>8.2</v>
      </c>
      <c r="E970" s="2">
        <f>IF(A970&lt;&gt;"", VLOOKUP(A970, imdb_netflix_v5!A$2:H$7370, 5, FALSE), "")</f>
        <v>1950</v>
      </c>
      <c r="F970" s="2" t="str">
        <f>IF(A970&lt;&gt;"", VLOOKUP(A970, imdb_netflix_v5!A$2:H$7370, 7, FALSE), "")</f>
        <v>NA</v>
      </c>
    </row>
    <row r="971" ht="15.75" customHeight="1">
      <c r="A971" s="1" t="str">
        <f>IFERROR(__xludf.DUMMYFUNCTION("""COMPUTED_VALUE"""),"looking")</f>
        <v>looking</v>
      </c>
      <c r="B971" s="1" t="str">
        <f>IF(A971&lt;&gt;"", VLOOKUP(A971, imdb_netflix_v5!A$2:H$7370, 2, FALSE), "")</f>
        <v>TV Show</v>
      </c>
      <c r="C971" s="2" t="str">
        <f>IF(A971&lt;&gt;"", VLOOKUP(A971, imdb_netflix_v5!A$2:H$7370, 3, FALSE), "")</f>
        <v>Comedy, Drama, Romance</v>
      </c>
      <c r="D971" s="2">
        <f>IF(A971&lt;&gt;"", VLOOKUP(A971, imdb_netflix_v5!A$2:H$7370, 4, FALSE), "")</f>
        <v>8.2</v>
      </c>
      <c r="E971" s="2">
        <f>IF(A971&lt;&gt;"", VLOOKUP(A971, imdb_netflix_v5!A$2:H$7370, 5, FALSE), "")</f>
        <v>2014</v>
      </c>
      <c r="F971" s="2" t="str">
        <f>IF(A971&lt;&gt;"", VLOOKUP(A971, imdb_netflix_v5!A$2:H$7370, 7, FALSE), "")</f>
        <v>NA</v>
      </c>
    </row>
    <row r="972" ht="15.75" customHeight="1">
      <c r="A972" s="1" t="str">
        <f>IFERROR(__xludf.DUMMYFUNCTION("""COMPUTED_VALUE"""),"breathe")</f>
        <v>breathe</v>
      </c>
      <c r="B972" s="1" t="str">
        <f>IF(A972&lt;&gt;"", VLOOKUP(A972, imdb_netflix_v5!A$2:H$7370, 2, FALSE), "")</f>
        <v>TV Show</v>
      </c>
      <c r="C972" s="2" t="str">
        <f>IF(A972&lt;&gt;"", VLOOKUP(A972, imdb_netflix_v5!A$2:H$7370, 3, FALSE), "")</f>
        <v>Crime, Drama, Thriller</v>
      </c>
      <c r="D972" s="2">
        <f>IF(A972&lt;&gt;"", VLOOKUP(A972, imdb_netflix_v5!A$2:H$7370, 4, FALSE), "")</f>
        <v>8.2</v>
      </c>
      <c r="E972" s="2">
        <f>IF(A972&lt;&gt;"", VLOOKUP(A972, imdb_netflix_v5!A$2:H$7370, 5, FALSE), "")</f>
        <v>2018</v>
      </c>
      <c r="F972" s="2" t="str">
        <f>IF(A972&lt;&gt;"", VLOOKUP(A972, imdb_netflix_v5!A$2:H$7370, 7, FALSE), "")</f>
        <v>NA</v>
      </c>
    </row>
    <row r="973" ht="15.75" customHeight="1">
      <c r="A973" s="1" t="str">
        <f>IFERROR(__xludf.DUMMYFUNCTION("""COMPUTED_VALUE"""),"absolutely fabulous")</f>
        <v>absolutely fabulous</v>
      </c>
      <c r="B973" s="1" t="str">
        <f>IF(A973&lt;&gt;"", VLOOKUP(A973, imdb_netflix_v5!A$2:H$7370, 2, FALSE), "")</f>
        <v>TV Show</v>
      </c>
      <c r="C973" s="2" t="str">
        <f>IF(A973&lt;&gt;"", VLOOKUP(A973, imdb_netflix_v5!A$2:H$7370, 3, FALSE), "")</f>
        <v>Comedy</v>
      </c>
      <c r="D973" s="2">
        <f>IF(A973&lt;&gt;"", VLOOKUP(A973, imdb_netflix_v5!A$2:H$7370, 4, FALSE), "")</f>
        <v>8.2</v>
      </c>
      <c r="E973" s="2">
        <f>IF(A973&lt;&gt;"", VLOOKUP(A973, imdb_netflix_v5!A$2:H$7370, 5, FALSE), "")</f>
        <v>1992</v>
      </c>
      <c r="F973" s="2" t="str">
        <f>IF(A973&lt;&gt;"", VLOOKUP(A973, imdb_netflix_v5!A$2:H$7370, 7, FALSE), "")</f>
        <v>NA</v>
      </c>
    </row>
    <row r="974" ht="15.75" customHeight="1">
      <c r="A974" s="1" t="str">
        <f>IFERROR(__xludf.DUMMYFUNCTION("""COMPUTED_VALUE"""),"vera")</f>
        <v>vera</v>
      </c>
      <c r="B974" s="1" t="str">
        <f>IF(A974&lt;&gt;"", VLOOKUP(A974, imdb_netflix_v5!A$2:H$7370, 2, FALSE), "")</f>
        <v>TV Show</v>
      </c>
      <c r="C974" s="2" t="str">
        <f>IF(A974&lt;&gt;"", VLOOKUP(A974, imdb_netflix_v5!A$2:H$7370, 3, FALSE), "")</f>
        <v>Crime, Drama, Mystery</v>
      </c>
      <c r="D974" s="2">
        <f>IF(A974&lt;&gt;"", VLOOKUP(A974, imdb_netflix_v5!A$2:H$7370, 4, FALSE), "")</f>
        <v>8.2</v>
      </c>
      <c r="E974" s="2">
        <f>IF(A974&lt;&gt;"", VLOOKUP(A974, imdb_netflix_v5!A$2:H$7370, 5, FALSE), "")</f>
        <v>2011</v>
      </c>
      <c r="F974" s="2" t="str">
        <f>IF(A974&lt;&gt;"", VLOOKUP(A974, imdb_netflix_v5!A$2:H$7370, 7, FALSE), "")</f>
        <v>NA</v>
      </c>
    </row>
    <row r="975" ht="15.75" customHeight="1">
      <c r="A975" s="1" t="str">
        <f>IFERROR(__xludf.DUMMYFUNCTION("""COMPUTED_VALUE"""),"itaewon class")</f>
        <v>itaewon class</v>
      </c>
      <c r="B975" s="1" t="str">
        <f>IF(A975&lt;&gt;"", VLOOKUP(A975, imdb_netflix_v5!A$2:H$7370, 2, FALSE), "")</f>
        <v>TV Show</v>
      </c>
      <c r="C975" s="2" t="str">
        <f>IF(A975&lt;&gt;"", VLOOKUP(A975, imdb_netflix_v5!A$2:H$7370, 3, FALSE), "")</f>
        <v>Drama, Romance</v>
      </c>
      <c r="D975" s="2">
        <f>IF(A975&lt;&gt;"", VLOOKUP(A975, imdb_netflix_v5!A$2:H$7370, 4, FALSE), "")</f>
        <v>8.2</v>
      </c>
      <c r="E975" s="2">
        <f>IF(A975&lt;&gt;"", VLOOKUP(A975, imdb_netflix_v5!A$2:H$7370, 5, FALSE), "")</f>
        <v>2020</v>
      </c>
      <c r="F975" s="2" t="str">
        <f>IF(A975&lt;&gt;"", VLOOKUP(A975, imdb_netflix_v5!A$2:H$7370, 7, FALSE), "")</f>
        <v>NA</v>
      </c>
    </row>
    <row r="976" ht="15.75" customHeight="1">
      <c r="A976" s="1" t="str">
        <f>IFERROR(__xludf.DUMMYFUNCTION("""COMPUTED_VALUE"""),"the 10th kingdom")</f>
        <v>the 10th kingdom</v>
      </c>
      <c r="B976" s="1" t="str">
        <f>IF(A976&lt;&gt;"", VLOOKUP(A976, imdb_netflix_v5!A$2:H$7370, 2, FALSE), "")</f>
        <v>TV Show</v>
      </c>
      <c r="C976" s="2" t="str">
        <f>IF(A976&lt;&gt;"", VLOOKUP(A976, imdb_netflix_v5!A$2:H$7370, 3, FALSE), "")</f>
        <v>Adventure, Comedy, Family</v>
      </c>
      <c r="D976" s="2">
        <f>IF(A976&lt;&gt;"", VLOOKUP(A976, imdb_netflix_v5!A$2:H$7370, 4, FALSE), "")</f>
        <v>8.2</v>
      </c>
      <c r="E976" s="2">
        <f>IF(A976&lt;&gt;"", VLOOKUP(A976, imdb_netflix_v5!A$2:H$7370, 5, FALSE), "")</f>
        <v>2000</v>
      </c>
      <c r="F976" s="2" t="str">
        <f>IF(A976&lt;&gt;"", VLOOKUP(A976, imdb_netflix_v5!A$2:H$7370, 7, FALSE), "")</f>
        <v>NA</v>
      </c>
    </row>
    <row r="977" ht="15.75" customHeight="1">
      <c r="A977" s="1" t="str">
        <f>IFERROR(__xludf.DUMMYFUNCTION("""COMPUTED_VALUE"""),"the kingdom")</f>
        <v>the kingdom</v>
      </c>
      <c r="B977" s="1" t="str">
        <f>IF(A977&lt;&gt;"", VLOOKUP(A977, imdb_netflix_v5!A$2:H$7370, 2, FALSE), "")</f>
        <v>TV Show</v>
      </c>
      <c r="C977" s="2" t="str">
        <f>IF(A977&lt;&gt;"", VLOOKUP(A977, imdb_netflix_v5!A$2:H$7370, 3, FALSE), "")</f>
        <v>Comedy, Drama, Fantasy</v>
      </c>
      <c r="D977" s="2">
        <f>IF(A977&lt;&gt;"", VLOOKUP(A977, imdb_netflix_v5!A$2:H$7370, 4, FALSE), "")</f>
        <v>8.2</v>
      </c>
      <c r="E977" s="2">
        <f>IF(A977&lt;&gt;"", VLOOKUP(A977, imdb_netflix_v5!A$2:H$7370, 5, FALSE), "")</f>
        <v>1994</v>
      </c>
      <c r="F977" s="2" t="str">
        <f>IF(A977&lt;&gt;"", VLOOKUP(A977, imdb_netflix_v5!A$2:H$7370, 7, FALSE), "")</f>
        <v>NA</v>
      </c>
    </row>
    <row r="978" ht="15.75" customHeight="1">
      <c r="A978" s="1" t="str">
        <f>IFERROR(__xludf.DUMMYFUNCTION("""COMPUTED_VALUE"""),"leverage redemption")</f>
        <v>leverage redemption</v>
      </c>
      <c r="B978" s="1" t="str">
        <f>IF(A978&lt;&gt;"", VLOOKUP(A978, imdb_netflix_v5!A$2:H$7370, 2, FALSE), "")</f>
        <v>TV Show</v>
      </c>
      <c r="C978" s="2" t="str">
        <f>IF(A978&lt;&gt;"", VLOOKUP(A978, imdb_netflix_v5!A$2:H$7370, 3, FALSE), "")</f>
        <v>Crime, Mystery, Thriller</v>
      </c>
      <c r="D978" s="2">
        <f>IF(A978&lt;&gt;"", VLOOKUP(A978, imdb_netflix_v5!A$2:H$7370, 4, FALSE), "")</f>
        <v>8.2</v>
      </c>
      <c r="E978" s="2">
        <f>IF(A978&lt;&gt;"", VLOOKUP(A978, imdb_netflix_v5!A$2:H$7370, 5, FALSE), "")</f>
        <v>2021</v>
      </c>
      <c r="F978" s="2" t="str">
        <f>IF(A978&lt;&gt;"", VLOOKUP(A978, imdb_netflix_v5!A$2:H$7370, 7, FALSE), "")</f>
        <v>NA</v>
      </c>
    </row>
    <row r="979" ht="15.75" customHeight="1">
      <c r="A979" s="1" t="str">
        <f>IFERROR(__xludf.DUMMYFUNCTION("""COMPUTED_VALUE"""),"genius")</f>
        <v>genius</v>
      </c>
      <c r="B979" s="1" t="str">
        <f>IF(A979&lt;&gt;"", VLOOKUP(A979, imdb_netflix_v5!A$2:H$7370, 2, FALSE), "")</f>
        <v>TV Show</v>
      </c>
      <c r="C979" s="2" t="str">
        <f>IF(A979&lt;&gt;"", VLOOKUP(A979, imdb_netflix_v5!A$2:H$7370, 3, FALSE), "")</f>
        <v>Biography, Drama, History</v>
      </c>
      <c r="D979" s="2">
        <f>IF(A979&lt;&gt;"", VLOOKUP(A979, imdb_netflix_v5!A$2:H$7370, 4, FALSE), "")</f>
        <v>8.2</v>
      </c>
      <c r="E979" s="2">
        <f>IF(A979&lt;&gt;"", VLOOKUP(A979, imdb_netflix_v5!A$2:H$7370, 5, FALSE), "")</f>
        <v>2017</v>
      </c>
      <c r="F979" s="2" t="str">
        <f>IF(A979&lt;&gt;"", VLOOKUP(A979, imdb_netflix_v5!A$2:H$7370, 7, FALSE), "")</f>
        <v>NA</v>
      </c>
    </row>
    <row r="980" ht="15.75" customHeight="1">
      <c r="A980" s="1" t="str">
        <f>IFERROR(__xludf.DUMMYFUNCTION("""COMPUTED_VALUE"""),"apharan")</f>
        <v>apharan</v>
      </c>
      <c r="B980" s="1" t="str">
        <f>IF(A980&lt;&gt;"", VLOOKUP(A980, imdb_netflix_v5!A$2:H$7370, 2, FALSE), "")</f>
        <v>TV Show</v>
      </c>
      <c r="C980" s="2" t="str">
        <f>IF(A980&lt;&gt;"", VLOOKUP(A980, imdb_netflix_v5!A$2:H$7370, 3, FALSE), "")</f>
        <v>Crime, Thriller</v>
      </c>
      <c r="D980" s="2">
        <f>IF(A980&lt;&gt;"", VLOOKUP(A980, imdb_netflix_v5!A$2:H$7370, 4, FALSE), "")</f>
        <v>8.2</v>
      </c>
      <c r="E980" s="2">
        <f>IF(A980&lt;&gt;"", VLOOKUP(A980, imdb_netflix_v5!A$2:H$7370, 5, FALSE), "")</f>
        <v>2018</v>
      </c>
      <c r="F980" s="2" t="str">
        <f>IF(A980&lt;&gt;"", VLOOKUP(A980, imdb_netflix_v5!A$2:H$7370, 7, FALSE), "")</f>
        <v>NA</v>
      </c>
    </row>
    <row r="981" ht="15.75" customHeight="1">
      <c r="A981" s="1" t="str">
        <f>IFERROR(__xludf.DUMMYFUNCTION("""COMPUTED_VALUE"""),"late spring")</f>
        <v>late spring</v>
      </c>
      <c r="B981" s="1" t="str">
        <f>IF(A981&lt;&gt;"", VLOOKUP(A981, imdb_netflix_v5!A$2:H$7370, 2, FALSE), "")</f>
        <v>Movie</v>
      </c>
      <c r="C981" s="2" t="str">
        <f>IF(A981&lt;&gt;"", VLOOKUP(A981, imdb_netflix_v5!A$2:H$7370, 3, FALSE), "")</f>
        <v>Comedy, Drama</v>
      </c>
      <c r="D981" s="2">
        <f>IF(A981&lt;&gt;"", VLOOKUP(A981, imdb_netflix_v5!A$2:H$7370, 4, FALSE), "")</f>
        <v>8.2</v>
      </c>
      <c r="E981" s="2">
        <f>IF(A981&lt;&gt;"", VLOOKUP(A981, imdb_netflix_v5!A$2:H$7370, 5, FALSE), "")</f>
        <v>1949</v>
      </c>
      <c r="F981" s="2" t="str">
        <f>IF(A981&lt;&gt;"", VLOOKUP(A981, imdb_netflix_v5!A$2:H$7370, 7, FALSE), "")</f>
        <v>NA</v>
      </c>
    </row>
    <row r="982" ht="15.75" customHeight="1">
      <c r="A982" s="1" t="str">
        <f>IFERROR(__xludf.DUMMYFUNCTION("""COMPUTED_VALUE"""),"strong girl bong-soon")</f>
        <v>strong girl bong-soon</v>
      </c>
      <c r="B982" s="1" t="str">
        <f>IF(A982&lt;&gt;"", VLOOKUP(A982, imdb_netflix_v5!A$2:H$7370, 2, FALSE), "")</f>
        <v>TV Show</v>
      </c>
      <c r="C982" s="2" t="str">
        <f>IF(A982&lt;&gt;"", VLOOKUP(A982, imdb_netflix_v5!A$2:H$7370, 3, FALSE), "")</f>
        <v>Comedy, Crime, Drama</v>
      </c>
      <c r="D982" s="2">
        <f>IF(A982&lt;&gt;"", VLOOKUP(A982, imdb_netflix_v5!A$2:H$7370, 4, FALSE), "")</f>
        <v>8.2</v>
      </c>
      <c r="E982" s="2">
        <f>IF(A982&lt;&gt;"", VLOOKUP(A982, imdb_netflix_v5!A$2:H$7370, 5, FALSE), "")</f>
        <v>2017</v>
      </c>
      <c r="F982" s="2" t="str">
        <f>IF(A982&lt;&gt;"", VLOOKUP(A982, imdb_netflix_v5!A$2:H$7370, 7, FALSE), "")</f>
        <v>NA</v>
      </c>
    </row>
    <row r="983" ht="15.75" customHeight="1">
      <c r="A983" s="1" t="str">
        <f>IFERROR(__xludf.DUMMYFUNCTION("""COMPUTED_VALUE"""),"scooby-doo! mystery incorporated")</f>
        <v>scooby-doo! mystery incorporated</v>
      </c>
      <c r="B983" s="1" t="str">
        <f>IF(A983&lt;&gt;"", VLOOKUP(A983, imdb_netflix_v5!A$2:H$7370, 2, FALSE), "")</f>
        <v>TV Show</v>
      </c>
      <c r="C983" s="2" t="str">
        <f>IF(A983&lt;&gt;"", VLOOKUP(A983, imdb_netflix_v5!A$2:H$7370, 3, FALSE), "")</f>
        <v>Adventure, Animation, Comedy</v>
      </c>
      <c r="D983" s="2">
        <f>IF(A983&lt;&gt;"", VLOOKUP(A983, imdb_netflix_v5!A$2:H$7370, 4, FALSE), "")</f>
        <v>8.2</v>
      </c>
      <c r="E983" s="2">
        <f>IF(A983&lt;&gt;"", VLOOKUP(A983, imdb_netflix_v5!A$2:H$7370, 5, FALSE), "")</f>
        <v>2010</v>
      </c>
      <c r="F983" s="2" t="str">
        <f>IF(A983&lt;&gt;"", VLOOKUP(A983, imdb_netflix_v5!A$2:H$7370, 7, FALSE), "")</f>
        <v>NA</v>
      </c>
    </row>
    <row r="984" ht="15.75" customHeight="1">
      <c r="A984" s="1" t="str">
        <f>IFERROR(__xludf.DUMMYFUNCTION("""COMPUTED_VALUE"""),"late night with conan obrien")</f>
        <v>late night with conan obrien</v>
      </c>
      <c r="B984" s="1" t="str">
        <f>IF(A984&lt;&gt;"", VLOOKUP(A984, imdb_netflix_v5!A$2:H$7370, 2, FALSE), "")</f>
        <v>TV Show</v>
      </c>
      <c r="C984" s="2" t="str">
        <f>IF(A984&lt;&gt;"", VLOOKUP(A984, imdb_netflix_v5!A$2:H$7370, 3, FALSE), "")</f>
        <v>Comedy, Music, Talk-Show</v>
      </c>
      <c r="D984" s="2">
        <f>IF(A984&lt;&gt;"", VLOOKUP(A984, imdb_netflix_v5!A$2:H$7370, 4, FALSE), "")</f>
        <v>8.2</v>
      </c>
      <c r="E984" s="2">
        <f>IF(A984&lt;&gt;"", VLOOKUP(A984, imdb_netflix_v5!A$2:H$7370, 5, FALSE), "")</f>
        <v>1993</v>
      </c>
      <c r="F984" s="2" t="str">
        <f>IF(A984&lt;&gt;"", VLOOKUP(A984, imdb_netflix_v5!A$2:H$7370, 7, FALSE), "")</f>
        <v>NA</v>
      </c>
    </row>
    <row r="985" ht="15.75" customHeight="1">
      <c r="A985" s="1" t="str">
        <f>IFERROR(__xludf.DUMMYFUNCTION("""COMPUTED_VALUE"""),"ivan vasilyevich changes his profession")</f>
        <v>ivan vasilyevich changes his profession</v>
      </c>
      <c r="B985" s="1" t="str">
        <f>IF(A985&lt;&gt;"", VLOOKUP(A985, imdb_netflix_v5!A$2:H$7370, 2, FALSE), "")</f>
        <v>Movie</v>
      </c>
      <c r="C985" s="2" t="str">
        <f>IF(A985&lt;&gt;"", VLOOKUP(A985, imdb_netflix_v5!A$2:H$7370, 3, FALSE), "")</f>
        <v>Adventure, Comedy, Sci-Fi</v>
      </c>
      <c r="D985" s="2">
        <f>IF(A985&lt;&gt;"", VLOOKUP(A985, imdb_netflix_v5!A$2:H$7370, 4, FALSE), "")</f>
        <v>8.2</v>
      </c>
      <c r="E985" s="2">
        <f>IF(A985&lt;&gt;"", VLOOKUP(A985, imdb_netflix_v5!A$2:H$7370, 5, FALSE), "")</f>
        <v>1973</v>
      </c>
      <c r="F985" s="2" t="str">
        <f>IF(A985&lt;&gt;"", VLOOKUP(A985, imdb_netflix_v5!A$2:H$7370, 7, FALSE), "")</f>
        <v>NA</v>
      </c>
    </row>
    <row r="986" ht="15.75" customHeight="1">
      <c r="A986" s="1" t="str">
        <f>IFERROR(__xludf.DUMMYFUNCTION("""COMPUTED_VALUE"""),"patriot")</f>
        <v>patriot</v>
      </c>
      <c r="B986" s="1" t="str">
        <f>IF(A986&lt;&gt;"", VLOOKUP(A986, imdb_netflix_v5!A$2:H$7370, 2, FALSE), "")</f>
        <v>TV Show</v>
      </c>
      <c r="C986" s="2" t="str">
        <f>IF(A986&lt;&gt;"", VLOOKUP(A986, imdb_netflix_v5!A$2:H$7370, 3, FALSE), "")</f>
        <v>Comedy, Drama, Thriller</v>
      </c>
      <c r="D986" s="2">
        <f>IF(A986&lt;&gt;"", VLOOKUP(A986, imdb_netflix_v5!A$2:H$7370, 4, FALSE), "")</f>
        <v>8.2</v>
      </c>
      <c r="E986" s="2">
        <f>IF(A986&lt;&gt;"", VLOOKUP(A986, imdb_netflix_v5!A$2:H$7370, 5, FALSE), "")</f>
        <v>2015</v>
      </c>
      <c r="F986" s="2" t="str">
        <f>IF(A986&lt;&gt;"", VLOOKUP(A986, imdb_netflix_v5!A$2:H$7370, 7, FALSE), "")</f>
        <v>NA</v>
      </c>
    </row>
    <row r="987" ht="15.75" customHeight="1">
      <c r="A987" s="1" t="str">
        <f>IFERROR(__xludf.DUMMYFUNCTION("""COMPUTED_VALUE"""),"hi nanna")</f>
        <v>hi nanna</v>
      </c>
      <c r="B987" s="1" t="str">
        <f>IF(A987&lt;&gt;"", VLOOKUP(A987, imdb_netflix_v5!A$2:H$7370, 2, FALSE), "")</f>
        <v>Movie</v>
      </c>
      <c r="C987" s="2" t="str">
        <f>IF(A987&lt;&gt;"", VLOOKUP(A987, imdb_netflix_v5!A$2:H$7370, 3, FALSE), "")</f>
        <v>Drama, Family, Romance</v>
      </c>
      <c r="D987" s="2">
        <f>IF(A987&lt;&gt;"", VLOOKUP(A987, imdb_netflix_v5!A$2:H$7370, 4, FALSE), "")</f>
        <v>8.2</v>
      </c>
      <c r="E987" s="2">
        <f>IF(A987&lt;&gt;"", VLOOKUP(A987, imdb_netflix_v5!A$2:H$7370, 5, FALSE), "")</f>
        <v>2023</v>
      </c>
      <c r="F987" s="2" t="str">
        <f>IF(A987&lt;&gt;"", VLOOKUP(A987, imdb_netflix_v5!A$2:H$7370, 7, FALSE), "")</f>
        <v>NA</v>
      </c>
    </row>
    <row r="988" ht="15.75" customHeight="1">
      <c r="A988" s="1" t="str">
        <f>IFERROR(__xludf.DUMMYFUNCTION("""COMPUTED_VALUE"""),"paris is burning")</f>
        <v>paris is burning</v>
      </c>
      <c r="B988" s="1" t="str">
        <f>IF(A988&lt;&gt;"", VLOOKUP(A988, imdb_netflix_v5!A$2:H$7370, 2, FALSE), "")</f>
        <v>Movie</v>
      </c>
      <c r="C988" s="2" t="str">
        <f>IF(A988&lt;&gt;"", VLOOKUP(A988, imdb_netflix_v5!A$2:H$7370, 3, FALSE), "")</f>
        <v>Documentary</v>
      </c>
      <c r="D988" s="2">
        <f>IF(A988&lt;&gt;"", VLOOKUP(A988, imdb_netflix_v5!A$2:H$7370, 4, FALSE), "")</f>
        <v>8.2</v>
      </c>
      <c r="E988" s="2">
        <f>IF(A988&lt;&gt;"", VLOOKUP(A988, imdb_netflix_v5!A$2:H$7370, 5, FALSE), "")</f>
        <v>1990</v>
      </c>
      <c r="F988" s="2" t="str">
        <f>IF(A988&lt;&gt;"", VLOOKUP(A988, imdb_netflix_v5!A$2:H$7370, 7, FALSE), "")</f>
        <v>NA</v>
      </c>
    </row>
    <row r="989" ht="15.75" customHeight="1">
      <c r="A989" s="1" t="str">
        <f>IFERROR(__xludf.DUMMYFUNCTION("""COMPUTED_VALUE"""),"paradise lost the child murders at robin hood hills")</f>
        <v>paradise lost the child murders at robin hood hills</v>
      </c>
      <c r="B989" s="1" t="str">
        <f>IF(A989&lt;&gt;"", VLOOKUP(A989, imdb_netflix_v5!A$2:H$7370, 2, FALSE), "")</f>
        <v>Movie</v>
      </c>
      <c r="C989" s="2" t="str">
        <f>IF(A989&lt;&gt;"", VLOOKUP(A989, imdb_netflix_v5!A$2:H$7370, 3, FALSE), "")</f>
        <v>Crime, Documentary</v>
      </c>
      <c r="D989" s="2">
        <f>IF(A989&lt;&gt;"", VLOOKUP(A989, imdb_netflix_v5!A$2:H$7370, 4, FALSE), "")</f>
        <v>8.2</v>
      </c>
      <c r="E989" s="2">
        <f>IF(A989&lt;&gt;"", VLOOKUP(A989, imdb_netflix_v5!A$2:H$7370, 5, FALSE), "")</f>
        <v>1996</v>
      </c>
      <c r="F989" s="2" t="str">
        <f>IF(A989&lt;&gt;"", VLOOKUP(A989, imdb_netflix_v5!A$2:H$7370, 7, FALSE), "")</f>
        <v>NA</v>
      </c>
    </row>
    <row r="990" ht="15.75" customHeight="1">
      <c r="A990" s="1" t="str">
        <f>IFERROR(__xludf.DUMMYFUNCTION("""COMPUTED_VALUE"""),"super deluxe")</f>
        <v>super deluxe</v>
      </c>
      <c r="B990" s="1" t="str">
        <f>IF(A990&lt;&gt;"", VLOOKUP(A990, imdb_netflix_v5!A$2:H$7370, 2, FALSE), "")</f>
        <v>Movie</v>
      </c>
      <c r="C990" s="2" t="str">
        <f>IF(A990&lt;&gt;"", VLOOKUP(A990, imdb_netflix_v5!A$2:H$7370, 3, FALSE), "")</f>
        <v>Comedy, Crime, Drama</v>
      </c>
      <c r="D990" s="2">
        <f>IF(A990&lt;&gt;"", VLOOKUP(A990, imdb_netflix_v5!A$2:H$7370, 4, FALSE), "")</f>
        <v>8.2</v>
      </c>
      <c r="E990" s="2">
        <f>IF(A990&lt;&gt;"", VLOOKUP(A990, imdb_netflix_v5!A$2:H$7370, 5, FALSE), "")</f>
        <v>2019</v>
      </c>
      <c r="F990" s="2" t="str">
        <f>IF(A990&lt;&gt;"", VLOOKUP(A990, imdb_netflix_v5!A$2:H$7370, 7, FALSE), "")</f>
        <v>NA</v>
      </c>
    </row>
    <row r="991" ht="15.75" customHeight="1">
      <c r="A991" s="1" t="str">
        <f>IFERROR(__xludf.DUMMYFUNCTION("""COMPUTED_VALUE"""),"murdoch mysteries")</f>
        <v>murdoch mysteries</v>
      </c>
      <c r="B991" s="1" t="str">
        <f>IF(A991&lt;&gt;"", VLOOKUP(A991, imdb_netflix_v5!A$2:H$7370, 2, FALSE), "")</f>
        <v>TV Show</v>
      </c>
      <c r="C991" s="2" t="str">
        <f>IF(A991&lt;&gt;"", VLOOKUP(A991, imdb_netflix_v5!A$2:H$7370, 3, FALSE), "")</f>
        <v>Crime, Drama, Mystery</v>
      </c>
      <c r="D991" s="2">
        <f>IF(A991&lt;&gt;"", VLOOKUP(A991, imdb_netflix_v5!A$2:H$7370, 4, FALSE), "")</f>
        <v>8.2</v>
      </c>
      <c r="E991" s="2">
        <f>IF(A991&lt;&gt;"", VLOOKUP(A991, imdb_netflix_v5!A$2:H$7370, 5, FALSE), "")</f>
        <v>2008</v>
      </c>
      <c r="F991" s="2" t="str">
        <f>IF(A991&lt;&gt;"", VLOOKUP(A991, imdb_netflix_v5!A$2:H$7370, 7, FALSE), "")</f>
        <v>NA</v>
      </c>
    </row>
    <row r="992" ht="15.75" customHeight="1">
      <c r="A992" s="1" t="str">
        <f>IFERROR(__xludf.DUMMYFUNCTION("""COMPUTED_VALUE"""),"miss fishers murder mysteries")</f>
        <v>miss fishers murder mysteries</v>
      </c>
      <c r="B992" s="1" t="str">
        <f>IF(A992&lt;&gt;"", VLOOKUP(A992, imdb_netflix_v5!A$2:H$7370, 2, FALSE), "")</f>
        <v>TV Show</v>
      </c>
      <c r="C992" s="2" t="str">
        <f>IF(A992&lt;&gt;"", VLOOKUP(A992, imdb_netflix_v5!A$2:H$7370, 3, FALSE), "")</f>
        <v>Crime, Drama, History</v>
      </c>
      <c r="D992" s="2">
        <f>IF(A992&lt;&gt;"", VLOOKUP(A992, imdb_netflix_v5!A$2:H$7370, 4, FALSE), "")</f>
        <v>8.2</v>
      </c>
      <c r="E992" s="2">
        <f>IF(A992&lt;&gt;"", VLOOKUP(A992, imdb_netflix_v5!A$2:H$7370, 5, FALSE), "")</f>
        <v>2012</v>
      </c>
      <c r="F992" s="2" t="str">
        <f>IF(A992&lt;&gt;"", VLOOKUP(A992, imdb_netflix_v5!A$2:H$7370, 7, FALSE), "")</f>
        <v>NA</v>
      </c>
    </row>
    <row r="993" ht="15.75" customHeight="1">
      <c r="A993" s="1" t="str">
        <f>IFERROR(__xludf.DUMMYFUNCTION("""COMPUTED_VALUE"""),"life and a day")</f>
        <v>life and a day</v>
      </c>
      <c r="B993" s="1" t="str">
        <f>IF(A993&lt;&gt;"", VLOOKUP(A993, imdb_netflix_v5!A$2:H$7370, 2, FALSE), "")</f>
        <v>Movie</v>
      </c>
      <c r="C993" s="2" t="str">
        <f>IF(A993&lt;&gt;"", VLOOKUP(A993, imdb_netflix_v5!A$2:H$7370, 3, FALSE), "")</f>
        <v>Drama</v>
      </c>
      <c r="D993" s="2">
        <f>IF(A993&lt;&gt;"", VLOOKUP(A993, imdb_netflix_v5!A$2:H$7370, 4, FALSE), "")</f>
        <v>8.2</v>
      </c>
      <c r="E993" s="2">
        <f>IF(A993&lt;&gt;"", VLOOKUP(A993, imdb_netflix_v5!A$2:H$7370, 5, FALSE), "")</f>
        <v>2016</v>
      </c>
      <c r="F993" s="2" t="str">
        <f>IF(A993&lt;&gt;"", VLOOKUP(A993, imdb_netflix_v5!A$2:H$7370, 7, FALSE), "")</f>
        <v>NA</v>
      </c>
    </row>
    <row r="994" ht="15.75" customHeight="1">
      <c r="A994" s="1" t="str">
        <f>IFERROR(__xludf.DUMMYFUNCTION("""COMPUTED_VALUE"""),"shahid")</f>
        <v>shahid</v>
      </c>
      <c r="B994" s="1" t="str">
        <f>IF(A994&lt;&gt;"", VLOOKUP(A994, imdb_netflix_v5!A$2:H$7370, 2, FALSE), "")</f>
        <v>Movie</v>
      </c>
      <c r="C994" s="2" t="str">
        <f>IF(A994&lt;&gt;"", VLOOKUP(A994, imdb_netflix_v5!A$2:H$7370, 3, FALSE), "")</f>
        <v>Biography, Drama</v>
      </c>
      <c r="D994" s="2">
        <f>IF(A994&lt;&gt;"", VLOOKUP(A994, imdb_netflix_v5!A$2:H$7370, 4, FALSE), "")</f>
        <v>8.2</v>
      </c>
      <c r="E994" s="2">
        <f>IF(A994&lt;&gt;"", VLOOKUP(A994, imdb_netflix_v5!A$2:H$7370, 5, FALSE), "")</f>
        <v>2012</v>
      </c>
      <c r="F994" s="2" t="str">
        <f>IF(A994&lt;&gt;"", VLOOKUP(A994, imdb_netflix_v5!A$2:H$7370, 7, FALSE), "")</f>
        <v>NA</v>
      </c>
    </row>
    <row r="995" ht="15.75" customHeight="1">
      <c r="A995" s="1" t="str">
        <f>IFERROR(__xludf.DUMMYFUNCTION("""COMPUTED_VALUE"""),"ghilli")</f>
        <v>ghilli</v>
      </c>
      <c r="B995" s="1" t="str">
        <f>IF(A995&lt;&gt;"", VLOOKUP(A995, imdb_netflix_v5!A$2:H$7370, 2, FALSE), "")</f>
        <v>Movie</v>
      </c>
      <c r="C995" s="2" t="str">
        <f>IF(A995&lt;&gt;"", VLOOKUP(A995, imdb_netflix_v5!A$2:H$7370, 3, FALSE), "")</f>
        <v>Action, Drama, Romance</v>
      </c>
      <c r="D995" s="2">
        <f>IF(A995&lt;&gt;"", VLOOKUP(A995, imdb_netflix_v5!A$2:H$7370, 4, FALSE), "")</f>
        <v>8.2</v>
      </c>
      <c r="E995" s="2">
        <f>IF(A995&lt;&gt;"", VLOOKUP(A995, imdb_netflix_v5!A$2:H$7370, 5, FALSE), "")</f>
        <v>2004</v>
      </c>
      <c r="F995" s="2" t="str">
        <f>IF(A995&lt;&gt;"", VLOOKUP(A995, imdb_netflix_v5!A$2:H$7370, 7, FALSE), "")</f>
        <v>NA</v>
      </c>
    </row>
    <row r="996" ht="15.75" customHeight="1">
      <c r="A996" s="1" t="str">
        <f>IFERROR(__xludf.DUMMYFUNCTION("""COMPUTED_VALUE"""),"ordet")</f>
        <v>ordet</v>
      </c>
      <c r="B996" s="1" t="str">
        <f>IF(A996&lt;&gt;"", VLOOKUP(A996, imdb_netflix_v5!A$2:H$7370, 2, FALSE), "")</f>
        <v>Movie</v>
      </c>
      <c r="C996" s="2" t="str">
        <f>IF(A996&lt;&gt;"", VLOOKUP(A996, imdb_netflix_v5!A$2:H$7370, 3, FALSE), "")</f>
        <v>Drama</v>
      </c>
      <c r="D996" s="2">
        <f>IF(A996&lt;&gt;"", VLOOKUP(A996, imdb_netflix_v5!A$2:H$7370, 4, FALSE), "")</f>
        <v>8.2</v>
      </c>
      <c r="E996" s="2">
        <f>IF(A996&lt;&gt;"", VLOOKUP(A996, imdb_netflix_v5!A$2:H$7370, 5, FALSE), "")</f>
        <v>1955</v>
      </c>
      <c r="F996" s="2" t="str">
        <f>IF(A996&lt;&gt;"", VLOOKUP(A996, imdb_netflix_v5!A$2:H$7370, 7, FALSE), "")</f>
        <v>NA</v>
      </c>
    </row>
    <row r="997" ht="15.75" customHeight="1">
      <c r="A997" s="1" t="str">
        <f>IFERROR(__xludf.DUMMYFUNCTION("""COMPUTED_VALUE"""),"lion of the desert")</f>
        <v>lion of the desert</v>
      </c>
      <c r="B997" s="1" t="str">
        <f>IF(A997&lt;&gt;"", VLOOKUP(A997, imdb_netflix_v5!A$2:H$7370, 2, FALSE), "")</f>
        <v>Movie</v>
      </c>
      <c r="C997" s="2" t="str">
        <f>IF(A997&lt;&gt;"", VLOOKUP(A997, imdb_netflix_v5!A$2:H$7370, 3, FALSE), "")</f>
        <v>Biography, Drama, History</v>
      </c>
      <c r="D997" s="2">
        <f>IF(A997&lt;&gt;"", VLOOKUP(A997, imdb_netflix_v5!A$2:H$7370, 4, FALSE), "")</f>
        <v>8.2</v>
      </c>
      <c r="E997" s="2">
        <f>IF(A997&lt;&gt;"", VLOOKUP(A997, imdb_netflix_v5!A$2:H$7370, 5, FALSE), "")</f>
        <v>1980</v>
      </c>
      <c r="F997" s="2" t="str">
        <f>IF(A997&lt;&gt;"", VLOOKUP(A997, imdb_netflix_v5!A$2:H$7370, 7, FALSE), "")</f>
        <v>NA</v>
      </c>
    </row>
    <row r="998" ht="15.75" customHeight="1">
      <c r="A998" s="1" t="str">
        <f>IFERROR(__xludf.DUMMYFUNCTION("""COMPUTED_VALUE"""),"a face in the crowd")</f>
        <v>a face in the crowd</v>
      </c>
      <c r="B998" s="1" t="str">
        <f>IF(A998&lt;&gt;"", VLOOKUP(A998, imdb_netflix_v5!A$2:H$7370, 2, FALSE), "")</f>
        <v>Movie</v>
      </c>
      <c r="C998" s="2" t="str">
        <f>IF(A998&lt;&gt;"", VLOOKUP(A998, imdb_netflix_v5!A$2:H$7370, 3, FALSE), "")</f>
        <v>Drama, Music</v>
      </c>
      <c r="D998" s="2">
        <f>IF(A998&lt;&gt;"", VLOOKUP(A998, imdb_netflix_v5!A$2:H$7370, 4, FALSE), "")</f>
        <v>8.2</v>
      </c>
      <c r="E998" s="2">
        <f>IF(A998&lt;&gt;"", VLOOKUP(A998, imdb_netflix_v5!A$2:H$7370, 5, FALSE), "")</f>
        <v>1957</v>
      </c>
      <c r="F998" s="2" t="str">
        <f>IF(A998&lt;&gt;"", VLOOKUP(A998, imdb_netflix_v5!A$2:H$7370, 7, FALSE), "")</f>
        <v>NA</v>
      </c>
    </row>
    <row r="999" ht="15.75" customHeight="1">
      <c r="A999" s="1" t="str">
        <f>IFERROR(__xludf.DUMMYFUNCTION("""COMPUTED_VALUE"""),"shaun the sheep")</f>
        <v>shaun the sheep</v>
      </c>
      <c r="B999" s="1" t="str">
        <f>IF(A999&lt;&gt;"", VLOOKUP(A999, imdb_netflix_v5!A$2:H$7370, 2, FALSE), "")</f>
        <v>TV Show</v>
      </c>
      <c r="C999" s="2" t="str">
        <f>IF(A999&lt;&gt;"", VLOOKUP(A999, imdb_netflix_v5!A$2:H$7370, 3, FALSE), "")</f>
        <v>Animation, Comedy, Family</v>
      </c>
      <c r="D999" s="2">
        <f>IF(A999&lt;&gt;"", VLOOKUP(A999, imdb_netflix_v5!A$2:H$7370, 4, FALSE), "")</f>
        <v>8.2</v>
      </c>
      <c r="E999" s="2">
        <f>IF(A999&lt;&gt;"", VLOOKUP(A999, imdb_netflix_v5!A$2:H$7370, 5, FALSE), "")</f>
        <v>2007</v>
      </c>
      <c r="F999" s="2" t="str">
        <f>IF(A999&lt;&gt;"", VLOOKUP(A999, imdb_netflix_v5!A$2:H$7370, 7, FALSE), "")</f>
        <v>NA</v>
      </c>
    </row>
    <row r="1000" ht="15.75" customHeight="1">
      <c r="A1000" s="1" t="str">
        <f>IFERROR(__xludf.DUMMYFUNCTION("""COMPUTED_VALUE"""),"miranda")</f>
        <v>miranda</v>
      </c>
      <c r="B1000" s="1" t="str">
        <f>IF(A1000&lt;&gt;"", VLOOKUP(A1000, imdb_netflix_v5!A$2:H$7370, 2, FALSE), "")</f>
        <v>TV Show</v>
      </c>
      <c r="C1000" s="2" t="str">
        <f>IF(A1000&lt;&gt;"", VLOOKUP(A1000, imdb_netflix_v5!A$2:H$7370, 3, FALSE), "")</f>
        <v>Comedy</v>
      </c>
      <c r="D1000" s="2">
        <f>IF(A1000&lt;&gt;"", VLOOKUP(A1000, imdb_netflix_v5!A$2:H$7370, 4, FALSE), "")</f>
        <v>8.2</v>
      </c>
      <c r="E1000" s="2">
        <f>IF(A1000&lt;&gt;"", VLOOKUP(A1000, imdb_netflix_v5!A$2:H$7370, 5, FALSE), "")</f>
        <v>2009</v>
      </c>
      <c r="F1000" s="2" t="str">
        <f>IF(A1000&lt;&gt;"", VLOOKUP(A1000, imdb_netflix_v5!A$2:H$7370, 7, FALSE), "")</f>
        <v>NA</v>
      </c>
    </row>
    <row r="1001" ht="15.75" customHeight="1">
      <c r="A1001" s="1" t="str">
        <f>IFERROR(__xludf.DUMMYFUNCTION("""COMPUTED_VALUE"""),"theeran adhigaram ondru")</f>
        <v>theeran adhigaram ondru</v>
      </c>
      <c r="B1001" s="1" t="str">
        <f>IF(A1001&lt;&gt;"", VLOOKUP(A1001, imdb_netflix_v5!A$2:H$7370, 2, FALSE), "")</f>
        <v>Movie</v>
      </c>
      <c r="C1001" s="2" t="str">
        <f>IF(A1001&lt;&gt;"", VLOOKUP(A1001, imdb_netflix_v5!A$2:H$7370, 3, FALSE), "")</f>
        <v>Action, Crime, Thriller</v>
      </c>
      <c r="D1001" s="2">
        <f>IF(A1001&lt;&gt;"", VLOOKUP(A1001, imdb_netflix_v5!A$2:H$7370, 4, FALSE), "")</f>
        <v>8.2</v>
      </c>
      <c r="E1001" s="2">
        <f>IF(A1001&lt;&gt;"", VLOOKUP(A1001, imdb_netflix_v5!A$2:H$7370, 5, FALSE), "")</f>
        <v>2017</v>
      </c>
      <c r="F1001" s="2" t="str">
        <f>IF(A1001&lt;&gt;"", VLOOKUP(A1001, imdb_netflix_v5!A$2:H$7370, 7, FALSE), "")</f>
        <v>NA</v>
      </c>
    </row>
    <row r="1002" ht="15.75" customHeight="1">
      <c r="A1002" s="1" t="str">
        <f>IFERROR(__xludf.DUMMYFUNCTION("""COMPUTED_VALUE"""),"dhuruvangal pathinaaru")</f>
        <v>dhuruvangal pathinaaru</v>
      </c>
      <c r="B1002" s="1" t="str">
        <f>IF(A1002&lt;&gt;"", VLOOKUP(A1002, imdb_netflix_v5!A$2:H$7370, 2, FALSE), "")</f>
        <v>Movie</v>
      </c>
      <c r="C1002" s="2" t="str">
        <f>IF(A1002&lt;&gt;"", VLOOKUP(A1002, imdb_netflix_v5!A$2:H$7370, 3, FALSE), "")</f>
        <v>Crime, Drama, Mystery</v>
      </c>
      <c r="D1002" s="2">
        <f>IF(A1002&lt;&gt;"", VLOOKUP(A1002, imdb_netflix_v5!A$2:H$7370, 4, FALSE), "")</f>
        <v>8.2</v>
      </c>
      <c r="E1002" s="2">
        <f>IF(A1002&lt;&gt;"", VLOOKUP(A1002, imdb_netflix_v5!A$2:H$7370, 5, FALSE), "")</f>
        <v>2016</v>
      </c>
      <c r="F1002" s="2" t="str">
        <f>IF(A1002&lt;&gt;"", VLOOKUP(A1002, imdb_netflix_v5!A$2:H$7370, 7, FALSE), "")</f>
        <v>NA</v>
      </c>
    </row>
    <row r="1003" ht="15.75" customHeight="1">
      <c r="A1003" s="1" t="str">
        <f>IFERROR(__xludf.DUMMYFUNCTION("""COMPUTED_VALUE"""),"my love from another star")</f>
        <v>my love from another star</v>
      </c>
      <c r="B1003" s="1" t="str">
        <f>IF(A1003&lt;&gt;"", VLOOKUP(A1003, imdb_netflix_v5!A$2:H$7370, 2, FALSE), "")</f>
        <v>TV Show</v>
      </c>
      <c r="C1003" s="2" t="str">
        <f>IF(A1003&lt;&gt;"", VLOOKUP(A1003, imdb_netflix_v5!A$2:H$7370, 3, FALSE), "")</f>
        <v>Comedy, Drama, Fantasy</v>
      </c>
      <c r="D1003" s="2">
        <f>IF(A1003&lt;&gt;"", VLOOKUP(A1003, imdb_netflix_v5!A$2:H$7370, 4, FALSE), "")</f>
        <v>8.2</v>
      </c>
      <c r="E1003" s="2">
        <f>IF(A1003&lt;&gt;"", VLOOKUP(A1003, imdb_netflix_v5!A$2:H$7370, 5, FALSE), "")</f>
        <v>2013</v>
      </c>
      <c r="F1003" s="2" t="str">
        <f>IF(A1003&lt;&gt;"", VLOOKUP(A1003, imdb_netflix_v5!A$2:H$7370, 7, FALSE), "")</f>
        <v>NA</v>
      </c>
    </row>
    <row r="1004" ht="15.75" customHeight="1">
      <c r="A1004" s="1" t="str">
        <f>IFERROR(__xludf.DUMMYFUNCTION("""COMPUTED_VALUE"""),"ustad hotel")</f>
        <v>ustad hotel</v>
      </c>
      <c r="B1004" s="1" t="str">
        <f>IF(A1004&lt;&gt;"", VLOOKUP(A1004, imdb_netflix_v5!A$2:H$7370, 2, FALSE), "")</f>
        <v>Movie</v>
      </c>
      <c r="C1004" s="2" t="str">
        <f>IF(A1004&lt;&gt;"", VLOOKUP(A1004, imdb_netflix_v5!A$2:H$7370, 3, FALSE), "")</f>
        <v>Comedy, Drama</v>
      </c>
      <c r="D1004" s="2">
        <f>IF(A1004&lt;&gt;"", VLOOKUP(A1004, imdb_netflix_v5!A$2:H$7370, 4, FALSE), "")</f>
        <v>8.2</v>
      </c>
      <c r="E1004" s="2">
        <f>IF(A1004&lt;&gt;"", VLOOKUP(A1004, imdb_netflix_v5!A$2:H$7370, 5, FALSE), "")</f>
        <v>2012</v>
      </c>
      <c r="F1004" s="2" t="str">
        <f>IF(A1004&lt;&gt;"", VLOOKUP(A1004, imdb_netflix_v5!A$2:H$7370, 7, FALSE), "")</f>
        <v>NA</v>
      </c>
    </row>
    <row r="1005" ht="15.75" customHeight="1">
      <c r="A1005" s="1" t="str">
        <f>IFERROR(__xludf.DUMMYFUNCTION("""COMPUTED_VALUE"""),"farscape the peacekeeper wars")</f>
        <v>farscape the peacekeeper wars</v>
      </c>
      <c r="B1005" s="1" t="str">
        <f>IF(A1005&lt;&gt;"", VLOOKUP(A1005, imdb_netflix_v5!A$2:H$7370, 2, FALSE), "")</f>
        <v>TV Show</v>
      </c>
      <c r="C1005" s="2" t="str">
        <f>IF(A1005&lt;&gt;"", VLOOKUP(A1005, imdb_netflix_v5!A$2:H$7370, 3, FALSE), "")</f>
        <v>Action, Adventure, Drama</v>
      </c>
      <c r="D1005" s="2">
        <f>IF(A1005&lt;&gt;"", VLOOKUP(A1005, imdb_netflix_v5!A$2:H$7370, 4, FALSE), "")</f>
        <v>8.2</v>
      </c>
      <c r="E1005" s="2">
        <f>IF(A1005&lt;&gt;"", VLOOKUP(A1005, imdb_netflix_v5!A$2:H$7370, 5, FALSE), "")</f>
        <v>2004</v>
      </c>
      <c r="F1005" s="2" t="str">
        <f>IF(A1005&lt;&gt;"", VLOOKUP(A1005, imdb_netflix_v5!A$2:H$7370, 7, FALSE), "")</f>
        <v>NA</v>
      </c>
    </row>
    <row r="1006" ht="15.75" customHeight="1">
      <c r="A1006" s="1" t="str">
        <f>IFERROR(__xludf.DUMMYFUNCTION("""COMPUTED_VALUE"""),"the young ones")</f>
        <v>the young ones</v>
      </c>
      <c r="B1006" s="1" t="str">
        <f>IF(A1006&lt;&gt;"", VLOOKUP(A1006, imdb_netflix_v5!A$2:H$7370, 2, FALSE), "")</f>
        <v>TV Show</v>
      </c>
      <c r="C1006" s="2" t="str">
        <f>IF(A1006&lt;&gt;"", VLOOKUP(A1006, imdb_netflix_v5!A$2:H$7370, 3, FALSE), "")</f>
        <v>Comedy</v>
      </c>
      <c r="D1006" s="2">
        <f>IF(A1006&lt;&gt;"", VLOOKUP(A1006, imdb_netflix_v5!A$2:H$7370, 4, FALSE), "")</f>
        <v>8.2</v>
      </c>
      <c r="E1006" s="2">
        <f>IF(A1006&lt;&gt;"", VLOOKUP(A1006, imdb_netflix_v5!A$2:H$7370, 5, FALSE), "")</f>
        <v>1982</v>
      </c>
      <c r="F1006" s="2" t="str">
        <f>IF(A1006&lt;&gt;"", VLOOKUP(A1006, imdb_netflix_v5!A$2:H$7370, 7, FALSE), "")</f>
        <v>NA</v>
      </c>
    </row>
    <row r="1007" ht="15.75" customHeight="1">
      <c r="A1007" s="1" t="str">
        <f>IFERROR(__xludf.DUMMYFUNCTION("""COMPUTED_VALUE"""),"are you afraid of the dark?")</f>
        <v>are you afraid of the dark?</v>
      </c>
      <c r="B1007" s="1" t="str">
        <f>IF(A1007&lt;&gt;"", VLOOKUP(A1007, imdb_netflix_v5!A$2:H$7370, 2, FALSE), "")</f>
        <v>TV Show</v>
      </c>
      <c r="C1007" s="2" t="str">
        <f>IF(A1007&lt;&gt;"", VLOOKUP(A1007, imdb_netflix_v5!A$2:H$7370, 3, FALSE), "")</f>
        <v>Drama, Fantasy, Horror</v>
      </c>
      <c r="D1007" s="2">
        <f>IF(A1007&lt;&gt;"", VLOOKUP(A1007, imdb_netflix_v5!A$2:H$7370, 4, FALSE), "")</f>
        <v>8.2</v>
      </c>
      <c r="E1007" s="2">
        <f>IF(A1007&lt;&gt;"", VLOOKUP(A1007, imdb_netflix_v5!A$2:H$7370, 5, FALSE), "")</f>
        <v>1990</v>
      </c>
      <c r="F1007" s="2" t="str">
        <f>IF(A1007&lt;&gt;"", VLOOKUP(A1007, imdb_netflix_v5!A$2:H$7370, 7, FALSE), "")</f>
        <v>NA</v>
      </c>
    </row>
    <row r="1008" ht="15.75" customHeight="1">
      <c r="A1008" s="1" t="str">
        <f>IFERROR(__xludf.DUMMYFUNCTION("""COMPUTED_VALUE"""),"aparajito")</f>
        <v>aparajito</v>
      </c>
      <c r="B1008" s="1" t="str">
        <f>IF(A1008&lt;&gt;"", VLOOKUP(A1008, imdb_netflix_v5!A$2:H$7370, 2, FALSE), "")</f>
        <v>Movie</v>
      </c>
      <c r="C1008" s="2" t="str">
        <f>IF(A1008&lt;&gt;"", VLOOKUP(A1008, imdb_netflix_v5!A$2:H$7370, 3, FALSE), "")</f>
        <v>Drama</v>
      </c>
      <c r="D1008" s="2">
        <f>IF(A1008&lt;&gt;"", VLOOKUP(A1008, imdb_netflix_v5!A$2:H$7370, 4, FALSE), "")</f>
        <v>8.2</v>
      </c>
      <c r="E1008" s="2">
        <f>IF(A1008&lt;&gt;"", VLOOKUP(A1008, imdb_netflix_v5!A$2:H$7370, 5, FALSE), "")</f>
        <v>1956</v>
      </c>
      <c r="F1008" s="2" t="str">
        <f>IF(A1008&lt;&gt;"", VLOOKUP(A1008, imdb_netflix_v5!A$2:H$7370, 7, FALSE), "")</f>
        <v>NA</v>
      </c>
    </row>
    <row r="1009" ht="15.75" customHeight="1">
      <c r="A1009" s="1" t="str">
        <f>IFERROR(__xludf.DUMMYFUNCTION("""COMPUTED_VALUE"""),"gentleman jack")</f>
        <v>gentleman jack</v>
      </c>
      <c r="B1009" s="1" t="str">
        <f>IF(A1009&lt;&gt;"", VLOOKUP(A1009, imdb_netflix_v5!A$2:H$7370, 2, FALSE), "")</f>
        <v>TV Show</v>
      </c>
      <c r="C1009" s="2" t="str">
        <f>IF(A1009&lt;&gt;"", VLOOKUP(A1009, imdb_netflix_v5!A$2:H$7370, 3, FALSE), "")</f>
        <v>Biography, Drama, History</v>
      </c>
      <c r="D1009" s="2">
        <f>IF(A1009&lt;&gt;"", VLOOKUP(A1009, imdb_netflix_v5!A$2:H$7370, 4, FALSE), "")</f>
        <v>8.2</v>
      </c>
      <c r="E1009" s="2">
        <f>IF(A1009&lt;&gt;"", VLOOKUP(A1009, imdb_netflix_v5!A$2:H$7370, 5, FALSE), "")</f>
        <v>2019</v>
      </c>
      <c r="F1009" s="2" t="str">
        <f>IF(A1009&lt;&gt;"", VLOOKUP(A1009, imdb_netflix_v5!A$2:H$7370, 7, FALSE), "")</f>
        <v>NA</v>
      </c>
    </row>
    <row r="1010" ht="15.75" customHeight="1">
      <c r="A1010" s="1" t="str">
        <f>IFERROR(__xludf.DUMMYFUNCTION("""COMPUTED_VALUE"""),"inspector lewis")</f>
        <v>inspector lewis</v>
      </c>
      <c r="B1010" s="1" t="str">
        <f>IF(A1010&lt;&gt;"", VLOOKUP(A1010, imdb_netflix_v5!A$2:H$7370, 2, FALSE), "")</f>
        <v>TV Show</v>
      </c>
      <c r="C1010" s="2" t="str">
        <f>IF(A1010&lt;&gt;"", VLOOKUP(A1010, imdb_netflix_v5!A$2:H$7370, 3, FALSE), "")</f>
        <v>Crime, Drama, Mystery</v>
      </c>
      <c r="D1010" s="2">
        <f>IF(A1010&lt;&gt;"", VLOOKUP(A1010, imdb_netflix_v5!A$2:H$7370, 4, FALSE), "")</f>
        <v>8.2</v>
      </c>
      <c r="E1010" s="2">
        <f>IF(A1010&lt;&gt;"", VLOOKUP(A1010, imdb_netflix_v5!A$2:H$7370, 5, FALSE), "")</f>
        <v>2006</v>
      </c>
      <c r="F1010" s="2" t="str">
        <f>IF(A1010&lt;&gt;"", VLOOKUP(A1010, imdb_netflix_v5!A$2:H$7370, 7, FALSE), "")</f>
        <v>NA</v>
      </c>
    </row>
    <row r="1011" ht="15.75" customHeight="1">
      <c r="A1011" s="1" t="str">
        <f>IFERROR(__xludf.DUMMYFUNCTION("""COMPUTED_VALUE"""),"queen of tears")</f>
        <v>queen of tears</v>
      </c>
      <c r="B1011" s="1" t="str">
        <f>IF(A1011&lt;&gt;"", VLOOKUP(A1011, imdb_netflix_v5!A$2:H$7370, 2, FALSE), "")</f>
        <v>TV Show</v>
      </c>
      <c r="C1011" s="2" t="str">
        <f>IF(A1011&lt;&gt;"", VLOOKUP(A1011, imdb_netflix_v5!A$2:H$7370, 3, FALSE), "")</f>
        <v>Comedy, Drama, Romance</v>
      </c>
      <c r="D1011" s="2">
        <f>IF(A1011&lt;&gt;"", VLOOKUP(A1011, imdb_netflix_v5!A$2:H$7370, 4, FALSE), "")</f>
        <v>8.2</v>
      </c>
      <c r="E1011" s="2">
        <f>IF(A1011&lt;&gt;"", VLOOKUP(A1011, imdb_netflix_v5!A$2:H$7370, 5, FALSE), "")</f>
        <v>2024</v>
      </c>
      <c r="F1011" s="2" t="str">
        <f>IF(A1011&lt;&gt;"", VLOOKUP(A1011, imdb_netflix_v5!A$2:H$7370, 7, FALSE), "")</f>
        <v>NA</v>
      </c>
    </row>
    <row r="1012" ht="15.75" customHeight="1">
      <c r="A1012" s="1" t="str">
        <f>IFERROR(__xludf.DUMMYFUNCTION("""COMPUTED_VALUE"""),"athadu")</f>
        <v>athadu</v>
      </c>
      <c r="B1012" s="1" t="str">
        <f>IF(A1012&lt;&gt;"", VLOOKUP(A1012, imdb_netflix_v5!A$2:H$7370, 2, FALSE), "")</f>
        <v>Movie</v>
      </c>
      <c r="C1012" s="2" t="str">
        <f>IF(A1012&lt;&gt;"", VLOOKUP(A1012, imdb_netflix_v5!A$2:H$7370, 3, FALSE), "")</f>
        <v>Action, Crime, Drama</v>
      </c>
      <c r="D1012" s="2">
        <f>IF(A1012&lt;&gt;"", VLOOKUP(A1012, imdb_netflix_v5!A$2:H$7370, 4, FALSE), "")</f>
        <v>8.2</v>
      </c>
      <c r="E1012" s="2">
        <f>IF(A1012&lt;&gt;"", VLOOKUP(A1012, imdb_netflix_v5!A$2:H$7370, 5, FALSE), "")</f>
        <v>2005</v>
      </c>
      <c r="F1012" s="2" t="str">
        <f>IF(A1012&lt;&gt;"", VLOOKUP(A1012, imdb_netflix_v5!A$2:H$7370, 7, FALSE), "")</f>
        <v>NA</v>
      </c>
    </row>
    <row r="1013" ht="15.75" customHeight="1">
      <c r="A1013" s="1" t="str">
        <f>IFERROR(__xludf.DUMMYFUNCTION("""COMPUTED_VALUE"""),"fate/zero")</f>
        <v>fate/zero</v>
      </c>
      <c r="B1013" s="1" t="str">
        <f>IF(A1013&lt;&gt;"", VLOOKUP(A1013, imdb_netflix_v5!A$2:H$7370, 2, FALSE), "")</f>
        <v>TV Show</v>
      </c>
      <c r="C1013" s="2" t="str">
        <f>IF(A1013&lt;&gt;"", VLOOKUP(A1013, imdb_netflix_v5!A$2:H$7370, 3, FALSE), "")</f>
        <v>Action, Adventure, Animation</v>
      </c>
      <c r="D1013" s="2">
        <f>IF(A1013&lt;&gt;"", VLOOKUP(A1013, imdb_netflix_v5!A$2:H$7370, 4, FALSE), "")</f>
        <v>8.2</v>
      </c>
      <c r="E1013" s="2">
        <f>IF(A1013&lt;&gt;"", VLOOKUP(A1013, imdb_netflix_v5!A$2:H$7370, 5, FALSE), "")</f>
        <v>2011</v>
      </c>
      <c r="F1013" s="2" t="str">
        <f>IF(A1013&lt;&gt;"", VLOOKUP(A1013, imdb_netflix_v5!A$2:H$7370, 7, FALSE), "")</f>
        <v>NA</v>
      </c>
    </row>
    <row r="1014" ht="15.75" customHeight="1">
      <c r="A1014" s="1" t="str">
        <f>IFERROR(__xludf.DUMMYFUNCTION("""COMPUTED_VALUE"""),"clannad")</f>
        <v>clannad</v>
      </c>
      <c r="B1014" s="1" t="str">
        <f>IF(A1014&lt;&gt;"", VLOOKUP(A1014, imdb_netflix_v5!A$2:H$7370, 2, FALSE), "")</f>
        <v>TV Show</v>
      </c>
      <c r="C1014" s="2" t="str">
        <f>IF(A1014&lt;&gt;"", VLOOKUP(A1014, imdb_netflix_v5!A$2:H$7370, 3, FALSE), "")</f>
        <v>Animation, Comedy, Drama</v>
      </c>
      <c r="D1014" s="2">
        <f>IF(A1014&lt;&gt;"", VLOOKUP(A1014, imdb_netflix_v5!A$2:H$7370, 4, FALSE), "")</f>
        <v>8.2</v>
      </c>
      <c r="E1014" s="2">
        <f>IF(A1014&lt;&gt;"", VLOOKUP(A1014, imdb_netflix_v5!A$2:H$7370, 5, FALSE), "")</f>
        <v>2007</v>
      </c>
      <c r="F1014" s="2" t="str">
        <f>IF(A1014&lt;&gt;"", VLOOKUP(A1014, imdb_netflix_v5!A$2:H$7370, 7, FALSE), "")</f>
        <v>NA</v>
      </c>
    </row>
    <row r="1015" ht="15.75" customHeight="1">
      <c r="A1015" s="1" t="str">
        <f>IFERROR(__xludf.DUMMYFUNCTION("""COMPUTED_VALUE"""),"the durrells")</f>
        <v>the durrells</v>
      </c>
      <c r="B1015" s="1" t="str">
        <f>IF(A1015&lt;&gt;"", VLOOKUP(A1015, imdb_netflix_v5!A$2:H$7370, 2, FALSE), "")</f>
        <v>TV Show</v>
      </c>
      <c r="C1015" s="2" t="str">
        <f>IF(A1015&lt;&gt;"", VLOOKUP(A1015, imdb_netflix_v5!A$2:H$7370, 3, FALSE), "")</f>
        <v>Biography, Comedy, Drama</v>
      </c>
      <c r="D1015" s="2">
        <f>IF(A1015&lt;&gt;"", VLOOKUP(A1015, imdb_netflix_v5!A$2:H$7370, 4, FALSE), "")</f>
        <v>8.2</v>
      </c>
      <c r="E1015" s="2">
        <f>IF(A1015&lt;&gt;"", VLOOKUP(A1015, imdb_netflix_v5!A$2:H$7370, 5, FALSE), "")</f>
        <v>2016</v>
      </c>
      <c r="F1015" s="2" t="str">
        <f>IF(A1015&lt;&gt;"", VLOOKUP(A1015, imdb_netflix_v5!A$2:H$7370, 7, FALSE), "")</f>
        <v>NA</v>
      </c>
    </row>
    <row r="1016" ht="15.75" customHeight="1">
      <c r="A1016" s="1" t="str">
        <f>IFERROR(__xludf.DUMMYFUNCTION("""COMPUTED_VALUE"""),"inspector morse")</f>
        <v>inspector morse</v>
      </c>
      <c r="B1016" s="1" t="str">
        <f>IF(A1016&lt;&gt;"", VLOOKUP(A1016, imdb_netflix_v5!A$2:H$7370, 2, FALSE), "")</f>
        <v>TV Show</v>
      </c>
      <c r="C1016" s="2" t="str">
        <f>IF(A1016&lt;&gt;"", VLOOKUP(A1016, imdb_netflix_v5!A$2:H$7370, 3, FALSE), "")</f>
        <v>Crime, Drama, Mystery</v>
      </c>
      <c r="D1016" s="2">
        <f>IF(A1016&lt;&gt;"", VLOOKUP(A1016, imdb_netflix_v5!A$2:H$7370, 4, FALSE), "")</f>
        <v>8.2</v>
      </c>
      <c r="E1016" s="2">
        <f>IF(A1016&lt;&gt;"", VLOOKUP(A1016, imdb_netflix_v5!A$2:H$7370, 5, FALSE), "")</f>
        <v>1987</v>
      </c>
      <c r="F1016" s="2" t="str">
        <f>IF(A1016&lt;&gt;"", VLOOKUP(A1016, imdb_netflix_v5!A$2:H$7370, 7, FALSE), "")</f>
        <v>NA</v>
      </c>
    </row>
    <row r="1017" ht="15.75" customHeight="1">
      <c r="A1017" s="1" t="str">
        <f>IFERROR(__xludf.DUMMYFUNCTION("""COMPUTED_VALUE"""),"i am a fugitive from a chain gang")</f>
        <v>i am a fugitive from a chain gang</v>
      </c>
      <c r="B1017" s="1" t="str">
        <f>IF(A1017&lt;&gt;"", VLOOKUP(A1017, imdb_netflix_v5!A$2:H$7370, 2, FALSE), "")</f>
        <v>Movie</v>
      </c>
      <c r="C1017" s="2" t="str">
        <f>IF(A1017&lt;&gt;"", VLOOKUP(A1017, imdb_netflix_v5!A$2:H$7370, 3, FALSE), "")</f>
        <v>Crime, Drama, Film-Noir</v>
      </c>
      <c r="D1017" s="2">
        <f>IF(A1017&lt;&gt;"", VLOOKUP(A1017, imdb_netflix_v5!A$2:H$7370, 4, FALSE), "")</f>
        <v>8.2</v>
      </c>
      <c r="E1017" s="2">
        <f>IF(A1017&lt;&gt;"", VLOOKUP(A1017, imdb_netflix_v5!A$2:H$7370, 5, FALSE), "")</f>
        <v>1932</v>
      </c>
      <c r="F1017" s="2" t="str">
        <f>IF(A1017&lt;&gt;"", VLOOKUP(A1017, imdb_netflix_v5!A$2:H$7370, 7, FALSE), "")</f>
        <v>NA</v>
      </c>
    </row>
    <row r="1018" ht="15.75" customHeight="1">
      <c r="A1018" s="1" t="str">
        <f>IFERROR(__xludf.DUMMYFUNCTION("""COMPUTED_VALUE"""),"vaaranam aayiram")</f>
        <v>vaaranam aayiram</v>
      </c>
      <c r="B1018" s="1" t="str">
        <f>IF(A1018&lt;&gt;"", VLOOKUP(A1018, imdb_netflix_v5!A$2:H$7370, 2, FALSE), "")</f>
        <v>Movie</v>
      </c>
      <c r="C1018" s="2" t="str">
        <f>IF(A1018&lt;&gt;"", VLOOKUP(A1018, imdb_netflix_v5!A$2:H$7370, 3, FALSE), "")</f>
        <v>Action, Drama, Musical</v>
      </c>
      <c r="D1018" s="2">
        <f>IF(A1018&lt;&gt;"", VLOOKUP(A1018, imdb_netflix_v5!A$2:H$7370, 4, FALSE), "")</f>
        <v>8.2</v>
      </c>
      <c r="E1018" s="2">
        <f>IF(A1018&lt;&gt;"", VLOOKUP(A1018, imdb_netflix_v5!A$2:H$7370, 5, FALSE), "")</f>
        <v>2008</v>
      </c>
      <c r="F1018" s="2" t="str">
        <f>IF(A1018&lt;&gt;"", VLOOKUP(A1018, imdb_netflix_v5!A$2:H$7370, 7, FALSE), "")</f>
        <v>NA</v>
      </c>
    </row>
    <row r="1019" ht="15.75" customHeight="1">
      <c r="A1019" s="1" t="str">
        <f>IFERROR(__xludf.DUMMYFUNCTION("""COMPUTED_VALUE"""),"made in heaven")</f>
        <v>made in heaven</v>
      </c>
      <c r="B1019" s="1" t="str">
        <f>IF(A1019&lt;&gt;"", VLOOKUP(A1019, imdb_netflix_v5!A$2:H$7370, 2, FALSE), "")</f>
        <v>TV Show</v>
      </c>
      <c r="C1019" s="2" t="str">
        <f>IF(A1019&lt;&gt;"", VLOOKUP(A1019, imdb_netflix_v5!A$2:H$7370, 3, FALSE), "")</f>
        <v>Drama, Romance</v>
      </c>
      <c r="D1019" s="2">
        <f>IF(A1019&lt;&gt;"", VLOOKUP(A1019, imdb_netflix_v5!A$2:H$7370, 4, FALSE), "")</f>
        <v>8.2</v>
      </c>
      <c r="E1019" s="2">
        <f>IF(A1019&lt;&gt;"", VLOOKUP(A1019, imdb_netflix_v5!A$2:H$7370, 5, FALSE), "")</f>
        <v>2019</v>
      </c>
      <c r="F1019" s="2" t="str">
        <f>IF(A1019&lt;&gt;"", VLOOKUP(A1019, imdb_netflix_v5!A$2:H$7370, 7, FALSE), "")</f>
        <v>NA</v>
      </c>
    </row>
    <row r="1020" ht="15.75" customHeight="1">
      <c r="A1020" s="1" t="str">
        <f>IFERROR(__xludf.DUMMYFUNCTION("""COMPUTED_VALUE"""),"exit")</f>
        <v>exit</v>
      </c>
      <c r="B1020" s="1" t="str">
        <f>IF(A1020&lt;&gt;"", VLOOKUP(A1020, imdb_netflix_v5!A$2:H$7370, 2, FALSE), "")</f>
        <v>TV Show</v>
      </c>
      <c r="C1020" s="2" t="str">
        <f>IF(A1020&lt;&gt;"", VLOOKUP(A1020, imdb_netflix_v5!A$2:H$7370, 3, FALSE), "")</f>
        <v>Crime, Drama, Thriller</v>
      </c>
      <c r="D1020" s="2">
        <f>IF(A1020&lt;&gt;"", VLOOKUP(A1020, imdb_netflix_v5!A$2:H$7370, 4, FALSE), "")</f>
        <v>8.2</v>
      </c>
      <c r="E1020" s="2">
        <f>IF(A1020&lt;&gt;"", VLOOKUP(A1020, imdb_netflix_v5!A$2:H$7370, 5, FALSE), "")</f>
        <v>2019</v>
      </c>
      <c r="F1020" s="2" t="str">
        <f>IF(A1020&lt;&gt;"", VLOOKUP(A1020, imdb_netflix_v5!A$2:H$7370, 7, FALSE), "")</f>
        <v>NA</v>
      </c>
    </row>
    <row r="1021" ht="15.75" customHeight="1">
      <c r="A1021" s="1" t="str">
        <f>IFERROR(__xludf.DUMMYFUNCTION("""COMPUTED_VALUE"""),"pocket hercules naim süleymanoglu")</f>
        <v>pocket hercules naim süleymanoglu</v>
      </c>
      <c r="B1021" s="1" t="str">
        <f>IF(A1021&lt;&gt;"", VLOOKUP(A1021, imdb_netflix_v5!A$2:H$7370, 2, FALSE), "")</f>
        <v>Movie</v>
      </c>
      <c r="C1021" s="2" t="str">
        <f>IF(A1021&lt;&gt;"", VLOOKUP(A1021, imdb_netflix_v5!A$2:H$7370, 3, FALSE), "")</f>
        <v>Biography, Drama, History</v>
      </c>
      <c r="D1021" s="2">
        <f>IF(A1021&lt;&gt;"", VLOOKUP(A1021, imdb_netflix_v5!A$2:H$7370, 4, FALSE), "")</f>
        <v>8.2</v>
      </c>
      <c r="E1021" s="2">
        <f>IF(A1021&lt;&gt;"", VLOOKUP(A1021, imdb_netflix_v5!A$2:H$7370, 5, FALSE), "")</f>
        <v>2019</v>
      </c>
      <c r="F1021" s="2" t="str">
        <f>IF(A1021&lt;&gt;"", VLOOKUP(A1021, imdb_netflix_v5!A$2:H$7370, 7, FALSE), "")</f>
        <v>NA</v>
      </c>
    </row>
    <row r="1022" ht="15.75" customHeight="1">
      <c r="A1022" s="1" t="str">
        <f>IFERROR(__xludf.DUMMYFUNCTION("""COMPUTED_VALUE"""),"get smart")</f>
        <v>get smart</v>
      </c>
      <c r="B1022" s="1" t="str">
        <f>IF(A1022&lt;&gt;"", VLOOKUP(A1022, imdb_netflix_v5!A$2:H$7370, 2, FALSE), "")</f>
        <v>TV Show</v>
      </c>
      <c r="C1022" s="2" t="str">
        <f>IF(A1022&lt;&gt;"", VLOOKUP(A1022, imdb_netflix_v5!A$2:H$7370, 3, FALSE), "")</f>
        <v>Action, Adventure, Comedy</v>
      </c>
      <c r="D1022" s="2">
        <f>IF(A1022&lt;&gt;"", VLOOKUP(A1022, imdb_netflix_v5!A$2:H$7370, 4, FALSE), "")</f>
        <v>8.2</v>
      </c>
      <c r="E1022" s="2">
        <f>IF(A1022&lt;&gt;"", VLOOKUP(A1022, imdb_netflix_v5!A$2:H$7370, 5, FALSE), "")</f>
        <v>1965</v>
      </c>
      <c r="F1022" s="2" t="str">
        <f>IF(A1022&lt;&gt;"", VLOOKUP(A1022, imdb_netflix_v5!A$2:H$7370, 7, FALSE), "")</f>
        <v>NA</v>
      </c>
    </row>
    <row r="1023" ht="15.75" customHeight="1">
      <c r="A1023" s="1" t="str">
        <f>IFERROR(__xludf.DUMMYFUNCTION("""COMPUTED_VALUE"""),"jigarthanda")</f>
        <v>jigarthanda</v>
      </c>
      <c r="B1023" s="1" t="str">
        <f>IF(A1023&lt;&gt;"", VLOOKUP(A1023, imdb_netflix_v5!A$2:H$7370, 2, FALSE), "")</f>
        <v>Movie</v>
      </c>
      <c r="C1023" s="2" t="str">
        <f>IF(A1023&lt;&gt;"", VLOOKUP(A1023, imdb_netflix_v5!A$2:H$7370, 3, FALSE), "")</f>
        <v>Comedy, Crime, Drama</v>
      </c>
      <c r="D1023" s="2">
        <f>IF(A1023&lt;&gt;"", VLOOKUP(A1023, imdb_netflix_v5!A$2:H$7370, 4, FALSE), "")</f>
        <v>8.2</v>
      </c>
      <c r="E1023" s="2">
        <f>IF(A1023&lt;&gt;"", VLOOKUP(A1023, imdb_netflix_v5!A$2:H$7370, 5, FALSE), "")</f>
        <v>2014</v>
      </c>
      <c r="F1023" s="2" t="str">
        <f>IF(A1023&lt;&gt;"", VLOOKUP(A1023, imdb_netflix_v5!A$2:H$7370, 7, FALSE), "")</f>
        <v>NA</v>
      </c>
    </row>
    <row r="1024" ht="15.75" customHeight="1">
      <c r="A1024" s="1" t="str">
        <f>IFERROR(__xludf.DUMMYFUNCTION("""COMPUTED_VALUE"""),"fellow travelers")</f>
        <v>fellow travelers</v>
      </c>
      <c r="B1024" s="1" t="str">
        <f>IF(A1024&lt;&gt;"", VLOOKUP(A1024, imdb_netflix_v5!A$2:H$7370, 2, FALSE), "")</f>
        <v>TV Show</v>
      </c>
      <c r="C1024" s="2" t="str">
        <f>IF(A1024&lt;&gt;"", VLOOKUP(A1024, imdb_netflix_v5!A$2:H$7370, 3, FALSE), "")</f>
        <v>Drama, Romance</v>
      </c>
      <c r="D1024" s="2">
        <f>IF(A1024&lt;&gt;"", VLOOKUP(A1024, imdb_netflix_v5!A$2:H$7370, 4, FALSE), "")</f>
        <v>8.2</v>
      </c>
      <c r="E1024" s="2">
        <f>IF(A1024&lt;&gt;"", VLOOKUP(A1024, imdb_netflix_v5!A$2:H$7370, 5, FALSE), "")</f>
        <v>2023</v>
      </c>
      <c r="F1024" s="2" t="str">
        <f>IF(A1024&lt;&gt;"", VLOOKUP(A1024, imdb_netflix_v5!A$2:H$7370, 7, FALSE), "")</f>
        <v>NA</v>
      </c>
    </row>
    <row r="1025" ht="15.75" customHeight="1">
      <c r="A1025" s="1" t="str">
        <f>IFERROR(__xludf.DUMMYFUNCTION("""COMPUTED_VALUE"""),"taarak mehta ka ooltah chashmah")</f>
        <v>taarak mehta ka ooltah chashmah</v>
      </c>
      <c r="B1025" s="1" t="str">
        <f>IF(A1025&lt;&gt;"", VLOOKUP(A1025, imdb_netflix_v5!A$2:H$7370, 2, FALSE), "")</f>
        <v>TV Show</v>
      </c>
      <c r="C1025" s="2" t="str">
        <f>IF(A1025&lt;&gt;"", VLOOKUP(A1025, imdb_netflix_v5!A$2:H$7370, 3, FALSE), "")</f>
        <v>Comedy, Family</v>
      </c>
      <c r="D1025" s="2">
        <f>IF(A1025&lt;&gt;"", VLOOKUP(A1025, imdb_netflix_v5!A$2:H$7370, 4, FALSE), "")</f>
        <v>8.2</v>
      </c>
      <c r="E1025" s="2">
        <f>IF(A1025&lt;&gt;"", VLOOKUP(A1025, imdb_netflix_v5!A$2:H$7370, 5, FALSE), "")</f>
        <v>2008</v>
      </c>
      <c r="F1025" s="2" t="str">
        <f>IF(A1025&lt;&gt;"", VLOOKUP(A1025, imdb_netflix_v5!A$2:H$7370, 7, FALSE), "")</f>
        <v>NA</v>
      </c>
    </row>
    <row r="1026" ht="15.75" customHeight="1">
      <c r="A1026" s="1" t="str">
        <f>IFERROR(__xludf.DUMMYFUNCTION("""COMPUTED_VALUE"""),"a brighter summer day")</f>
        <v>a brighter summer day</v>
      </c>
      <c r="B1026" s="1" t="str">
        <f>IF(A1026&lt;&gt;"", VLOOKUP(A1026, imdb_netflix_v5!A$2:H$7370, 2, FALSE), "")</f>
        <v>Movie</v>
      </c>
      <c r="C1026" s="2" t="str">
        <f>IF(A1026&lt;&gt;"", VLOOKUP(A1026, imdb_netflix_v5!A$2:H$7370, 3, FALSE), "")</f>
        <v>Crime, Drama, Romance</v>
      </c>
      <c r="D1026" s="2">
        <f>IF(A1026&lt;&gt;"", VLOOKUP(A1026, imdb_netflix_v5!A$2:H$7370, 4, FALSE), "")</f>
        <v>8.2</v>
      </c>
      <c r="E1026" s="2">
        <f>IF(A1026&lt;&gt;"", VLOOKUP(A1026, imdb_netflix_v5!A$2:H$7370, 5, FALSE), "")</f>
        <v>1991</v>
      </c>
      <c r="F1026" s="2" t="str">
        <f>IF(A1026&lt;&gt;"", VLOOKUP(A1026, imdb_netflix_v5!A$2:H$7370, 7, FALSE), "")</f>
        <v>NA</v>
      </c>
    </row>
    <row r="1027" ht="15.75" customHeight="1">
      <c r="A1027" s="1" t="str">
        <f>IFERROR(__xludf.DUMMYFUNCTION("""COMPUTED_VALUE"""),"champion")</f>
        <v>champion</v>
      </c>
      <c r="B1027" s="1" t="str">
        <f>IF(A1027&lt;&gt;"", VLOOKUP(A1027, imdb_netflix_v5!A$2:H$7370, 2, FALSE), "")</f>
        <v>Movie</v>
      </c>
      <c r="C1027" s="2" t="str">
        <f>IF(A1027&lt;&gt;"", VLOOKUP(A1027, imdb_netflix_v5!A$2:H$7370, 3, FALSE), "")</f>
        <v>Biography, Drama, Romance</v>
      </c>
      <c r="D1027" s="2">
        <f>IF(A1027&lt;&gt;"", VLOOKUP(A1027, imdb_netflix_v5!A$2:H$7370, 4, FALSE), "")</f>
        <v>8.2</v>
      </c>
      <c r="E1027" s="2">
        <f>IF(A1027&lt;&gt;"", VLOOKUP(A1027, imdb_netflix_v5!A$2:H$7370, 5, FALSE), "")</f>
        <v>2018</v>
      </c>
      <c r="F1027" s="2" t="str">
        <f>IF(A1027&lt;&gt;"", VLOOKUP(A1027, imdb_netflix_v5!A$2:H$7370, 7, FALSE), "")</f>
        <v>NA</v>
      </c>
    </row>
    <row r="1028" ht="15.75" customHeight="1">
      <c r="A1028" s="1" t="str">
        <f>IFERROR(__xludf.DUMMYFUNCTION("""COMPUTED_VALUE"""),"in living color")</f>
        <v>in living color</v>
      </c>
      <c r="B1028" s="1" t="str">
        <f>IF(A1028&lt;&gt;"", VLOOKUP(A1028, imdb_netflix_v5!A$2:H$7370, 2, FALSE), "")</f>
        <v>TV Show</v>
      </c>
      <c r="C1028" s="2" t="str">
        <f>IF(A1028&lt;&gt;"", VLOOKUP(A1028, imdb_netflix_v5!A$2:H$7370, 3, FALSE), "")</f>
        <v>Comedy, Music</v>
      </c>
      <c r="D1028" s="2">
        <f>IF(A1028&lt;&gt;"", VLOOKUP(A1028, imdb_netflix_v5!A$2:H$7370, 4, FALSE), "")</f>
        <v>8.2</v>
      </c>
      <c r="E1028" s="2">
        <f>IF(A1028&lt;&gt;"", VLOOKUP(A1028, imdb_netflix_v5!A$2:H$7370, 5, FALSE), "")</f>
        <v>1990</v>
      </c>
      <c r="F1028" s="2" t="str">
        <f>IF(A1028&lt;&gt;"", VLOOKUP(A1028, imdb_netflix_v5!A$2:H$7370, 7, FALSE), "")</f>
        <v>NA</v>
      </c>
    </row>
    <row r="1029" ht="15.75" customHeight="1">
      <c r="A1029" s="1" t="str">
        <f>IFERROR(__xludf.DUMMYFUNCTION("""COMPUTED_VALUE"""),"the easy life")</f>
        <v>the easy life</v>
      </c>
      <c r="B1029" s="1" t="str">
        <f>IF(A1029&lt;&gt;"", VLOOKUP(A1029, imdb_netflix_v5!A$2:H$7370, 2, FALSE), "")</f>
        <v>Movie</v>
      </c>
      <c r="C1029" s="2" t="str">
        <f>IF(A1029&lt;&gt;"", VLOOKUP(A1029, imdb_netflix_v5!A$2:H$7370, 3, FALSE), "")</f>
        <v>Comedy, Drama</v>
      </c>
      <c r="D1029" s="2">
        <f>IF(A1029&lt;&gt;"", VLOOKUP(A1029, imdb_netflix_v5!A$2:H$7370, 4, FALSE), "")</f>
        <v>8.2</v>
      </c>
      <c r="E1029" s="2">
        <f>IF(A1029&lt;&gt;"", VLOOKUP(A1029, imdb_netflix_v5!A$2:H$7370, 5, FALSE), "")</f>
        <v>1962</v>
      </c>
      <c r="F1029" s="2" t="str">
        <f>IF(A1029&lt;&gt;"", VLOOKUP(A1029, imdb_netflix_v5!A$2:H$7370, 7, FALSE), "")</f>
        <v>NA</v>
      </c>
    </row>
    <row r="1030" ht="15.75" customHeight="1">
      <c r="A1030" s="1" t="str">
        <f>IFERROR(__xludf.DUMMYFUNCTION("""COMPUTED_VALUE"""),"satantango")</f>
        <v>satantango</v>
      </c>
      <c r="B1030" s="1" t="str">
        <f>IF(A1030&lt;&gt;"", VLOOKUP(A1030, imdb_netflix_v5!A$2:H$7370, 2, FALSE), "")</f>
        <v>Movie</v>
      </c>
      <c r="C1030" s="2" t="str">
        <f>IF(A1030&lt;&gt;"", VLOOKUP(A1030, imdb_netflix_v5!A$2:H$7370, 3, FALSE), "")</f>
        <v>Drama</v>
      </c>
      <c r="D1030" s="2">
        <f>IF(A1030&lt;&gt;"", VLOOKUP(A1030, imdb_netflix_v5!A$2:H$7370, 4, FALSE), "")</f>
        <v>8.2</v>
      </c>
      <c r="E1030" s="2">
        <f>IF(A1030&lt;&gt;"", VLOOKUP(A1030, imdb_netflix_v5!A$2:H$7370, 5, FALSE), "")</f>
        <v>1994</v>
      </c>
      <c r="F1030" s="2" t="str">
        <f>IF(A1030&lt;&gt;"", VLOOKUP(A1030, imdb_netflix_v5!A$2:H$7370, 7, FALSE), "")</f>
        <v>NA</v>
      </c>
    </row>
    <row r="1031" ht="15.75" customHeight="1">
      <c r="A1031" s="1" t="str">
        <f>IFERROR(__xludf.DUMMYFUNCTION("""COMPUTED_VALUE"""),"baccano!")</f>
        <v>baccano!</v>
      </c>
      <c r="B1031" s="1" t="str">
        <f>IF(A1031&lt;&gt;"", VLOOKUP(A1031, imdb_netflix_v5!A$2:H$7370, 2, FALSE), "")</f>
        <v>TV Show</v>
      </c>
      <c r="C1031" s="2" t="str">
        <f>IF(A1031&lt;&gt;"", VLOOKUP(A1031, imdb_netflix_v5!A$2:H$7370, 3, FALSE), "")</f>
        <v>Action, Adventure, Animation</v>
      </c>
      <c r="D1031" s="2">
        <f>IF(A1031&lt;&gt;"", VLOOKUP(A1031, imdb_netflix_v5!A$2:H$7370, 4, FALSE), "")</f>
        <v>8.2</v>
      </c>
      <c r="E1031" s="2">
        <f>IF(A1031&lt;&gt;"", VLOOKUP(A1031, imdb_netflix_v5!A$2:H$7370, 5, FALSE), "")</f>
        <v>2007</v>
      </c>
      <c r="F1031" s="2" t="str">
        <f>IF(A1031&lt;&gt;"", VLOOKUP(A1031, imdb_netflix_v5!A$2:H$7370, 7, FALSE), "")</f>
        <v>NA</v>
      </c>
    </row>
    <row r="1032" ht="15.75" customHeight="1">
      <c r="A1032" s="1" t="str">
        <f>IFERROR(__xludf.DUMMYFUNCTION("""COMPUTED_VALUE"""),"kurokos basketball")</f>
        <v>kurokos basketball</v>
      </c>
      <c r="B1032" s="1" t="str">
        <f>IF(A1032&lt;&gt;"", VLOOKUP(A1032, imdb_netflix_v5!A$2:H$7370, 2, FALSE), "")</f>
        <v>TV Show</v>
      </c>
      <c r="C1032" s="2" t="str">
        <f>IF(A1032&lt;&gt;"", VLOOKUP(A1032, imdb_netflix_v5!A$2:H$7370, 3, FALSE), "")</f>
        <v>Animation, Comedy, Sport</v>
      </c>
      <c r="D1032" s="2">
        <f>IF(A1032&lt;&gt;"", VLOOKUP(A1032, imdb_netflix_v5!A$2:H$7370, 4, FALSE), "")</f>
        <v>8.2</v>
      </c>
      <c r="E1032" s="2">
        <f>IF(A1032&lt;&gt;"", VLOOKUP(A1032, imdb_netflix_v5!A$2:H$7370, 5, FALSE), "")</f>
        <v>2012</v>
      </c>
      <c r="F1032" s="2" t="str">
        <f>IF(A1032&lt;&gt;"", VLOOKUP(A1032, imdb_netflix_v5!A$2:H$7370, 7, FALSE), "")</f>
        <v>NA</v>
      </c>
    </row>
    <row r="1033" ht="15.75" customHeight="1">
      <c r="A1033" s="1" t="str">
        <f>IFERROR(__xludf.DUMMYFUNCTION("""COMPUTED_VALUE"""),"ouran high school host club")</f>
        <v>ouran high school host club</v>
      </c>
      <c r="B1033" s="1" t="str">
        <f>IF(A1033&lt;&gt;"", VLOOKUP(A1033, imdb_netflix_v5!A$2:H$7370, 2, FALSE), "")</f>
        <v>TV Show</v>
      </c>
      <c r="C1033" s="2" t="str">
        <f>IF(A1033&lt;&gt;"", VLOOKUP(A1033, imdb_netflix_v5!A$2:H$7370, 3, FALSE), "")</f>
        <v>Animation, Comedy, Romance</v>
      </c>
      <c r="D1033" s="2">
        <f>IF(A1033&lt;&gt;"", VLOOKUP(A1033, imdb_netflix_v5!A$2:H$7370, 4, FALSE), "")</f>
        <v>8.2</v>
      </c>
      <c r="E1033" s="2">
        <f>IF(A1033&lt;&gt;"", VLOOKUP(A1033, imdb_netflix_v5!A$2:H$7370, 5, FALSE), "")</f>
        <v>2006</v>
      </c>
      <c r="F1033" s="2" t="str">
        <f>IF(A1033&lt;&gt;"", VLOOKUP(A1033, imdb_netflix_v5!A$2:H$7370, 7, FALSE), "")</f>
        <v>NA</v>
      </c>
    </row>
    <row r="1034" ht="15.75" customHeight="1">
      <c r="A1034" s="1" t="str">
        <f>IFERROR(__xludf.DUMMYFUNCTION("""COMPUTED_VALUE"""),"puella magi madoka magica")</f>
        <v>puella magi madoka magica</v>
      </c>
      <c r="B1034" s="1" t="str">
        <f>IF(A1034&lt;&gt;"", VLOOKUP(A1034, imdb_netflix_v5!A$2:H$7370, 2, FALSE), "")</f>
        <v>TV Show</v>
      </c>
      <c r="C1034" s="2" t="str">
        <f>IF(A1034&lt;&gt;"", VLOOKUP(A1034, imdb_netflix_v5!A$2:H$7370, 3, FALSE), "")</f>
        <v>Action, Adventure, Animation</v>
      </c>
      <c r="D1034" s="2">
        <f>IF(A1034&lt;&gt;"", VLOOKUP(A1034, imdb_netflix_v5!A$2:H$7370, 4, FALSE), "")</f>
        <v>8.2</v>
      </c>
      <c r="E1034" s="2">
        <f>IF(A1034&lt;&gt;"", VLOOKUP(A1034, imdb_netflix_v5!A$2:H$7370, 5, FALSE), "")</f>
        <v>2011</v>
      </c>
      <c r="F1034" s="2" t="str">
        <f>IF(A1034&lt;&gt;"", VLOOKUP(A1034, imdb_netflix_v5!A$2:H$7370, 7, FALSE), "")</f>
        <v>NA</v>
      </c>
    </row>
    <row r="1035" ht="15.75" customHeight="1">
      <c r="A1035" s="1" t="str">
        <f>IFERROR(__xludf.DUMMYFUNCTION("""COMPUTED_VALUE"""),"penn &amp; teller bullshit!")</f>
        <v>penn &amp; teller bullshit!</v>
      </c>
      <c r="B1035" s="1" t="str">
        <f>IF(A1035&lt;&gt;"", VLOOKUP(A1035, imdb_netflix_v5!A$2:H$7370, 2, FALSE), "")</f>
        <v>TV Show</v>
      </c>
      <c r="C1035" s="2" t="str">
        <f>IF(A1035&lt;&gt;"", VLOOKUP(A1035, imdb_netflix_v5!A$2:H$7370, 3, FALSE), "")</f>
        <v>Comedy, Documentary</v>
      </c>
      <c r="D1035" s="2">
        <f>IF(A1035&lt;&gt;"", VLOOKUP(A1035, imdb_netflix_v5!A$2:H$7370, 4, FALSE), "")</f>
        <v>8.2</v>
      </c>
      <c r="E1035" s="2">
        <f>IF(A1035&lt;&gt;"", VLOOKUP(A1035, imdb_netflix_v5!A$2:H$7370, 5, FALSE), "")</f>
        <v>2003</v>
      </c>
      <c r="F1035" s="2" t="str">
        <f>IF(A1035&lt;&gt;"", VLOOKUP(A1035, imdb_netflix_v5!A$2:H$7370, 7, FALSE), "")</f>
        <v>NA</v>
      </c>
    </row>
    <row r="1036" ht="15.75" customHeight="1">
      <c r="A1036" s="1" t="str">
        <f>IFERROR(__xludf.DUMMYFUNCTION("""COMPUTED_VALUE"""),"ballad of a soldier")</f>
        <v>ballad of a soldier</v>
      </c>
      <c r="B1036" s="1" t="str">
        <f>IF(A1036&lt;&gt;"", VLOOKUP(A1036, imdb_netflix_v5!A$2:H$7370, 2, FALSE), "")</f>
        <v>Movie</v>
      </c>
      <c r="C1036" s="2" t="str">
        <f>IF(A1036&lt;&gt;"", VLOOKUP(A1036, imdb_netflix_v5!A$2:H$7370, 3, FALSE), "")</f>
        <v>Drama, Romance, War</v>
      </c>
      <c r="D1036" s="2">
        <f>IF(A1036&lt;&gt;"", VLOOKUP(A1036, imdb_netflix_v5!A$2:H$7370, 4, FALSE), "")</f>
        <v>8.2</v>
      </c>
      <c r="E1036" s="2">
        <f>IF(A1036&lt;&gt;"", VLOOKUP(A1036, imdb_netflix_v5!A$2:H$7370, 5, FALSE), "")</f>
        <v>1959</v>
      </c>
      <c r="F1036" s="2" t="str">
        <f>IF(A1036&lt;&gt;"", VLOOKUP(A1036, imdb_netflix_v5!A$2:H$7370, 7, FALSE), "")</f>
        <v>NA</v>
      </c>
    </row>
    <row r="1037" ht="15.75" customHeight="1">
      <c r="A1037" s="1" t="str">
        <f>IFERROR(__xludf.DUMMYFUNCTION("""COMPUTED_VALUE"""),"the rockford files")</f>
        <v>the rockford files</v>
      </c>
      <c r="B1037" s="1" t="str">
        <f>IF(A1037&lt;&gt;"", VLOOKUP(A1037, imdb_netflix_v5!A$2:H$7370, 2, FALSE), "")</f>
        <v>TV Show</v>
      </c>
      <c r="C1037" s="2" t="str">
        <f>IF(A1037&lt;&gt;"", VLOOKUP(A1037, imdb_netflix_v5!A$2:H$7370, 3, FALSE), "")</f>
        <v>Crime, Drama, Mystery</v>
      </c>
      <c r="D1037" s="2">
        <f>IF(A1037&lt;&gt;"", VLOOKUP(A1037, imdb_netflix_v5!A$2:H$7370, 4, FALSE), "")</f>
        <v>8.2</v>
      </c>
      <c r="E1037" s="2">
        <f>IF(A1037&lt;&gt;"", VLOOKUP(A1037, imdb_netflix_v5!A$2:H$7370, 5, FALSE), "")</f>
        <v>1974</v>
      </c>
      <c r="F1037" s="2" t="str">
        <f>IF(A1037&lt;&gt;"", VLOOKUP(A1037, imdb_netflix_v5!A$2:H$7370, 7, FALSE), "")</f>
        <v>NA</v>
      </c>
    </row>
    <row r="1038" ht="15.75" customHeight="1">
      <c r="A1038" s="1" t="str">
        <f>IFERROR(__xludf.DUMMYFUNCTION("""COMPUTED_VALUE"""),"our beloved summer")</f>
        <v>our beloved summer</v>
      </c>
      <c r="B1038" s="1" t="str">
        <f>IF(A1038&lt;&gt;"", VLOOKUP(A1038, imdb_netflix_v5!A$2:H$7370, 2, FALSE), "")</f>
        <v>TV Show</v>
      </c>
      <c r="C1038" s="2" t="str">
        <f>IF(A1038&lt;&gt;"", VLOOKUP(A1038, imdb_netflix_v5!A$2:H$7370, 3, FALSE), "")</f>
        <v>Drama, Romance</v>
      </c>
      <c r="D1038" s="2">
        <f>IF(A1038&lt;&gt;"", VLOOKUP(A1038, imdb_netflix_v5!A$2:H$7370, 4, FALSE), "")</f>
        <v>8.2</v>
      </c>
      <c r="E1038" s="2">
        <f>IF(A1038&lt;&gt;"", VLOOKUP(A1038, imdb_netflix_v5!A$2:H$7370, 5, FALSE), "")</f>
        <v>2021</v>
      </c>
      <c r="F1038" s="2">
        <f>IF(A1038&lt;&gt;"", VLOOKUP(A1038, imdb_netflix_v5!A$2:H$7370, 7, FALSE), "")</f>
        <v>11910000</v>
      </c>
    </row>
    <row r="1039" ht="15.75" customHeight="1">
      <c r="A1039" s="1" t="str">
        <f>IFERROR(__xludf.DUMMYFUNCTION("""COMPUTED_VALUE"""),"home movies")</f>
        <v>home movies</v>
      </c>
      <c r="B1039" s="1" t="str">
        <f>IF(A1039&lt;&gt;"", VLOOKUP(A1039, imdb_netflix_v5!A$2:H$7370, 2, FALSE), "")</f>
        <v>TV Show</v>
      </c>
      <c r="C1039" s="2" t="str">
        <f>IF(A1039&lt;&gt;"", VLOOKUP(A1039, imdb_netflix_v5!A$2:H$7370, 3, FALSE), "")</f>
        <v>Animation, Comedy, Drama</v>
      </c>
      <c r="D1039" s="2">
        <f>IF(A1039&lt;&gt;"", VLOOKUP(A1039, imdb_netflix_v5!A$2:H$7370, 4, FALSE), "")</f>
        <v>8.2</v>
      </c>
      <c r="E1039" s="2">
        <f>IF(A1039&lt;&gt;"", VLOOKUP(A1039, imdb_netflix_v5!A$2:H$7370, 5, FALSE), "")</f>
        <v>1999</v>
      </c>
      <c r="F1039" s="2" t="str">
        <f>IF(A1039&lt;&gt;"", VLOOKUP(A1039, imdb_netflix_v5!A$2:H$7370, 7, FALSE), "")</f>
        <v>NA</v>
      </c>
    </row>
    <row r="1040" ht="15.75" customHeight="1">
      <c r="A1040" s="1" t="str">
        <f>IFERROR(__xludf.DUMMYFUNCTION("""COMPUTED_VALUE"""),"i am cuba")</f>
        <v>i am cuba</v>
      </c>
      <c r="B1040" s="1" t="str">
        <f>IF(A1040&lt;&gt;"", VLOOKUP(A1040, imdb_netflix_v5!A$2:H$7370, 2, FALSE), "")</f>
        <v>Movie</v>
      </c>
      <c r="C1040" s="2" t="str">
        <f>IF(A1040&lt;&gt;"", VLOOKUP(A1040, imdb_netflix_v5!A$2:H$7370, 3, FALSE), "")</f>
        <v>Drama</v>
      </c>
      <c r="D1040" s="2">
        <f>IF(A1040&lt;&gt;"", VLOOKUP(A1040, imdb_netflix_v5!A$2:H$7370, 4, FALSE), "")</f>
        <v>8.2</v>
      </c>
      <c r="E1040" s="2">
        <f>IF(A1040&lt;&gt;"", VLOOKUP(A1040, imdb_netflix_v5!A$2:H$7370, 5, FALSE), "")</f>
        <v>1964</v>
      </c>
      <c r="F1040" s="2" t="str">
        <f>IF(A1040&lt;&gt;"", VLOOKUP(A1040, imdb_netflix_v5!A$2:H$7370, 7, FALSE), "")</f>
        <v>NA</v>
      </c>
    </row>
    <row r="1041" ht="15.75" customHeight="1">
      <c r="A1041" s="1" t="str">
        <f>IFERROR(__xludf.DUMMYFUNCTION("""COMPUTED_VALUE"""),"toast of london")</f>
        <v>toast of london</v>
      </c>
      <c r="B1041" s="1" t="str">
        <f>IF(A1041&lt;&gt;"", VLOOKUP(A1041, imdb_netflix_v5!A$2:H$7370, 2, FALSE), "")</f>
        <v>TV Show</v>
      </c>
      <c r="C1041" s="2" t="str">
        <f>IF(A1041&lt;&gt;"", VLOOKUP(A1041, imdb_netflix_v5!A$2:H$7370, 3, FALSE), "")</f>
        <v>Comedy</v>
      </c>
      <c r="D1041" s="2">
        <f>IF(A1041&lt;&gt;"", VLOOKUP(A1041, imdb_netflix_v5!A$2:H$7370, 4, FALSE), "")</f>
        <v>8.2</v>
      </c>
      <c r="E1041" s="2">
        <f>IF(A1041&lt;&gt;"", VLOOKUP(A1041, imdb_netflix_v5!A$2:H$7370, 5, FALSE), "")</f>
        <v>2012</v>
      </c>
      <c r="F1041" s="2" t="str">
        <f>IF(A1041&lt;&gt;"", VLOOKUP(A1041, imdb_netflix_v5!A$2:H$7370, 7, FALSE), "")</f>
        <v>NA</v>
      </c>
    </row>
    <row r="1042" ht="15.75" customHeight="1">
      <c r="A1042" s="1" t="str">
        <f>IFERROR(__xludf.DUMMYFUNCTION("""COMPUTED_VALUE"""),"hill street blues")</f>
        <v>hill street blues</v>
      </c>
      <c r="B1042" s="1" t="str">
        <f>IF(A1042&lt;&gt;"", VLOOKUP(A1042, imdb_netflix_v5!A$2:H$7370, 2, FALSE), "")</f>
        <v>TV Show</v>
      </c>
      <c r="C1042" s="2" t="str">
        <f>IF(A1042&lt;&gt;"", VLOOKUP(A1042, imdb_netflix_v5!A$2:H$7370, 3, FALSE), "")</f>
        <v>Crime, Drama, Mystery</v>
      </c>
      <c r="D1042" s="2">
        <f>IF(A1042&lt;&gt;"", VLOOKUP(A1042, imdb_netflix_v5!A$2:H$7370, 4, FALSE), "")</f>
        <v>8.2</v>
      </c>
      <c r="E1042" s="2">
        <f>IF(A1042&lt;&gt;"", VLOOKUP(A1042, imdb_netflix_v5!A$2:H$7370, 5, FALSE), "")</f>
        <v>1981</v>
      </c>
      <c r="F1042" s="2" t="str">
        <f>IF(A1042&lt;&gt;"", VLOOKUP(A1042, imdb_netflix_v5!A$2:H$7370, 7, FALSE), "")</f>
        <v>NA</v>
      </c>
    </row>
    <row r="1043" ht="15.75" customHeight="1">
      <c r="A1043" s="1" t="str">
        <f>IFERROR(__xludf.DUMMYFUNCTION("""COMPUTED_VALUE"""),"yuri!!! on ice")</f>
        <v>yuri!!! on ice</v>
      </c>
      <c r="B1043" s="1" t="str">
        <f>IF(A1043&lt;&gt;"", VLOOKUP(A1043, imdb_netflix_v5!A$2:H$7370, 2, FALSE), "")</f>
        <v>TV Show</v>
      </c>
      <c r="C1043" s="2" t="str">
        <f>IF(A1043&lt;&gt;"", VLOOKUP(A1043, imdb_netflix_v5!A$2:H$7370, 3, FALSE), "")</f>
        <v>Animation, Comedy, Drama</v>
      </c>
      <c r="D1043" s="2">
        <f>IF(A1043&lt;&gt;"", VLOOKUP(A1043, imdb_netflix_v5!A$2:H$7370, 4, FALSE), "")</f>
        <v>8.2</v>
      </c>
      <c r="E1043" s="2">
        <f>IF(A1043&lt;&gt;"", VLOOKUP(A1043, imdb_netflix_v5!A$2:H$7370, 5, FALSE), "")</f>
        <v>2016</v>
      </c>
      <c r="F1043" s="2" t="str">
        <f>IF(A1043&lt;&gt;"", VLOOKUP(A1043, imdb_netflix_v5!A$2:H$7370, 7, FALSE), "")</f>
        <v>NA</v>
      </c>
    </row>
    <row r="1044" ht="15.75" customHeight="1">
      <c r="A1044" s="1" t="str">
        <f>IFERROR(__xludf.DUMMYFUNCTION("""COMPUTED_VALUE"""),"little dorrit")</f>
        <v>little dorrit</v>
      </c>
      <c r="B1044" s="1" t="str">
        <f>IF(A1044&lt;&gt;"", VLOOKUP(A1044, imdb_netflix_v5!A$2:H$7370, 2, FALSE), "")</f>
        <v>TV Show</v>
      </c>
      <c r="C1044" s="2" t="str">
        <f>IF(A1044&lt;&gt;"", VLOOKUP(A1044, imdb_netflix_v5!A$2:H$7370, 3, FALSE), "")</f>
        <v>Drama, Mystery, Romance</v>
      </c>
      <c r="D1044" s="2">
        <f>IF(A1044&lt;&gt;"", VLOOKUP(A1044, imdb_netflix_v5!A$2:H$7370, 4, FALSE), "")</f>
        <v>8.2</v>
      </c>
      <c r="E1044" s="2">
        <f>IF(A1044&lt;&gt;"", VLOOKUP(A1044, imdb_netflix_v5!A$2:H$7370, 5, FALSE), "")</f>
        <v>2008</v>
      </c>
      <c r="F1044" s="2" t="str">
        <f>IF(A1044&lt;&gt;"", VLOOKUP(A1044, imdb_netflix_v5!A$2:H$7370, 7, FALSE), "")</f>
        <v>NA</v>
      </c>
    </row>
    <row r="1045" ht="15.75" customHeight="1">
      <c r="A1045" s="1" t="str">
        <f>IFERROR(__xludf.DUMMYFUNCTION("""COMPUTED_VALUE"""),"office romance")</f>
        <v>office romance</v>
      </c>
      <c r="B1045" s="1" t="str">
        <f>IF(A1045&lt;&gt;"", VLOOKUP(A1045, imdb_netflix_v5!A$2:H$7370, 2, FALSE), "")</f>
        <v>Movie</v>
      </c>
      <c r="C1045" s="2" t="str">
        <f>IF(A1045&lt;&gt;"", VLOOKUP(A1045, imdb_netflix_v5!A$2:H$7370, 3, FALSE), "")</f>
        <v>Comedy, Drama, Romance</v>
      </c>
      <c r="D1045" s="2">
        <f>IF(A1045&lt;&gt;"", VLOOKUP(A1045, imdb_netflix_v5!A$2:H$7370, 4, FALSE), "")</f>
        <v>8.2</v>
      </c>
      <c r="E1045" s="2">
        <f>IF(A1045&lt;&gt;"", VLOOKUP(A1045, imdb_netflix_v5!A$2:H$7370, 5, FALSE), "")</f>
        <v>1977</v>
      </c>
      <c r="F1045" s="2" t="str">
        <f>IF(A1045&lt;&gt;"", VLOOKUP(A1045, imdb_netflix_v5!A$2:H$7370, 7, FALSE), "")</f>
        <v>NA</v>
      </c>
    </row>
    <row r="1046" ht="15.75" customHeight="1">
      <c r="A1046" s="1" t="str">
        <f>IFERROR(__xludf.DUMMYFUNCTION("""COMPUTED_VALUE"""),"the ascent")</f>
        <v>the ascent</v>
      </c>
      <c r="B1046" s="1" t="str">
        <f>IF(A1046&lt;&gt;"", VLOOKUP(A1046, imdb_netflix_v5!A$2:H$7370, 2, FALSE), "")</f>
        <v>Movie</v>
      </c>
      <c r="C1046" s="2" t="str">
        <f>IF(A1046&lt;&gt;"", VLOOKUP(A1046, imdb_netflix_v5!A$2:H$7370, 3, FALSE), "")</f>
        <v>Drama, War</v>
      </c>
      <c r="D1046" s="2">
        <f>IF(A1046&lt;&gt;"", VLOOKUP(A1046, imdb_netflix_v5!A$2:H$7370, 4, FALSE), "")</f>
        <v>8.2</v>
      </c>
      <c r="E1046" s="2">
        <f>IF(A1046&lt;&gt;"", VLOOKUP(A1046, imdb_netflix_v5!A$2:H$7370, 5, FALSE), "")</f>
        <v>1977</v>
      </c>
      <c r="F1046" s="2" t="str">
        <f>IF(A1046&lt;&gt;"", VLOOKUP(A1046, imdb_netflix_v5!A$2:H$7370, 7, FALSE), "")</f>
        <v>NA</v>
      </c>
    </row>
    <row r="1047" ht="15.75" customHeight="1">
      <c r="A1047" s="1" t="str">
        <f>IFERROR(__xludf.DUMMYFUNCTION("""COMPUTED_VALUE"""),"the guild")</f>
        <v>the guild</v>
      </c>
      <c r="B1047" s="1" t="str">
        <f>IF(A1047&lt;&gt;"", VLOOKUP(A1047, imdb_netflix_v5!A$2:H$7370, 2, FALSE), "")</f>
        <v>TV Show</v>
      </c>
      <c r="C1047" s="2" t="str">
        <f>IF(A1047&lt;&gt;"", VLOOKUP(A1047, imdb_netflix_v5!A$2:H$7370, 3, FALSE), "")</f>
        <v>Comedy, Short</v>
      </c>
      <c r="D1047" s="2">
        <f>IF(A1047&lt;&gt;"", VLOOKUP(A1047, imdb_netflix_v5!A$2:H$7370, 4, FALSE), "")</f>
        <v>8.2</v>
      </c>
      <c r="E1047" s="2">
        <f>IF(A1047&lt;&gt;"", VLOOKUP(A1047, imdb_netflix_v5!A$2:H$7370, 5, FALSE), "")</f>
        <v>2007</v>
      </c>
      <c r="F1047" s="2" t="str">
        <f>IF(A1047&lt;&gt;"", VLOOKUP(A1047, imdb_netflix_v5!A$2:H$7370, 7, FALSE), "")</f>
        <v>NA</v>
      </c>
    </row>
    <row r="1048" ht="15.75" customHeight="1">
      <c r="A1048" s="1" t="str">
        <f>IFERROR(__xludf.DUMMYFUNCTION("""COMPUTED_VALUE"""),"hope")</f>
        <v>hope</v>
      </c>
      <c r="B1048" s="1" t="str">
        <f>IF(A1048&lt;&gt;"", VLOOKUP(A1048, imdb_netflix_v5!A$2:H$7370, 2, FALSE), "")</f>
        <v>Movie</v>
      </c>
      <c r="C1048" s="2" t="str">
        <f>IF(A1048&lt;&gt;"", VLOOKUP(A1048, imdb_netflix_v5!A$2:H$7370, 3, FALSE), "")</f>
        <v>Drama</v>
      </c>
      <c r="D1048" s="2">
        <f>IF(A1048&lt;&gt;"", VLOOKUP(A1048, imdb_netflix_v5!A$2:H$7370, 4, FALSE), "")</f>
        <v>8.2</v>
      </c>
      <c r="E1048" s="2">
        <f>IF(A1048&lt;&gt;"", VLOOKUP(A1048, imdb_netflix_v5!A$2:H$7370, 5, FALSE), "")</f>
        <v>2013</v>
      </c>
      <c r="F1048" s="2" t="str">
        <f>IF(A1048&lt;&gt;"", VLOOKUP(A1048, imdb_netflix_v5!A$2:H$7370, 7, FALSE), "")</f>
        <v>NA</v>
      </c>
    </row>
    <row r="1049" ht="15.75" customHeight="1">
      <c r="A1049" s="1" t="str">
        <f>IFERROR(__xludf.DUMMYFUNCTION("""COMPUTED_VALUE"""),"bommarillu")</f>
        <v>bommarillu</v>
      </c>
      <c r="B1049" s="1" t="str">
        <f>IF(A1049&lt;&gt;"", VLOOKUP(A1049, imdb_netflix_v5!A$2:H$7370, 2, FALSE), "")</f>
        <v>Movie</v>
      </c>
      <c r="C1049" s="2" t="str">
        <f>IF(A1049&lt;&gt;"", VLOOKUP(A1049, imdb_netflix_v5!A$2:H$7370, 3, FALSE), "")</f>
        <v>Comedy, Drama, Romance</v>
      </c>
      <c r="D1049" s="2">
        <f>IF(A1049&lt;&gt;"", VLOOKUP(A1049, imdb_netflix_v5!A$2:H$7370, 4, FALSE), "")</f>
        <v>8.2</v>
      </c>
      <c r="E1049" s="2">
        <f>IF(A1049&lt;&gt;"", VLOOKUP(A1049, imdb_netflix_v5!A$2:H$7370, 5, FALSE), "")</f>
        <v>2006</v>
      </c>
      <c r="F1049" s="2" t="str">
        <f>IF(A1049&lt;&gt;"", VLOOKUP(A1049, imdb_netflix_v5!A$2:H$7370, 7, FALSE), "")</f>
        <v>NA</v>
      </c>
    </row>
    <row r="1050" ht="15.75" customHeight="1">
      <c r="A1050" s="1" t="str">
        <f>IFERROR(__xludf.DUMMYFUNCTION("""COMPUTED_VALUE"""),"d.p.")</f>
        <v>d.p.</v>
      </c>
      <c r="B1050" s="1" t="str">
        <f>IF(A1050&lt;&gt;"", VLOOKUP(A1050, imdb_netflix_v5!A$2:H$7370, 2, FALSE), "")</f>
        <v>TV Show</v>
      </c>
      <c r="C1050" s="2" t="str">
        <f>IF(A1050&lt;&gt;"", VLOOKUP(A1050, imdb_netflix_v5!A$2:H$7370, 3, FALSE), "")</f>
        <v>Action, Crime, Drama</v>
      </c>
      <c r="D1050" s="2">
        <f>IF(A1050&lt;&gt;"", VLOOKUP(A1050, imdb_netflix_v5!A$2:H$7370, 4, FALSE), "")</f>
        <v>8.2</v>
      </c>
      <c r="E1050" s="2">
        <f>IF(A1050&lt;&gt;"", VLOOKUP(A1050, imdb_netflix_v5!A$2:H$7370, 5, FALSE), "")</f>
        <v>2021</v>
      </c>
      <c r="F1050" s="2">
        <f>IF(A1050&lt;&gt;"", VLOOKUP(A1050, imdb_netflix_v5!A$2:H$7370, 7, FALSE), "")</f>
        <v>6100000</v>
      </c>
    </row>
    <row r="1051" ht="15.75" customHeight="1">
      <c r="A1051" s="1" t="str">
        <f>IFERROR(__xludf.DUMMYFUNCTION("""COMPUTED_VALUE"""),"pirates of the caribbean the curse of the black pearl")</f>
        <v>pirates of the caribbean the curse of the black pearl</v>
      </c>
      <c r="B1051" s="1" t="str">
        <f>IF(A1051&lt;&gt;"", VLOOKUP(A1051, imdb_netflix_v5!A$2:H$7370, 2, FALSE), "")</f>
        <v>Movie</v>
      </c>
      <c r="C1051" s="2" t="str">
        <f>IF(A1051&lt;&gt;"", VLOOKUP(A1051, imdb_netflix_v5!A$2:H$7370, 3, FALSE), "")</f>
        <v>Action, Adventure, Fantasy</v>
      </c>
      <c r="D1051" s="2">
        <f>IF(A1051&lt;&gt;"", VLOOKUP(A1051, imdb_netflix_v5!A$2:H$7370, 4, FALSE), "")</f>
        <v>8.1</v>
      </c>
      <c r="E1051" s="2">
        <f>IF(A1051&lt;&gt;"", VLOOKUP(A1051, imdb_netflix_v5!A$2:H$7370, 5, FALSE), "")</f>
        <v>2003</v>
      </c>
      <c r="F1051" s="2" t="str">
        <f>IF(A1051&lt;&gt;"", VLOOKUP(A1051, imdb_netflix_v5!A$2:H$7370, 7, FALSE), "")</f>
        <v>NA</v>
      </c>
    </row>
    <row r="1052" ht="15.75" customHeight="1">
      <c r="A1052" s="1" t="str">
        <f>IFERROR(__xludf.DUMMYFUNCTION("""COMPUTED_VALUE"""),"v for vendetta")</f>
        <v>v for vendetta</v>
      </c>
      <c r="B1052" s="1" t="str">
        <f>IF(A1052&lt;&gt;"", VLOOKUP(A1052, imdb_netflix_v5!A$2:H$7370, 2, FALSE), "")</f>
        <v>Movie</v>
      </c>
      <c r="C1052" s="2" t="str">
        <f>IF(A1052&lt;&gt;"", VLOOKUP(A1052, imdb_netflix_v5!A$2:H$7370, 3, FALSE), "")</f>
        <v>Action, Drama, Sci-Fi</v>
      </c>
      <c r="D1052" s="2">
        <f>IF(A1052&lt;&gt;"", VLOOKUP(A1052, imdb_netflix_v5!A$2:H$7370, 4, FALSE), "")</f>
        <v>8.1</v>
      </c>
      <c r="E1052" s="2">
        <f>IF(A1052&lt;&gt;"", VLOOKUP(A1052, imdb_netflix_v5!A$2:H$7370, 5, FALSE), "")</f>
        <v>2005</v>
      </c>
      <c r="F1052" s="2" t="str">
        <f>IF(A1052&lt;&gt;"", VLOOKUP(A1052, imdb_netflix_v5!A$2:H$7370, 7, FALSE), "")</f>
        <v>NA</v>
      </c>
    </row>
    <row r="1053" ht="15.75" customHeight="1">
      <c r="A1053" s="1" t="str">
        <f>IFERROR(__xludf.DUMMYFUNCTION("""COMPUTED_VALUE"""),"mad max fury road")</f>
        <v>mad max fury road</v>
      </c>
      <c r="B1053" s="1" t="str">
        <f>IF(A1053&lt;&gt;"", VLOOKUP(A1053, imdb_netflix_v5!A$2:H$7370, 2, FALSE), "")</f>
        <v>Movie</v>
      </c>
      <c r="C1053" s="2" t="str">
        <f>IF(A1053&lt;&gt;"", VLOOKUP(A1053, imdb_netflix_v5!A$2:H$7370, 3, FALSE), "")</f>
        <v>Action, Adventure, Sci-Fi</v>
      </c>
      <c r="D1053" s="2">
        <f>IF(A1053&lt;&gt;"", VLOOKUP(A1053, imdb_netflix_v5!A$2:H$7370, 4, FALSE), "")</f>
        <v>8.1</v>
      </c>
      <c r="E1053" s="2">
        <f>IF(A1053&lt;&gt;"", VLOOKUP(A1053, imdb_netflix_v5!A$2:H$7370, 5, FALSE), "")</f>
        <v>2015</v>
      </c>
      <c r="F1053" s="2" t="str">
        <f>IF(A1053&lt;&gt;"", VLOOKUP(A1053, imdb_netflix_v5!A$2:H$7370, 7, FALSE), "")</f>
        <v>NA</v>
      </c>
    </row>
    <row r="1054" ht="15.75" customHeight="1">
      <c r="A1054" s="1" t="str">
        <f>IFERROR(__xludf.DUMMYFUNCTION("""COMPUTED_VALUE"""),"catch me if you can")</f>
        <v>catch me if you can</v>
      </c>
      <c r="B1054" s="1" t="str">
        <f>IF(A1054&lt;&gt;"", VLOOKUP(A1054, imdb_netflix_v5!A$2:H$7370, 2, FALSE), "")</f>
        <v>Movie</v>
      </c>
      <c r="C1054" s="2" t="str">
        <f>IF(A1054&lt;&gt;"", VLOOKUP(A1054, imdb_netflix_v5!A$2:H$7370, 3, FALSE), "")</f>
        <v>Biography, Crime, Drama</v>
      </c>
      <c r="D1054" s="2">
        <f>IF(A1054&lt;&gt;"", VLOOKUP(A1054, imdb_netflix_v5!A$2:H$7370, 4, FALSE), "")</f>
        <v>8.1</v>
      </c>
      <c r="E1054" s="2">
        <f>IF(A1054&lt;&gt;"", VLOOKUP(A1054, imdb_netflix_v5!A$2:H$7370, 5, FALSE), "")</f>
        <v>2002</v>
      </c>
      <c r="F1054" s="2" t="str">
        <f>IF(A1054&lt;&gt;"", VLOOKUP(A1054, imdb_netflix_v5!A$2:H$7370, 7, FALSE), "")</f>
        <v>NA</v>
      </c>
    </row>
    <row r="1055" ht="15.75" customHeight="1">
      <c r="A1055" s="1" t="str">
        <f>IFERROR(__xludf.DUMMYFUNCTION("""COMPUTED_VALUE"""),"the walking dead")</f>
        <v>the walking dead</v>
      </c>
      <c r="B1055" s="1" t="str">
        <f>IF(A1055&lt;&gt;"", VLOOKUP(A1055, imdb_netflix_v5!A$2:H$7370, 2, FALSE), "")</f>
        <v>TV Show</v>
      </c>
      <c r="C1055" s="2" t="str">
        <f>IF(A1055&lt;&gt;"", VLOOKUP(A1055, imdb_netflix_v5!A$2:H$7370, 3, FALSE), "")</f>
        <v>Drama, Horror, Thriller</v>
      </c>
      <c r="D1055" s="2">
        <f>IF(A1055&lt;&gt;"", VLOOKUP(A1055, imdb_netflix_v5!A$2:H$7370, 4, FALSE), "")</f>
        <v>8.1</v>
      </c>
      <c r="E1055" s="2">
        <f>IF(A1055&lt;&gt;"", VLOOKUP(A1055, imdb_netflix_v5!A$2:H$7370, 5, FALSE), "")</f>
        <v>2010</v>
      </c>
      <c r="F1055" s="2">
        <f>IF(A1055&lt;&gt;"", VLOOKUP(A1055, imdb_netflix_v5!A$2:H$7370, 7, FALSE), "")</f>
        <v>15940000</v>
      </c>
    </row>
    <row r="1056" ht="15.75" customHeight="1">
      <c r="A1056" s="1" t="str">
        <f>IFERROR(__xludf.DUMMYFUNCTION("""COMPUTED_VALUE"""),"gone girl")</f>
        <v>gone girl</v>
      </c>
      <c r="B1056" s="1" t="str">
        <f>IF(A1056&lt;&gt;"", VLOOKUP(A1056, imdb_netflix_v5!A$2:H$7370, 2, FALSE), "")</f>
        <v>Movie</v>
      </c>
      <c r="C1056" s="2" t="str">
        <f>IF(A1056&lt;&gt;"", VLOOKUP(A1056, imdb_netflix_v5!A$2:H$7370, 3, FALSE), "")</f>
        <v>Drama, Mystery, Thriller</v>
      </c>
      <c r="D1056" s="2">
        <f>IF(A1056&lt;&gt;"", VLOOKUP(A1056, imdb_netflix_v5!A$2:H$7370, 4, FALSE), "")</f>
        <v>8.1</v>
      </c>
      <c r="E1056" s="2">
        <f>IF(A1056&lt;&gt;"", VLOOKUP(A1056, imdb_netflix_v5!A$2:H$7370, 5, FALSE), "")</f>
        <v>2014</v>
      </c>
      <c r="F1056" s="2" t="str">
        <f>IF(A1056&lt;&gt;"", VLOOKUP(A1056, imdb_netflix_v5!A$2:H$7370, 7, FALSE), "")</f>
        <v>NA</v>
      </c>
    </row>
    <row r="1057" ht="15.75" customHeight="1">
      <c r="A1057" s="1" t="str">
        <f>IFERROR(__xludf.DUMMYFUNCTION("""COMPUTED_VALUE"""),"monsters, inc.")</f>
        <v>monsters, inc.</v>
      </c>
      <c r="B1057" s="1" t="str">
        <f>IF(A1057&lt;&gt;"", VLOOKUP(A1057, imdb_netflix_v5!A$2:H$7370, 2, FALSE), "")</f>
        <v>Movie</v>
      </c>
      <c r="C1057" s="2" t="str">
        <f>IF(A1057&lt;&gt;"", VLOOKUP(A1057, imdb_netflix_v5!A$2:H$7370, 3, FALSE), "")</f>
        <v>Adventure, Animation, Comedy</v>
      </c>
      <c r="D1057" s="2">
        <f>IF(A1057&lt;&gt;"", VLOOKUP(A1057, imdb_netflix_v5!A$2:H$7370, 4, FALSE), "")</f>
        <v>8.1</v>
      </c>
      <c r="E1057" s="2">
        <f>IF(A1057&lt;&gt;"", VLOOKUP(A1057, imdb_netflix_v5!A$2:H$7370, 5, FALSE), "")</f>
        <v>2001</v>
      </c>
      <c r="F1057" s="2" t="str">
        <f>IF(A1057&lt;&gt;"", VLOOKUP(A1057, imdb_netflix_v5!A$2:H$7370, 7, FALSE), "")</f>
        <v>NA</v>
      </c>
    </row>
    <row r="1058" ht="15.75" customHeight="1">
      <c r="A1058" s="1" t="str">
        <f>IFERROR(__xludf.DUMMYFUNCTION("""COMPUTED_VALUE"""),"harry potter and the deathly hallows part 2")</f>
        <v>harry potter and the deathly hallows part 2</v>
      </c>
      <c r="B1058" s="1" t="str">
        <f>IF(A1058&lt;&gt;"", VLOOKUP(A1058, imdb_netflix_v5!A$2:H$7370, 2, FALSE), "")</f>
        <v>Movie</v>
      </c>
      <c r="C1058" s="2" t="str">
        <f>IF(A1058&lt;&gt;"", VLOOKUP(A1058, imdb_netflix_v5!A$2:H$7370, 3, FALSE), "")</f>
        <v>Adventure, Family, Fantasy</v>
      </c>
      <c r="D1058" s="2">
        <f>IF(A1058&lt;&gt;"", VLOOKUP(A1058, imdb_netflix_v5!A$2:H$7370, 4, FALSE), "")</f>
        <v>8.1</v>
      </c>
      <c r="E1058" s="2">
        <f>IF(A1058&lt;&gt;"", VLOOKUP(A1058, imdb_netflix_v5!A$2:H$7370, 5, FALSE), "")</f>
        <v>2011</v>
      </c>
      <c r="F1058" s="2" t="str">
        <f>IF(A1058&lt;&gt;"", VLOOKUP(A1058, imdb_netflix_v5!A$2:H$7370, 7, FALSE), "")</f>
        <v>NA</v>
      </c>
    </row>
    <row r="1059" ht="15.75" customHeight="1">
      <c r="A1059" s="1" t="str">
        <f>IFERROR(__xludf.DUMMYFUNCTION("""COMPUTED_VALUE"""),"the terminator")</f>
        <v>the terminator</v>
      </c>
      <c r="B1059" s="1" t="str">
        <f>IF(A1059&lt;&gt;"", VLOOKUP(A1059, imdb_netflix_v5!A$2:H$7370, 2, FALSE), "")</f>
        <v>Movie</v>
      </c>
      <c r="C1059" s="2" t="str">
        <f>IF(A1059&lt;&gt;"", VLOOKUP(A1059, imdb_netflix_v5!A$2:H$7370, 3, FALSE), "")</f>
        <v>Action, Adventure, Sci-Fi</v>
      </c>
      <c r="D1059" s="2">
        <f>IF(A1059&lt;&gt;"", VLOOKUP(A1059, imdb_netflix_v5!A$2:H$7370, 4, FALSE), "")</f>
        <v>8.1</v>
      </c>
      <c r="E1059" s="2">
        <f>IF(A1059&lt;&gt;"", VLOOKUP(A1059, imdb_netflix_v5!A$2:H$7370, 5, FALSE), "")</f>
        <v>1984</v>
      </c>
      <c r="F1059" s="2" t="str">
        <f>IF(A1059&lt;&gt;"", VLOOKUP(A1059, imdb_netflix_v5!A$2:H$7370, 7, FALSE), "")</f>
        <v>NA</v>
      </c>
    </row>
    <row r="1060" ht="15.75" customHeight="1">
      <c r="A1060" s="1" t="str">
        <f>IFERROR(__xludf.DUMMYFUNCTION("""COMPUTED_VALUE"""),"the grand budapest hotel")</f>
        <v>the grand budapest hotel</v>
      </c>
      <c r="B1060" s="1" t="str">
        <f>IF(A1060&lt;&gt;"", VLOOKUP(A1060, imdb_netflix_v5!A$2:H$7370, 2, FALSE), "")</f>
        <v>Movie</v>
      </c>
      <c r="C1060" s="2" t="str">
        <f>IF(A1060&lt;&gt;"", VLOOKUP(A1060, imdb_netflix_v5!A$2:H$7370, 3, FALSE), "")</f>
        <v>Adventure, Comedy, Crime</v>
      </c>
      <c r="D1060" s="2">
        <f>IF(A1060&lt;&gt;"", VLOOKUP(A1060, imdb_netflix_v5!A$2:H$7370, 4, FALSE), "")</f>
        <v>8.1</v>
      </c>
      <c r="E1060" s="2">
        <f>IF(A1060&lt;&gt;"", VLOOKUP(A1060, imdb_netflix_v5!A$2:H$7370, 5, FALSE), "")</f>
        <v>2014</v>
      </c>
      <c r="F1060" s="2" t="str">
        <f>IF(A1060&lt;&gt;"", VLOOKUP(A1060, imdb_netflix_v5!A$2:H$7370, 7, FALSE), "")</f>
        <v>NA</v>
      </c>
    </row>
    <row r="1061" ht="15.75" customHeight="1">
      <c r="A1061" s="1" t="str">
        <f>IFERROR(__xludf.DUMMYFUNCTION("""COMPUTED_VALUE"""),"the big bang theory")</f>
        <v>the big bang theory</v>
      </c>
      <c r="B1061" s="1" t="str">
        <f>IF(A1061&lt;&gt;"", VLOOKUP(A1061, imdb_netflix_v5!A$2:H$7370, 2, FALSE), "")</f>
        <v>TV Show</v>
      </c>
      <c r="C1061" s="2" t="str">
        <f>IF(A1061&lt;&gt;"", VLOOKUP(A1061, imdb_netflix_v5!A$2:H$7370, 3, FALSE), "")</f>
        <v>Comedy, Romance</v>
      </c>
      <c r="D1061" s="2">
        <f>IF(A1061&lt;&gt;"", VLOOKUP(A1061, imdb_netflix_v5!A$2:H$7370, 4, FALSE), "")</f>
        <v>8.1</v>
      </c>
      <c r="E1061" s="2">
        <f>IF(A1061&lt;&gt;"", VLOOKUP(A1061, imdb_netflix_v5!A$2:H$7370, 5, FALSE), "")</f>
        <v>2007</v>
      </c>
      <c r="F1061" s="2" t="str">
        <f>IF(A1061&lt;&gt;"", VLOOKUP(A1061, imdb_netflix_v5!A$2:H$7370, 7, FALSE), "")</f>
        <v>NA</v>
      </c>
    </row>
    <row r="1062" ht="15.75" customHeight="1">
      <c r="A1062" s="1" t="str">
        <f>IFERROR(__xludf.DUMMYFUNCTION("""COMPUTED_VALUE"""),"the big lebowski")</f>
        <v>the big lebowski</v>
      </c>
      <c r="B1062" s="1" t="str">
        <f>IF(A1062&lt;&gt;"", VLOOKUP(A1062, imdb_netflix_v5!A$2:H$7370, 2, FALSE), "")</f>
        <v>Movie</v>
      </c>
      <c r="C1062" s="2" t="str">
        <f>IF(A1062&lt;&gt;"", VLOOKUP(A1062, imdb_netflix_v5!A$2:H$7370, 3, FALSE), "")</f>
        <v>Comedy, Crime</v>
      </c>
      <c r="D1062" s="2">
        <f>IF(A1062&lt;&gt;"", VLOOKUP(A1062, imdb_netflix_v5!A$2:H$7370, 4, FALSE), "")</f>
        <v>8.1</v>
      </c>
      <c r="E1062" s="2">
        <f>IF(A1062&lt;&gt;"", VLOOKUP(A1062, imdb_netflix_v5!A$2:H$7370, 5, FALSE), "")</f>
        <v>1998</v>
      </c>
      <c r="F1062" s="2" t="str">
        <f>IF(A1062&lt;&gt;"", VLOOKUP(A1062, imdb_netflix_v5!A$2:H$7370, 7, FALSE), "")</f>
        <v>NA</v>
      </c>
    </row>
    <row r="1063" ht="15.75" customHeight="1">
      <c r="A1063" s="1" t="str">
        <f>IFERROR(__xludf.DUMMYFUNCTION("""COMPUTED_VALUE"""),"logan")</f>
        <v>logan</v>
      </c>
      <c r="B1063" s="1" t="str">
        <f>IF(A1063&lt;&gt;"", VLOOKUP(A1063, imdb_netflix_v5!A$2:H$7370, 2, FALSE), "")</f>
        <v>Movie</v>
      </c>
      <c r="C1063" s="2" t="str">
        <f>IF(A1063&lt;&gt;"", VLOOKUP(A1063, imdb_netflix_v5!A$2:H$7370, 3, FALSE), "")</f>
        <v>Action, Drama, Sci-Fi</v>
      </c>
      <c r="D1063" s="2">
        <f>IF(A1063&lt;&gt;"", VLOOKUP(A1063, imdb_netflix_v5!A$2:H$7370, 4, FALSE), "")</f>
        <v>8.1</v>
      </c>
      <c r="E1063" s="2">
        <f>IF(A1063&lt;&gt;"", VLOOKUP(A1063, imdb_netflix_v5!A$2:H$7370, 5, FALSE), "")</f>
        <v>2017</v>
      </c>
      <c r="F1063" s="2" t="str">
        <f>IF(A1063&lt;&gt;"", VLOOKUP(A1063, imdb_netflix_v5!A$2:H$7370, 7, FALSE), "")</f>
        <v>NA</v>
      </c>
    </row>
    <row r="1064" ht="15.75" customHeight="1">
      <c r="A1064" s="1" t="str">
        <f>IFERROR(__xludf.DUMMYFUNCTION("""COMPUTED_VALUE"""),"ratatouille")</f>
        <v>ratatouille</v>
      </c>
      <c r="B1064" s="1" t="str">
        <f>IF(A1064&lt;&gt;"", VLOOKUP(A1064, imdb_netflix_v5!A$2:H$7370, 2, FALSE), "")</f>
        <v>Movie</v>
      </c>
      <c r="C1064" s="2" t="str">
        <f>IF(A1064&lt;&gt;"", VLOOKUP(A1064, imdb_netflix_v5!A$2:H$7370, 3, FALSE), "")</f>
        <v>Adventure, Animation, Comedy</v>
      </c>
      <c r="D1064" s="2">
        <f>IF(A1064&lt;&gt;"", VLOOKUP(A1064, imdb_netflix_v5!A$2:H$7370, 4, FALSE), "")</f>
        <v>8.1</v>
      </c>
      <c r="E1064" s="2">
        <f>IF(A1064&lt;&gt;"", VLOOKUP(A1064, imdb_netflix_v5!A$2:H$7370, 5, FALSE), "")</f>
        <v>2007</v>
      </c>
      <c r="F1064" s="2" t="str">
        <f>IF(A1064&lt;&gt;"", VLOOKUP(A1064, imdb_netflix_v5!A$2:H$7370, 7, FALSE), "")</f>
        <v>NA</v>
      </c>
    </row>
    <row r="1065" ht="15.75" customHeight="1">
      <c r="A1065" s="1" t="str">
        <f>IFERROR(__xludf.DUMMYFUNCTION("""COMPUTED_VALUE"""),"inside out")</f>
        <v>inside out</v>
      </c>
      <c r="B1065" s="1" t="str">
        <f>IF(A1065&lt;&gt;"", VLOOKUP(A1065, imdb_netflix_v5!A$2:H$7370, 2, FALSE), "")</f>
        <v>Movie</v>
      </c>
      <c r="C1065" s="2" t="str">
        <f>IF(A1065&lt;&gt;"", VLOOKUP(A1065, imdb_netflix_v5!A$2:H$7370, 3, FALSE), "")</f>
        <v>Adventure, Animation, Comedy</v>
      </c>
      <c r="D1065" s="2">
        <f>IF(A1065&lt;&gt;"", VLOOKUP(A1065, imdb_netflix_v5!A$2:H$7370, 4, FALSE), "")</f>
        <v>8.1</v>
      </c>
      <c r="E1065" s="2">
        <f>IF(A1065&lt;&gt;"", VLOOKUP(A1065, imdb_netflix_v5!A$2:H$7370, 5, FALSE), "")</f>
        <v>2015</v>
      </c>
      <c r="F1065" s="2" t="str">
        <f>IF(A1065&lt;&gt;"", VLOOKUP(A1065, imdb_netflix_v5!A$2:H$7370, 7, FALSE), "")</f>
        <v>NA</v>
      </c>
    </row>
    <row r="1066" ht="15.75" customHeight="1">
      <c r="A1066" s="1" t="str">
        <f>IFERROR(__xludf.DUMMYFUNCTION("""COMPUTED_VALUE"""),"blade runner")</f>
        <v>blade runner</v>
      </c>
      <c r="B1066" s="1" t="str">
        <f>IF(A1066&lt;&gt;"", VLOOKUP(A1066, imdb_netflix_v5!A$2:H$7370, 2, FALSE), "")</f>
        <v>Movie</v>
      </c>
      <c r="C1066" s="2" t="str">
        <f>IF(A1066&lt;&gt;"", VLOOKUP(A1066, imdb_netflix_v5!A$2:H$7370, 3, FALSE), "")</f>
        <v>Action, Drama, Sci-Fi</v>
      </c>
      <c r="D1066" s="2">
        <f>IF(A1066&lt;&gt;"", VLOOKUP(A1066, imdb_netflix_v5!A$2:H$7370, 4, FALSE), "")</f>
        <v>8.1</v>
      </c>
      <c r="E1066" s="2">
        <f>IF(A1066&lt;&gt;"", VLOOKUP(A1066, imdb_netflix_v5!A$2:H$7370, 5, FALSE), "")</f>
        <v>1982</v>
      </c>
      <c r="F1066" s="2" t="str">
        <f>IF(A1066&lt;&gt;"", VLOOKUP(A1066, imdb_netflix_v5!A$2:H$7370, 7, FALSE), "")</f>
        <v>NA</v>
      </c>
    </row>
    <row r="1067" ht="15.75" customHeight="1">
      <c r="A1067" s="1" t="str">
        <f>IFERROR(__xludf.DUMMYFUNCTION("""COMPUTED_VALUE"""),"gran torino")</f>
        <v>gran torino</v>
      </c>
      <c r="B1067" s="1" t="str">
        <f>IF(A1067&lt;&gt;"", VLOOKUP(A1067, imdb_netflix_v5!A$2:H$7370, 2, FALSE), "")</f>
        <v>Movie</v>
      </c>
      <c r="C1067" s="2" t="str">
        <f>IF(A1067&lt;&gt;"", VLOOKUP(A1067, imdb_netflix_v5!A$2:H$7370, 3, FALSE), "")</f>
        <v>Drama</v>
      </c>
      <c r="D1067" s="2">
        <f>IF(A1067&lt;&gt;"", VLOOKUP(A1067, imdb_netflix_v5!A$2:H$7370, 4, FALSE), "")</f>
        <v>8.1</v>
      </c>
      <c r="E1067" s="2">
        <f>IF(A1067&lt;&gt;"", VLOOKUP(A1067, imdb_netflix_v5!A$2:H$7370, 5, FALSE), "")</f>
        <v>2008</v>
      </c>
      <c r="F1067" s="2" t="str">
        <f>IF(A1067&lt;&gt;"", VLOOKUP(A1067, imdb_netflix_v5!A$2:H$7370, 7, FALSE), "")</f>
        <v>NA</v>
      </c>
    </row>
    <row r="1068" ht="15.75" customHeight="1">
      <c r="A1068" s="1" t="str">
        <f>IFERROR(__xludf.DUMMYFUNCTION("""COMPUTED_VALUE"""),"how to train your dragon")</f>
        <v>how to train your dragon</v>
      </c>
      <c r="B1068" s="1" t="str">
        <f>IF(A1068&lt;&gt;"", VLOOKUP(A1068, imdb_netflix_v5!A$2:H$7370, 2, FALSE), "")</f>
        <v>Movie</v>
      </c>
      <c r="C1068" s="2" t="str">
        <f>IF(A1068&lt;&gt;"", VLOOKUP(A1068, imdb_netflix_v5!A$2:H$7370, 3, FALSE), "")</f>
        <v>Action, Adventure, Animation</v>
      </c>
      <c r="D1068" s="2">
        <f>IF(A1068&lt;&gt;"", VLOOKUP(A1068, imdb_netflix_v5!A$2:H$7370, 4, FALSE), "")</f>
        <v>8.1</v>
      </c>
      <c r="E1068" s="2">
        <f>IF(A1068&lt;&gt;"", VLOOKUP(A1068, imdb_netflix_v5!A$2:H$7370, 5, FALSE), "")</f>
        <v>2010</v>
      </c>
      <c r="F1068" s="2" t="str">
        <f>IF(A1068&lt;&gt;"", VLOOKUP(A1068, imdb_netflix_v5!A$2:H$7370, 7, FALSE), "")</f>
        <v>NA</v>
      </c>
    </row>
    <row r="1069" ht="15.75" customHeight="1">
      <c r="A1069" s="1" t="str">
        <f>IFERROR(__xludf.DUMMYFUNCTION("""COMPUTED_VALUE"""),"12 years a slave")</f>
        <v>12 years a slave</v>
      </c>
      <c r="B1069" s="1" t="str">
        <f>IF(A1069&lt;&gt;"", VLOOKUP(A1069, imdb_netflix_v5!A$2:H$7370, 2, FALSE), "")</f>
        <v>Movie</v>
      </c>
      <c r="C1069" s="2" t="str">
        <f>IF(A1069&lt;&gt;"", VLOOKUP(A1069, imdb_netflix_v5!A$2:H$7370, 3, FALSE), "")</f>
        <v>Biography, Drama, History</v>
      </c>
      <c r="D1069" s="2">
        <f>IF(A1069&lt;&gt;"", VLOOKUP(A1069, imdb_netflix_v5!A$2:H$7370, 4, FALSE), "")</f>
        <v>8.1</v>
      </c>
      <c r="E1069" s="2">
        <f>IF(A1069&lt;&gt;"", VLOOKUP(A1069, imdb_netflix_v5!A$2:H$7370, 5, FALSE), "")</f>
        <v>2013</v>
      </c>
      <c r="F1069" s="2" t="str">
        <f>IF(A1069&lt;&gt;"", VLOOKUP(A1069, imdb_netflix_v5!A$2:H$7370, 7, FALSE), "")</f>
        <v>NA</v>
      </c>
    </row>
    <row r="1070" ht="15.75" customHeight="1">
      <c r="A1070" s="1" t="str">
        <f>IFERROR(__xludf.DUMMYFUNCTION("""COMPUTED_VALUE"""),"trainspotting")</f>
        <v>trainspotting</v>
      </c>
      <c r="B1070" s="1" t="str">
        <f>IF(A1070&lt;&gt;"", VLOOKUP(A1070, imdb_netflix_v5!A$2:H$7370, 2, FALSE), "")</f>
        <v>Movie</v>
      </c>
      <c r="C1070" s="2" t="str">
        <f>IF(A1070&lt;&gt;"", VLOOKUP(A1070, imdb_netflix_v5!A$2:H$7370, 3, FALSE), "")</f>
        <v>Drama</v>
      </c>
      <c r="D1070" s="2">
        <f>IF(A1070&lt;&gt;"", VLOOKUP(A1070, imdb_netflix_v5!A$2:H$7370, 4, FALSE), "")</f>
        <v>8.1</v>
      </c>
      <c r="E1070" s="2">
        <f>IF(A1070&lt;&gt;"", VLOOKUP(A1070, imdb_netflix_v5!A$2:H$7370, 5, FALSE), "")</f>
        <v>1996</v>
      </c>
      <c r="F1070" s="2" t="str">
        <f>IF(A1070&lt;&gt;"", VLOOKUP(A1070, imdb_netflix_v5!A$2:H$7370, 7, FALSE), "")</f>
        <v>NA</v>
      </c>
    </row>
    <row r="1071" ht="15.75" customHeight="1">
      <c r="A1071" s="1" t="str">
        <f>IFERROR(__xludf.DUMMYFUNCTION("""COMPUTED_VALUE"""),"million dollar baby")</f>
        <v>million dollar baby</v>
      </c>
      <c r="B1071" s="1" t="str">
        <f>IF(A1071&lt;&gt;"", VLOOKUP(A1071, imdb_netflix_v5!A$2:H$7370, 2, FALSE), "")</f>
        <v>Movie</v>
      </c>
      <c r="C1071" s="2" t="str">
        <f>IF(A1071&lt;&gt;"", VLOOKUP(A1071, imdb_netflix_v5!A$2:H$7370, 3, FALSE), "")</f>
        <v>Drama, Sport</v>
      </c>
      <c r="D1071" s="2">
        <f>IF(A1071&lt;&gt;"", VLOOKUP(A1071, imdb_netflix_v5!A$2:H$7370, 4, FALSE), "")</f>
        <v>8.1</v>
      </c>
      <c r="E1071" s="2">
        <f>IF(A1071&lt;&gt;"", VLOOKUP(A1071, imdb_netflix_v5!A$2:H$7370, 5, FALSE), "")</f>
        <v>2004</v>
      </c>
      <c r="F1071" s="2" t="str">
        <f>IF(A1071&lt;&gt;"", VLOOKUP(A1071, imdb_netflix_v5!A$2:H$7370, 7, FALSE), "")</f>
        <v>NA</v>
      </c>
    </row>
    <row r="1072" ht="15.75" customHeight="1">
      <c r="A1072" s="1" t="str">
        <f>IFERROR(__xludf.DUMMYFUNCTION("""COMPUTED_VALUE"""),"jaws")</f>
        <v>jaws</v>
      </c>
      <c r="B1072" s="1" t="str">
        <f>IF(A1072&lt;&gt;"", VLOOKUP(A1072, imdb_netflix_v5!A$2:H$7370, 2, FALSE), "")</f>
        <v>Movie</v>
      </c>
      <c r="C1072" s="2" t="str">
        <f>IF(A1072&lt;&gt;"", VLOOKUP(A1072, imdb_netflix_v5!A$2:H$7370, 3, FALSE), "")</f>
        <v>Adventure, Drama, Horror</v>
      </c>
      <c r="D1072" s="2">
        <f>IF(A1072&lt;&gt;"", VLOOKUP(A1072, imdb_netflix_v5!A$2:H$7370, 4, FALSE), "")</f>
        <v>8.1</v>
      </c>
      <c r="E1072" s="2">
        <f>IF(A1072&lt;&gt;"", VLOOKUP(A1072, imdb_netflix_v5!A$2:H$7370, 5, FALSE), "")</f>
        <v>1975</v>
      </c>
      <c r="F1072" s="2" t="str">
        <f>IF(A1072&lt;&gt;"", VLOOKUP(A1072, imdb_netflix_v5!A$2:H$7370, 7, FALSE), "")</f>
        <v>NA</v>
      </c>
    </row>
    <row r="1073" ht="15.75" customHeight="1">
      <c r="A1073" s="1" t="str">
        <f>IFERROR(__xludf.DUMMYFUNCTION("""COMPUTED_VALUE"""),"into the wild")</f>
        <v>into the wild</v>
      </c>
      <c r="B1073" s="1" t="str">
        <f>IF(A1073&lt;&gt;"", VLOOKUP(A1073, imdb_netflix_v5!A$2:H$7370, 2, FALSE), "")</f>
        <v>Movie</v>
      </c>
      <c r="C1073" s="2" t="str">
        <f>IF(A1073&lt;&gt;"", VLOOKUP(A1073, imdb_netflix_v5!A$2:H$7370, 3, FALSE), "")</f>
        <v>Adventure, Biography, Drama</v>
      </c>
      <c r="D1073" s="2">
        <f>IF(A1073&lt;&gt;"", VLOOKUP(A1073, imdb_netflix_v5!A$2:H$7370, 4, FALSE), "")</f>
        <v>8.1</v>
      </c>
      <c r="E1073" s="2">
        <f>IF(A1073&lt;&gt;"", VLOOKUP(A1073, imdb_netflix_v5!A$2:H$7370, 5, FALSE), "")</f>
        <v>2007</v>
      </c>
      <c r="F1073" s="2" t="str">
        <f>IF(A1073&lt;&gt;"", VLOOKUP(A1073, imdb_netflix_v5!A$2:H$7370, 7, FALSE), "")</f>
        <v>NA</v>
      </c>
    </row>
    <row r="1074" ht="15.75" customHeight="1">
      <c r="A1074" s="1" t="str">
        <f>IFERROR(__xludf.DUMMYFUNCTION("""COMPUTED_VALUE"""),"rocky")</f>
        <v>rocky</v>
      </c>
      <c r="B1074" s="1" t="str">
        <f>IF(A1074&lt;&gt;"", VLOOKUP(A1074, imdb_netflix_v5!A$2:H$7370, 2, FALSE), "")</f>
        <v>Movie</v>
      </c>
      <c r="C1074" s="2" t="str">
        <f>IF(A1074&lt;&gt;"", VLOOKUP(A1074, imdb_netflix_v5!A$2:H$7370, 3, FALSE), "")</f>
        <v>Drama, Sport</v>
      </c>
      <c r="D1074" s="2">
        <f>IF(A1074&lt;&gt;"", VLOOKUP(A1074, imdb_netflix_v5!A$2:H$7370, 4, FALSE), "")</f>
        <v>8.1</v>
      </c>
      <c r="E1074" s="2">
        <f>IF(A1074&lt;&gt;"", VLOOKUP(A1074, imdb_netflix_v5!A$2:H$7370, 5, FALSE), "")</f>
        <v>1976</v>
      </c>
      <c r="F1074" s="2" t="str">
        <f>IF(A1074&lt;&gt;"", VLOOKUP(A1074, imdb_netflix_v5!A$2:H$7370, 7, FALSE), "")</f>
        <v>NA</v>
      </c>
    </row>
    <row r="1075" ht="15.75" customHeight="1">
      <c r="A1075" s="1" t="str">
        <f>IFERROR(__xludf.DUMMYFUNCTION("""COMPUTED_VALUE"""),"lock, stock and two smoking barrels")</f>
        <v>lock, stock and two smoking barrels</v>
      </c>
      <c r="B1075" s="1" t="str">
        <f>IF(A1075&lt;&gt;"", VLOOKUP(A1075, imdb_netflix_v5!A$2:H$7370, 2, FALSE), "")</f>
        <v>Movie</v>
      </c>
      <c r="C1075" s="2" t="str">
        <f>IF(A1075&lt;&gt;"", VLOOKUP(A1075, imdb_netflix_v5!A$2:H$7370, 3, FALSE), "")</f>
        <v>Comedy, Crime</v>
      </c>
      <c r="D1075" s="2">
        <f>IF(A1075&lt;&gt;"", VLOOKUP(A1075, imdb_netflix_v5!A$2:H$7370, 4, FALSE), "")</f>
        <v>8.1</v>
      </c>
      <c r="E1075" s="2">
        <f>IF(A1075&lt;&gt;"", VLOOKUP(A1075, imdb_netflix_v5!A$2:H$7370, 5, FALSE), "")</f>
        <v>1998</v>
      </c>
      <c r="F1075" s="2" t="str">
        <f>IF(A1075&lt;&gt;"", VLOOKUP(A1075, imdb_netflix_v5!A$2:H$7370, 7, FALSE), "")</f>
        <v>NA</v>
      </c>
    </row>
    <row r="1076" ht="15.75" customHeight="1">
      <c r="A1076" s="1" t="str">
        <f>IFERROR(__xludf.DUMMYFUNCTION("""COMPUTED_VALUE"""),"hacksaw ridge")</f>
        <v>hacksaw ridge</v>
      </c>
      <c r="B1076" s="1" t="str">
        <f>IF(A1076&lt;&gt;"", VLOOKUP(A1076, imdb_netflix_v5!A$2:H$7370, 2, FALSE), "")</f>
        <v>Movie</v>
      </c>
      <c r="C1076" s="2" t="str">
        <f>IF(A1076&lt;&gt;"", VLOOKUP(A1076, imdb_netflix_v5!A$2:H$7370, 3, FALSE), "")</f>
        <v>Biography, Drama, History</v>
      </c>
      <c r="D1076" s="2">
        <f>IF(A1076&lt;&gt;"", VLOOKUP(A1076, imdb_netflix_v5!A$2:H$7370, 4, FALSE), "")</f>
        <v>8.1</v>
      </c>
      <c r="E1076" s="2">
        <f>IF(A1076&lt;&gt;"", VLOOKUP(A1076, imdb_netflix_v5!A$2:H$7370, 5, FALSE), "")</f>
        <v>2016</v>
      </c>
      <c r="F1076" s="2" t="str">
        <f>IF(A1076&lt;&gt;"", VLOOKUP(A1076, imdb_netflix_v5!A$2:H$7370, 7, FALSE), "")</f>
        <v>NA</v>
      </c>
    </row>
    <row r="1077" ht="15.75" customHeight="1">
      <c r="A1077" s="1" t="str">
        <f>IFERROR(__xludf.DUMMYFUNCTION("""COMPUTED_VALUE"""),"dead poets society")</f>
        <v>dead poets society</v>
      </c>
      <c r="B1077" s="1" t="str">
        <f>IF(A1077&lt;&gt;"", VLOOKUP(A1077, imdb_netflix_v5!A$2:H$7370, 2, FALSE), "")</f>
        <v>Movie</v>
      </c>
      <c r="C1077" s="2" t="str">
        <f>IF(A1077&lt;&gt;"", VLOOKUP(A1077, imdb_netflix_v5!A$2:H$7370, 3, FALSE), "")</f>
        <v>Comedy, Drama</v>
      </c>
      <c r="D1077" s="2">
        <f>IF(A1077&lt;&gt;"", VLOOKUP(A1077, imdb_netflix_v5!A$2:H$7370, 4, FALSE), "")</f>
        <v>8.1</v>
      </c>
      <c r="E1077" s="2">
        <f>IF(A1077&lt;&gt;"", VLOOKUP(A1077, imdb_netflix_v5!A$2:H$7370, 5, FALSE), "")</f>
        <v>1989</v>
      </c>
      <c r="F1077" s="2" t="str">
        <f>IF(A1077&lt;&gt;"", VLOOKUP(A1077, imdb_netflix_v5!A$2:H$7370, 7, FALSE), "")</f>
        <v>NA</v>
      </c>
    </row>
    <row r="1078" ht="15.75" customHeight="1">
      <c r="A1078" s="1" t="str">
        <f>IFERROR(__xludf.DUMMYFUNCTION("""COMPUTED_VALUE"""),"three billboards outside ebbing, missouri")</f>
        <v>three billboards outside ebbing, missouri</v>
      </c>
      <c r="B1078" s="1" t="str">
        <f>IF(A1078&lt;&gt;"", VLOOKUP(A1078, imdb_netflix_v5!A$2:H$7370, 2, FALSE), "")</f>
        <v>Movie</v>
      </c>
      <c r="C1078" s="2" t="str">
        <f>IF(A1078&lt;&gt;"", VLOOKUP(A1078, imdb_netflix_v5!A$2:H$7370, 3, FALSE), "")</f>
        <v>Comedy, Crime, Drama</v>
      </c>
      <c r="D1078" s="2">
        <f>IF(A1078&lt;&gt;"", VLOOKUP(A1078, imdb_netflix_v5!A$2:H$7370, 4, FALSE), "")</f>
        <v>8.1</v>
      </c>
      <c r="E1078" s="2">
        <f>IF(A1078&lt;&gt;"", VLOOKUP(A1078, imdb_netflix_v5!A$2:H$7370, 5, FALSE), "")</f>
        <v>2017</v>
      </c>
      <c r="F1078" s="2" t="str">
        <f>IF(A1078&lt;&gt;"", VLOOKUP(A1078, imdb_netflix_v5!A$2:H$7370, 7, FALSE), "")</f>
        <v>NA</v>
      </c>
    </row>
    <row r="1079" ht="15.75" customHeight="1">
      <c r="A1079" s="1" t="str">
        <f>IFERROR(__xludf.DUMMYFUNCTION("""COMPUTED_VALUE"""),"rush")</f>
        <v>rush</v>
      </c>
      <c r="B1079" s="1" t="str">
        <f>IF(A1079&lt;&gt;"", VLOOKUP(A1079, imdb_netflix_v5!A$2:H$7370, 2, FALSE), "")</f>
        <v>Movie</v>
      </c>
      <c r="C1079" s="2" t="str">
        <f>IF(A1079&lt;&gt;"", VLOOKUP(A1079, imdb_netflix_v5!A$2:H$7370, 3, FALSE), "")</f>
        <v>Biography, Drama, Sport</v>
      </c>
      <c r="D1079" s="2">
        <f>IF(A1079&lt;&gt;"", VLOOKUP(A1079, imdb_netflix_v5!A$2:H$7370, 4, FALSE), "")</f>
        <v>8.1</v>
      </c>
      <c r="E1079" s="2">
        <f>IF(A1079&lt;&gt;"", VLOOKUP(A1079, imdb_netflix_v5!A$2:H$7370, 5, FALSE), "")</f>
        <v>2013</v>
      </c>
      <c r="F1079" s="2" t="str">
        <f>IF(A1079&lt;&gt;"", VLOOKUP(A1079, imdb_netflix_v5!A$2:H$7370, 7, FALSE), "")</f>
        <v>NA</v>
      </c>
    </row>
    <row r="1080" ht="15.75" customHeight="1">
      <c r="A1080" s="1" t="str">
        <f>IFERROR(__xludf.DUMMYFUNCTION("""COMPUTED_VALUE"""),"spotlight")</f>
        <v>spotlight</v>
      </c>
      <c r="B1080" s="1" t="str">
        <f>IF(A1080&lt;&gt;"", VLOOKUP(A1080, imdb_netflix_v5!A$2:H$7370, 2, FALSE), "")</f>
        <v>Movie</v>
      </c>
      <c r="C1080" s="2" t="str">
        <f>IF(A1080&lt;&gt;"", VLOOKUP(A1080, imdb_netflix_v5!A$2:H$7370, 3, FALSE), "")</f>
        <v>Biography, Crime, Drama</v>
      </c>
      <c r="D1080" s="2">
        <f>IF(A1080&lt;&gt;"", VLOOKUP(A1080, imdb_netflix_v5!A$2:H$7370, 4, FALSE), "")</f>
        <v>8.1</v>
      </c>
      <c r="E1080" s="2">
        <f>IF(A1080&lt;&gt;"", VLOOKUP(A1080, imdb_netflix_v5!A$2:H$7370, 5, FALSE), "")</f>
        <v>2015</v>
      </c>
      <c r="F1080" s="2" t="str">
        <f>IF(A1080&lt;&gt;"", VLOOKUP(A1080, imdb_netflix_v5!A$2:H$7370, 7, FALSE), "")</f>
        <v>NA</v>
      </c>
    </row>
    <row r="1081" ht="15.75" customHeight="1">
      <c r="A1081" s="1" t="str">
        <f>IFERROR(__xludf.DUMMYFUNCTION("""COMPUTED_VALUE"""),"ford v ferrari")</f>
        <v>ford v ferrari</v>
      </c>
      <c r="B1081" s="1" t="str">
        <f>IF(A1081&lt;&gt;"", VLOOKUP(A1081, imdb_netflix_v5!A$2:H$7370, 2, FALSE), "")</f>
        <v>Movie</v>
      </c>
      <c r="C1081" s="2" t="str">
        <f>IF(A1081&lt;&gt;"", VLOOKUP(A1081, imdb_netflix_v5!A$2:H$7370, 3, FALSE), "")</f>
        <v>Action, Biography, Drama</v>
      </c>
      <c r="D1081" s="2">
        <f>IF(A1081&lt;&gt;"", VLOOKUP(A1081, imdb_netflix_v5!A$2:H$7370, 4, FALSE), "")</f>
        <v>8.1</v>
      </c>
      <c r="E1081" s="2">
        <f>IF(A1081&lt;&gt;"", VLOOKUP(A1081, imdb_netflix_v5!A$2:H$7370, 5, FALSE), "")</f>
        <v>2019</v>
      </c>
      <c r="F1081" s="2" t="str">
        <f>IF(A1081&lt;&gt;"", VLOOKUP(A1081, imdb_netflix_v5!A$2:H$7370, 7, FALSE), "")</f>
        <v>NA</v>
      </c>
    </row>
    <row r="1082" ht="15.75" customHeight="1">
      <c r="A1082" s="1" t="str">
        <f>IFERROR(__xludf.DUMMYFUNCTION("""COMPUTED_VALUE"""),"the help")</f>
        <v>the help</v>
      </c>
      <c r="B1082" s="1" t="str">
        <f>IF(A1082&lt;&gt;"", VLOOKUP(A1082, imdb_netflix_v5!A$2:H$7370, 2, FALSE), "")</f>
        <v>Movie</v>
      </c>
      <c r="C1082" s="2" t="str">
        <f>IF(A1082&lt;&gt;"", VLOOKUP(A1082, imdb_netflix_v5!A$2:H$7370, 3, FALSE), "")</f>
        <v>Drama</v>
      </c>
      <c r="D1082" s="2">
        <f>IF(A1082&lt;&gt;"", VLOOKUP(A1082, imdb_netflix_v5!A$2:H$7370, 4, FALSE), "")</f>
        <v>8.1</v>
      </c>
      <c r="E1082" s="2">
        <f>IF(A1082&lt;&gt;"", VLOOKUP(A1082, imdb_netflix_v5!A$2:H$7370, 5, FALSE), "")</f>
        <v>2011</v>
      </c>
      <c r="F1082" s="2" t="str">
        <f>IF(A1082&lt;&gt;"", VLOOKUP(A1082, imdb_netflix_v5!A$2:H$7370, 7, FALSE), "")</f>
        <v>NA</v>
      </c>
    </row>
    <row r="1083" ht="15.75" customHeight="1">
      <c r="A1083" s="1" t="str">
        <f>IFERROR(__xludf.DUMMYFUNCTION("""COMPUTED_VALUE"""),"the exorcist")</f>
        <v>the exorcist</v>
      </c>
      <c r="B1083" s="1" t="str">
        <f>IF(A1083&lt;&gt;"", VLOOKUP(A1083, imdb_netflix_v5!A$2:H$7370, 2, FALSE), "")</f>
        <v>Movie</v>
      </c>
      <c r="C1083" s="2" t="str">
        <f>IF(A1083&lt;&gt;"", VLOOKUP(A1083, imdb_netflix_v5!A$2:H$7370, 3, FALSE), "")</f>
        <v>Horror</v>
      </c>
      <c r="D1083" s="2">
        <f>IF(A1083&lt;&gt;"", VLOOKUP(A1083, imdb_netflix_v5!A$2:H$7370, 4, FALSE), "")</f>
        <v>8.1</v>
      </c>
      <c r="E1083" s="2">
        <f>IF(A1083&lt;&gt;"", VLOOKUP(A1083, imdb_netflix_v5!A$2:H$7370, 5, FALSE), "")</f>
        <v>1973</v>
      </c>
      <c r="F1083" s="2" t="str">
        <f>IF(A1083&lt;&gt;"", VLOOKUP(A1083, imdb_netflix_v5!A$2:H$7370, 7, FALSE), "")</f>
        <v>NA</v>
      </c>
    </row>
    <row r="1084" ht="15.75" customHeight="1">
      <c r="A1084" s="1" t="str">
        <f>IFERROR(__xludf.DUMMYFUNCTION("""COMPUTED_VALUE"""),"room")</f>
        <v>room</v>
      </c>
      <c r="B1084" s="1" t="str">
        <f>IF(A1084&lt;&gt;"", VLOOKUP(A1084, imdb_netflix_v5!A$2:H$7370, 2, FALSE), "")</f>
        <v>Movie</v>
      </c>
      <c r="C1084" s="2" t="str">
        <f>IF(A1084&lt;&gt;"", VLOOKUP(A1084, imdb_netflix_v5!A$2:H$7370, 3, FALSE), "")</f>
        <v>Drama, Thriller</v>
      </c>
      <c r="D1084" s="2">
        <f>IF(A1084&lt;&gt;"", VLOOKUP(A1084, imdb_netflix_v5!A$2:H$7370, 4, FALSE), "")</f>
        <v>8.1</v>
      </c>
      <c r="E1084" s="2">
        <f>IF(A1084&lt;&gt;"", VLOOKUP(A1084, imdb_netflix_v5!A$2:H$7370, 5, FALSE), "")</f>
        <v>2015</v>
      </c>
      <c r="F1084" s="2" t="str">
        <f>IF(A1084&lt;&gt;"", VLOOKUP(A1084, imdb_netflix_v5!A$2:H$7370, 7, FALSE), "")</f>
        <v>NA</v>
      </c>
    </row>
    <row r="1085" ht="15.75" customHeight="1">
      <c r="A1085" s="1" t="str">
        <f>IFERROR(__xludf.DUMMYFUNCTION("""COMPUTED_VALUE"""),"stand by me")</f>
        <v>stand by me</v>
      </c>
      <c r="B1085" s="1" t="str">
        <f>IF(A1085&lt;&gt;"", VLOOKUP(A1085, imdb_netflix_v5!A$2:H$7370, 2, FALSE), "")</f>
        <v>Movie</v>
      </c>
      <c r="C1085" s="2" t="str">
        <f>IF(A1085&lt;&gt;"", VLOOKUP(A1085, imdb_netflix_v5!A$2:H$7370, 3, FALSE), "")</f>
        <v>Adventure, Comedy, Drama</v>
      </c>
      <c r="D1085" s="2">
        <f>IF(A1085&lt;&gt;"", VLOOKUP(A1085, imdb_netflix_v5!A$2:H$7370, 4, FALSE), "")</f>
        <v>8.1</v>
      </c>
      <c r="E1085" s="2">
        <f>IF(A1085&lt;&gt;"", VLOOKUP(A1085, imdb_netflix_v5!A$2:H$7370, 5, FALSE), "")</f>
        <v>1986</v>
      </c>
      <c r="F1085" s="2" t="str">
        <f>IF(A1085&lt;&gt;"", VLOOKUP(A1085, imdb_netflix_v5!A$2:H$7370, 7, FALSE), "")</f>
        <v>NA</v>
      </c>
    </row>
    <row r="1086" ht="15.75" customHeight="1">
      <c r="A1086" s="1" t="str">
        <f>IFERROR(__xludf.DUMMYFUNCTION("""COMPUTED_VALUE"""),"platoon")</f>
        <v>platoon</v>
      </c>
      <c r="B1086" s="1" t="str">
        <f>IF(A1086&lt;&gt;"", VLOOKUP(A1086, imdb_netflix_v5!A$2:H$7370, 2, FALSE), "")</f>
        <v>Movie</v>
      </c>
      <c r="C1086" s="2" t="str">
        <f>IF(A1086&lt;&gt;"", VLOOKUP(A1086, imdb_netflix_v5!A$2:H$7370, 3, FALSE), "")</f>
        <v>Drama, War</v>
      </c>
      <c r="D1086" s="2">
        <f>IF(A1086&lt;&gt;"", VLOOKUP(A1086, imdb_netflix_v5!A$2:H$7370, 4, FALSE), "")</f>
        <v>8.1</v>
      </c>
      <c r="E1086" s="2">
        <f>IF(A1086&lt;&gt;"", VLOOKUP(A1086, imdb_netflix_v5!A$2:H$7370, 5, FALSE), "")</f>
        <v>1986</v>
      </c>
      <c r="F1086" s="2" t="str">
        <f>IF(A1086&lt;&gt;"", VLOOKUP(A1086, imdb_netflix_v5!A$2:H$7370, 7, FALSE), "")</f>
        <v>NA</v>
      </c>
    </row>
    <row r="1087" ht="15.75" customHeight="1">
      <c r="A1087" s="1" t="str">
        <f>IFERROR(__xludf.DUMMYFUNCTION("""COMPUTED_VALUE"""),"the wizard of oz")</f>
        <v>the wizard of oz</v>
      </c>
      <c r="B1087" s="1" t="str">
        <f>IF(A1087&lt;&gt;"", VLOOKUP(A1087, imdb_netflix_v5!A$2:H$7370, 2, FALSE), "")</f>
        <v>Movie</v>
      </c>
      <c r="C1087" s="2" t="str">
        <f>IF(A1087&lt;&gt;"", VLOOKUP(A1087, imdb_netflix_v5!A$2:H$7370, 3, FALSE), "")</f>
        <v>Adventure, Family, Fantasy</v>
      </c>
      <c r="D1087" s="2">
        <f>IF(A1087&lt;&gt;"", VLOOKUP(A1087, imdb_netflix_v5!A$2:H$7370, 4, FALSE), "")</f>
        <v>8.1</v>
      </c>
      <c r="E1087" s="2">
        <f>IF(A1087&lt;&gt;"", VLOOKUP(A1087, imdb_netflix_v5!A$2:H$7370, 5, FALSE), "")</f>
        <v>1939</v>
      </c>
      <c r="F1087" s="2" t="str">
        <f>IF(A1087&lt;&gt;"", VLOOKUP(A1087, imdb_netflix_v5!A$2:H$7370, 7, FALSE), "")</f>
        <v>NA</v>
      </c>
    </row>
    <row r="1088" ht="15.75" customHeight="1">
      <c r="A1088" s="1" t="str">
        <f>IFERROR(__xludf.DUMMYFUNCTION("""COMPUTED_VALUE"""),"my neighbor totoro")</f>
        <v>my neighbor totoro</v>
      </c>
      <c r="B1088" s="1" t="str">
        <f>IF(A1088&lt;&gt;"", VLOOKUP(A1088, imdb_netflix_v5!A$2:H$7370, 2, FALSE), "")</f>
        <v>Movie</v>
      </c>
      <c r="C1088" s="2" t="str">
        <f>IF(A1088&lt;&gt;"", VLOOKUP(A1088, imdb_netflix_v5!A$2:H$7370, 3, FALSE), "")</f>
        <v>Animation, Comedy, Family</v>
      </c>
      <c r="D1088" s="2">
        <f>IF(A1088&lt;&gt;"", VLOOKUP(A1088, imdb_netflix_v5!A$2:H$7370, 4, FALSE), "")</f>
        <v>8.1</v>
      </c>
      <c r="E1088" s="2">
        <f>IF(A1088&lt;&gt;"", VLOOKUP(A1088, imdb_netflix_v5!A$2:H$7370, 5, FALSE), "")</f>
        <v>1988</v>
      </c>
      <c r="F1088" s="2" t="str">
        <f>IF(A1088&lt;&gt;"", VLOOKUP(A1088, imdb_netflix_v5!A$2:H$7370, 7, FALSE), "")</f>
        <v>NA</v>
      </c>
    </row>
    <row r="1089" ht="15.75" customHeight="1">
      <c r="A1089" s="1" t="str">
        <f>IFERROR(__xludf.DUMMYFUNCTION("""COMPUTED_VALUE"""),"wednesday")</f>
        <v>wednesday</v>
      </c>
      <c r="B1089" s="1" t="str">
        <f>IF(A1089&lt;&gt;"", VLOOKUP(A1089, imdb_netflix_v5!A$2:H$7370, 2, FALSE), "")</f>
        <v>TV Show</v>
      </c>
      <c r="C1089" s="2" t="str">
        <f>IF(A1089&lt;&gt;"", VLOOKUP(A1089, imdb_netflix_v5!A$2:H$7370, 3, FALSE), "")</f>
        <v>Comedy, Crime, Fantasy</v>
      </c>
      <c r="D1089" s="2">
        <f>IF(A1089&lt;&gt;"", VLOOKUP(A1089, imdb_netflix_v5!A$2:H$7370, 4, FALSE), "")</f>
        <v>8.1</v>
      </c>
      <c r="E1089" s="2">
        <f>IF(A1089&lt;&gt;"", VLOOKUP(A1089, imdb_netflix_v5!A$2:H$7370, 5, FALSE), "")</f>
        <v>2022</v>
      </c>
      <c r="F1089" s="2">
        <f>IF(A1089&lt;&gt;"", VLOOKUP(A1089, imdb_netflix_v5!A$2:H$7370, 7, FALSE), "")</f>
        <v>9500000</v>
      </c>
    </row>
    <row r="1090" ht="15.75" customHeight="1">
      <c r="A1090" s="1" t="str">
        <f>IFERROR(__xludf.DUMMYFUNCTION("""COMPUTED_VALUE"""),"raging bull")</f>
        <v>raging bull</v>
      </c>
      <c r="B1090" s="1" t="str">
        <f>IF(A1090&lt;&gt;"", VLOOKUP(A1090, imdb_netflix_v5!A$2:H$7370, 2, FALSE), "")</f>
        <v>Movie</v>
      </c>
      <c r="C1090" s="2" t="str">
        <f>IF(A1090&lt;&gt;"", VLOOKUP(A1090, imdb_netflix_v5!A$2:H$7370, 3, FALSE), "")</f>
        <v>Biography, Drama, Sport</v>
      </c>
      <c r="D1090" s="2">
        <f>IF(A1090&lt;&gt;"", VLOOKUP(A1090, imdb_netflix_v5!A$2:H$7370, 4, FALSE), "")</f>
        <v>8.1</v>
      </c>
      <c r="E1090" s="2">
        <f>IF(A1090&lt;&gt;"", VLOOKUP(A1090, imdb_netflix_v5!A$2:H$7370, 5, FALSE), "")</f>
        <v>1980</v>
      </c>
      <c r="F1090" s="2" t="str">
        <f>IF(A1090&lt;&gt;"", VLOOKUP(A1090, imdb_netflix_v5!A$2:H$7370, 7, FALSE), "")</f>
        <v>NA</v>
      </c>
    </row>
    <row r="1091" ht="15.75" customHeight="1">
      <c r="A1091" s="1" t="str">
        <f>IFERROR(__xludf.DUMMYFUNCTION("""COMPUTED_VALUE"""),"hotel rwanda")</f>
        <v>hotel rwanda</v>
      </c>
      <c r="B1091" s="1" t="str">
        <f>IF(A1091&lt;&gt;"", VLOOKUP(A1091, imdb_netflix_v5!A$2:H$7370, 2, FALSE), "")</f>
        <v>Movie</v>
      </c>
      <c r="C1091" s="2" t="str">
        <f>IF(A1091&lt;&gt;"", VLOOKUP(A1091, imdb_netflix_v5!A$2:H$7370, 3, FALSE), "")</f>
        <v>Biography, Drama, History</v>
      </c>
      <c r="D1091" s="2">
        <f>IF(A1091&lt;&gt;"", VLOOKUP(A1091, imdb_netflix_v5!A$2:H$7370, 4, FALSE), "")</f>
        <v>8.1</v>
      </c>
      <c r="E1091" s="2">
        <f>IF(A1091&lt;&gt;"", VLOOKUP(A1091, imdb_netflix_v5!A$2:H$7370, 5, FALSE), "")</f>
        <v>2004</v>
      </c>
      <c r="F1091" s="2" t="str">
        <f>IF(A1091&lt;&gt;"", VLOOKUP(A1091, imdb_netflix_v5!A$2:H$7370, 7, FALSE), "")</f>
        <v>NA</v>
      </c>
    </row>
    <row r="1092" ht="15.75" customHeight="1">
      <c r="A1092" s="1" t="str">
        <f>IFERROR(__xludf.DUMMYFUNCTION("""COMPUTED_VALUE"""),"family guy")</f>
        <v>family guy</v>
      </c>
      <c r="B1092" s="1" t="str">
        <f>IF(A1092&lt;&gt;"", VLOOKUP(A1092, imdb_netflix_v5!A$2:H$7370, 2, FALSE), "")</f>
        <v>TV Show</v>
      </c>
      <c r="C1092" s="2" t="str">
        <f>IF(A1092&lt;&gt;"", VLOOKUP(A1092, imdb_netflix_v5!A$2:H$7370, 3, FALSE), "")</f>
        <v>Animation, Comedy</v>
      </c>
      <c r="D1092" s="2">
        <f>IF(A1092&lt;&gt;"", VLOOKUP(A1092, imdb_netflix_v5!A$2:H$7370, 4, FALSE), "")</f>
        <v>8.1</v>
      </c>
      <c r="E1092" s="2">
        <f>IF(A1092&lt;&gt;"", VLOOKUP(A1092, imdb_netflix_v5!A$2:H$7370, 5, FALSE), "")</f>
        <v>1999</v>
      </c>
      <c r="F1092" s="2" t="str">
        <f>IF(A1092&lt;&gt;"", VLOOKUP(A1092, imdb_netflix_v5!A$2:H$7370, 7, FALSE), "")</f>
        <v>NA</v>
      </c>
    </row>
    <row r="1093" ht="15.75" customHeight="1">
      <c r="A1093" s="1" t="str">
        <f>IFERROR(__xludf.DUMMYFUNCTION("""COMPUTED_VALUE"""),"the deer hunter")</f>
        <v>the deer hunter</v>
      </c>
      <c r="B1093" s="1" t="str">
        <f>IF(A1093&lt;&gt;"", VLOOKUP(A1093, imdb_netflix_v5!A$2:H$7370, 2, FALSE), "")</f>
        <v>Movie</v>
      </c>
      <c r="C1093" s="2" t="str">
        <f>IF(A1093&lt;&gt;"", VLOOKUP(A1093, imdb_netflix_v5!A$2:H$7370, 3, FALSE), "")</f>
        <v>Drama, War</v>
      </c>
      <c r="D1093" s="2">
        <f>IF(A1093&lt;&gt;"", VLOOKUP(A1093, imdb_netflix_v5!A$2:H$7370, 4, FALSE), "")</f>
        <v>8.1</v>
      </c>
      <c r="E1093" s="2">
        <f>IF(A1093&lt;&gt;"", VLOOKUP(A1093, imdb_netflix_v5!A$2:H$7370, 5, FALSE), "")</f>
        <v>1978</v>
      </c>
      <c r="F1093" s="2" t="str">
        <f>IF(A1093&lt;&gt;"", VLOOKUP(A1093, imdb_netflix_v5!A$2:H$7370, 7, FALSE), "")</f>
        <v>NA</v>
      </c>
    </row>
    <row r="1094" ht="15.75" customHeight="1">
      <c r="A1094" s="1" t="str">
        <f>IFERROR(__xludf.DUMMYFUNCTION("""COMPUTED_VALUE"""),"chinatown")</f>
        <v>chinatown</v>
      </c>
      <c r="B1094" s="1" t="str">
        <f>IF(A1094&lt;&gt;"", VLOOKUP(A1094, imdb_netflix_v5!A$2:H$7370, 2, FALSE), "")</f>
        <v>Movie</v>
      </c>
      <c r="C1094" s="2" t="str">
        <f>IF(A1094&lt;&gt;"", VLOOKUP(A1094, imdb_netflix_v5!A$2:H$7370, 3, FALSE), "")</f>
        <v>Drama, Mystery, Thriller</v>
      </c>
      <c r="D1094" s="2">
        <f>IF(A1094&lt;&gt;"", VLOOKUP(A1094, imdb_netflix_v5!A$2:H$7370, 4, FALSE), "")</f>
        <v>8.1</v>
      </c>
      <c r="E1094" s="2">
        <f>IF(A1094&lt;&gt;"", VLOOKUP(A1094, imdb_netflix_v5!A$2:H$7370, 5, FALSE), "")</f>
        <v>1974</v>
      </c>
      <c r="F1094" s="2" t="str">
        <f>IF(A1094&lt;&gt;"", VLOOKUP(A1094, imdb_netflix_v5!A$2:H$7370, 7, FALSE), "")</f>
        <v>NA</v>
      </c>
    </row>
    <row r="1095" ht="15.75" customHeight="1">
      <c r="A1095" s="1" t="str">
        <f>IFERROR(__xludf.DUMMYFUNCTION("""COMPUTED_VALUE"""),"before sunrise")</f>
        <v>before sunrise</v>
      </c>
      <c r="B1095" s="1" t="str">
        <f>IF(A1095&lt;&gt;"", VLOOKUP(A1095, imdb_netflix_v5!A$2:H$7370, 2, FALSE), "")</f>
        <v>Movie</v>
      </c>
      <c r="C1095" s="2" t="str">
        <f>IF(A1095&lt;&gt;"", VLOOKUP(A1095, imdb_netflix_v5!A$2:H$7370, 3, FALSE), "")</f>
        <v>Drama, Romance</v>
      </c>
      <c r="D1095" s="2">
        <f>IF(A1095&lt;&gt;"", VLOOKUP(A1095, imdb_netflix_v5!A$2:H$7370, 4, FALSE), "")</f>
        <v>8.1</v>
      </c>
      <c r="E1095" s="2">
        <f>IF(A1095&lt;&gt;"", VLOOKUP(A1095, imdb_netflix_v5!A$2:H$7370, 5, FALSE), "")</f>
        <v>1995</v>
      </c>
      <c r="F1095" s="2" t="str">
        <f>IF(A1095&lt;&gt;"", VLOOKUP(A1095, imdb_netflix_v5!A$2:H$7370, 7, FALSE), "")</f>
        <v>NA</v>
      </c>
    </row>
    <row r="1096" ht="15.75" customHeight="1">
      <c r="A1096" s="1" t="str">
        <f>IFERROR(__xludf.DUMMYFUNCTION("""COMPUTED_VALUE"""),"hachi a dogs tale")</f>
        <v>hachi a dogs tale</v>
      </c>
      <c r="B1096" s="1" t="str">
        <f>IF(A1096&lt;&gt;"", VLOOKUP(A1096, imdb_netflix_v5!A$2:H$7370, 2, FALSE), "")</f>
        <v>Movie</v>
      </c>
      <c r="C1096" s="2" t="str">
        <f>IF(A1096&lt;&gt;"", VLOOKUP(A1096, imdb_netflix_v5!A$2:H$7370, 3, FALSE), "")</f>
        <v>Biography, Drama, Family</v>
      </c>
      <c r="D1096" s="2">
        <f>IF(A1096&lt;&gt;"", VLOOKUP(A1096, imdb_netflix_v5!A$2:H$7370, 4, FALSE), "")</f>
        <v>8.1</v>
      </c>
      <c r="E1096" s="2">
        <f>IF(A1096&lt;&gt;"", VLOOKUP(A1096, imdb_netflix_v5!A$2:H$7370, 5, FALSE), "")</f>
        <v>2009</v>
      </c>
      <c r="F1096" s="2" t="str">
        <f>IF(A1096&lt;&gt;"", VLOOKUP(A1096, imdb_netflix_v5!A$2:H$7370, 7, FALSE), "")</f>
        <v>NA</v>
      </c>
    </row>
    <row r="1097" ht="15.75" customHeight="1">
      <c r="A1097" s="1" t="str">
        <f>IFERROR(__xludf.DUMMYFUNCTION("""COMPUTED_VALUE"""),"before sunset")</f>
        <v>before sunset</v>
      </c>
      <c r="B1097" s="1" t="str">
        <f>IF(A1097&lt;&gt;"", VLOOKUP(A1097, imdb_netflix_v5!A$2:H$7370, 2, FALSE), "")</f>
        <v>Movie</v>
      </c>
      <c r="C1097" s="2" t="str">
        <f>IF(A1097&lt;&gt;"", VLOOKUP(A1097, imdb_netflix_v5!A$2:H$7370, 3, FALSE), "")</f>
        <v>Drama, Romance</v>
      </c>
      <c r="D1097" s="2">
        <f>IF(A1097&lt;&gt;"", VLOOKUP(A1097, imdb_netflix_v5!A$2:H$7370, 4, FALSE), "")</f>
        <v>8.1</v>
      </c>
      <c r="E1097" s="2">
        <f>IF(A1097&lt;&gt;"", VLOOKUP(A1097, imdb_netflix_v5!A$2:H$7370, 5, FALSE), "")</f>
        <v>2004</v>
      </c>
      <c r="F1097" s="2" t="str">
        <f>IF(A1097&lt;&gt;"", VLOOKUP(A1097, imdb_netflix_v5!A$2:H$7370, 7, FALSE), "")</f>
        <v>NA</v>
      </c>
    </row>
    <row r="1098" ht="15.75" customHeight="1">
      <c r="A1098" s="1" t="str">
        <f>IFERROR(__xludf.DUMMYFUNCTION("""COMPUTED_VALUE"""),"the sound of music")</f>
        <v>the sound of music</v>
      </c>
      <c r="B1098" s="1" t="str">
        <f>IF(A1098&lt;&gt;"", VLOOKUP(A1098, imdb_netflix_v5!A$2:H$7370, 2, FALSE), "")</f>
        <v>Movie</v>
      </c>
      <c r="C1098" s="2" t="str">
        <f>IF(A1098&lt;&gt;"", VLOOKUP(A1098, imdb_netflix_v5!A$2:H$7370, 3, FALSE), "")</f>
        <v>Biography, Drama, Family</v>
      </c>
      <c r="D1098" s="2">
        <f>IF(A1098&lt;&gt;"", VLOOKUP(A1098, imdb_netflix_v5!A$2:H$7370, 4, FALSE), "")</f>
        <v>8.1</v>
      </c>
      <c r="E1098" s="2">
        <f>IF(A1098&lt;&gt;"", VLOOKUP(A1098, imdb_netflix_v5!A$2:H$7370, 5, FALSE), "")</f>
        <v>1965</v>
      </c>
      <c r="F1098" s="2" t="str">
        <f>IF(A1098&lt;&gt;"", VLOOKUP(A1098, imdb_netflix_v5!A$2:H$7370, 7, FALSE), "")</f>
        <v>NA</v>
      </c>
    </row>
    <row r="1099" ht="15.75" customHeight="1">
      <c r="A1099" s="1" t="str">
        <f>IFERROR(__xludf.DUMMYFUNCTION("""COMPUTED_VALUE"""),"ben-hur")</f>
        <v>ben-hur</v>
      </c>
      <c r="B1099" s="1" t="str">
        <f>IF(A1099&lt;&gt;"", VLOOKUP(A1099, imdb_netflix_v5!A$2:H$7370, 2, FALSE), "")</f>
        <v>Movie</v>
      </c>
      <c r="C1099" s="2" t="str">
        <f>IF(A1099&lt;&gt;"", VLOOKUP(A1099, imdb_netflix_v5!A$2:H$7370, 3, FALSE), "")</f>
        <v>Adventure, Drama</v>
      </c>
      <c r="D1099" s="2">
        <f>IF(A1099&lt;&gt;"", VLOOKUP(A1099, imdb_netflix_v5!A$2:H$7370, 4, FALSE), "")</f>
        <v>8.1</v>
      </c>
      <c r="E1099" s="2">
        <f>IF(A1099&lt;&gt;"", VLOOKUP(A1099, imdb_netflix_v5!A$2:H$7370, 5, FALSE), "")</f>
        <v>1959</v>
      </c>
      <c r="F1099" s="2" t="str">
        <f>IF(A1099&lt;&gt;"", VLOOKUP(A1099, imdb_netflix_v5!A$2:H$7370, 7, FALSE), "")</f>
        <v>NA</v>
      </c>
    </row>
    <row r="1100" ht="15.75" customHeight="1">
      <c r="A1100" s="1" t="str">
        <f>IFERROR(__xludf.DUMMYFUNCTION("""COMPUTED_VALUE"""),"the bridge on the river kwai")</f>
        <v>the bridge on the river kwai</v>
      </c>
      <c r="B1100" s="1" t="str">
        <f>IF(A1100&lt;&gt;"", VLOOKUP(A1100, imdb_netflix_v5!A$2:H$7370, 2, FALSE), "")</f>
        <v>Movie</v>
      </c>
      <c r="C1100" s="2" t="str">
        <f>IF(A1100&lt;&gt;"", VLOOKUP(A1100, imdb_netflix_v5!A$2:H$7370, 3, FALSE), "")</f>
        <v>Adventure, Drama, War</v>
      </c>
      <c r="D1100" s="2">
        <f>IF(A1100&lt;&gt;"", VLOOKUP(A1100, imdb_netflix_v5!A$2:H$7370, 4, FALSE), "")</f>
        <v>8.1</v>
      </c>
      <c r="E1100" s="2">
        <f>IF(A1100&lt;&gt;"", VLOOKUP(A1100, imdb_netflix_v5!A$2:H$7370, 5, FALSE), "")</f>
        <v>1957</v>
      </c>
      <c r="F1100" s="2" t="str">
        <f>IF(A1100&lt;&gt;"", VLOOKUP(A1100, imdb_netflix_v5!A$2:H$7370, 7, FALSE), "")</f>
        <v>NA</v>
      </c>
    </row>
    <row r="1101" ht="15.75" customHeight="1">
      <c r="A1101" s="1" t="str">
        <f>IFERROR(__xludf.DUMMYFUNCTION("""COMPUTED_VALUE"""),"the iron giant")</f>
        <v>the iron giant</v>
      </c>
      <c r="B1101" s="1" t="str">
        <f>IF(A1101&lt;&gt;"", VLOOKUP(A1101, imdb_netflix_v5!A$2:H$7370, 2, FALSE), "")</f>
        <v>Movie</v>
      </c>
      <c r="C1101" s="2" t="str">
        <f>IF(A1101&lt;&gt;"", VLOOKUP(A1101, imdb_netflix_v5!A$2:H$7370, 3, FALSE), "")</f>
        <v>Action, Adventure, Animation</v>
      </c>
      <c r="D1101" s="2">
        <f>IF(A1101&lt;&gt;"", VLOOKUP(A1101, imdb_netflix_v5!A$2:H$7370, 4, FALSE), "")</f>
        <v>8.1</v>
      </c>
      <c r="E1101" s="2">
        <f>IF(A1101&lt;&gt;"", VLOOKUP(A1101, imdb_netflix_v5!A$2:H$7370, 5, FALSE), "")</f>
        <v>1999</v>
      </c>
      <c r="F1101" s="2" t="str">
        <f>IF(A1101&lt;&gt;"", VLOOKUP(A1101, imdb_netflix_v5!A$2:H$7370, 7, FALSE), "")</f>
        <v>NA</v>
      </c>
    </row>
    <row r="1102" ht="15.75" customHeight="1">
      <c r="A1102" s="1" t="str">
        <f>IFERROR(__xludf.DUMMYFUNCTION("""COMPUTED_VALUE"""),"memories of murder")</f>
        <v>memories of murder</v>
      </c>
      <c r="B1102" s="1" t="str">
        <f>IF(A1102&lt;&gt;"", VLOOKUP(A1102, imdb_netflix_v5!A$2:H$7370, 2, FALSE), "")</f>
        <v>Movie</v>
      </c>
      <c r="C1102" s="2" t="str">
        <f>IF(A1102&lt;&gt;"", VLOOKUP(A1102, imdb_netflix_v5!A$2:H$7370, 3, FALSE), "")</f>
        <v>Crime, Drama, Mystery</v>
      </c>
      <c r="D1102" s="2">
        <f>IF(A1102&lt;&gt;"", VLOOKUP(A1102, imdb_netflix_v5!A$2:H$7370, 4, FALSE), "")</f>
        <v>8.1</v>
      </c>
      <c r="E1102" s="2">
        <f>IF(A1102&lt;&gt;"", VLOOKUP(A1102, imdb_netflix_v5!A$2:H$7370, 5, FALSE), "")</f>
        <v>2003</v>
      </c>
      <c r="F1102" s="2" t="str">
        <f>IF(A1102&lt;&gt;"", VLOOKUP(A1102, imdb_netflix_v5!A$2:H$7370, 7, FALSE), "")</f>
        <v>NA</v>
      </c>
    </row>
    <row r="1103" ht="15.75" customHeight="1">
      <c r="A1103" s="1" t="str">
        <f>IFERROR(__xludf.DUMMYFUNCTION("""COMPUTED_VALUE"""),"criminal minds")</f>
        <v>criminal minds</v>
      </c>
      <c r="B1103" s="1" t="str">
        <f>IF(A1103&lt;&gt;"", VLOOKUP(A1103, imdb_netflix_v5!A$2:H$7370, 2, FALSE), "")</f>
        <v>TV Show</v>
      </c>
      <c r="C1103" s="2" t="str">
        <f>IF(A1103&lt;&gt;"", VLOOKUP(A1103, imdb_netflix_v5!A$2:H$7370, 3, FALSE), "")</f>
        <v>Crime, Drama, Mystery</v>
      </c>
      <c r="D1103" s="2">
        <f>IF(A1103&lt;&gt;"", VLOOKUP(A1103, imdb_netflix_v5!A$2:H$7370, 4, FALSE), "")</f>
        <v>8.1</v>
      </c>
      <c r="E1103" s="2">
        <f>IF(A1103&lt;&gt;"", VLOOKUP(A1103, imdb_netflix_v5!A$2:H$7370, 5, FALSE), "")</f>
        <v>2005</v>
      </c>
      <c r="F1103" s="2" t="str">
        <f>IF(A1103&lt;&gt;"", VLOOKUP(A1103, imdb_netflix_v5!A$2:H$7370, 7, FALSE), "")</f>
        <v>NA</v>
      </c>
    </row>
    <row r="1104" ht="15.75" customHeight="1">
      <c r="A1104" s="1" t="str">
        <f>IFERROR(__xludf.DUMMYFUNCTION("""COMPUTED_VALUE"""),"wild tales")</f>
        <v>wild tales</v>
      </c>
      <c r="B1104" s="1" t="str">
        <f>IF(A1104&lt;&gt;"", VLOOKUP(A1104, imdb_netflix_v5!A$2:H$7370, 2, FALSE), "")</f>
        <v>Movie</v>
      </c>
      <c r="C1104" s="2" t="str">
        <f>IF(A1104&lt;&gt;"", VLOOKUP(A1104, imdb_netflix_v5!A$2:H$7370, 3, FALSE), "")</f>
        <v>Comedy, Drama, Thriller</v>
      </c>
      <c r="D1104" s="2">
        <f>IF(A1104&lt;&gt;"", VLOOKUP(A1104, imdb_netflix_v5!A$2:H$7370, 4, FALSE), "")</f>
        <v>8.1</v>
      </c>
      <c r="E1104" s="2">
        <f>IF(A1104&lt;&gt;"", VLOOKUP(A1104, imdb_netflix_v5!A$2:H$7370, 5, FALSE), "")</f>
        <v>2014</v>
      </c>
      <c r="F1104" s="2" t="str">
        <f>IF(A1104&lt;&gt;"", VLOOKUP(A1104, imdb_netflix_v5!A$2:H$7370, 7, FALSE), "")</f>
        <v>NA</v>
      </c>
    </row>
    <row r="1105" ht="15.75" customHeight="1">
      <c r="A1105" s="1" t="str">
        <f>IFERROR(__xludf.DUMMYFUNCTION("""COMPUTED_VALUE"""),"pk")</f>
        <v>pk</v>
      </c>
      <c r="B1105" s="1" t="str">
        <f>IF(A1105&lt;&gt;"", VLOOKUP(A1105, imdb_netflix_v5!A$2:H$7370, 2, FALSE), "")</f>
        <v>Movie</v>
      </c>
      <c r="C1105" s="2" t="str">
        <f>IF(A1105&lt;&gt;"", VLOOKUP(A1105, imdb_netflix_v5!A$2:H$7370, 3, FALSE), "")</f>
        <v>Comedy, Drama, Sci-Fi</v>
      </c>
      <c r="D1105" s="2">
        <f>IF(A1105&lt;&gt;"", VLOOKUP(A1105, imdb_netflix_v5!A$2:H$7370, 4, FALSE), "")</f>
        <v>8.1</v>
      </c>
      <c r="E1105" s="2">
        <f>IF(A1105&lt;&gt;"", VLOOKUP(A1105, imdb_netflix_v5!A$2:H$7370, 5, FALSE), "")</f>
        <v>2014</v>
      </c>
      <c r="F1105" s="2" t="str">
        <f>IF(A1105&lt;&gt;"", VLOOKUP(A1105, imdb_netflix_v5!A$2:H$7370, 7, FALSE), "")</f>
        <v>NA</v>
      </c>
    </row>
    <row r="1106" ht="15.75" customHeight="1">
      <c r="A1106" s="1" t="str">
        <f>IFERROR(__xludf.DUMMYFUNCTION("""COMPUTED_VALUE"""),"la haine")</f>
        <v>la haine</v>
      </c>
      <c r="B1106" s="1" t="str">
        <f>IF(A1106&lt;&gt;"", VLOOKUP(A1106, imdb_netflix_v5!A$2:H$7370, 2, FALSE), "")</f>
        <v>Movie</v>
      </c>
      <c r="C1106" s="2" t="str">
        <f>IF(A1106&lt;&gt;"", VLOOKUP(A1106, imdb_netflix_v5!A$2:H$7370, 3, FALSE), "")</f>
        <v>Crime, Drama</v>
      </c>
      <c r="D1106" s="2">
        <f>IF(A1106&lt;&gt;"", VLOOKUP(A1106, imdb_netflix_v5!A$2:H$7370, 4, FALSE), "")</f>
        <v>8.1</v>
      </c>
      <c r="E1106" s="2">
        <f>IF(A1106&lt;&gt;"", VLOOKUP(A1106, imdb_netflix_v5!A$2:H$7370, 5, FALSE), "")</f>
        <v>1995</v>
      </c>
      <c r="F1106" s="2" t="str">
        <f>IF(A1106&lt;&gt;"", VLOOKUP(A1106, imdb_netflix_v5!A$2:H$7370, 7, FALSE), "")</f>
        <v>NA</v>
      </c>
    </row>
    <row r="1107" ht="15.75" customHeight="1">
      <c r="A1107" s="1" t="str">
        <f>IFERROR(__xludf.DUMMYFUNCTION("""COMPUTED_VALUE"""),"the seventh seal")</f>
        <v>the seventh seal</v>
      </c>
      <c r="B1107" s="1" t="str">
        <f>IF(A1107&lt;&gt;"", VLOOKUP(A1107, imdb_netflix_v5!A$2:H$7370, 2, FALSE), "")</f>
        <v>Movie</v>
      </c>
      <c r="C1107" s="2" t="str">
        <f>IF(A1107&lt;&gt;"", VLOOKUP(A1107, imdb_netflix_v5!A$2:H$7370, 3, FALSE), "")</f>
        <v>Drama, Fantasy</v>
      </c>
      <c r="D1107" s="2">
        <f>IF(A1107&lt;&gt;"", VLOOKUP(A1107, imdb_netflix_v5!A$2:H$7370, 4, FALSE), "")</f>
        <v>8.1</v>
      </c>
      <c r="E1107" s="2">
        <f>IF(A1107&lt;&gt;"", VLOOKUP(A1107, imdb_netflix_v5!A$2:H$7370, 5, FALSE), "")</f>
        <v>1957</v>
      </c>
      <c r="F1107" s="2" t="str">
        <f>IF(A1107&lt;&gt;"", VLOOKUP(A1107, imdb_netflix_v5!A$2:H$7370, 7, FALSE), "")</f>
        <v>NA</v>
      </c>
    </row>
    <row r="1108" ht="15.75" customHeight="1">
      <c r="A1108" s="1" t="str">
        <f>IFERROR(__xludf.DUMMYFUNCTION("""COMPUTED_VALUE"""),"that 70s show")</f>
        <v>that 70s show</v>
      </c>
      <c r="B1108" s="1" t="str">
        <f>IF(A1108&lt;&gt;"", VLOOKUP(A1108, imdb_netflix_v5!A$2:H$7370, 2, FALSE), "")</f>
        <v>TV Show</v>
      </c>
      <c r="C1108" s="2" t="str">
        <f>IF(A1108&lt;&gt;"", VLOOKUP(A1108, imdb_netflix_v5!A$2:H$7370, 3, FALSE), "")</f>
        <v>Comedy, Drama, Romance</v>
      </c>
      <c r="D1108" s="2">
        <f>IF(A1108&lt;&gt;"", VLOOKUP(A1108, imdb_netflix_v5!A$2:H$7370, 4, FALSE), "")</f>
        <v>8.1</v>
      </c>
      <c r="E1108" s="2">
        <f>IF(A1108&lt;&gt;"", VLOOKUP(A1108, imdb_netflix_v5!A$2:H$7370, 5, FALSE), "")</f>
        <v>1998</v>
      </c>
      <c r="F1108" s="2" t="str">
        <f>IF(A1108&lt;&gt;"", VLOOKUP(A1108, imdb_netflix_v5!A$2:H$7370, 7, FALSE), "")</f>
        <v>NA</v>
      </c>
    </row>
    <row r="1109" ht="15.75" customHeight="1">
      <c r="A1109" s="1" t="str">
        <f>IFERROR(__xludf.DUMMYFUNCTION("""COMPUTED_VALUE"""),"in the name of the father")</f>
        <v>in the name of the father</v>
      </c>
      <c r="B1109" s="1" t="str">
        <f>IF(A1109&lt;&gt;"", VLOOKUP(A1109, imdb_netflix_v5!A$2:H$7370, 2, FALSE), "")</f>
        <v>Movie</v>
      </c>
      <c r="C1109" s="2" t="str">
        <f>IF(A1109&lt;&gt;"", VLOOKUP(A1109, imdb_netflix_v5!A$2:H$7370, 3, FALSE), "")</f>
        <v>Biography, Crime, Drama</v>
      </c>
      <c r="D1109" s="2">
        <f>IF(A1109&lt;&gt;"", VLOOKUP(A1109, imdb_netflix_v5!A$2:H$7370, 4, FALSE), "")</f>
        <v>8.1</v>
      </c>
      <c r="E1109" s="2">
        <f>IF(A1109&lt;&gt;"", VLOOKUP(A1109, imdb_netflix_v5!A$2:H$7370, 5, FALSE), "")</f>
        <v>1993</v>
      </c>
      <c r="F1109" s="2" t="str">
        <f>IF(A1109&lt;&gt;"", VLOOKUP(A1109, imdb_netflix_v5!A$2:H$7370, 7, FALSE), "")</f>
        <v>NA</v>
      </c>
    </row>
    <row r="1110" ht="15.75" customHeight="1">
      <c r="A1110" s="1" t="str">
        <f>IFERROR(__xludf.DUMMYFUNCTION("""COMPUTED_VALUE"""),"mary and max")</f>
        <v>mary and max</v>
      </c>
      <c r="B1110" s="1" t="str">
        <f>IF(A1110&lt;&gt;"", VLOOKUP(A1110, imdb_netflix_v5!A$2:H$7370, 2, FALSE), "")</f>
        <v>Movie</v>
      </c>
      <c r="C1110" s="2" t="str">
        <f>IF(A1110&lt;&gt;"", VLOOKUP(A1110, imdb_netflix_v5!A$2:H$7370, 3, FALSE), "")</f>
        <v>Animation, Comedy, Drama</v>
      </c>
      <c r="D1110" s="2">
        <f>IF(A1110&lt;&gt;"", VLOOKUP(A1110, imdb_netflix_v5!A$2:H$7370, 4, FALSE), "")</f>
        <v>8.1</v>
      </c>
      <c r="E1110" s="2">
        <f>IF(A1110&lt;&gt;"", VLOOKUP(A1110, imdb_netflix_v5!A$2:H$7370, 5, FALSE), "")</f>
        <v>2009</v>
      </c>
      <c r="F1110" s="2" t="str">
        <f>IF(A1110&lt;&gt;"", VLOOKUP(A1110, imdb_netflix_v5!A$2:H$7370, 7, FALSE), "")</f>
        <v>NA</v>
      </c>
    </row>
    <row r="1111" ht="15.75" customHeight="1">
      <c r="A1111" s="1" t="str">
        <f>IFERROR(__xludf.DUMMYFUNCTION("""COMPUTED_VALUE"""),"barry lyndon")</f>
        <v>barry lyndon</v>
      </c>
      <c r="B1111" s="1" t="str">
        <f>IF(A1111&lt;&gt;"", VLOOKUP(A1111, imdb_netflix_v5!A$2:H$7370, 2, FALSE), "")</f>
        <v>Movie</v>
      </c>
      <c r="C1111" s="2" t="str">
        <f>IF(A1111&lt;&gt;"", VLOOKUP(A1111, imdb_netflix_v5!A$2:H$7370, 3, FALSE), "")</f>
        <v>Adventure, Drama, War</v>
      </c>
      <c r="D1111" s="2">
        <f>IF(A1111&lt;&gt;"", VLOOKUP(A1111, imdb_netflix_v5!A$2:H$7370, 4, FALSE), "")</f>
        <v>8.1</v>
      </c>
      <c r="E1111" s="2">
        <f>IF(A1111&lt;&gt;"", VLOOKUP(A1111, imdb_netflix_v5!A$2:H$7370, 5, FALSE), "")</f>
        <v>1975</v>
      </c>
      <c r="F1111" s="2" t="str">
        <f>IF(A1111&lt;&gt;"", VLOOKUP(A1111, imdb_netflix_v5!A$2:H$7370, 7, FALSE), "")</f>
        <v>NA</v>
      </c>
    </row>
    <row r="1112" ht="15.75" customHeight="1">
      <c r="A1112" s="1" t="str">
        <f>IFERROR(__xludf.DUMMYFUNCTION("""COMPUTED_VALUE"""),"the third man")</f>
        <v>the third man</v>
      </c>
      <c r="B1112" s="1" t="str">
        <f>IF(A1112&lt;&gt;"", VLOOKUP(A1112, imdb_netflix_v5!A$2:H$7370, 2, FALSE), "")</f>
        <v>Movie</v>
      </c>
      <c r="C1112" s="2" t="str">
        <f>IF(A1112&lt;&gt;"", VLOOKUP(A1112, imdb_netflix_v5!A$2:H$7370, 3, FALSE), "")</f>
        <v>Drama, Film-Noir, Mystery</v>
      </c>
      <c r="D1112" s="2">
        <f>IF(A1112&lt;&gt;"", VLOOKUP(A1112, imdb_netflix_v5!A$2:H$7370, 4, FALSE), "")</f>
        <v>8.1</v>
      </c>
      <c r="E1112" s="2">
        <f>IF(A1112&lt;&gt;"", VLOOKUP(A1112, imdb_netflix_v5!A$2:H$7370, 5, FALSE), "")</f>
        <v>1949</v>
      </c>
      <c r="F1112" s="2" t="str">
        <f>IF(A1112&lt;&gt;"", VLOOKUP(A1112, imdb_netflix_v5!A$2:H$7370, 7, FALSE), "")</f>
        <v>NA</v>
      </c>
    </row>
    <row r="1113" ht="15.75" customHeight="1">
      <c r="A1113" s="1" t="str">
        <f>IFERROR(__xludf.DUMMYFUNCTION("""COMPUTED_VALUE"""),"the handmaiden")</f>
        <v>the handmaiden</v>
      </c>
      <c r="B1113" s="1" t="str">
        <f>IF(A1113&lt;&gt;"", VLOOKUP(A1113, imdb_netflix_v5!A$2:H$7370, 2, FALSE), "")</f>
        <v>Movie</v>
      </c>
      <c r="C1113" s="2" t="str">
        <f>IF(A1113&lt;&gt;"", VLOOKUP(A1113, imdb_netflix_v5!A$2:H$7370, 3, FALSE), "")</f>
        <v>Drama, Romance, Thriller</v>
      </c>
      <c r="D1113" s="2">
        <f>IF(A1113&lt;&gt;"", VLOOKUP(A1113, imdb_netflix_v5!A$2:H$7370, 4, FALSE), "")</f>
        <v>8.1</v>
      </c>
      <c r="E1113" s="2">
        <f>IF(A1113&lt;&gt;"", VLOOKUP(A1113, imdb_netflix_v5!A$2:H$7370, 5, FALSE), "")</f>
        <v>2016</v>
      </c>
      <c r="F1113" s="2" t="str">
        <f>IF(A1113&lt;&gt;"", VLOOKUP(A1113, imdb_netflix_v5!A$2:H$7370, 7, FALSE), "")</f>
        <v>NA</v>
      </c>
    </row>
    <row r="1114" ht="15.75" customHeight="1">
      <c r="A1114" s="1" t="str">
        <f>IFERROR(__xludf.DUMMYFUNCTION("""COMPUTED_VALUE"""),"castle")</f>
        <v>castle</v>
      </c>
      <c r="B1114" s="1" t="str">
        <f>IF(A1114&lt;&gt;"", VLOOKUP(A1114, imdb_netflix_v5!A$2:H$7370, 2, FALSE), "")</f>
        <v>TV Show</v>
      </c>
      <c r="C1114" s="2" t="str">
        <f>IF(A1114&lt;&gt;"", VLOOKUP(A1114, imdb_netflix_v5!A$2:H$7370, 3, FALSE), "")</f>
        <v>Comedy, Crime, Drama</v>
      </c>
      <c r="D1114" s="2">
        <f>IF(A1114&lt;&gt;"", VLOOKUP(A1114, imdb_netflix_v5!A$2:H$7370, 4, FALSE), "")</f>
        <v>8.1</v>
      </c>
      <c r="E1114" s="2">
        <f>IF(A1114&lt;&gt;"", VLOOKUP(A1114, imdb_netflix_v5!A$2:H$7370, 5, FALSE), "")</f>
        <v>2009</v>
      </c>
      <c r="F1114" s="2" t="str">
        <f>IF(A1114&lt;&gt;"", VLOOKUP(A1114, imdb_netflix_v5!A$2:H$7370, 7, FALSE), "")</f>
        <v>NA</v>
      </c>
    </row>
    <row r="1115" ht="15.75" customHeight="1">
      <c r="A1115" s="1" t="str">
        <f>IFERROR(__xludf.DUMMYFUNCTION("""COMPUTED_VALUE"""),"only murders in the building")</f>
        <v>only murders in the building</v>
      </c>
      <c r="B1115" s="1" t="str">
        <f>IF(A1115&lt;&gt;"", VLOOKUP(A1115, imdb_netflix_v5!A$2:H$7370, 2, FALSE), "")</f>
        <v>TV Show</v>
      </c>
      <c r="C1115" s="2" t="str">
        <f>IF(A1115&lt;&gt;"", VLOOKUP(A1115, imdb_netflix_v5!A$2:H$7370, 3, FALSE), "")</f>
        <v>Comedy, Crime, Drama</v>
      </c>
      <c r="D1115" s="2">
        <f>IF(A1115&lt;&gt;"", VLOOKUP(A1115, imdb_netflix_v5!A$2:H$7370, 4, FALSE), "")</f>
        <v>8.1</v>
      </c>
      <c r="E1115" s="2">
        <f>IF(A1115&lt;&gt;"", VLOOKUP(A1115, imdb_netflix_v5!A$2:H$7370, 5, FALSE), "")</f>
        <v>2021</v>
      </c>
      <c r="F1115" s="2" t="str">
        <f>IF(A1115&lt;&gt;"", VLOOKUP(A1115, imdb_netflix_v5!A$2:H$7370, 7, FALSE), "")</f>
        <v>NA</v>
      </c>
    </row>
    <row r="1116" ht="15.75" customHeight="1">
      <c r="A1116" s="1" t="str">
        <f>IFERROR(__xludf.DUMMYFUNCTION("""COMPUTED_VALUE"""),"network")</f>
        <v>network</v>
      </c>
      <c r="B1116" s="1" t="str">
        <f>IF(A1116&lt;&gt;"", VLOOKUP(A1116, imdb_netflix_v5!A$2:H$7370, 2, FALSE), "")</f>
        <v>Movie</v>
      </c>
      <c r="C1116" s="2" t="str">
        <f>IF(A1116&lt;&gt;"", VLOOKUP(A1116, imdb_netflix_v5!A$2:H$7370, 3, FALSE), "")</f>
        <v>Drama</v>
      </c>
      <c r="D1116" s="2">
        <f>IF(A1116&lt;&gt;"", VLOOKUP(A1116, imdb_netflix_v5!A$2:H$7370, 4, FALSE), "")</f>
        <v>8.1</v>
      </c>
      <c r="E1116" s="2">
        <f>IF(A1116&lt;&gt;"", VLOOKUP(A1116, imdb_netflix_v5!A$2:H$7370, 5, FALSE), "")</f>
        <v>1976</v>
      </c>
      <c r="F1116" s="2" t="str">
        <f>IF(A1116&lt;&gt;"", VLOOKUP(A1116, imdb_netflix_v5!A$2:H$7370, 7, FALSE), "")</f>
        <v>NA</v>
      </c>
    </row>
    <row r="1117" ht="15.75" customHeight="1">
      <c r="A1117" s="1" t="str">
        <f>IFERROR(__xludf.DUMMYFUNCTION("""COMPUTED_VALUE"""),"in the mood for love")</f>
        <v>in the mood for love</v>
      </c>
      <c r="B1117" s="1" t="str">
        <f>IF(A1117&lt;&gt;"", VLOOKUP(A1117, imdb_netflix_v5!A$2:H$7370, 2, FALSE), "")</f>
        <v>Movie</v>
      </c>
      <c r="C1117" s="2" t="str">
        <f>IF(A1117&lt;&gt;"", VLOOKUP(A1117, imdb_netflix_v5!A$2:H$7370, 3, FALSE), "")</f>
        <v>Drama, Romance</v>
      </c>
      <c r="D1117" s="2">
        <f>IF(A1117&lt;&gt;"", VLOOKUP(A1117, imdb_netflix_v5!A$2:H$7370, 4, FALSE), "")</f>
        <v>8.1</v>
      </c>
      <c r="E1117" s="2">
        <f>IF(A1117&lt;&gt;"", VLOOKUP(A1117, imdb_netflix_v5!A$2:H$7370, 5, FALSE), "")</f>
        <v>2000</v>
      </c>
      <c r="F1117" s="2" t="str">
        <f>IF(A1117&lt;&gt;"", VLOOKUP(A1117, imdb_netflix_v5!A$2:H$7370, 7, FALSE), "")</f>
        <v>NA</v>
      </c>
    </row>
    <row r="1118" ht="15.75" customHeight="1">
      <c r="A1118" s="1" t="str">
        <f>IFERROR(__xludf.DUMMYFUNCTION("""COMPUTED_VALUE"""),"how to get away with murder")</f>
        <v>how to get away with murder</v>
      </c>
      <c r="B1118" s="1" t="str">
        <f>IF(A1118&lt;&gt;"", VLOOKUP(A1118, imdb_netflix_v5!A$2:H$7370, 2, FALSE), "")</f>
        <v>TV Show</v>
      </c>
      <c r="C1118" s="2" t="str">
        <f>IF(A1118&lt;&gt;"", VLOOKUP(A1118, imdb_netflix_v5!A$2:H$7370, 3, FALSE), "")</f>
        <v>Crime, Drama, Mystery</v>
      </c>
      <c r="D1118" s="2">
        <f>IF(A1118&lt;&gt;"", VLOOKUP(A1118, imdb_netflix_v5!A$2:H$7370, 4, FALSE), "")</f>
        <v>8.1</v>
      </c>
      <c r="E1118" s="2">
        <f>IF(A1118&lt;&gt;"", VLOOKUP(A1118, imdb_netflix_v5!A$2:H$7370, 5, FALSE), "")</f>
        <v>2014</v>
      </c>
      <c r="F1118" s="2" t="str">
        <f>IF(A1118&lt;&gt;"", VLOOKUP(A1118, imdb_netflix_v5!A$2:H$7370, 7, FALSE), "")</f>
        <v>NA</v>
      </c>
    </row>
    <row r="1119" ht="15.75" customHeight="1">
      <c r="A1119" s="1" t="str">
        <f>IFERROR(__xludf.DUMMYFUNCTION("""COMPUTED_VALUE"""),"on the waterfront")</f>
        <v>on the waterfront</v>
      </c>
      <c r="B1119" s="1" t="str">
        <f>IF(A1119&lt;&gt;"", VLOOKUP(A1119, imdb_netflix_v5!A$2:H$7370, 2, FALSE), "")</f>
        <v>Movie</v>
      </c>
      <c r="C1119" s="2" t="str">
        <f>IF(A1119&lt;&gt;"", VLOOKUP(A1119, imdb_netflix_v5!A$2:H$7370, 3, FALSE), "")</f>
        <v>Crime, Drama, Thriller</v>
      </c>
      <c r="D1119" s="2">
        <f>IF(A1119&lt;&gt;"", VLOOKUP(A1119, imdb_netflix_v5!A$2:H$7370, 4, FALSE), "")</f>
        <v>8.1</v>
      </c>
      <c r="E1119" s="2">
        <f>IF(A1119&lt;&gt;"", VLOOKUP(A1119, imdb_netflix_v5!A$2:H$7370, 5, FALSE), "")</f>
        <v>1954</v>
      </c>
      <c r="F1119" s="2" t="str">
        <f>IF(A1119&lt;&gt;"", VLOOKUP(A1119, imdb_netflix_v5!A$2:H$7370, 7, FALSE), "")</f>
        <v>NA</v>
      </c>
    </row>
    <row r="1120" ht="15.75" customHeight="1">
      <c r="A1120" s="1" t="str">
        <f>IFERROR(__xludf.DUMMYFUNCTION("""COMPUTED_VALUE"""),"rebecca")</f>
        <v>rebecca</v>
      </c>
      <c r="B1120" s="1" t="str">
        <f>IF(A1120&lt;&gt;"", VLOOKUP(A1120, imdb_netflix_v5!A$2:H$7370, 2, FALSE), "")</f>
        <v>Movie</v>
      </c>
      <c r="C1120" s="2" t="str">
        <f>IF(A1120&lt;&gt;"", VLOOKUP(A1120, imdb_netflix_v5!A$2:H$7370, 3, FALSE), "")</f>
        <v>Drama, Mystery, Romance</v>
      </c>
      <c r="D1120" s="2">
        <f>IF(A1120&lt;&gt;"", VLOOKUP(A1120, imdb_netflix_v5!A$2:H$7370, 4, FALSE), "")</f>
        <v>8.1</v>
      </c>
      <c r="E1120" s="2">
        <f>IF(A1120&lt;&gt;"", VLOOKUP(A1120, imdb_netflix_v5!A$2:H$7370, 5, FALSE), "")</f>
        <v>1940</v>
      </c>
      <c r="F1120" s="2" t="str">
        <f>IF(A1120&lt;&gt;"", VLOOKUP(A1120, imdb_netflix_v5!A$2:H$7370, 7, FALSE), "")</f>
        <v>NA</v>
      </c>
    </row>
    <row r="1121" ht="15.75" customHeight="1">
      <c r="A1121" s="1" t="str">
        <f>IFERROR(__xludf.DUMMYFUNCTION("""COMPUTED_VALUE"""),"silo")</f>
        <v>silo</v>
      </c>
      <c r="B1121" s="1" t="str">
        <f>IF(A1121&lt;&gt;"", VLOOKUP(A1121, imdb_netflix_v5!A$2:H$7370, 2, FALSE), "")</f>
        <v>TV Show</v>
      </c>
      <c r="C1121" s="2" t="str">
        <f>IF(A1121&lt;&gt;"", VLOOKUP(A1121, imdb_netflix_v5!A$2:H$7370, 3, FALSE), "")</f>
        <v>Drama, Mystery, Sci-Fi</v>
      </c>
      <c r="D1121" s="2">
        <f>IF(A1121&lt;&gt;"", VLOOKUP(A1121, imdb_netflix_v5!A$2:H$7370, 4, FALSE), "")</f>
        <v>8.1</v>
      </c>
      <c r="E1121" s="2">
        <f>IF(A1121&lt;&gt;"", VLOOKUP(A1121, imdb_netflix_v5!A$2:H$7370, 5, FALSE), "")</f>
        <v>2023</v>
      </c>
      <c r="F1121" s="2" t="str">
        <f>IF(A1121&lt;&gt;"", VLOOKUP(A1121, imdb_netflix_v5!A$2:H$7370, 7, FALSE), "")</f>
        <v>NA</v>
      </c>
    </row>
    <row r="1122" ht="15.75" customHeight="1">
      <c r="A1122" s="1" t="str">
        <f>IFERROR(__xludf.DUMMYFUNCTION("""COMPUTED_VALUE"""),"killing eve")</f>
        <v>killing eve</v>
      </c>
      <c r="B1122" s="1" t="str">
        <f>IF(A1122&lt;&gt;"", VLOOKUP(A1122, imdb_netflix_v5!A$2:H$7370, 2, FALSE), "")</f>
        <v>TV Show</v>
      </c>
      <c r="C1122" s="2" t="str">
        <f>IF(A1122&lt;&gt;"", VLOOKUP(A1122, imdb_netflix_v5!A$2:H$7370, 3, FALSE), "")</f>
        <v>Action, Adventure, Drama</v>
      </c>
      <c r="D1122" s="2">
        <f>IF(A1122&lt;&gt;"", VLOOKUP(A1122, imdb_netflix_v5!A$2:H$7370, 4, FALSE), "")</f>
        <v>8.1</v>
      </c>
      <c r="E1122" s="2">
        <f>IF(A1122&lt;&gt;"", VLOOKUP(A1122, imdb_netflix_v5!A$2:H$7370, 5, FALSE), "")</f>
        <v>2018</v>
      </c>
      <c r="F1122" s="2" t="str">
        <f>IF(A1122&lt;&gt;"", VLOOKUP(A1122, imdb_netflix_v5!A$2:H$7370, 7, FALSE), "")</f>
        <v>NA</v>
      </c>
    </row>
    <row r="1123" ht="15.75" customHeight="1">
      <c r="A1123" s="1" t="str">
        <f>IFERROR(__xludf.DUMMYFUNCTION("""COMPUTED_VALUE"""),"law &amp; order special victims unit")</f>
        <v>law &amp; order special victims unit</v>
      </c>
      <c r="B1123" s="1" t="str">
        <f>IF(A1123&lt;&gt;"", VLOOKUP(A1123, imdb_netflix_v5!A$2:H$7370, 2, FALSE), "")</f>
        <v>TV Show</v>
      </c>
      <c r="C1123" s="2" t="str">
        <f>IF(A1123&lt;&gt;"", VLOOKUP(A1123, imdb_netflix_v5!A$2:H$7370, 3, FALSE), "")</f>
        <v>Crime, Drama, Mystery</v>
      </c>
      <c r="D1123" s="2">
        <f>IF(A1123&lt;&gt;"", VLOOKUP(A1123, imdb_netflix_v5!A$2:H$7370, 4, FALSE), "")</f>
        <v>8.1</v>
      </c>
      <c r="E1123" s="2">
        <f>IF(A1123&lt;&gt;"", VLOOKUP(A1123, imdb_netflix_v5!A$2:H$7370, 5, FALSE), "")</f>
        <v>1999</v>
      </c>
      <c r="F1123" s="2" t="str">
        <f>IF(A1123&lt;&gt;"", VLOOKUP(A1123, imdb_netflix_v5!A$2:H$7370, 7, FALSE), "")</f>
        <v>NA</v>
      </c>
    </row>
    <row r="1124" ht="15.75" customHeight="1">
      <c r="A1124" s="1" t="str">
        <f>IFERROR(__xludf.DUMMYFUNCTION("""COMPUTED_VALUE"""),"paris, texas")</f>
        <v>paris, texas</v>
      </c>
      <c r="B1124" s="1" t="str">
        <f>IF(A1124&lt;&gt;"", VLOOKUP(A1124, imdb_netflix_v5!A$2:H$7370, 2, FALSE), "")</f>
        <v>Movie</v>
      </c>
      <c r="C1124" s="2" t="str">
        <f>IF(A1124&lt;&gt;"", VLOOKUP(A1124, imdb_netflix_v5!A$2:H$7370, 3, FALSE), "")</f>
        <v>Drama</v>
      </c>
      <c r="D1124" s="2">
        <f>IF(A1124&lt;&gt;"", VLOOKUP(A1124, imdb_netflix_v5!A$2:H$7370, 4, FALSE), "")</f>
        <v>8.1</v>
      </c>
      <c r="E1124" s="2">
        <f>IF(A1124&lt;&gt;"", VLOOKUP(A1124, imdb_netflix_v5!A$2:H$7370, 5, FALSE), "")</f>
        <v>1984</v>
      </c>
      <c r="F1124" s="2" t="str">
        <f>IF(A1124&lt;&gt;"", VLOOKUP(A1124, imdb_netflix_v5!A$2:H$7370, 7, FALSE), "")</f>
        <v>NA</v>
      </c>
    </row>
    <row r="1125" ht="15.75" customHeight="1">
      <c r="A1125" s="1" t="str">
        <f>IFERROR(__xludf.DUMMYFUNCTION("""COMPUTED_VALUE"""),"mr. smith goes to washington")</f>
        <v>mr. smith goes to washington</v>
      </c>
      <c r="B1125" s="1" t="str">
        <f>IF(A1125&lt;&gt;"", VLOOKUP(A1125, imdb_netflix_v5!A$2:H$7370, 2, FALSE), "")</f>
        <v>Movie</v>
      </c>
      <c r="C1125" s="2" t="str">
        <f>IF(A1125&lt;&gt;"", VLOOKUP(A1125, imdb_netflix_v5!A$2:H$7370, 3, FALSE), "")</f>
        <v>Comedy, Drama</v>
      </c>
      <c r="D1125" s="2">
        <f>IF(A1125&lt;&gt;"", VLOOKUP(A1125, imdb_netflix_v5!A$2:H$7370, 4, FALSE), "")</f>
        <v>8.1</v>
      </c>
      <c r="E1125" s="2">
        <f>IF(A1125&lt;&gt;"", VLOOKUP(A1125, imdb_netflix_v5!A$2:H$7370, 5, FALSE), "")</f>
        <v>1939</v>
      </c>
      <c r="F1125" s="2" t="str">
        <f>IF(A1125&lt;&gt;"", VLOOKUP(A1125, imdb_netflix_v5!A$2:H$7370, 7, FALSE), "")</f>
        <v>NA</v>
      </c>
    </row>
    <row r="1126" ht="15.75" customHeight="1">
      <c r="A1126" s="1" t="str">
        <f>IFERROR(__xludf.DUMMYFUNCTION("""COMPUTED_VALUE"""),"the fall")</f>
        <v>the fall</v>
      </c>
      <c r="B1126" s="1" t="str">
        <f>IF(A1126&lt;&gt;"", VLOOKUP(A1126, imdb_netflix_v5!A$2:H$7370, 2, FALSE), "")</f>
        <v>TV Show</v>
      </c>
      <c r="C1126" s="2" t="str">
        <f>IF(A1126&lt;&gt;"", VLOOKUP(A1126, imdb_netflix_v5!A$2:H$7370, 3, FALSE), "")</f>
        <v>Crime, Drama, Thriller</v>
      </c>
      <c r="D1126" s="2">
        <f>IF(A1126&lt;&gt;"", VLOOKUP(A1126, imdb_netflix_v5!A$2:H$7370, 4, FALSE), "")</f>
        <v>8.1</v>
      </c>
      <c r="E1126" s="2">
        <f>IF(A1126&lt;&gt;"", VLOOKUP(A1126, imdb_netflix_v5!A$2:H$7370, 5, FALSE), "")</f>
        <v>2013</v>
      </c>
      <c r="F1126" s="2" t="str">
        <f>IF(A1126&lt;&gt;"", VLOOKUP(A1126, imdb_netflix_v5!A$2:H$7370, 7, FALSE), "")</f>
        <v>NA</v>
      </c>
    </row>
    <row r="1127" ht="15.75" customHeight="1">
      <c r="A1127" s="1" t="str">
        <f>IFERROR(__xludf.DUMMYFUNCTION("""COMPUTED_VALUE"""),"rang de basanti")</f>
        <v>rang de basanti</v>
      </c>
      <c r="B1127" s="1" t="str">
        <f>IF(A1127&lt;&gt;"", VLOOKUP(A1127, imdb_netflix_v5!A$2:H$7370, 2, FALSE), "")</f>
        <v>Movie</v>
      </c>
      <c r="C1127" s="2" t="str">
        <f>IF(A1127&lt;&gt;"", VLOOKUP(A1127, imdb_netflix_v5!A$2:H$7370, 3, FALSE), "")</f>
        <v>Comedy, Crime, Drama</v>
      </c>
      <c r="D1127" s="2">
        <f>IF(A1127&lt;&gt;"", VLOOKUP(A1127, imdb_netflix_v5!A$2:H$7370, 4, FALSE), "")</f>
        <v>8.1</v>
      </c>
      <c r="E1127" s="2">
        <f>IF(A1127&lt;&gt;"", VLOOKUP(A1127, imdb_netflix_v5!A$2:H$7370, 5, FALSE), "")</f>
        <v>2006</v>
      </c>
      <c r="F1127" s="2" t="str">
        <f>IF(A1127&lt;&gt;"", VLOOKUP(A1127, imdb_netflix_v5!A$2:H$7370, 7, FALSE), "")</f>
        <v>NA</v>
      </c>
    </row>
    <row r="1128" ht="15.75" customHeight="1">
      <c r="A1128" s="1" t="str">
        <f>IFERROR(__xludf.DUMMYFUNCTION("""COMPUTED_VALUE"""),"lagaan once upon a time in india")</f>
        <v>lagaan once upon a time in india</v>
      </c>
      <c r="B1128" s="1" t="str">
        <f>IF(A1128&lt;&gt;"", VLOOKUP(A1128, imdb_netflix_v5!A$2:H$7370, 2, FALSE), "")</f>
        <v>Movie</v>
      </c>
      <c r="C1128" s="2" t="str">
        <f>IF(A1128&lt;&gt;"", VLOOKUP(A1128, imdb_netflix_v5!A$2:H$7370, 3, FALSE), "")</f>
        <v>Drama, Musical, Sport</v>
      </c>
      <c r="D1128" s="2">
        <f>IF(A1128&lt;&gt;"", VLOOKUP(A1128, imdb_netflix_v5!A$2:H$7370, 4, FALSE), "")</f>
        <v>8.1</v>
      </c>
      <c r="E1128" s="2">
        <f>IF(A1128&lt;&gt;"", VLOOKUP(A1128, imdb_netflix_v5!A$2:H$7370, 5, FALSE), "")</f>
        <v>2001</v>
      </c>
      <c r="F1128" s="2" t="str">
        <f>IF(A1128&lt;&gt;"", VLOOKUP(A1128, imdb_netflix_v5!A$2:H$7370, 7, FALSE), "")</f>
        <v>NA</v>
      </c>
    </row>
    <row r="1129" ht="15.75" customHeight="1">
      <c r="A1129" s="1" t="str">
        <f>IFERROR(__xludf.DUMMYFUNCTION("""COMPUTED_VALUE"""),"the gold rush")</f>
        <v>the gold rush</v>
      </c>
      <c r="B1129" s="1" t="str">
        <f>IF(A1129&lt;&gt;"", VLOOKUP(A1129, imdb_netflix_v5!A$2:H$7370, 2, FALSE), "")</f>
        <v>Movie</v>
      </c>
      <c r="C1129" s="2" t="str">
        <f>IF(A1129&lt;&gt;"", VLOOKUP(A1129, imdb_netflix_v5!A$2:H$7370, 3, FALSE), "")</f>
        <v>Adventure, Comedy, Drama</v>
      </c>
      <c r="D1129" s="2">
        <f>IF(A1129&lt;&gt;"", VLOOKUP(A1129, imdb_netflix_v5!A$2:H$7370, 4, FALSE), "")</f>
        <v>8.1</v>
      </c>
      <c r="E1129" s="2">
        <f>IF(A1129&lt;&gt;"", VLOOKUP(A1129, imdb_netflix_v5!A$2:H$7370, 5, FALSE), "")</f>
        <v>1925</v>
      </c>
      <c r="F1129" s="2" t="str">
        <f>IF(A1129&lt;&gt;"", VLOOKUP(A1129, imdb_netflix_v5!A$2:H$7370, 7, FALSE), "")</f>
        <v>NA</v>
      </c>
    </row>
    <row r="1130" ht="15.75" customHeight="1">
      <c r="A1130" s="1" t="str">
        <f>IFERROR(__xludf.DUMMYFUNCTION("""COMPUTED_VALUE"""),"bates motel")</f>
        <v>bates motel</v>
      </c>
      <c r="B1130" s="1" t="str">
        <f>IF(A1130&lt;&gt;"", VLOOKUP(A1130, imdb_netflix_v5!A$2:H$7370, 2, FALSE), "")</f>
        <v>TV Show</v>
      </c>
      <c r="C1130" s="2" t="str">
        <f>IF(A1130&lt;&gt;"", VLOOKUP(A1130, imdb_netflix_v5!A$2:H$7370, 3, FALSE), "")</f>
        <v>Drama, Horror, Mystery</v>
      </c>
      <c r="D1130" s="2">
        <f>IF(A1130&lt;&gt;"", VLOOKUP(A1130, imdb_netflix_v5!A$2:H$7370, 4, FALSE), "")</f>
        <v>8.1</v>
      </c>
      <c r="E1130" s="2">
        <f>IF(A1130&lt;&gt;"", VLOOKUP(A1130, imdb_netflix_v5!A$2:H$7370, 5, FALSE), "")</f>
        <v>2013</v>
      </c>
      <c r="F1130" s="2" t="str">
        <f>IF(A1130&lt;&gt;"", VLOOKUP(A1130, imdb_netflix_v5!A$2:H$7370, 7, FALSE), "")</f>
        <v>NA</v>
      </c>
    </row>
    <row r="1131" ht="15.75" customHeight="1">
      <c r="A1131" s="1" t="str">
        <f>IFERROR(__xludf.DUMMYFUNCTION("""COMPUTED_VALUE"""),"wild strawberries")</f>
        <v>wild strawberries</v>
      </c>
      <c r="B1131" s="1" t="str">
        <f>IF(A1131&lt;&gt;"", VLOOKUP(A1131, imdb_netflix_v5!A$2:H$7370, 2, FALSE), "")</f>
        <v>Movie</v>
      </c>
      <c r="C1131" s="2" t="str">
        <f>IF(A1131&lt;&gt;"", VLOOKUP(A1131, imdb_netflix_v5!A$2:H$7370, 3, FALSE), "")</f>
        <v>Drama, Romance</v>
      </c>
      <c r="D1131" s="2">
        <f>IF(A1131&lt;&gt;"", VLOOKUP(A1131, imdb_netflix_v5!A$2:H$7370, 4, FALSE), "")</f>
        <v>8.1</v>
      </c>
      <c r="E1131" s="2">
        <f>IF(A1131&lt;&gt;"", VLOOKUP(A1131, imdb_netflix_v5!A$2:H$7370, 5, FALSE), "")</f>
        <v>1957</v>
      </c>
      <c r="F1131" s="2" t="str">
        <f>IF(A1131&lt;&gt;"", VLOOKUP(A1131, imdb_netflix_v5!A$2:H$7370, 7, FALSE), "")</f>
        <v>NA</v>
      </c>
    </row>
    <row r="1132" ht="15.75" customHeight="1">
      <c r="A1132" s="1" t="str">
        <f>IFERROR(__xludf.DUMMYFUNCTION("""COMPUTED_VALUE"""),"black bird")</f>
        <v>black bird</v>
      </c>
      <c r="B1132" s="1" t="str">
        <f>IF(A1132&lt;&gt;"", VLOOKUP(A1132, imdb_netflix_v5!A$2:H$7370, 2, FALSE), "")</f>
        <v>TV Show</v>
      </c>
      <c r="C1132" s="2" t="str">
        <f>IF(A1132&lt;&gt;"", VLOOKUP(A1132, imdb_netflix_v5!A$2:H$7370, 3, FALSE), "")</f>
        <v>Biography, Crime, Drama</v>
      </c>
      <c r="D1132" s="2">
        <f>IF(A1132&lt;&gt;"", VLOOKUP(A1132, imdb_netflix_v5!A$2:H$7370, 4, FALSE), "")</f>
        <v>8.1</v>
      </c>
      <c r="E1132" s="2">
        <f>IF(A1132&lt;&gt;"", VLOOKUP(A1132, imdb_netflix_v5!A$2:H$7370, 5, FALSE), "")</f>
        <v>2022</v>
      </c>
      <c r="F1132" s="2" t="str">
        <f>IF(A1132&lt;&gt;"", VLOOKUP(A1132, imdb_netflix_v5!A$2:H$7370, 7, FALSE), "")</f>
        <v>NA</v>
      </c>
    </row>
    <row r="1133" ht="15.75" customHeight="1">
      <c r="A1133" s="1" t="str">
        <f>IFERROR(__xludf.DUMMYFUNCTION("""COMPUTED_VALUE"""),"portrait of a lady on fire")</f>
        <v>portrait of a lady on fire</v>
      </c>
      <c r="B1133" s="1" t="str">
        <f>IF(A1133&lt;&gt;"", VLOOKUP(A1133, imdb_netflix_v5!A$2:H$7370, 2, FALSE), "")</f>
        <v>Movie</v>
      </c>
      <c r="C1133" s="2" t="str">
        <f>IF(A1133&lt;&gt;"", VLOOKUP(A1133, imdb_netflix_v5!A$2:H$7370, 3, FALSE), "")</f>
        <v>Drama, Romance</v>
      </c>
      <c r="D1133" s="2">
        <f>IF(A1133&lt;&gt;"", VLOOKUP(A1133, imdb_netflix_v5!A$2:H$7370, 4, FALSE), "")</f>
        <v>8.1</v>
      </c>
      <c r="E1133" s="2">
        <f>IF(A1133&lt;&gt;"", VLOOKUP(A1133, imdb_netflix_v5!A$2:H$7370, 5, FALSE), "")</f>
        <v>2019</v>
      </c>
      <c r="F1133" s="2" t="str">
        <f>IF(A1133&lt;&gt;"", VLOOKUP(A1133, imdb_netflix_v5!A$2:H$7370, 7, FALSE), "")</f>
        <v>NA</v>
      </c>
    </row>
    <row r="1134" ht="15.75" customHeight="1">
      <c r="A1134" s="1" t="str">
        <f>IFERROR(__xludf.DUMMYFUNCTION("""COMPUTED_VALUE"""),"it happened one night")</f>
        <v>it happened one night</v>
      </c>
      <c r="B1134" s="1" t="str">
        <f>IF(A1134&lt;&gt;"", VLOOKUP(A1134, imdb_netflix_v5!A$2:H$7370, 2, FALSE), "")</f>
        <v>Movie</v>
      </c>
      <c r="C1134" s="2" t="str">
        <f>IF(A1134&lt;&gt;"", VLOOKUP(A1134, imdb_netflix_v5!A$2:H$7370, 3, FALSE), "")</f>
        <v>Comedy, Romance</v>
      </c>
      <c r="D1134" s="2">
        <f>IF(A1134&lt;&gt;"", VLOOKUP(A1134, imdb_netflix_v5!A$2:H$7370, 4, FALSE), "")</f>
        <v>8.1</v>
      </c>
      <c r="E1134" s="2">
        <f>IF(A1134&lt;&gt;"", VLOOKUP(A1134, imdb_netflix_v5!A$2:H$7370, 5, FALSE), "")</f>
        <v>1934</v>
      </c>
      <c r="F1134" s="2" t="str">
        <f>IF(A1134&lt;&gt;"", VLOOKUP(A1134, imdb_netflix_v5!A$2:H$7370, 7, FALSE), "")</f>
        <v>NA</v>
      </c>
    </row>
    <row r="1135" ht="15.75" customHeight="1">
      <c r="A1135" s="1" t="str">
        <f>IFERROR(__xludf.DUMMYFUNCTION("""COMPUTED_VALUE"""),"married... with children")</f>
        <v>married... with children</v>
      </c>
      <c r="B1135" s="1" t="str">
        <f>IF(A1135&lt;&gt;"", VLOOKUP(A1135, imdb_netflix_v5!A$2:H$7370, 2, FALSE), "")</f>
        <v>TV Show</v>
      </c>
      <c r="C1135" s="2" t="str">
        <f>IF(A1135&lt;&gt;"", VLOOKUP(A1135, imdb_netflix_v5!A$2:H$7370, 3, FALSE), "")</f>
        <v>Comedy</v>
      </c>
      <c r="D1135" s="2">
        <f>IF(A1135&lt;&gt;"", VLOOKUP(A1135, imdb_netflix_v5!A$2:H$7370, 4, FALSE), "")</f>
        <v>8.1</v>
      </c>
      <c r="E1135" s="2">
        <f>IF(A1135&lt;&gt;"", VLOOKUP(A1135, imdb_netflix_v5!A$2:H$7370, 5, FALSE), "")</f>
        <v>1987</v>
      </c>
      <c r="F1135" s="2" t="str">
        <f>IF(A1135&lt;&gt;"", VLOOKUP(A1135, imdb_netflix_v5!A$2:H$7370, 7, FALSE), "")</f>
        <v>NA</v>
      </c>
    </row>
    <row r="1136" ht="15.75" customHeight="1">
      <c r="A1136" s="1" t="str">
        <f>IFERROR(__xludf.DUMMYFUNCTION("""COMPUTED_VALUE"""),"three colors red")</f>
        <v>three colors red</v>
      </c>
      <c r="B1136" s="1" t="str">
        <f>IF(A1136&lt;&gt;"", VLOOKUP(A1136, imdb_netflix_v5!A$2:H$7370, 2, FALSE), "")</f>
        <v>Movie</v>
      </c>
      <c r="C1136" s="2" t="str">
        <f>IF(A1136&lt;&gt;"", VLOOKUP(A1136, imdb_netflix_v5!A$2:H$7370, 3, FALSE), "")</f>
        <v>Drama, Mystery, Romance</v>
      </c>
      <c r="D1136" s="2">
        <f>IF(A1136&lt;&gt;"", VLOOKUP(A1136, imdb_netflix_v5!A$2:H$7370, 4, FALSE), "")</f>
        <v>8.1</v>
      </c>
      <c r="E1136" s="2">
        <f>IF(A1136&lt;&gt;"", VLOOKUP(A1136, imdb_netflix_v5!A$2:H$7370, 5, FALSE), "")</f>
        <v>1994</v>
      </c>
      <c r="F1136" s="2" t="str">
        <f>IF(A1136&lt;&gt;"", VLOOKUP(A1136, imdb_netflix_v5!A$2:H$7370, 7, FALSE), "")</f>
        <v>NA</v>
      </c>
    </row>
    <row r="1137" ht="15.75" customHeight="1">
      <c r="A1137" s="1" t="str">
        <f>IFERROR(__xludf.DUMMYFUNCTION("""COMPUTED_VALUE"""),"a silent voice the movie")</f>
        <v>a silent voice the movie</v>
      </c>
      <c r="B1137" s="1" t="str">
        <f>IF(A1137&lt;&gt;"", VLOOKUP(A1137, imdb_netflix_v5!A$2:H$7370, 2, FALSE), "")</f>
        <v>Movie</v>
      </c>
      <c r="C1137" s="2" t="str">
        <f>IF(A1137&lt;&gt;"", VLOOKUP(A1137, imdb_netflix_v5!A$2:H$7370, 3, FALSE), "")</f>
        <v>Animation, Drama</v>
      </c>
      <c r="D1137" s="2">
        <f>IF(A1137&lt;&gt;"", VLOOKUP(A1137, imdb_netflix_v5!A$2:H$7370, 4, FALSE), "")</f>
        <v>8.1</v>
      </c>
      <c r="E1137" s="2">
        <f>IF(A1137&lt;&gt;"", VLOOKUP(A1137, imdb_netflix_v5!A$2:H$7370, 5, FALSE), "")</f>
        <v>2016</v>
      </c>
      <c r="F1137" s="2" t="str">
        <f>IF(A1137&lt;&gt;"", VLOOKUP(A1137, imdb_netflix_v5!A$2:H$7370, 7, FALSE), "")</f>
        <v>NA</v>
      </c>
    </row>
    <row r="1138" ht="15.75" customHeight="1">
      <c r="A1138" s="1" t="str">
        <f>IFERROR(__xludf.DUMMYFUNCTION("""COMPUTED_VALUE"""),"11.22.63")</f>
        <v>11.22.63</v>
      </c>
      <c r="B1138" s="1" t="str">
        <f>IF(A1138&lt;&gt;"", VLOOKUP(A1138, imdb_netflix_v5!A$2:H$7370, 2, FALSE), "")</f>
        <v>TV Show</v>
      </c>
      <c r="C1138" s="2" t="str">
        <f>IF(A1138&lt;&gt;"", VLOOKUP(A1138, imdb_netflix_v5!A$2:H$7370, 3, FALSE), "")</f>
        <v>Drama, Mystery, Romance</v>
      </c>
      <c r="D1138" s="2">
        <f>IF(A1138&lt;&gt;"", VLOOKUP(A1138, imdb_netflix_v5!A$2:H$7370, 4, FALSE), "")</f>
        <v>8.1</v>
      </c>
      <c r="E1138" s="2">
        <f>IF(A1138&lt;&gt;"", VLOOKUP(A1138, imdb_netflix_v5!A$2:H$7370, 5, FALSE), "")</f>
        <v>2016</v>
      </c>
      <c r="F1138" s="2" t="str">
        <f>IF(A1138&lt;&gt;"", VLOOKUP(A1138, imdb_netflix_v5!A$2:H$7370, 7, FALSE), "")</f>
        <v>NA</v>
      </c>
    </row>
    <row r="1139" ht="15.75" customHeight="1">
      <c r="A1139" s="1" t="str">
        <f>IFERROR(__xludf.DUMMYFUNCTION("""COMPUTED_VALUE"""),"the grapes of wrath")</f>
        <v>the grapes of wrath</v>
      </c>
      <c r="B1139" s="1" t="str">
        <f>IF(A1139&lt;&gt;"", VLOOKUP(A1139, imdb_netflix_v5!A$2:H$7370, 2, FALSE), "")</f>
        <v>Movie</v>
      </c>
      <c r="C1139" s="2" t="str">
        <f>IF(A1139&lt;&gt;"", VLOOKUP(A1139, imdb_netflix_v5!A$2:H$7370, 3, FALSE), "")</f>
        <v>Drama</v>
      </c>
      <c r="D1139" s="2">
        <f>IF(A1139&lt;&gt;"", VLOOKUP(A1139, imdb_netflix_v5!A$2:H$7370, 4, FALSE), "")</f>
        <v>8.1</v>
      </c>
      <c r="E1139" s="2">
        <f>IF(A1139&lt;&gt;"", VLOOKUP(A1139, imdb_netflix_v5!A$2:H$7370, 5, FALSE), "")</f>
        <v>1940</v>
      </c>
      <c r="F1139" s="2" t="str">
        <f>IF(A1139&lt;&gt;"", VLOOKUP(A1139, imdb_netflix_v5!A$2:H$7370, 7, FALSE), "")</f>
        <v>NA</v>
      </c>
    </row>
    <row r="1140" ht="15.75" customHeight="1">
      <c r="A1140" s="1" t="str">
        <f>IFERROR(__xludf.DUMMYFUNCTION("""COMPUTED_VALUE"""),"bajrangi bhaijaan")</f>
        <v>bajrangi bhaijaan</v>
      </c>
      <c r="B1140" s="1" t="str">
        <f>IF(A1140&lt;&gt;"", VLOOKUP(A1140, imdb_netflix_v5!A$2:H$7370, 2, FALSE), "")</f>
        <v>Movie</v>
      </c>
      <c r="C1140" s="2" t="str">
        <f>IF(A1140&lt;&gt;"", VLOOKUP(A1140, imdb_netflix_v5!A$2:H$7370, 3, FALSE), "")</f>
        <v>Action, Adventure, Comedy</v>
      </c>
      <c r="D1140" s="2">
        <f>IF(A1140&lt;&gt;"", VLOOKUP(A1140, imdb_netflix_v5!A$2:H$7370, 4, FALSE), "")</f>
        <v>8.1</v>
      </c>
      <c r="E1140" s="2">
        <f>IF(A1140&lt;&gt;"", VLOOKUP(A1140, imdb_netflix_v5!A$2:H$7370, 5, FALSE), "")</f>
        <v>2015</v>
      </c>
      <c r="F1140" s="2" t="str">
        <f>IF(A1140&lt;&gt;"", VLOOKUP(A1140, imdb_netflix_v5!A$2:H$7370, 7, FALSE), "")</f>
        <v>NA</v>
      </c>
    </row>
    <row r="1141" ht="15.75" customHeight="1">
      <c r="A1141" s="1" t="str">
        <f>IFERROR(__xludf.DUMMYFUNCTION("""COMPUTED_VALUE"""),"the general")</f>
        <v>the general</v>
      </c>
      <c r="B1141" s="1" t="str">
        <f>IF(A1141&lt;&gt;"", VLOOKUP(A1141, imdb_netflix_v5!A$2:H$7370, 2, FALSE), "")</f>
        <v>Movie</v>
      </c>
      <c r="C1141" s="2" t="str">
        <f>IF(A1141&lt;&gt;"", VLOOKUP(A1141, imdb_netflix_v5!A$2:H$7370, 3, FALSE), "")</f>
        <v>Action, Adventure, Comedy</v>
      </c>
      <c r="D1141" s="2">
        <f>IF(A1141&lt;&gt;"", VLOOKUP(A1141, imdb_netflix_v5!A$2:H$7370, 4, FALSE), "")</f>
        <v>8.1</v>
      </c>
      <c r="E1141" s="2">
        <f>IF(A1141&lt;&gt;"", VLOOKUP(A1141, imdb_netflix_v5!A$2:H$7370, 5, FALSE), "")</f>
        <v>1926</v>
      </c>
      <c r="F1141" s="2" t="str">
        <f>IF(A1141&lt;&gt;"", VLOOKUP(A1141, imdb_netflix_v5!A$2:H$7370, 7, FALSE), "")</f>
        <v>NA</v>
      </c>
    </row>
    <row r="1142" ht="15.75" customHeight="1">
      <c r="A1142" s="1" t="str">
        <f>IFERROR(__xludf.DUMMYFUNCTION("""COMPUTED_VALUE"""),"legion")</f>
        <v>legion</v>
      </c>
      <c r="B1142" s="1" t="str">
        <f>IF(A1142&lt;&gt;"", VLOOKUP(A1142, imdb_netflix_v5!A$2:H$7370, 2, FALSE), "")</f>
        <v>TV Show</v>
      </c>
      <c r="C1142" s="2" t="str">
        <f>IF(A1142&lt;&gt;"", VLOOKUP(A1142, imdb_netflix_v5!A$2:H$7370, 3, FALSE), "")</f>
        <v>Action, Drama, Sci-Fi</v>
      </c>
      <c r="D1142" s="2">
        <f>IF(A1142&lt;&gt;"", VLOOKUP(A1142, imdb_netflix_v5!A$2:H$7370, 4, FALSE), "")</f>
        <v>8.1</v>
      </c>
      <c r="E1142" s="2">
        <f>IF(A1142&lt;&gt;"", VLOOKUP(A1142, imdb_netflix_v5!A$2:H$7370, 5, FALSE), "")</f>
        <v>2017</v>
      </c>
      <c r="F1142" s="2" t="str">
        <f>IF(A1142&lt;&gt;"", VLOOKUP(A1142, imdb_netflix_v5!A$2:H$7370, 7, FALSE), "")</f>
        <v>NA</v>
      </c>
    </row>
    <row r="1143" ht="15.75" customHeight="1">
      <c r="A1143" s="1" t="str">
        <f>IFERROR(__xludf.DUMMYFUNCTION("""COMPUTED_VALUE"""),"monk")</f>
        <v>monk</v>
      </c>
      <c r="B1143" s="1" t="str">
        <f>IF(A1143&lt;&gt;"", VLOOKUP(A1143, imdb_netflix_v5!A$2:H$7370, 2, FALSE), "")</f>
        <v>TV Show</v>
      </c>
      <c r="C1143" s="2" t="str">
        <f>IF(A1143&lt;&gt;"", VLOOKUP(A1143, imdb_netflix_v5!A$2:H$7370, 3, FALSE), "")</f>
        <v>Comedy, Crime, Drama</v>
      </c>
      <c r="D1143" s="2">
        <f>IF(A1143&lt;&gt;"", VLOOKUP(A1143, imdb_netflix_v5!A$2:H$7370, 4, FALSE), "")</f>
        <v>8.1</v>
      </c>
      <c r="E1143" s="2">
        <f>IF(A1143&lt;&gt;"", VLOOKUP(A1143, imdb_netflix_v5!A$2:H$7370, 5, FALSE), "")</f>
        <v>2002</v>
      </c>
      <c r="F1143" s="2" t="str">
        <f>IF(A1143&lt;&gt;"", VLOOKUP(A1143, imdb_netflix_v5!A$2:H$7370, 7, FALSE), "")</f>
        <v>NA</v>
      </c>
    </row>
    <row r="1144" ht="15.75" customHeight="1">
      <c r="A1144" s="1" t="str">
        <f>IFERROR(__xludf.DUMMYFUNCTION("""COMPUTED_VALUE"""),"munna bhai m.b.b.s.")</f>
        <v>munna bhai m.b.b.s.</v>
      </c>
      <c r="B1144" s="1" t="str">
        <f>IF(A1144&lt;&gt;"", VLOOKUP(A1144, imdb_netflix_v5!A$2:H$7370, 2, FALSE), "")</f>
        <v>Movie</v>
      </c>
      <c r="C1144" s="2" t="str">
        <f>IF(A1144&lt;&gt;"", VLOOKUP(A1144, imdb_netflix_v5!A$2:H$7370, 3, FALSE), "")</f>
        <v>Comedy, Drama</v>
      </c>
      <c r="D1144" s="2">
        <f>IF(A1144&lt;&gt;"", VLOOKUP(A1144, imdb_netflix_v5!A$2:H$7370, 4, FALSE), "")</f>
        <v>8.1</v>
      </c>
      <c r="E1144" s="2">
        <f>IF(A1144&lt;&gt;"", VLOOKUP(A1144, imdb_netflix_v5!A$2:H$7370, 5, FALSE), "")</f>
        <v>2003</v>
      </c>
      <c r="F1144" s="2" t="str">
        <f>IF(A1144&lt;&gt;"", VLOOKUP(A1144, imdb_netflix_v5!A$2:H$7370, 7, FALSE), "")</f>
        <v>NA</v>
      </c>
    </row>
    <row r="1145" ht="15.75" customHeight="1">
      <c r="A1145" s="1" t="str">
        <f>IFERROR(__xludf.DUMMYFUNCTION("""COMPUTED_VALUE"""),"barfi!")</f>
        <v>barfi!</v>
      </c>
      <c r="B1145" s="1" t="str">
        <f>IF(A1145&lt;&gt;"", VLOOKUP(A1145, imdb_netflix_v5!A$2:H$7370, 2, FALSE), "")</f>
        <v>Movie</v>
      </c>
      <c r="C1145" s="2" t="str">
        <f>IF(A1145&lt;&gt;"", VLOOKUP(A1145, imdb_netflix_v5!A$2:H$7370, 3, FALSE), "")</f>
        <v>Comedy, Drama, Romance</v>
      </c>
      <c r="D1145" s="2">
        <f>IF(A1145&lt;&gt;"", VLOOKUP(A1145, imdb_netflix_v5!A$2:H$7370, 4, FALSE), "")</f>
        <v>8.1</v>
      </c>
      <c r="E1145" s="2">
        <f>IF(A1145&lt;&gt;"", VLOOKUP(A1145, imdb_netflix_v5!A$2:H$7370, 5, FALSE), "")</f>
        <v>2012</v>
      </c>
      <c r="F1145" s="2" t="str">
        <f>IF(A1145&lt;&gt;"", VLOOKUP(A1145, imdb_netflix_v5!A$2:H$7370, 7, FALSE), "")</f>
        <v>NA</v>
      </c>
    </row>
    <row r="1146" ht="15.75" customHeight="1">
      <c r="A1146" s="1" t="str">
        <f>IFERROR(__xludf.DUMMYFUNCTION("""COMPUTED_VALUE"""),"chak de! india")</f>
        <v>chak de! india</v>
      </c>
      <c r="B1146" s="1" t="str">
        <f>IF(A1146&lt;&gt;"", VLOOKUP(A1146, imdb_netflix_v5!A$2:H$7370, 2, FALSE), "")</f>
        <v>Movie</v>
      </c>
      <c r="C1146" s="2" t="str">
        <f>IF(A1146&lt;&gt;"", VLOOKUP(A1146, imdb_netflix_v5!A$2:H$7370, 3, FALSE), "")</f>
        <v>Drama, Family, Sport</v>
      </c>
      <c r="D1146" s="2">
        <f>IF(A1146&lt;&gt;"", VLOOKUP(A1146, imdb_netflix_v5!A$2:H$7370, 4, FALSE), "")</f>
        <v>8.1</v>
      </c>
      <c r="E1146" s="2">
        <f>IF(A1146&lt;&gt;"", VLOOKUP(A1146, imdb_netflix_v5!A$2:H$7370, 5, FALSE), "")</f>
        <v>2007</v>
      </c>
      <c r="F1146" s="2" t="str">
        <f>IF(A1146&lt;&gt;"", VLOOKUP(A1146, imdb_netflix_v5!A$2:H$7370, 7, FALSE), "")</f>
        <v>NA</v>
      </c>
    </row>
    <row r="1147" ht="15.75" customHeight="1">
      <c r="A1147" s="1" t="str">
        <f>IFERROR(__xludf.DUMMYFUNCTION("""COMPUTED_VALUE"""),"the man who shot liberty valance")</f>
        <v>the man who shot liberty valance</v>
      </c>
      <c r="B1147" s="1" t="str">
        <f>IF(A1147&lt;&gt;"", VLOOKUP(A1147, imdb_netflix_v5!A$2:H$7370, 2, FALSE), "")</f>
        <v>Movie</v>
      </c>
      <c r="C1147" s="2" t="str">
        <f>IF(A1147&lt;&gt;"", VLOOKUP(A1147, imdb_netflix_v5!A$2:H$7370, 3, FALSE), "")</f>
        <v>Drama, Western</v>
      </c>
      <c r="D1147" s="2">
        <f>IF(A1147&lt;&gt;"", VLOOKUP(A1147, imdb_netflix_v5!A$2:H$7370, 4, FALSE), "")</f>
        <v>8.1</v>
      </c>
      <c r="E1147" s="2">
        <f>IF(A1147&lt;&gt;"", VLOOKUP(A1147, imdb_netflix_v5!A$2:H$7370, 5, FALSE), "")</f>
        <v>1962</v>
      </c>
      <c r="F1147" s="2" t="str">
        <f>IF(A1147&lt;&gt;"", VLOOKUP(A1147, imdb_netflix_v5!A$2:H$7370, 7, FALSE), "")</f>
        <v>NA</v>
      </c>
    </row>
    <row r="1148" ht="15.75" customHeight="1">
      <c r="A1148" s="1" t="str">
        <f>IFERROR(__xludf.DUMMYFUNCTION("""COMPUTED_VALUE"""),"a wednesday")</f>
        <v>a wednesday</v>
      </c>
      <c r="B1148" s="1" t="str">
        <f>IF(A1148&lt;&gt;"", VLOOKUP(A1148, imdb_netflix_v5!A$2:H$7370, 2, FALSE), "")</f>
        <v>Movie</v>
      </c>
      <c r="C1148" s="2" t="str">
        <f>IF(A1148&lt;&gt;"", VLOOKUP(A1148, imdb_netflix_v5!A$2:H$7370, 3, FALSE), "")</f>
        <v>Action, Crime, Drama</v>
      </c>
      <c r="D1148" s="2">
        <f>IF(A1148&lt;&gt;"", VLOOKUP(A1148, imdb_netflix_v5!A$2:H$7370, 4, FALSE), "")</f>
        <v>8.1</v>
      </c>
      <c r="E1148" s="2">
        <f>IF(A1148&lt;&gt;"", VLOOKUP(A1148, imdb_netflix_v5!A$2:H$7370, 5, FALSE), "")</f>
        <v>2008</v>
      </c>
      <c r="F1148" s="2" t="str">
        <f>IF(A1148&lt;&gt;"", VLOOKUP(A1148, imdb_netflix_v5!A$2:H$7370, 7, FALSE), "")</f>
        <v>NA</v>
      </c>
    </row>
    <row r="1149" ht="15.75" customHeight="1">
      <c r="A1149" s="1" t="str">
        <f>IFERROR(__xludf.DUMMYFUNCTION("""COMPUTED_VALUE"""),"the tudors")</f>
        <v>the tudors</v>
      </c>
      <c r="B1149" s="1" t="str">
        <f>IF(A1149&lt;&gt;"", VLOOKUP(A1149, imdb_netflix_v5!A$2:H$7370, 2, FALSE), "")</f>
        <v>TV Show</v>
      </c>
      <c r="C1149" s="2" t="str">
        <f>IF(A1149&lt;&gt;"", VLOOKUP(A1149, imdb_netflix_v5!A$2:H$7370, 3, FALSE), "")</f>
        <v>Drama, History, Romance</v>
      </c>
      <c r="D1149" s="2">
        <f>IF(A1149&lt;&gt;"", VLOOKUP(A1149, imdb_netflix_v5!A$2:H$7370, 4, FALSE), "")</f>
        <v>8.1</v>
      </c>
      <c r="E1149" s="2">
        <f>IF(A1149&lt;&gt;"", VLOOKUP(A1149, imdb_netflix_v5!A$2:H$7370, 5, FALSE), "")</f>
        <v>2007</v>
      </c>
      <c r="F1149" s="2" t="str">
        <f>IF(A1149&lt;&gt;"", VLOOKUP(A1149, imdb_netflix_v5!A$2:H$7370, 7, FALSE), "")</f>
        <v>NA</v>
      </c>
    </row>
    <row r="1150" ht="15.75" customHeight="1">
      <c r="A1150" s="1" t="str">
        <f>IFERROR(__xludf.DUMMYFUNCTION("""COMPUTED_VALUE"""),"dara of jasenovac")</f>
        <v>dara of jasenovac</v>
      </c>
      <c r="B1150" s="1" t="str">
        <f>IF(A1150&lt;&gt;"", VLOOKUP(A1150, imdb_netflix_v5!A$2:H$7370, 2, FALSE), "")</f>
        <v>Movie</v>
      </c>
      <c r="C1150" s="2" t="str">
        <f>IF(A1150&lt;&gt;"", VLOOKUP(A1150, imdb_netflix_v5!A$2:H$7370, 3, FALSE), "")</f>
        <v>Drama, War</v>
      </c>
      <c r="D1150" s="2">
        <f>IF(A1150&lt;&gt;"", VLOOKUP(A1150, imdb_netflix_v5!A$2:H$7370, 4, FALSE), "")</f>
        <v>8.1</v>
      </c>
      <c r="E1150" s="2">
        <f>IF(A1150&lt;&gt;"", VLOOKUP(A1150, imdb_netflix_v5!A$2:H$7370, 5, FALSE), "")</f>
        <v>2020</v>
      </c>
      <c r="F1150" s="2" t="str">
        <f>IF(A1150&lt;&gt;"", VLOOKUP(A1150, imdb_netflix_v5!A$2:H$7370, 7, FALSE), "")</f>
        <v>NA</v>
      </c>
    </row>
    <row r="1151" ht="15.75" customHeight="1">
      <c r="A1151" s="1" t="str">
        <f>IFERROR(__xludf.DUMMYFUNCTION("""COMPUTED_VALUE"""),"free solo")</f>
        <v>free solo</v>
      </c>
      <c r="B1151" s="1" t="str">
        <f>IF(A1151&lt;&gt;"", VLOOKUP(A1151, imdb_netflix_v5!A$2:H$7370, 2, FALSE), "")</f>
        <v>Movie</v>
      </c>
      <c r="C1151" s="2" t="str">
        <f>IF(A1151&lt;&gt;"", VLOOKUP(A1151, imdb_netflix_v5!A$2:H$7370, 3, FALSE), "")</f>
        <v>Adventure, Documentary, Sport</v>
      </c>
      <c r="D1151" s="2">
        <f>IF(A1151&lt;&gt;"", VLOOKUP(A1151, imdb_netflix_v5!A$2:H$7370, 4, FALSE), "")</f>
        <v>8.1</v>
      </c>
      <c r="E1151" s="2">
        <f>IF(A1151&lt;&gt;"", VLOOKUP(A1151, imdb_netflix_v5!A$2:H$7370, 5, FALSE), "")</f>
        <v>2018</v>
      </c>
      <c r="F1151" s="2" t="str">
        <f>IF(A1151&lt;&gt;"", VLOOKUP(A1151, imdb_netflix_v5!A$2:H$7370, 7, FALSE), "")</f>
        <v>NA</v>
      </c>
    </row>
    <row r="1152" ht="15.75" customHeight="1">
      <c r="A1152" s="1" t="str">
        <f>IFERROR(__xludf.DUMMYFUNCTION("""COMPUTED_VALUE"""),"dil chahta hai")</f>
        <v>dil chahta hai</v>
      </c>
      <c r="B1152" s="1" t="str">
        <f>IF(A1152&lt;&gt;"", VLOOKUP(A1152, imdb_netflix_v5!A$2:H$7370, 2, FALSE), "")</f>
        <v>Movie</v>
      </c>
      <c r="C1152" s="2" t="str">
        <f>IF(A1152&lt;&gt;"", VLOOKUP(A1152, imdb_netflix_v5!A$2:H$7370, 3, FALSE), "")</f>
        <v>Comedy, Drama, Romance</v>
      </c>
      <c r="D1152" s="2">
        <f>IF(A1152&lt;&gt;"", VLOOKUP(A1152, imdb_netflix_v5!A$2:H$7370, 4, FALSE), "")</f>
        <v>8.1</v>
      </c>
      <c r="E1152" s="2">
        <f>IF(A1152&lt;&gt;"", VLOOKUP(A1152, imdb_netflix_v5!A$2:H$7370, 5, FALSE), "")</f>
        <v>2001</v>
      </c>
      <c r="F1152" s="2" t="str">
        <f>IF(A1152&lt;&gt;"", VLOOKUP(A1152, imdb_netflix_v5!A$2:H$7370, 7, FALSE), "")</f>
        <v>NA</v>
      </c>
    </row>
    <row r="1153" ht="15.75" customHeight="1">
      <c r="A1153" s="1" t="str">
        <f>IFERROR(__xludf.DUMMYFUNCTION("""COMPUTED_VALUE"""),"for all mankind")</f>
        <v>for all mankind</v>
      </c>
      <c r="B1153" s="1" t="str">
        <f>IF(A1153&lt;&gt;"", VLOOKUP(A1153, imdb_netflix_v5!A$2:H$7370, 2, FALSE), "")</f>
        <v>TV Show</v>
      </c>
      <c r="C1153" s="2" t="str">
        <f>IF(A1153&lt;&gt;"", VLOOKUP(A1153, imdb_netflix_v5!A$2:H$7370, 3, FALSE), "")</f>
        <v>Drama, Sci-Fi</v>
      </c>
      <c r="D1153" s="2">
        <f>IF(A1153&lt;&gt;"", VLOOKUP(A1153, imdb_netflix_v5!A$2:H$7370, 4, FALSE), "")</f>
        <v>8.1</v>
      </c>
      <c r="E1153" s="2">
        <f>IF(A1153&lt;&gt;"", VLOOKUP(A1153, imdb_netflix_v5!A$2:H$7370, 5, FALSE), "")</f>
        <v>2019</v>
      </c>
      <c r="F1153" s="2" t="str">
        <f>IF(A1153&lt;&gt;"", VLOOKUP(A1153, imdb_netflix_v5!A$2:H$7370, 7, FALSE), "")</f>
        <v>NA</v>
      </c>
    </row>
    <row r="1154" ht="15.75" customHeight="1">
      <c r="A1154" s="1" t="str">
        <f>IFERROR(__xludf.DUMMYFUNCTION("""COMPUTED_VALUE"""),"blackfish")</f>
        <v>blackfish</v>
      </c>
      <c r="B1154" s="1" t="str">
        <f>IF(A1154&lt;&gt;"", VLOOKUP(A1154, imdb_netflix_v5!A$2:H$7370, 2, FALSE), "")</f>
        <v>Movie</v>
      </c>
      <c r="C1154" s="2" t="str">
        <f>IF(A1154&lt;&gt;"", VLOOKUP(A1154, imdb_netflix_v5!A$2:H$7370, 3, FALSE), "")</f>
        <v>Documentary, Drama, Horror</v>
      </c>
      <c r="D1154" s="2">
        <f>IF(A1154&lt;&gt;"", VLOOKUP(A1154, imdb_netflix_v5!A$2:H$7370, 4, FALSE), "")</f>
        <v>8.1</v>
      </c>
      <c r="E1154" s="2">
        <f>IF(A1154&lt;&gt;"", VLOOKUP(A1154, imdb_netflix_v5!A$2:H$7370, 5, FALSE), "")</f>
        <v>2013</v>
      </c>
      <c r="F1154" s="2" t="str">
        <f>IF(A1154&lt;&gt;"", VLOOKUP(A1154, imdb_netflix_v5!A$2:H$7370, 7, FALSE), "")</f>
        <v>NA</v>
      </c>
    </row>
    <row r="1155" ht="15.75" customHeight="1">
      <c r="A1155" s="1" t="str">
        <f>IFERROR(__xludf.DUMMYFUNCTION("""COMPUTED_VALUE"""),"the bandit")</f>
        <v>the bandit</v>
      </c>
      <c r="B1155" s="1" t="str">
        <f>IF(A1155&lt;&gt;"", VLOOKUP(A1155, imdb_netflix_v5!A$2:H$7370, 2, FALSE), "")</f>
        <v>Movie</v>
      </c>
      <c r="C1155" s="2" t="str">
        <f>IF(A1155&lt;&gt;"", VLOOKUP(A1155, imdb_netflix_v5!A$2:H$7370, 3, FALSE), "")</f>
        <v>Crime, Drama</v>
      </c>
      <c r="D1155" s="2">
        <f>IF(A1155&lt;&gt;"", VLOOKUP(A1155, imdb_netflix_v5!A$2:H$7370, 4, FALSE), "")</f>
        <v>8.1</v>
      </c>
      <c r="E1155" s="2">
        <f>IF(A1155&lt;&gt;"", VLOOKUP(A1155, imdb_netflix_v5!A$2:H$7370, 5, FALSE), "")</f>
        <v>1996</v>
      </c>
      <c r="F1155" s="2" t="str">
        <f>IF(A1155&lt;&gt;"", VLOOKUP(A1155, imdb_netflix_v5!A$2:H$7370, 7, FALSE), "")</f>
        <v>NA</v>
      </c>
    </row>
    <row r="1156" ht="15.75" customHeight="1">
      <c r="A1156" s="1" t="str">
        <f>IFERROR(__xludf.DUMMYFUNCTION("""COMPUTED_VALUE"""),"stargate atlantis")</f>
        <v>stargate atlantis</v>
      </c>
      <c r="B1156" s="1" t="str">
        <f>IF(A1156&lt;&gt;"", VLOOKUP(A1156, imdb_netflix_v5!A$2:H$7370, 2, FALSE), "")</f>
        <v>TV Show</v>
      </c>
      <c r="C1156" s="2" t="str">
        <f>IF(A1156&lt;&gt;"", VLOOKUP(A1156, imdb_netflix_v5!A$2:H$7370, 3, FALSE), "")</f>
        <v>Action, Adventure, Drama</v>
      </c>
      <c r="D1156" s="2">
        <f>IF(A1156&lt;&gt;"", VLOOKUP(A1156, imdb_netflix_v5!A$2:H$7370, 4, FALSE), "")</f>
        <v>8.1</v>
      </c>
      <c r="E1156" s="2">
        <f>IF(A1156&lt;&gt;"", VLOOKUP(A1156, imdb_netflix_v5!A$2:H$7370, 5, FALSE), "")</f>
        <v>2004</v>
      </c>
      <c r="F1156" s="2" t="str">
        <f>IF(A1156&lt;&gt;"", VLOOKUP(A1156, imdb_netflix_v5!A$2:H$7370, 7, FALSE), "")</f>
        <v>NA</v>
      </c>
    </row>
    <row r="1157" ht="15.75" customHeight="1">
      <c r="A1157" s="1" t="str">
        <f>IFERROR(__xludf.DUMMYFUNCTION("""COMPUTED_VALUE"""),"star trek deep space nine")</f>
        <v>star trek deep space nine</v>
      </c>
      <c r="B1157" s="1" t="str">
        <f>IF(A1157&lt;&gt;"", VLOOKUP(A1157, imdb_netflix_v5!A$2:H$7370, 2, FALSE), "")</f>
        <v>TV Show</v>
      </c>
      <c r="C1157" s="2" t="str">
        <f>IF(A1157&lt;&gt;"", VLOOKUP(A1157, imdb_netflix_v5!A$2:H$7370, 3, FALSE), "")</f>
        <v>Action, Adventure, Drama</v>
      </c>
      <c r="D1157" s="2">
        <f>IF(A1157&lt;&gt;"", VLOOKUP(A1157, imdb_netflix_v5!A$2:H$7370, 4, FALSE), "")</f>
        <v>8.1</v>
      </c>
      <c r="E1157" s="2">
        <f>IF(A1157&lt;&gt;"", VLOOKUP(A1157, imdb_netflix_v5!A$2:H$7370, 5, FALSE), "")</f>
        <v>1993</v>
      </c>
      <c r="F1157" s="2" t="str">
        <f>IF(A1157&lt;&gt;"", VLOOKUP(A1157, imdb_netflix_v5!A$2:H$7370, 7, FALSE), "")</f>
        <v>NA</v>
      </c>
    </row>
    <row r="1158" ht="15.75" customHeight="1">
      <c r="A1158" s="1" t="str">
        <f>IFERROR(__xludf.DUMMYFUNCTION("""COMPUTED_VALUE"""),"the best years of our lives")</f>
        <v>the best years of our lives</v>
      </c>
      <c r="B1158" s="1" t="str">
        <f>IF(A1158&lt;&gt;"", VLOOKUP(A1158, imdb_netflix_v5!A$2:H$7370, 2, FALSE), "")</f>
        <v>Movie</v>
      </c>
      <c r="C1158" s="2" t="str">
        <f>IF(A1158&lt;&gt;"", VLOOKUP(A1158, imdb_netflix_v5!A$2:H$7370, 3, FALSE), "")</f>
        <v>Drama, Romance, War</v>
      </c>
      <c r="D1158" s="2">
        <f>IF(A1158&lt;&gt;"", VLOOKUP(A1158, imdb_netflix_v5!A$2:H$7370, 4, FALSE), "")</f>
        <v>8.1</v>
      </c>
      <c r="E1158" s="2">
        <f>IF(A1158&lt;&gt;"", VLOOKUP(A1158, imdb_netflix_v5!A$2:H$7370, 5, FALSE), "")</f>
        <v>1946</v>
      </c>
      <c r="F1158" s="2" t="str">
        <f>IF(A1158&lt;&gt;"", VLOOKUP(A1158, imdb_netflix_v5!A$2:H$7370, 7, FALSE), "")</f>
        <v>NA</v>
      </c>
    </row>
    <row r="1159" ht="15.75" customHeight="1">
      <c r="A1159" s="1" t="str">
        <f>IFERROR(__xludf.DUMMYFUNCTION("""COMPUTED_VALUE"""),"tokyo story")</f>
        <v>tokyo story</v>
      </c>
      <c r="B1159" s="1" t="str">
        <f>IF(A1159&lt;&gt;"", VLOOKUP(A1159, imdb_netflix_v5!A$2:H$7370, 2, FALSE), "")</f>
        <v>Movie</v>
      </c>
      <c r="C1159" s="2" t="str">
        <f>IF(A1159&lt;&gt;"", VLOOKUP(A1159, imdb_netflix_v5!A$2:H$7370, 3, FALSE), "")</f>
        <v>Drama</v>
      </c>
      <c r="D1159" s="2">
        <f>IF(A1159&lt;&gt;"", VLOOKUP(A1159, imdb_netflix_v5!A$2:H$7370, 4, FALSE), "")</f>
        <v>8.1</v>
      </c>
      <c r="E1159" s="2">
        <f>IF(A1159&lt;&gt;"", VLOOKUP(A1159, imdb_netflix_v5!A$2:H$7370, 5, FALSE), "")</f>
        <v>1953</v>
      </c>
      <c r="F1159" s="2" t="str">
        <f>IF(A1159&lt;&gt;"", VLOOKUP(A1159, imdb_netflix_v5!A$2:H$7370, 7, FALSE), "")</f>
        <v>NA</v>
      </c>
    </row>
    <row r="1160" ht="15.75" customHeight="1">
      <c r="A1160" s="1" t="str">
        <f>IFERROR(__xludf.DUMMYFUNCTION("""COMPUTED_VALUE"""),"diabolique")</f>
        <v>diabolique</v>
      </c>
      <c r="B1160" s="1" t="str">
        <f>IF(A1160&lt;&gt;"", VLOOKUP(A1160, imdb_netflix_v5!A$2:H$7370, 2, FALSE), "")</f>
        <v>Movie</v>
      </c>
      <c r="C1160" s="2" t="str">
        <f>IF(A1160&lt;&gt;"", VLOOKUP(A1160, imdb_netflix_v5!A$2:H$7370, 3, FALSE), "")</f>
        <v>Crime, Drama, Horror</v>
      </c>
      <c r="D1160" s="2">
        <f>IF(A1160&lt;&gt;"", VLOOKUP(A1160, imdb_netflix_v5!A$2:H$7370, 4, FALSE), "")</f>
        <v>8.1</v>
      </c>
      <c r="E1160" s="2">
        <f>IF(A1160&lt;&gt;"", VLOOKUP(A1160, imdb_netflix_v5!A$2:H$7370, 5, FALSE), "")</f>
        <v>1955</v>
      </c>
      <c r="F1160" s="2" t="str">
        <f>IF(A1160&lt;&gt;"", VLOOKUP(A1160, imdb_netflix_v5!A$2:H$7370, 7, FALSE), "")</f>
        <v>NA</v>
      </c>
    </row>
    <row r="1161" ht="15.75" customHeight="1">
      <c r="A1161" s="1" t="str">
        <f>IFERROR(__xludf.DUMMYFUNCTION("""COMPUTED_VALUE"""),"queen")</f>
        <v>queen</v>
      </c>
      <c r="B1161" s="1" t="str">
        <f>IF(A1161&lt;&gt;"", VLOOKUP(A1161, imdb_netflix_v5!A$2:H$7370, 2, FALSE), "")</f>
        <v>Movie</v>
      </c>
      <c r="C1161" s="2" t="str">
        <f>IF(A1161&lt;&gt;"", VLOOKUP(A1161, imdb_netflix_v5!A$2:H$7370, 3, FALSE), "")</f>
        <v>Adventure, Comedy, Drama</v>
      </c>
      <c r="D1161" s="2">
        <f>IF(A1161&lt;&gt;"", VLOOKUP(A1161, imdb_netflix_v5!A$2:H$7370, 4, FALSE), "")</f>
        <v>8.1</v>
      </c>
      <c r="E1161" s="2">
        <f>IF(A1161&lt;&gt;"", VLOOKUP(A1161, imdb_netflix_v5!A$2:H$7370, 5, FALSE), "")</f>
        <v>2013</v>
      </c>
      <c r="F1161" s="2">
        <f>IF(A1161&lt;&gt;"", VLOOKUP(A1161, imdb_netflix_v5!A$2:H$7370, 7, FALSE), "")</f>
        <v>7400000</v>
      </c>
    </row>
    <row r="1162" ht="15.75" customHeight="1">
      <c r="A1162" s="1" t="str">
        <f>IFERROR(__xludf.DUMMYFUNCTION("""COMPUTED_VALUE"""),"all quiet on the western front")</f>
        <v>all quiet on the western front</v>
      </c>
      <c r="B1162" s="1" t="str">
        <f>IF(A1162&lt;&gt;"", VLOOKUP(A1162, imdb_netflix_v5!A$2:H$7370, 2, FALSE), "")</f>
        <v>Movie</v>
      </c>
      <c r="C1162" s="2" t="str">
        <f>IF(A1162&lt;&gt;"", VLOOKUP(A1162, imdb_netflix_v5!A$2:H$7370, 3, FALSE), "")</f>
        <v>Drama, War</v>
      </c>
      <c r="D1162" s="2">
        <f>IF(A1162&lt;&gt;"", VLOOKUP(A1162, imdb_netflix_v5!A$2:H$7370, 4, FALSE), "")</f>
        <v>8.1</v>
      </c>
      <c r="E1162" s="2">
        <f>IF(A1162&lt;&gt;"", VLOOKUP(A1162, imdb_netflix_v5!A$2:H$7370, 5, FALSE), "")</f>
        <v>1930</v>
      </c>
      <c r="F1162" s="2">
        <f>IF(A1162&lt;&gt;"", VLOOKUP(A1162, imdb_netflix_v5!A$2:H$7370, 7, FALSE), "")</f>
        <v>1280000</v>
      </c>
    </row>
    <row r="1163" ht="15.75" customHeight="1">
      <c r="A1163" s="1" t="str">
        <f>IFERROR(__xludf.DUMMYFUNCTION("""COMPUTED_VALUE"""),"the wages of fear")</f>
        <v>the wages of fear</v>
      </c>
      <c r="B1163" s="1" t="str">
        <f>IF(A1163&lt;&gt;"", VLOOKUP(A1163, imdb_netflix_v5!A$2:H$7370, 2, FALSE), "")</f>
        <v>Movie</v>
      </c>
      <c r="C1163" s="2" t="str">
        <f>IF(A1163&lt;&gt;"", VLOOKUP(A1163, imdb_netflix_v5!A$2:H$7370, 3, FALSE), "")</f>
        <v>Adventure, Drama, Thriller</v>
      </c>
      <c r="D1163" s="2">
        <f>IF(A1163&lt;&gt;"", VLOOKUP(A1163, imdb_netflix_v5!A$2:H$7370, 4, FALSE), "")</f>
        <v>8.1</v>
      </c>
      <c r="E1163" s="2">
        <f>IF(A1163&lt;&gt;"", VLOOKUP(A1163, imdb_netflix_v5!A$2:H$7370, 5, FALSE), "")</f>
        <v>1953</v>
      </c>
      <c r="F1163" s="2" t="str">
        <f>IF(A1163&lt;&gt;"", VLOOKUP(A1163, imdb_netflix_v5!A$2:H$7370, 7, FALSE), "")</f>
        <v>NA</v>
      </c>
    </row>
    <row r="1164" ht="15.75" customHeight="1">
      <c r="A1164" s="1" t="str">
        <f>IFERROR(__xludf.DUMMYFUNCTION("""COMPUTED_VALUE"""),"fanny and alexander")</f>
        <v>fanny and alexander</v>
      </c>
      <c r="B1164" s="1" t="str">
        <f>IF(A1164&lt;&gt;"", VLOOKUP(A1164, imdb_netflix_v5!A$2:H$7370, 2, FALSE), "")</f>
        <v>Movie</v>
      </c>
      <c r="C1164" s="2" t="str">
        <f>IF(A1164&lt;&gt;"", VLOOKUP(A1164, imdb_netflix_v5!A$2:H$7370, 3, FALSE), "")</f>
        <v>Drama</v>
      </c>
      <c r="D1164" s="2">
        <f>IF(A1164&lt;&gt;"", VLOOKUP(A1164, imdb_netflix_v5!A$2:H$7370, 4, FALSE), "")</f>
        <v>8.1</v>
      </c>
      <c r="E1164" s="2">
        <f>IF(A1164&lt;&gt;"", VLOOKUP(A1164, imdb_netflix_v5!A$2:H$7370, 5, FALSE), "")</f>
        <v>1982</v>
      </c>
      <c r="F1164" s="2" t="str">
        <f>IF(A1164&lt;&gt;"", VLOOKUP(A1164, imdb_netflix_v5!A$2:H$7370, 7, FALSE), "")</f>
        <v>NA</v>
      </c>
    </row>
    <row r="1165" ht="15.75" customHeight="1">
      <c r="A1165" s="1" t="str">
        <f>IFERROR(__xludf.DUMMYFUNCTION("""COMPUTED_VALUE"""),"the battle of algiers")</f>
        <v>the battle of algiers</v>
      </c>
      <c r="B1165" s="1" t="str">
        <f>IF(A1165&lt;&gt;"", VLOOKUP(A1165, imdb_netflix_v5!A$2:H$7370, 2, FALSE), "")</f>
        <v>Movie</v>
      </c>
      <c r="C1165" s="2" t="str">
        <f>IF(A1165&lt;&gt;"", VLOOKUP(A1165, imdb_netflix_v5!A$2:H$7370, 3, FALSE), "")</f>
        <v>Drama, War</v>
      </c>
      <c r="D1165" s="2">
        <f>IF(A1165&lt;&gt;"", VLOOKUP(A1165, imdb_netflix_v5!A$2:H$7370, 4, FALSE), "")</f>
        <v>8.1</v>
      </c>
      <c r="E1165" s="2">
        <f>IF(A1165&lt;&gt;"", VLOOKUP(A1165, imdb_netflix_v5!A$2:H$7370, 5, FALSE), "")</f>
        <v>1966</v>
      </c>
      <c r="F1165" s="2" t="str">
        <f>IF(A1165&lt;&gt;"", VLOOKUP(A1165, imdb_netflix_v5!A$2:H$7370, 7, FALSE), "")</f>
        <v>NA</v>
      </c>
    </row>
    <row r="1166" ht="15.75" customHeight="1">
      <c r="A1166" s="1" t="str">
        <f>IFERROR(__xludf.DUMMYFUNCTION("""COMPUTED_VALUE"""),"resident alien")</f>
        <v>resident alien</v>
      </c>
      <c r="B1166" s="1" t="str">
        <f>IF(A1166&lt;&gt;"", VLOOKUP(A1166, imdb_netflix_v5!A$2:H$7370, 2, FALSE), "")</f>
        <v>TV Show</v>
      </c>
      <c r="C1166" s="2" t="str">
        <f>IF(A1166&lt;&gt;"", VLOOKUP(A1166, imdb_netflix_v5!A$2:H$7370, 3, FALSE), "")</f>
        <v>Comedy, Drama, Mystery</v>
      </c>
      <c r="D1166" s="2">
        <f>IF(A1166&lt;&gt;"", VLOOKUP(A1166, imdb_netflix_v5!A$2:H$7370, 4, FALSE), "")</f>
        <v>8.1</v>
      </c>
      <c r="E1166" s="2">
        <f>IF(A1166&lt;&gt;"", VLOOKUP(A1166, imdb_netflix_v5!A$2:H$7370, 5, FALSE), "")</f>
        <v>2021</v>
      </c>
      <c r="F1166" s="2" t="str">
        <f>IF(A1166&lt;&gt;"", VLOOKUP(A1166, imdb_netflix_v5!A$2:H$7370, 7, FALSE), "")</f>
        <v>NA</v>
      </c>
    </row>
    <row r="1167" ht="15.75" customHeight="1">
      <c r="A1167" s="1" t="str">
        <f>IFERROR(__xludf.DUMMYFUNCTION("""COMPUTED_VALUE"""),"neon genesis evangelion the end of evangelion")</f>
        <v>neon genesis evangelion the end of evangelion</v>
      </c>
      <c r="B1167" s="1" t="str">
        <f>IF(A1167&lt;&gt;"", VLOOKUP(A1167, imdb_netflix_v5!A$2:H$7370, 2, FALSE), "")</f>
        <v>Movie</v>
      </c>
      <c r="C1167" s="2" t="str">
        <f>IF(A1167&lt;&gt;"", VLOOKUP(A1167, imdb_netflix_v5!A$2:H$7370, 3, FALSE), "")</f>
        <v>Action, Animation, Drama</v>
      </c>
      <c r="D1167" s="2">
        <f>IF(A1167&lt;&gt;"", VLOOKUP(A1167, imdb_netflix_v5!A$2:H$7370, 4, FALSE), "")</f>
        <v>8.1</v>
      </c>
      <c r="E1167" s="2">
        <f>IF(A1167&lt;&gt;"", VLOOKUP(A1167, imdb_netflix_v5!A$2:H$7370, 5, FALSE), "")</f>
        <v>1997</v>
      </c>
      <c r="F1167" s="2" t="str">
        <f>IF(A1167&lt;&gt;"", VLOOKUP(A1167, imdb_netflix_v5!A$2:H$7370, 7, FALSE), "")</f>
        <v>NA</v>
      </c>
    </row>
    <row r="1168" ht="15.75" customHeight="1">
      <c r="A1168" s="1" t="str">
        <f>IFERROR(__xludf.DUMMYFUNCTION("""COMPUTED_VALUE"""),"omg oh my god!")</f>
        <v>omg oh my god!</v>
      </c>
      <c r="B1168" s="1" t="str">
        <f>IF(A1168&lt;&gt;"", VLOOKUP(A1168, imdb_netflix_v5!A$2:H$7370, 2, FALSE), "")</f>
        <v>Movie</v>
      </c>
      <c r="C1168" s="2" t="str">
        <f>IF(A1168&lt;&gt;"", VLOOKUP(A1168, imdb_netflix_v5!A$2:H$7370, 3, FALSE), "")</f>
        <v>Comedy, Drama, Fantasy</v>
      </c>
      <c r="D1168" s="2">
        <f>IF(A1168&lt;&gt;"", VLOOKUP(A1168, imdb_netflix_v5!A$2:H$7370, 4, FALSE), "")</f>
        <v>8.1</v>
      </c>
      <c r="E1168" s="2">
        <f>IF(A1168&lt;&gt;"", VLOOKUP(A1168, imdb_netflix_v5!A$2:H$7370, 5, FALSE), "")</f>
        <v>2012</v>
      </c>
      <c r="F1168" s="2" t="str">
        <f>IF(A1168&lt;&gt;"", VLOOKUP(A1168, imdb_netflix_v5!A$2:H$7370, 7, FALSE), "")</f>
        <v>NA</v>
      </c>
    </row>
    <row r="1169" ht="15.75" customHeight="1">
      <c r="A1169" s="1" t="str">
        <f>IFERROR(__xludf.DUMMYFUNCTION("""COMPUTED_VALUE"""),"kahaani")</f>
        <v>kahaani</v>
      </c>
      <c r="B1169" s="1" t="str">
        <f>IF(A1169&lt;&gt;"", VLOOKUP(A1169, imdb_netflix_v5!A$2:H$7370, 2, FALSE), "")</f>
        <v>Movie</v>
      </c>
      <c r="C1169" s="2" t="str">
        <f>IF(A1169&lt;&gt;"", VLOOKUP(A1169, imdb_netflix_v5!A$2:H$7370, 3, FALSE), "")</f>
        <v>Mystery, Thriller</v>
      </c>
      <c r="D1169" s="2">
        <f>IF(A1169&lt;&gt;"", VLOOKUP(A1169, imdb_netflix_v5!A$2:H$7370, 4, FALSE), "")</f>
        <v>8.1</v>
      </c>
      <c r="E1169" s="2">
        <f>IF(A1169&lt;&gt;"", VLOOKUP(A1169, imdb_netflix_v5!A$2:H$7370, 5, FALSE), "")</f>
        <v>2012</v>
      </c>
      <c r="F1169" s="2" t="str">
        <f>IF(A1169&lt;&gt;"", VLOOKUP(A1169, imdb_netflix_v5!A$2:H$7370, 7, FALSE), "")</f>
        <v>NA</v>
      </c>
    </row>
    <row r="1170" ht="15.75" customHeight="1">
      <c r="A1170" s="1" t="str">
        <f>IFERROR(__xludf.DUMMYFUNCTION("""COMPUTED_VALUE"""),"paatal lok")</f>
        <v>paatal lok</v>
      </c>
      <c r="B1170" s="1" t="str">
        <f>IF(A1170&lt;&gt;"", VLOOKUP(A1170, imdb_netflix_v5!A$2:H$7370, 2, FALSE), "")</f>
        <v>TV Show</v>
      </c>
      <c r="C1170" s="2" t="str">
        <f>IF(A1170&lt;&gt;"", VLOOKUP(A1170, imdb_netflix_v5!A$2:H$7370, 3, FALSE), "")</f>
        <v>Crime, Drama, Thriller</v>
      </c>
      <c r="D1170" s="2">
        <f>IF(A1170&lt;&gt;"", VLOOKUP(A1170, imdb_netflix_v5!A$2:H$7370, 4, FALSE), "")</f>
        <v>8.1</v>
      </c>
      <c r="E1170" s="2">
        <f>IF(A1170&lt;&gt;"", VLOOKUP(A1170, imdb_netflix_v5!A$2:H$7370, 5, FALSE), "")</f>
        <v>2020</v>
      </c>
      <c r="F1170" s="2" t="str">
        <f>IF(A1170&lt;&gt;"", VLOOKUP(A1170, imdb_netflix_v5!A$2:H$7370, 7, FALSE), "")</f>
        <v>NA</v>
      </c>
    </row>
    <row r="1171" ht="15.75" customHeight="1">
      <c r="A1171" s="1" t="str">
        <f>IFERROR(__xludf.DUMMYFUNCTION("""COMPUTED_VALUE"""),"my octopus teacher")</f>
        <v>my octopus teacher</v>
      </c>
      <c r="B1171" s="1" t="str">
        <f>IF(A1171&lt;&gt;"", VLOOKUP(A1171, imdb_netflix_v5!A$2:H$7370, 2, FALSE), "")</f>
        <v>Movie</v>
      </c>
      <c r="C1171" s="2" t="str">
        <f>IF(A1171&lt;&gt;"", VLOOKUP(A1171, imdb_netflix_v5!A$2:H$7370, 3, FALSE), "")</f>
        <v>Documentary, Drama</v>
      </c>
      <c r="D1171" s="2">
        <f>IF(A1171&lt;&gt;"", VLOOKUP(A1171, imdb_netflix_v5!A$2:H$7370, 4, FALSE), "")</f>
        <v>8.1</v>
      </c>
      <c r="E1171" s="2">
        <f>IF(A1171&lt;&gt;"", VLOOKUP(A1171, imdb_netflix_v5!A$2:H$7370, 5, FALSE), "")</f>
        <v>2020</v>
      </c>
      <c r="F1171" s="2" t="str">
        <f>IF(A1171&lt;&gt;"", VLOOKUP(A1171, imdb_netflix_v5!A$2:H$7370, 7, FALSE), "")</f>
        <v>NA</v>
      </c>
    </row>
    <row r="1172" ht="15.75" customHeight="1">
      <c r="A1172" s="1" t="str">
        <f>IFERROR(__xludf.DUMMYFUNCTION("""COMPUTED_VALUE"""),"manhunt")</f>
        <v>manhunt</v>
      </c>
      <c r="B1172" s="1" t="str">
        <f>IF(A1172&lt;&gt;"", VLOOKUP(A1172, imdb_netflix_v5!A$2:H$7370, 2, FALSE), "")</f>
        <v>TV Show</v>
      </c>
      <c r="C1172" s="2" t="str">
        <f>IF(A1172&lt;&gt;"", VLOOKUP(A1172, imdb_netflix_v5!A$2:H$7370, 3, FALSE), "")</f>
        <v>Biography, Crime, Drama</v>
      </c>
      <c r="D1172" s="2">
        <f>IF(A1172&lt;&gt;"", VLOOKUP(A1172, imdb_netflix_v5!A$2:H$7370, 4, FALSE), "")</f>
        <v>8.1</v>
      </c>
      <c r="E1172" s="2">
        <f>IF(A1172&lt;&gt;"", VLOOKUP(A1172, imdb_netflix_v5!A$2:H$7370, 5, FALSE), "")</f>
        <v>2017</v>
      </c>
      <c r="F1172" s="2" t="str">
        <f>IF(A1172&lt;&gt;"", VLOOKUP(A1172, imdb_netflix_v5!A$2:H$7370, 7, FALSE), "")</f>
        <v>NA</v>
      </c>
    </row>
    <row r="1173" ht="15.75" customHeight="1">
      <c r="A1173" s="1" t="str">
        <f>IFERROR(__xludf.DUMMYFUNCTION("""COMPUTED_VALUE"""),"the passion of joan of arc")</f>
        <v>the passion of joan of arc</v>
      </c>
      <c r="B1173" s="1" t="str">
        <f>IF(A1173&lt;&gt;"", VLOOKUP(A1173, imdb_netflix_v5!A$2:H$7370, 2, FALSE), "")</f>
        <v>Movie</v>
      </c>
      <c r="C1173" s="2" t="str">
        <f>IF(A1173&lt;&gt;"", VLOOKUP(A1173, imdb_netflix_v5!A$2:H$7370, 3, FALSE), "")</f>
        <v>Biography, Drama, History</v>
      </c>
      <c r="D1173" s="2">
        <f>IF(A1173&lt;&gt;"", VLOOKUP(A1173, imdb_netflix_v5!A$2:H$7370, 4, FALSE), "")</f>
        <v>8.1</v>
      </c>
      <c r="E1173" s="2">
        <f>IF(A1173&lt;&gt;"", VLOOKUP(A1173, imdb_netflix_v5!A$2:H$7370, 5, FALSE), "")</f>
        <v>1928</v>
      </c>
      <c r="F1173" s="2" t="str">
        <f>IF(A1173&lt;&gt;"", VLOOKUP(A1173, imdb_netflix_v5!A$2:H$7370, 7, FALSE), "")</f>
        <v>NA</v>
      </c>
    </row>
    <row r="1174" ht="15.75" customHeight="1">
      <c r="A1174" s="1" t="str">
        <f>IFERROR(__xludf.DUMMYFUNCTION("""COMPUTED_VALUE"""),"star wars rebels")</f>
        <v>star wars rebels</v>
      </c>
      <c r="B1174" s="1" t="str">
        <f>IF(A1174&lt;&gt;"", VLOOKUP(A1174, imdb_netflix_v5!A$2:H$7370, 2, FALSE), "")</f>
        <v>TV Show</v>
      </c>
      <c r="C1174" s="2" t="str">
        <f>IF(A1174&lt;&gt;"", VLOOKUP(A1174, imdb_netflix_v5!A$2:H$7370, 3, FALSE), "")</f>
        <v>Action, Adventure, Animation</v>
      </c>
      <c r="D1174" s="2">
        <f>IF(A1174&lt;&gt;"", VLOOKUP(A1174, imdb_netflix_v5!A$2:H$7370, 4, FALSE), "")</f>
        <v>8.1</v>
      </c>
      <c r="E1174" s="2">
        <f>IF(A1174&lt;&gt;"", VLOOKUP(A1174, imdb_netflix_v5!A$2:H$7370, 5, FALSE), "")</f>
        <v>2014</v>
      </c>
      <c r="F1174" s="2" t="str">
        <f>IF(A1174&lt;&gt;"", VLOOKUP(A1174, imdb_netflix_v5!A$2:H$7370, 7, FALSE), "")</f>
        <v>NA</v>
      </c>
    </row>
    <row r="1175" ht="15.75" customHeight="1">
      <c r="A1175" s="1" t="str">
        <f>IFERROR(__xludf.DUMMYFUNCTION("""COMPUTED_VALUE"""),"phineas and ferb")</f>
        <v>phineas and ferb</v>
      </c>
      <c r="B1175" s="1" t="str">
        <f>IF(A1175&lt;&gt;"", VLOOKUP(A1175, imdb_netflix_v5!A$2:H$7370, 2, FALSE), "")</f>
        <v>TV Show</v>
      </c>
      <c r="C1175" s="2" t="str">
        <f>IF(A1175&lt;&gt;"", VLOOKUP(A1175, imdb_netflix_v5!A$2:H$7370, 3, FALSE), "")</f>
        <v>Action, Adventure, Animation</v>
      </c>
      <c r="D1175" s="2">
        <f>IF(A1175&lt;&gt;"", VLOOKUP(A1175, imdb_netflix_v5!A$2:H$7370, 4, FALSE), "")</f>
        <v>8.1</v>
      </c>
      <c r="E1175" s="2">
        <f>IF(A1175&lt;&gt;"", VLOOKUP(A1175, imdb_netflix_v5!A$2:H$7370, 5, FALSE), "")</f>
        <v>2007</v>
      </c>
      <c r="F1175" s="2" t="str">
        <f>IF(A1175&lt;&gt;"", VLOOKUP(A1175, imdb_netflix_v5!A$2:H$7370, 7, FALSE), "")</f>
        <v>NA</v>
      </c>
    </row>
    <row r="1176" ht="15.75" customHeight="1">
      <c r="A1176" s="1" t="str">
        <f>IFERROR(__xludf.DUMMYFUNCTION("""COMPUTED_VALUE"""),"sholay")</f>
        <v>sholay</v>
      </c>
      <c r="B1176" s="1" t="str">
        <f>IF(A1176&lt;&gt;"", VLOOKUP(A1176, imdb_netflix_v5!A$2:H$7370, 2, FALSE), "")</f>
        <v>Movie</v>
      </c>
      <c r="C1176" s="2" t="str">
        <f>IF(A1176&lt;&gt;"", VLOOKUP(A1176, imdb_netflix_v5!A$2:H$7370, 3, FALSE), "")</f>
        <v>Action, Adventure, Comedy</v>
      </c>
      <c r="D1176" s="2">
        <f>IF(A1176&lt;&gt;"", VLOOKUP(A1176, imdb_netflix_v5!A$2:H$7370, 4, FALSE), "")</f>
        <v>8.1</v>
      </c>
      <c r="E1176" s="2">
        <f>IF(A1176&lt;&gt;"", VLOOKUP(A1176, imdb_netflix_v5!A$2:H$7370, 5, FALSE), "")</f>
        <v>1975</v>
      </c>
      <c r="F1176" s="2" t="str">
        <f>IF(A1176&lt;&gt;"", VLOOKUP(A1176, imdb_netflix_v5!A$2:H$7370, 7, FALSE), "")</f>
        <v>NA</v>
      </c>
    </row>
    <row r="1177" ht="15.75" customHeight="1">
      <c r="A1177" s="1" t="str">
        <f>IFERROR(__xludf.DUMMYFUNCTION("""COMPUTED_VALUE"""),"dirk gentlys holistic detective agency")</f>
        <v>dirk gentlys holistic detective agency</v>
      </c>
      <c r="B1177" s="1" t="str">
        <f>IF(A1177&lt;&gt;"", VLOOKUP(A1177, imdb_netflix_v5!A$2:H$7370, 2, FALSE), "")</f>
        <v>TV Show</v>
      </c>
      <c r="C1177" s="2" t="str">
        <f>IF(A1177&lt;&gt;"", VLOOKUP(A1177, imdb_netflix_v5!A$2:H$7370, 3, FALSE), "")</f>
        <v>Action, Adventure, Comedy</v>
      </c>
      <c r="D1177" s="2">
        <f>IF(A1177&lt;&gt;"", VLOOKUP(A1177, imdb_netflix_v5!A$2:H$7370, 4, FALSE), "")</f>
        <v>8.1</v>
      </c>
      <c r="E1177" s="2">
        <f>IF(A1177&lt;&gt;"", VLOOKUP(A1177, imdb_netflix_v5!A$2:H$7370, 5, FALSE), "")</f>
        <v>2016</v>
      </c>
      <c r="F1177" s="2" t="str">
        <f>IF(A1177&lt;&gt;"", VLOOKUP(A1177, imdb_netflix_v5!A$2:H$7370, 7, FALSE), "")</f>
        <v>NA</v>
      </c>
    </row>
    <row r="1178" ht="15.75" customHeight="1">
      <c r="A1178" s="1" t="str">
        <f>IFERROR(__xludf.DUMMYFUNCTION("""COMPUTED_VALUE"""),"the great")</f>
        <v>the great</v>
      </c>
      <c r="B1178" s="1" t="str">
        <f>IF(A1178&lt;&gt;"", VLOOKUP(A1178, imdb_netflix_v5!A$2:H$7370, 2, FALSE), "")</f>
        <v>TV Show</v>
      </c>
      <c r="C1178" s="2" t="str">
        <f>IF(A1178&lt;&gt;"", VLOOKUP(A1178, imdb_netflix_v5!A$2:H$7370, 3, FALSE), "")</f>
        <v>Biography, Comedy, Drama</v>
      </c>
      <c r="D1178" s="2">
        <f>IF(A1178&lt;&gt;"", VLOOKUP(A1178, imdb_netflix_v5!A$2:H$7370, 4, FALSE), "")</f>
        <v>8.1</v>
      </c>
      <c r="E1178" s="2">
        <f>IF(A1178&lt;&gt;"", VLOOKUP(A1178, imdb_netflix_v5!A$2:H$7370, 5, FALSE), "")</f>
        <v>2020</v>
      </c>
      <c r="F1178" s="2" t="str">
        <f>IF(A1178&lt;&gt;"", VLOOKUP(A1178, imdb_netflix_v5!A$2:H$7370, 7, FALSE), "")</f>
        <v>NA</v>
      </c>
    </row>
    <row r="1179" ht="15.75" customHeight="1">
      <c r="A1179" s="1" t="str">
        <f>IFERROR(__xludf.DUMMYFUNCTION("""COMPUTED_VALUE"""),"workaholics")</f>
        <v>workaholics</v>
      </c>
      <c r="B1179" s="1" t="str">
        <f>IF(A1179&lt;&gt;"", VLOOKUP(A1179, imdb_netflix_v5!A$2:H$7370, 2, FALSE), "")</f>
        <v>TV Show</v>
      </c>
      <c r="C1179" s="2" t="str">
        <f>IF(A1179&lt;&gt;"", VLOOKUP(A1179, imdb_netflix_v5!A$2:H$7370, 3, FALSE), "")</f>
        <v>Comedy</v>
      </c>
      <c r="D1179" s="2">
        <f>IF(A1179&lt;&gt;"", VLOOKUP(A1179, imdb_netflix_v5!A$2:H$7370, 4, FALSE), "")</f>
        <v>8.1</v>
      </c>
      <c r="E1179" s="2">
        <f>IF(A1179&lt;&gt;"", VLOOKUP(A1179, imdb_netflix_v5!A$2:H$7370, 5, FALSE), "")</f>
        <v>2011</v>
      </c>
      <c r="F1179" s="2" t="str">
        <f>IF(A1179&lt;&gt;"", VLOOKUP(A1179, imdb_netflix_v5!A$2:H$7370, 7, FALSE), "")</f>
        <v>NA</v>
      </c>
    </row>
    <row r="1180" ht="15.75" customHeight="1">
      <c r="A1180" s="1" t="str">
        <f>IFERROR(__xludf.DUMMYFUNCTION("""COMPUTED_VALUE"""),"goliath")</f>
        <v>goliath</v>
      </c>
      <c r="B1180" s="1" t="str">
        <f>IF(A1180&lt;&gt;"", VLOOKUP(A1180, imdb_netflix_v5!A$2:H$7370, 2, FALSE), "")</f>
        <v>TV Show</v>
      </c>
      <c r="C1180" s="2" t="str">
        <f>IF(A1180&lt;&gt;"", VLOOKUP(A1180, imdb_netflix_v5!A$2:H$7370, 3, FALSE), "")</f>
        <v>Drama</v>
      </c>
      <c r="D1180" s="2">
        <f>IF(A1180&lt;&gt;"", VLOOKUP(A1180, imdb_netflix_v5!A$2:H$7370, 4, FALSE), "")</f>
        <v>8.1</v>
      </c>
      <c r="E1180" s="2">
        <f>IF(A1180&lt;&gt;"", VLOOKUP(A1180, imdb_netflix_v5!A$2:H$7370, 5, FALSE), "")</f>
        <v>2016</v>
      </c>
      <c r="F1180" s="2" t="str">
        <f>IF(A1180&lt;&gt;"", VLOOKUP(A1180, imdb_netflix_v5!A$2:H$7370, 7, FALSE), "")</f>
        <v>NA</v>
      </c>
    </row>
    <row r="1181" ht="15.75" customHeight="1">
      <c r="A1181" s="1" t="str">
        <f>IFERROR(__xludf.DUMMYFUNCTION("""COMPUTED_VALUE"""),"taaza khabar")</f>
        <v>taaza khabar</v>
      </c>
      <c r="B1181" s="1" t="str">
        <f>IF(A1181&lt;&gt;"", VLOOKUP(A1181, imdb_netflix_v5!A$2:H$7370, 2, FALSE), "")</f>
        <v>TV Show</v>
      </c>
      <c r="C1181" s="2" t="str">
        <f>IF(A1181&lt;&gt;"", VLOOKUP(A1181, imdb_netflix_v5!A$2:H$7370, 3, FALSE), "")</f>
        <v>Action, Comedy, Drama</v>
      </c>
      <c r="D1181" s="2">
        <f>IF(A1181&lt;&gt;"", VLOOKUP(A1181, imdb_netflix_v5!A$2:H$7370, 4, FALSE), "")</f>
        <v>8.1</v>
      </c>
      <c r="E1181" s="2">
        <f>IF(A1181&lt;&gt;"", VLOOKUP(A1181, imdb_netflix_v5!A$2:H$7370, 5, FALSE), "")</f>
        <v>2023</v>
      </c>
      <c r="F1181" s="2" t="str">
        <f>IF(A1181&lt;&gt;"", VLOOKUP(A1181, imdb_netflix_v5!A$2:H$7370, 7, FALSE), "")</f>
        <v>NA</v>
      </c>
    </row>
    <row r="1182" ht="15.75" customHeight="1">
      <c r="A1182" s="1" t="str">
        <f>IFERROR(__xludf.DUMMYFUNCTION("""COMPUTED_VALUE"""),"sunrise")</f>
        <v>sunrise</v>
      </c>
      <c r="B1182" s="1" t="str">
        <f>IF(A1182&lt;&gt;"", VLOOKUP(A1182, imdb_netflix_v5!A$2:H$7370, 2, FALSE), "")</f>
        <v>Movie</v>
      </c>
      <c r="C1182" s="2" t="str">
        <f>IF(A1182&lt;&gt;"", VLOOKUP(A1182, imdb_netflix_v5!A$2:H$7370, 3, FALSE), "")</f>
        <v>Drama, Romance</v>
      </c>
      <c r="D1182" s="2">
        <f>IF(A1182&lt;&gt;"", VLOOKUP(A1182, imdb_netflix_v5!A$2:H$7370, 4, FALSE), "")</f>
        <v>8.1</v>
      </c>
      <c r="E1182" s="2">
        <f>IF(A1182&lt;&gt;"", VLOOKUP(A1182, imdb_netflix_v5!A$2:H$7370, 5, FALSE), "")</f>
        <v>1927</v>
      </c>
      <c r="F1182" s="2" t="str">
        <f>IF(A1182&lt;&gt;"", VLOOKUP(A1182, imdb_netflix_v5!A$2:H$7370, 7, FALSE), "")</f>
        <v>NA</v>
      </c>
    </row>
    <row r="1183" ht="15.75" customHeight="1">
      <c r="A1183" s="1" t="str">
        <f>IFERROR(__xludf.DUMMYFUNCTION("""COMPUTED_VALUE"""),"ripley")</f>
        <v>ripley</v>
      </c>
      <c r="B1183" s="1" t="str">
        <f>IF(A1183&lt;&gt;"", VLOOKUP(A1183, imdb_netflix_v5!A$2:H$7370, 2, FALSE), "")</f>
        <v>TV Show</v>
      </c>
      <c r="C1183" s="2" t="str">
        <f>IF(A1183&lt;&gt;"", VLOOKUP(A1183, imdb_netflix_v5!A$2:H$7370, 3, FALSE), "")</f>
        <v>Crime, Drama, Thriller</v>
      </c>
      <c r="D1183" s="2">
        <f>IF(A1183&lt;&gt;"", VLOOKUP(A1183, imdb_netflix_v5!A$2:H$7370, 4, FALSE), "")</f>
        <v>8.1</v>
      </c>
      <c r="E1183" s="2">
        <f>IF(A1183&lt;&gt;"", VLOOKUP(A1183, imdb_netflix_v5!A$2:H$7370, 5, FALSE), "")</f>
        <v>2024</v>
      </c>
      <c r="F1183" s="2" t="str">
        <f>IF(A1183&lt;&gt;"", VLOOKUP(A1183, imdb_netflix_v5!A$2:H$7370, 7, FALSE), "")</f>
        <v>NA</v>
      </c>
    </row>
    <row r="1184" ht="15.75" customHeight="1">
      <c r="A1184" s="1" t="str">
        <f>IFERROR(__xludf.DUMMYFUNCTION("""COMPUTED_VALUE"""),"power")</f>
        <v>power</v>
      </c>
      <c r="B1184" s="1" t="str">
        <f>IF(A1184&lt;&gt;"", VLOOKUP(A1184, imdb_netflix_v5!A$2:H$7370, 2, FALSE), "")</f>
        <v>TV Show</v>
      </c>
      <c r="C1184" s="2" t="str">
        <f>IF(A1184&lt;&gt;"", VLOOKUP(A1184, imdb_netflix_v5!A$2:H$7370, 3, FALSE), "")</f>
        <v>Crime, Drama</v>
      </c>
      <c r="D1184" s="2">
        <f>IF(A1184&lt;&gt;"", VLOOKUP(A1184, imdb_netflix_v5!A$2:H$7370, 4, FALSE), "")</f>
        <v>8.1</v>
      </c>
      <c r="E1184" s="2">
        <f>IF(A1184&lt;&gt;"", VLOOKUP(A1184, imdb_netflix_v5!A$2:H$7370, 5, FALSE), "")</f>
        <v>2014</v>
      </c>
      <c r="F1184" s="2" t="str">
        <f>IF(A1184&lt;&gt;"", VLOOKUP(A1184, imdb_netflix_v5!A$2:H$7370, 7, FALSE), "")</f>
        <v>NA</v>
      </c>
    </row>
    <row r="1185" ht="15.75" customHeight="1">
      <c r="A1185" s="1" t="str">
        <f>IFERROR(__xludf.DUMMYFUNCTION("""COMPUTED_VALUE"""),"one day")</f>
        <v>one day</v>
      </c>
      <c r="B1185" s="1" t="str">
        <f>IF(A1185&lt;&gt;"", VLOOKUP(A1185, imdb_netflix_v5!A$2:H$7370, 2, FALSE), "")</f>
        <v>TV Show</v>
      </c>
      <c r="C1185" s="2" t="str">
        <f>IF(A1185&lt;&gt;"", VLOOKUP(A1185, imdb_netflix_v5!A$2:H$7370, 3, FALSE), "")</f>
        <v>Comedy, Drama, Romance</v>
      </c>
      <c r="D1185" s="2">
        <f>IF(A1185&lt;&gt;"", VLOOKUP(A1185, imdb_netflix_v5!A$2:H$7370, 4, FALSE), "")</f>
        <v>8.1</v>
      </c>
      <c r="E1185" s="2">
        <f>IF(A1185&lt;&gt;"", VLOOKUP(A1185, imdb_netflix_v5!A$2:H$7370, 5, FALSE), "")</f>
        <v>2024</v>
      </c>
      <c r="F1185" s="2" t="str">
        <f>IF(A1185&lt;&gt;"", VLOOKUP(A1185, imdb_netflix_v5!A$2:H$7370, 7, FALSE), "")</f>
        <v>NA</v>
      </c>
    </row>
    <row r="1186" ht="15.75" customHeight="1">
      <c r="A1186" s="1" t="str">
        <f>IFERROR(__xludf.DUMMYFUNCTION("""COMPUTED_VALUE"""),"paper moon")</f>
        <v>paper moon</v>
      </c>
      <c r="B1186" s="1" t="str">
        <f>IF(A1186&lt;&gt;"", VLOOKUP(A1186, imdb_netflix_v5!A$2:H$7370, 2, FALSE), "")</f>
        <v>Movie</v>
      </c>
      <c r="C1186" s="2" t="str">
        <f>IF(A1186&lt;&gt;"", VLOOKUP(A1186, imdb_netflix_v5!A$2:H$7370, 3, FALSE), "")</f>
        <v>Comedy, Crime, Drama</v>
      </c>
      <c r="D1186" s="2">
        <f>IF(A1186&lt;&gt;"", VLOOKUP(A1186, imdb_netflix_v5!A$2:H$7370, 4, FALSE), "")</f>
        <v>8.1</v>
      </c>
      <c r="E1186" s="2">
        <f>IF(A1186&lt;&gt;"", VLOOKUP(A1186, imdb_netflix_v5!A$2:H$7370, 5, FALSE), "")</f>
        <v>1973</v>
      </c>
      <c r="F1186" s="2" t="str">
        <f>IF(A1186&lt;&gt;"", VLOOKUP(A1186, imdb_netflix_v5!A$2:H$7370, 7, FALSE), "")</f>
        <v>NA</v>
      </c>
    </row>
    <row r="1187" ht="15.75" customHeight="1">
      <c r="A1187" s="1" t="str">
        <f>IFERROR(__xludf.DUMMYFUNCTION("""COMPUTED_VALUE"""),"nights of cabiria")</f>
        <v>nights of cabiria</v>
      </c>
      <c r="B1187" s="1" t="str">
        <f>IF(A1187&lt;&gt;"", VLOOKUP(A1187, imdb_netflix_v5!A$2:H$7370, 2, FALSE), "")</f>
        <v>Movie</v>
      </c>
      <c r="C1187" s="2" t="str">
        <f>IF(A1187&lt;&gt;"", VLOOKUP(A1187, imdb_netflix_v5!A$2:H$7370, 3, FALSE), "")</f>
        <v>Drama</v>
      </c>
      <c r="D1187" s="2">
        <f>IF(A1187&lt;&gt;"", VLOOKUP(A1187, imdb_netflix_v5!A$2:H$7370, 4, FALSE), "")</f>
        <v>8.1</v>
      </c>
      <c r="E1187" s="2">
        <f>IF(A1187&lt;&gt;"", VLOOKUP(A1187, imdb_netflix_v5!A$2:H$7370, 5, FALSE), "")</f>
        <v>1957</v>
      </c>
      <c r="F1187" s="2" t="str">
        <f>IF(A1187&lt;&gt;"", VLOOKUP(A1187, imdb_netflix_v5!A$2:H$7370, 7, FALSE), "")</f>
        <v>NA</v>
      </c>
    </row>
    <row r="1188" ht="15.75" customHeight="1">
      <c r="A1188" s="1" t="str">
        <f>IFERROR(__xludf.DUMMYFUNCTION("""COMPUTED_VALUE"""),"wolf children")</f>
        <v>wolf children</v>
      </c>
      <c r="B1188" s="1" t="str">
        <f>IF(A1188&lt;&gt;"", VLOOKUP(A1188, imdb_netflix_v5!A$2:H$7370, 2, FALSE), "")</f>
        <v>Movie</v>
      </c>
      <c r="C1188" s="2" t="str">
        <f>IF(A1188&lt;&gt;"", VLOOKUP(A1188, imdb_netflix_v5!A$2:H$7370, 3, FALSE), "")</f>
        <v>Animation, Drama, Family</v>
      </c>
      <c r="D1188" s="2">
        <f>IF(A1188&lt;&gt;"", VLOOKUP(A1188, imdb_netflix_v5!A$2:H$7370, 4, FALSE), "")</f>
        <v>8.1</v>
      </c>
      <c r="E1188" s="2">
        <f>IF(A1188&lt;&gt;"", VLOOKUP(A1188, imdb_netflix_v5!A$2:H$7370, 5, FALSE), "")</f>
        <v>2012</v>
      </c>
      <c r="F1188" s="2" t="str">
        <f>IF(A1188&lt;&gt;"", VLOOKUP(A1188, imdb_netflix_v5!A$2:H$7370, 7, FALSE), "")</f>
        <v>NA</v>
      </c>
    </row>
    <row r="1189" ht="15.75" customHeight="1">
      <c r="A1189" s="1" t="str">
        <f>IFERROR(__xludf.DUMMYFUNCTION("""COMPUTED_VALUE"""),"tokyo vice")</f>
        <v>tokyo vice</v>
      </c>
      <c r="B1189" s="1" t="str">
        <f>IF(A1189&lt;&gt;"", VLOOKUP(A1189, imdb_netflix_v5!A$2:H$7370, 2, FALSE), "")</f>
        <v>TV Show</v>
      </c>
      <c r="C1189" s="2" t="str">
        <f>IF(A1189&lt;&gt;"", VLOOKUP(A1189, imdb_netflix_v5!A$2:H$7370, 3, FALSE), "")</f>
        <v>Crime, Drama, Thriller</v>
      </c>
      <c r="D1189" s="2">
        <f>IF(A1189&lt;&gt;"", VLOOKUP(A1189, imdb_netflix_v5!A$2:H$7370, 4, FALSE), "")</f>
        <v>8.1</v>
      </c>
      <c r="E1189" s="2">
        <f>IF(A1189&lt;&gt;"", VLOOKUP(A1189, imdb_netflix_v5!A$2:H$7370, 5, FALSE), "")</f>
        <v>2022</v>
      </c>
      <c r="F1189" s="2" t="str">
        <f>IF(A1189&lt;&gt;"", VLOOKUP(A1189, imdb_netflix_v5!A$2:H$7370, 7, FALSE), "")</f>
        <v>NA</v>
      </c>
    </row>
    <row r="1190" ht="15.75" customHeight="1">
      <c r="A1190" s="1" t="str">
        <f>IFERROR(__xludf.DUMMYFUNCTION("""COMPUTED_VALUE"""),"tangerines")</f>
        <v>tangerines</v>
      </c>
      <c r="B1190" s="1" t="str">
        <f>IF(A1190&lt;&gt;"", VLOOKUP(A1190, imdb_netflix_v5!A$2:H$7370, 2, FALSE), "")</f>
        <v>Movie</v>
      </c>
      <c r="C1190" s="2" t="str">
        <f>IF(A1190&lt;&gt;"", VLOOKUP(A1190, imdb_netflix_v5!A$2:H$7370, 3, FALSE), "")</f>
        <v>Drama, War</v>
      </c>
      <c r="D1190" s="2">
        <f>IF(A1190&lt;&gt;"", VLOOKUP(A1190, imdb_netflix_v5!A$2:H$7370, 4, FALSE), "")</f>
        <v>8.1</v>
      </c>
      <c r="E1190" s="2">
        <f>IF(A1190&lt;&gt;"", VLOOKUP(A1190, imdb_netflix_v5!A$2:H$7370, 5, FALSE), "")</f>
        <v>2013</v>
      </c>
      <c r="F1190" s="2" t="str">
        <f>IF(A1190&lt;&gt;"", VLOOKUP(A1190, imdb_netflix_v5!A$2:H$7370, 7, FALSE), "")</f>
        <v>NA</v>
      </c>
    </row>
    <row r="1191" ht="15.75" customHeight="1">
      <c r="A1191" s="1" t="str">
        <f>IFERROR(__xludf.DUMMYFUNCTION("""COMPUTED_VALUE"""),"the righteous gemstones")</f>
        <v>the righteous gemstones</v>
      </c>
      <c r="B1191" s="1" t="str">
        <f>IF(A1191&lt;&gt;"", VLOOKUP(A1191, imdb_netflix_v5!A$2:H$7370, 2, FALSE), "")</f>
        <v>TV Show</v>
      </c>
      <c r="C1191" s="2" t="str">
        <f>IF(A1191&lt;&gt;"", VLOOKUP(A1191, imdb_netflix_v5!A$2:H$7370, 3, FALSE), "")</f>
        <v>Comedy, Drama</v>
      </c>
      <c r="D1191" s="2">
        <f>IF(A1191&lt;&gt;"", VLOOKUP(A1191, imdb_netflix_v5!A$2:H$7370, 4, FALSE), "")</f>
        <v>8.1</v>
      </c>
      <c r="E1191" s="2">
        <f>IF(A1191&lt;&gt;"", VLOOKUP(A1191, imdb_netflix_v5!A$2:H$7370, 5, FALSE), "")</f>
        <v>2019</v>
      </c>
      <c r="F1191" s="2" t="str">
        <f>IF(A1191&lt;&gt;"", VLOOKUP(A1191, imdb_netflix_v5!A$2:H$7370, 7, FALSE), "")</f>
        <v>NA</v>
      </c>
    </row>
    <row r="1192" ht="15.75" customHeight="1">
      <c r="A1192" s="1" t="str">
        <f>IFERROR(__xludf.DUMMYFUNCTION("""COMPUTED_VALUE"""),"udaan")</f>
        <v>udaan</v>
      </c>
      <c r="B1192" s="1" t="str">
        <f>IF(A1192&lt;&gt;"", VLOOKUP(A1192, imdb_netflix_v5!A$2:H$7370, 2, FALSE), "")</f>
        <v>Movie</v>
      </c>
      <c r="C1192" s="2" t="str">
        <f>IF(A1192&lt;&gt;"", VLOOKUP(A1192, imdb_netflix_v5!A$2:H$7370, 3, FALSE), "")</f>
        <v>Drama</v>
      </c>
      <c r="D1192" s="2">
        <f>IF(A1192&lt;&gt;"", VLOOKUP(A1192, imdb_netflix_v5!A$2:H$7370, 4, FALSE), "")</f>
        <v>8.1</v>
      </c>
      <c r="E1192" s="2">
        <f>IF(A1192&lt;&gt;"", VLOOKUP(A1192, imdb_netflix_v5!A$2:H$7370, 5, FALSE), "")</f>
        <v>2010</v>
      </c>
      <c r="F1192" s="2" t="str">
        <f>IF(A1192&lt;&gt;"", VLOOKUP(A1192, imdb_netflix_v5!A$2:H$7370, 7, FALSE), "")</f>
        <v>NA</v>
      </c>
    </row>
    <row r="1193" ht="15.75" customHeight="1">
      <c r="A1193" s="1" t="str">
        <f>IFERROR(__xludf.DUMMYFUNCTION("""COMPUTED_VALUE"""),"chicago p.d.")</f>
        <v>chicago p.d.</v>
      </c>
      <c r="B1193" s="1" t="str">
        <f>IF(A1193&lt;&gt;"", VLOOKUP(A1193, imdb_netflix_v5!A$2:H$7370, 2, FALSE), "")</f>
        <v>TV Show</v>
      </c>
      <c r="C1193" s="2" t="str">
        <f>IF(A1193&lt;&gt;"", VLOOKUP(A1193, imdb_netflix_v5!A$2:H$7370, 3, FALSE), "")</f>
        <v>Action, Crime, Drama</v>
      </c>
      <c r="D1193" s="2">
        <f>IF(A1193&lt;&gt;"", VLOOKUP(A1193, imdb_netflix_v5!A$2:H$7370, 4, FALSE), "")</f>
        <v>8.1</v>
      </c>
      <c r="E1193" s="2">
        <f>IF(A1193&lt;&gt;"", VLOOKUP(A1193, imdb_netflix_v5!A$2:H$7370, 5, FALSE), "")</f>
        <v>2014</v>
      </c>
      <c r="F1193" s="2" t="str">
        <f>IF(A1193&lt;&gt;"", VLOOKUP(A1193, imdb_netflix_v5!A$2:H$7370, 7, FALSE), "")</f>
        <v>NA</v>
      </c>
    </row>
    <row r="1194" ht="15.75" customHeight="1">
      <c r="A1194" s="1" t="str">
        <f>IFERROR(__xludf.DUMMYFUNCTION("""COMPUTED_VALUE"""),"boy meets world")</f>
        <v>boy meets world</v>
      </c>
      <c r="B1194" s="1" t="str">
        <f>IF(A1194&lt;&gt;"", VLOOKUP(A1194, imdb_netflix_v5!A$2:H$7370, 2, FALSE), "")</f>
        <v>TV Show</v>
      </c>
      <c r="C1194" s="2" t="str">
        <f>IF(A1194&lt;&gt;"", VLOOKUP(A1194, imdb_netflix_v5!A$2:H$7370, 3, FALSE), "")</f>
        <v>Comedy, Drama, Family</v>
      </c>
      <c r="D1194" s="2">
        <f>IF(A1194&lt;&gt;"", VLOOKUP(A1194, imdb_netflix_v5!A$2:H$7370, 4, FALSE), "")</f>
        <v>8.1</v>
      </c>
      <c r="E1194" s="2">
        <f>IF(A1194&lt;&gt;"", VLOOKUP(A1194, imdb_netflix_v5!A$2:H$7370, 5, FALSE), "")</f>
        <v>1993</v>
      </c>
      <c r="F1194" s="2" t="str">
        <f>IF(A1194&lt;&gt;"", VLOOKUP(A1194, imdb_netflix_v5!A$2:H$7370, 7, FALSE), "")</f>
        <v>NA</v>
      </c>
    </row>
    <row r="1195" ht="15.75" customHeight="1">
      <c r="A1195" s="1" t="str">
        <f>IFERROR(__xludf.DUMMYFUNCTION("""COMPUTED_VALUE"""),"what is a woman?")</f>
        <v>what is a woman?</v>
      </c>
      <c r="B1195" s="1" t="str">
        <f>IF(A1195&lt;&gt;"", VLOOKUP(A1195, imdb_netflix_v5!A$2:H$7370, 2, FALSE), "")</f>
        <v>Movie</v>
      </c>
      <c r="C1195" s="2" t="str">
        <f>IF(A1195&lt;&gt;"", VLOOKUP(A1195, imdb_netflix_v5!A$2:H$7370, 3, FALSE), "")</f>
        <v>Documentary</v>
      </c>
      <c r="D1195" s="2">
        <f>IF(A1195&lt;&gt;"", VLOOKUP(A1195, imdb_netflix_v5!A$2:H$7370, 4, FALSE), "")</f>
        <v>8.1</v>
      </c>
      <c r="E1195" s="2">
        <f>IF(A1195&lt;&gt;"", VLOOKUP(A1195, imdb_netflix_v5!A$2:H$7370, 5, FALSE), "")</f>
        <v>2022</v>
      </c>
      <c r="F1195" s="2" t="str">
        <f>IF(A1195&lt;&gt;"", VLOOKUP(A1195, imdb_netflix_v5!A$2:H$7370, 7, FALSE), "")</f>
        <v>NA</v>
      </c>
    </row>
    <row r="1196" ht="15.75" customHeight="1">
      <c r="A1196" s="1" t="str">
        <f>IFERROR(__xludf.DUMMYFUNCTION("""COMPUTED_VALUE"""),"to be or not to be")</f>
        <v>to be or not to be</v>
      </c>
      <c r="B1196" s="1" t="str">
        <f>IF(A1196&lt;&gt;"", VLOOKUP(A1196, imdb_netflix_v5!A$2:H$7370, 2, FALSE), "")</f>
        <v>Movie</v>
      </c>
      <c r="C1196" s="2" t="str">
        <f>IF(A1196&lt;&gt;"", VLOOKUP(A1196, imdb_netflix_v5!A$2:H$7370, 3, FALSE), "")</f>
        <v>Comedy, Romance, War</v>
      </c>
      <c r="D1196" s="2">
        <f>IF(A1196&lt;&gt;"", VLOOKUP(A1196, imdb_netflix_v5!A$2:H$7370, 4, FALSE), "")</f>
        <v>8.1</v>
      </c>
      <c r="E1196" s="2">
        <f>IF(A1196&lt;&gt;"", VLOOKUP(A1196, imdb_netflix_v5!A$2:H$7370, 5, FALSE), "")</f>
        <v>1942</v>
      </c>
      <c r="F1196" s="2" t="str">
        <f>IF(A1196&lt;&gt;"", VLOOKUP(A1196, imdb_netflix_v5!A$2:H$7370, 7, FALSE), "")</f>
        <v>NA</v>
      </c>
    </row>
    <row r="1197" ht="15.75" customHeight="1">
      <c r="A1197" s="1" t="str">
        <f>IFERROR(__xludf.DUMMYFUNCTION("""COMPUTED_VALUE"""),"dead like me")</f>
        <v>dead like me</v>
      </c>
      <c r="B1197" s="1" t="str">
        <f>IF(A1197&lt;&gt;"", VLOOKUP(A1197, imdb_netflix_v5!A$2:H$7370, 2, FALSE), "")</f>
        <v>TV Show</v>
      </c>
      <c r="C1197" s="2" t="str">
        <f>IF(A1197&lt;&gt;"", VLOOKUP(A1197, imdb_netflix_v5!A$2:H$7370, 3, FALSE), "")</f>
        <v>Comedy, Drama, Fantasy</v>
      </c>
      <c r="D1197" s="2">
        <f>IF(A1197&lt;&gt;"", VLOOKUP(A1197, imdb_netflix_v5!A$2:H$7370, 4, FALSE), "")</f>
        <v>8.1</v>
      </c>
      <c r="E1197" s="2">
        <f>IF(A1197&lt;&gt;"", VLOOKUP(A1197, imdb_netflix_v5!A$2:H$7370, 5, FALSE), "")</f>
        <v>2003</v>
      </c>
      <c r="F1197" s="2" t="str">
        <f>IF(A1197&lt;&gt;"", VLOOKUP(A1197, imdb_netflix_v5!A$2:H$7370, 7, FALSE), "")</f>
        <v>NA</v>
      </c>
    </row>
    <row r="1198" ht="15.75" customHeight="1">
      <c r="A1198" s="1" t="str">
        <f>IFERROR(__xludf.DUMMYFUNCTION("""COMPUTED_VALUE"""),"happy!")</f>
        <v>happy!</v>
      </c>
      <c r="B1198" s="1" t="str">
        <f>IF(A1198&lt;&gt;"", VLOOKUP(A1198, imdb_netflix_v5!A$2:H$7370, 2, FALSE), "")</f>
        <v>TV Show</v>
      </c>
      <c r="C1198" s="2" t="str">
        <f>IF(A1198&lt;&gt;"", VLOOKUP(A1198, imdb_netflix_v5!A$2:H$7370, 3, FALSE), "")</f>
        <v>Action, Comedy, Crime</v>
      </c>
      <c r="D1198" s="2">
        <f>IF(A1198&lt;&gt;"", VLOOKUP(A1198, imdb_netflix_v5!A$2:H$7370, 4, FALSE), "")</f>
        <v>8.1</v>
      </c>
      <c r="E1198" s="2">
        <f>IF(A1198&lt;&gt;"", VLOOKUP(A1198, imdb_netflix_v5!A$2:H$7370, 5, FALSE), "")</f>
        <v>2017</v>
      </c>
      <c r="F1198" s="2" t="str">
        <f>IF(A1198&lt;&gt;"", VLOOKUP(A1198, imdb_netflix_v5!A$2:H$7370, 7, FALSE), "")</f>
        <v>NA</v>
      </c>
    </row>
    <row r="1199" ht="15.75" customHeight="1">
      <c r="A1199" s="1" t="str">
        <f>IFERROR(__xludf.DUMMYFUNCTION("""COMPUTED_VALUE"""),"raising hope")</f>
        <v>raising hope</v>
      </c>
      <c r="B1199" s="1" t="str">
        <f>IF(A1199&lt;&gt;"", VLOOKUP(A1199, imdb_netflix_v5!A$2:H$7370, 2, FALSE), "")</f>
        <v>TV Show</v>
      </c>
      <c r="C1199" s="2" t="str">
        <f>IF(A1199&lt;&gt;"", VLOOKUP(A1199, imdb_netflix_v5!A$2:H$7370, 3, FALSE), "")</f>
        <v>Comedy, Family</v>
      </c>
      <c r="D1199" s="2">
        <f>IF(A1199&lt;&gt;"", VLOOKUP(A1199, imdb_netflix_v5!A$2:H$7370, 4, FALSE), "")</f>
        <v>8.1</v>
      </c>
      <c r="E1199" s="2">
        <f>IF(A1199&lt;&gt;"", VLOOKUP(A1199, imdb_netflix_v5!A$2:H$7370, 5, FALSE), "")</f>
        <v>2010</v>
      </c>
      <c r="F1199" s="2" t="str">
        <f>IF(A1199&lt;&gt;"", VLOOKUP(A1199, imdb_netflix_v5!A$2:H$7370, 7, FALSE), "")</f>
        <v>NA</v>
      </c>
    </row>
    <row r="1200" ht="15.75" customHeight="1">
      <c r="A1200" s="1" t="str">
        <f>IFERROR(__xludf.DUMMYFUNCTION("""COMPUTED_VALUE"""),"the red shoes")</f>
        <v>the red shoes</v>
      </c>
      <c r="B1200" s="1" t="str">
        <f>IF(A1200&lt;&gt;"", VLOOKUP(A1200, imdb_netflix_v5!A$2:H$7370, 2, FALSE), "")</f>
        <v>Movie</v>
      </c>
      <c r="C1200" s="2" t="str">
        <f>IF(A1200&lt;&gt;"", VLOOKUP(A1200, imdb_netflix_v5!A$2:H$7370, 3, FALSE), "")</f>
        <v>Drama, Music, Romance</v>
      </c>
      <c r="D1200" s="2">
        <f>IF(A1200&lt;&gt;"", VLOOKUP(A1200, imdb_netflix_v5!A$2:H$7370, 4, FALSE), "")</f>
        <v>8.1</v>
      </c>
      <c r="E1200" s="2">
        <f>IF(A1200&lt;&gt;"", VLOOKUP(A1200, imdb_netflix_v5!A$2:H$7370, 5, FALSE), "")</f>
        <v>1948</v>
      </c>
      <c r="F1200" s="2" t="str">
        <f>IF(A1200&lt;&gt;"", VLOOKUP(A1200, imdb_netflix_v5!A$2:H$7370, 7, FALSE), "")</f>
        <v>NA</v>
      </c>
    </row>
    <row r="1201" ht="15.75" customHeight="1">
      <c r="A1201" s="1" t="str">
        <f>IFERROR(__xludf.DUMMYFUNCTION("""COMPUTED_VALUE"""),"daisy jones &amp; the six")</f>
        <v>daisy jones &amp; the six</v>
      </c>
      <c r="B1201" s="1" t="str">
        <f>IF(A1201&lt;&gt;"", VLOOKUP(A1201, imdb_netflix_v5!A$2:H$7370, 2, FALSE), "")</f>
        <v>TV Show</v>
      </c>
      <c r="C1201" s="2" t="str">
        <f>IF(A1201&lt;&gt;"", VLOOKUP(A1201, imdb_netflix_v5!A$2:H$7370, 3, FALSE), "")</f>
        <v>Drama, Music, Romance</v>
      </c>
      <c r="D1201" s="2">
        <f>IF(A1201&lt;&gt;"", VLOOKUP(A1201, imdb_netflix_v5!A$2:H$7370, 4, FALSE), "")</f>
        <v>8.1</v>
      </c>
      <c r="E1201" s="2">
        <f>IF(A1201&lt;&gt;"", VLOOKUP(A1201, imdb_netflix_v5!A$2:H$7370, 5, FALSE), "")</f>
        <v>2023</v>
      </c>
      <c r="F1201" s="2" t="str">
        <f>IF(A1201&lt;&gt;"", VLOOKUP(A1201, imdb_netflix_v5!A$2:H$7370, 7, FALSE), "")</f>
        <v>NA</v>
      </c>
    </row>
    <row r="1202" ht="15.75" customHeight="1">
      <c r="A1202" s="1" t="str">
        <f>IFERROR(__xludf.DUMMYFUNCTION("""COMPUTED_VALUE"""),"ace in the hole")</f>
        <v>ace in the hole</v>
      </c>
      <c r="B1202" s="1" t="str">
        <f>IF(A1202&lt;&gt;"", VLOOKUP(A1202, imdb_netflix_v5!A$2:H$7370, 2, FALSE), "")</f>
        <v>Movie</v>
      </c>
      <c r="C1202" s="2" t="str">
        <f>IF(A1202&lt;&gt;"", VLOOKUP(A1202, imdb_netflix_v5!A$2:H$7370, 3, FALSE), "")</f>
        <v>Drama, Film-Noir</v>
      </c>
      <c r="D1202" s="2">
        <f>IF(A1202&lt;&gt;"", VLOOKUP(A1202, imdb_netflix_v5!A$2:H$7370, 4, FALSE), "")</f>
        <v>8.1</v>
      </c>
      <c r="E1202" s="2">
        <f>IF(A1202&lt;&gt;"", VLOOKUP(A1202, imdb_netflix_v5!A$2:H$7370, 5, FALSE), "")</f>
        <v>1951</v>
      </c>
      <c r="F1202" s="2" t="str">
        <f>IF(A1202&lt;&gt;"", VLOOKUP(A1202, imdb_netflix_v5!A$2:H$7370, 7, FALSE), "")</f>
        <v>NA</v>
      </c>
    </row>
    <row r="1203" ht="15.75" customHeight="1">
      <c r="A1203" s="1" t="str">
        <f>IFERROR(__xludf.DUMMYFUNCTION("""COMPUTED_VALUE"""),"the grand illusion")</f>
        <v>the grand illusion</v>
      </c>
      <c r="B1203" s="1" t="str">
        <f>IF(A1203&lt;&gt;"", VLOOKUP(A1203, imdb_netflix_v5!A$2:H$7370, 2, FALSE), "")</f>
        <v>Movie</v>
      </c>
      <c r="C1203" s="2" t="str">
        <f>IF(A1203&lt;&gt;"", VLOOKUP(A1203, imdb_netflix_v5!A$2:H$7370, 3, FALSE), "")</f>
        <v>Drama, War</v>
      </c>
      <c r="D1203" s="2">
        <f>IF(A1203&lt;&gt;"", VLOOKUP(A1203, imdb_netflix_v5!A$2:H$7370, 4, FALSE), "")</f>
        <v>8.1</v>
      </c>
      <c r="E1203" s="2">
        <f>IF(A1203&lt;&gt;"", VLOOKUP(A1203, imdb_netflix_v5!A$2:H$7370, 5, FALSE), "")</f>
        <v>1937</v>
      </c>
      <c r="F1203" s="2" t="str">
        <f>IF(A1203&lt;&gt;"", VLOOKUP(A1203, imdb_netflix_v5!A$2:H$7370, 7, FALSE), "")</f>
        <v>NA</v>
      </c>
    </row>
    <row r="1204" ht="15.75" customHeight="1">
      <c r="A1204" s="1" t="str">
        <f>IFERROR(__xludf.DUMMYFUNCTION("""COMPUTED_VALUE"""),"thuppakki")</f>
        <v>thuppakki</v>
      </c>
      <c r="B1204" s="1" t="str">
        <f>IF(A1204&lt;&gt;"", VLOOKUP(A1204, imdb_netflix_v5!A$2:H$7370, 2, FALSE), "")</f>
        <v>Movie</v>
      </c>
      <c r="C1204" s="2" t="str">
        <f>IF(A1204&lt;&gt;"", VLOOKUP(A1204, imdb_netflix_v5!A$2:H$7370, 3, FALSE), "")</f>
        <v>Action, Thriller</v>
      </c>
      <c r="D1204" s="2">
        <f>IF(A1204&lt;&gt;"", VLOOKUP(A1204, imdb_netflix_v5!A$2:H$7370, 4, FALSE), "")</f>
        <v>8.1</v>
      </c>
      <c r="E1204" s="2">
        <f>IF(A1204&lt;&gt;"", VLOOKUP(A1204, imdb_netflix_v5!A$2:H$7370, 5, FALSE), "")</f>
        <v>2012</v>
      </c>
      <c r="F1204" s="2" t="str">
        <f>IF(A1204&lt;&gt;"", VLOOKUP(A1204, imdb_netflix_v5!A$2:H$7370, 7, FALSE), "")</f>
        <v>NA</v>
      </c>
    </row>
    <row r="1205" ht="15.75" customHeight="1">
      <c r="A1205" s="1" t="str">
        <f>IFERROR(__xludf.DUMMYFUNCTION("""COMPUTED_VALUE"""),"guilty")</f>
        <v>guilty</v>
      </c>
      <c r="B1205" s="1" t="str">
        <f>IF(A1205&lt;&gt;"", VLOOKUP(A1205, imdb_netflix_v5!A$2:H$7370, 2, FALSE), "")</f>
        <v>Movie</v>
      </c>
      <c r="C1205" s="2" t="str">
        <f>IF(A1205&lt;&gt;"", VLOOKUP(A1205, imdb_netflix_v5!A$2:H$7370, 3, FALSE), "")</f>
        <v>Crime, Drama, Mystery</v>
      </c>
      <c r="D1205" s="2">
        <f>IF(A1205&lt;&gt;"", VLOOKUP(A1205, imdb_netflix_v5!A$2:H$7370, 4, FALSE), "")</f>
        <v>8.1</v>
      </c>
      <c r="E1205" s="2">
        <f>IF(A1205&lt;&gt;"", VLOOKUP(A1205, imdb_netflix_v5!A$2:H$7370, 5, FALSE), "")</f>
        <v>2015</v>
      </c>
      <c r="F1205" s="2" t="str">
        <f>IF(A1205&lt;&gt;"", VLOOKUP(A1205, imdb_netflix_v5!A$2:H$7370, 7, FALSE), "")</f>
        <v>NA</v>
      </c>
    </row>
    <row r="1206" ht="15.75" customHeight="1">
      <c r="A1206" s="1" t="str">
        <f>IFERROR(__xludf.DUMMYFUNCTION("""COMPUTED_VALUE"""),"autumn sonata")</f>
        <v>autumn sonata</v>
      </c>
      <c r="B1206" s="1" t="str">
        <f>IF(A1206&lt;&gt;"", VLOOKUP(A1206, imdb_netflix_v5!A$2:H$7370, 2, FALSE), "")</f>
        <v>Movie</v>
      </c>
      <c r="C1206" s="2" t="str">
        <f>IF(A1206&lt;&gt;"", VLOOKUP(A1206, imdb_netflix_v5!A$2:H$7370, 3, FALSE), "")</f>
        <v>Drama, Music</v>
      </c>
      <c r="D1206" s="2">
        <f>IF(A1206&lt;&gt;"", VLOOKUP(A1206, imdb_netflix_v5!A$2:H$7370, 4, FALSE), "")</f>
        <v>8.1</v>
      </c>
      <c r="E1206" s="2">
        <f>IF(A1206&lt;&gt;"", VLOOKUP(A1206, imdb_netflix_v5!A$2:H$7370, 5, FALSE), "")</f>
        <v>1978</v>
      </c>
      <c r="F1206" s="2" t="str">
        <f>IF(A1206&lt;&gt;"", VLOOKUP(A1206, imdb_netflix_v5!A$2:H$7370, 7, FALSE), "")</f>
        <v>NA</v>
      </c>
    </row>
    <row r="1207" ht="15.75" customHeight="1">
      <c r="A1207" s="1" t="str">
        <f>IFERROR(__xludf.DUMMYFUNCTION("""COMPUTED_VALUE"""),"endless corridor")</f>
        <v>endless corridor</v>
      </c>
      <c r="B1207" s="1" t="str">
        <f>IF(A1207&lt;&gt;"", VLOOKUP(A1207, imdb_netflix_v5!A$2:H$7370, 2, FALSE), "")</f>
        <v>Movie</v>
      </c>
      <c r="C1207" s="2" t="str">
        <f>IF(A1207&lt;&gt;"", VLOOKUP(A1207, imdb_netflix_v5!A$2:H$7370, 3, FALSE), "")</f>
        <v>Documentary, History</v>
      </c>
      <c r="D1207" s="2">
        <f>IF(A1207&lt;&gt;"", VLOOKUP(A1207, imdb_netflix_v5!A$2:H$7370, 4, FALSE), "")</f>
        <v>8.1</v>
      </c>
      <c r="E1207" s="2">
        <f>IF(A1207&lt;&gt;"", VLOOKUP(A1207, imdb_netflix_v5!A$2:H$7370, 5, FALSE), "")</f>
        <v>2014</v>
      </c>
      <c r="F1207" s="2" t="str">
        <f>IF(A1207&lt;&gt;"", VLOOKUP(A1207, imdb_netflix_v5!A$2:H$7370, 7, FALSE), "")</f>
        <v>NA</v>
      </c>
    </row>
    <row r="1208" ht="15.75" customHeight="1">
      <c r="A1208" s="1" t="str">
        <f>IFERROR(__xludf.DUMMYFUNCTION("""COMPUTED_VALUE"""),"star wars tales of the jedi")</f>
        <v>star wars tales of the jedi</v>
      </c>
      <c r="B1208" s="1" t="str">
        <f>IF(A1208&lt;&gt;"", VLOOKUP(A1208, imdb_netflix_v5!A$2:H$7370, 2, FALSE), "")</f>
        <v>TV Show</v>
      </c>
      <c r="C1208" s="2" t="str">
        <f>IF(A1208&lt;&gt;"", VLOOKUP(A1208, imdb_netflix_v5!A$2:H$7370, 3, FALSE), "")</f>
        <v>Action, Adventure, Animation</v>
      </c>
      <c r="D1208" s="2">
        <f>IF(A1208&lt;&gt;"", VLOOKUP(A1208, imdb_netflix_v5!A$2:H$7370, 4, FALSE), "")</f>
        <v>8.1</v>
      </c>
      <c r="E1208" s="2">
        <f>IF(A1208&lt;&gt;"", VLOOKUP(A1208, imdb_netflix_v5!A$2:H$7370, 5, FALSE), "")</f>
        <v>2022</v>
      </c>
      <c r="F1208" s="2" t="str">
        <f>IF(A1208&lt;&gt;"", VLOOKUP(A1208, imdb_netflix_v5!A$2:H$7370, 7, FALSE), "")</f>
        <v>NA</v>
      </c>
    </row>
    <row r="1209" ht="15.75" customHeight="1">
      <c r="A1209" s="1" t="str">
        <f>IFERROR(__xludf.DUMMYFUNCTION("""COMPUTED_VALUE"""),"beckham")</f>
        <v>beckham</v>
      </c>
      <c r="B1209" s="1" t="str">
        <f>IF(A1209&lt;&gt;"", VLOOKUP(A1209, imdb_netflix_v5!A$2:H$7370, 2, FALSE), "")</f>
        <v>TV Show</v>
      </c>
      <c r="C1209" s="2" t="str">
        <f>IF(A1209&lt;&gt;"", VLOOKUP(A1209, imdb_netflix_v5!A$2:H$7370, 3, FALSE), "")</f>
        <v>Biography, Documentary, Sport</v>
      </c>
      <c r="D1209" s="2">
        <f>IF(A1209&lt;&gt;"", VLOOKUP(A1209, imdb_netflix_v5!A$2:H$7370, 4, FALSE), "")</f>
        <v>8.1</v>
      </c>
      <c r="E1209" s="2">
        <f>IF(A1209&lt;&gt;"", VLOOKUP(A1209, imdb_netflix_v5!A$2:H$7370, 5, FALSE), "")</f>
        <v>2023</v>
      </c>
      <c r="F1209" s="3">
        <f>IF(A1209&lt;&gt;"", VLOOKUP(A1209, imdb_netflix_v5!A$2:H$7370, 7, FALSE), "")</f>
        <v>8000000</v>
      </c>
    </row>
    <row r="1210" ht="15.75" customHeight="1">
      <c r="A1210" s="1" t="str">
        <f>IFERROR(__xludf.DUMMYFUNCTION("""COMPUTED_VALUE"""),"article 15")</f>
        <v>article 15</v>
      </c>
      <c r="B1210" s="1" t="str">
        <f>IF(A1210&lt;&gt;"", VLOOKUP(A1210, imdb_netflix_v5!A$2:H$7370, 2, FALSE), "")</f>
        <v>Movie</v>
      </c>
      <c r="C1210" s="2" t="str">
        <f>IF(A1210&lt;&gt;"", VLOOKUP(A1210, imdb_netflix_v5!A$2:H$7370, 3, FALSE), "")</f>
        <v>Crime, Drama, Mystery</v>
      </c>
      <c r="D1210" s="2">
        <f>IF(A1210&lt;&gt;"", VLOOKUP(A1210, imdb_netflix_v5!A$2:H$7370, 4, FALSE), "")</f>
        <v>8.1</v>
      </c>
      <c r="E1210" s="2">
        <f>IF(A1210&lt;&gt;"", VLOOKUP(A1210, imdb_netflix_v5!A$2:H$7370, 5, FALSE), "")</f>
        <v>2019</v>
      </c>
      <c r="F1210" s="2" t="str">
        <f>IF(A1210&lt;&gt;"", VLOOKUP(A1210, imdb_netflix_v5!A$2:H$7370, 7, FALSE), "")</f>
        <v>NA</v>
      </c>
    </row>
    <row r="1211" ht="15.75" customHeight="1">
      <c r="A1211" s="1" t="str">
        <f>IFERROR(__xludf.DUMMYFUNCTION("""COMPUTED_VALUE"""),"rififi")</f>
        <v>rififi</v>
      </c>
      <c r="B1211" s="1" t="str">
        <f>IF(A1211&lt;&gt;"", VLOOKUP(A1211, imdb_netflix_v5!A$2:H$7370, 2, FALSE), "")</f>
        <v>Movie</v>
      </c>
      <c r="C1211" s="2" t="str">
        <f>IF(A1211&lt;&gt;"", VLOOKUP(A1211, imdb_netflix_v5!A$2:H$7370, 3, FALSE), "")</f>
        <v>Crime, Drama, Thriller</v>
      </c>
      <c r="D1211" s="2">
        <f>IF(A1211&lt;&gt;"", VLOOKUP(A1211, imdb_netflix_v5!A$2:H$7370, 4, FALSE), "")</f>
        <v>8.1</v>
      </c>
      <c r="E1211" s="2">
        <f>IF(A1211&lt;&gt;"", VLOOKUP(A1211, imdb_netflix_v5!A$2:H$7370, 5, FALSE), "")</f>
        <v>1955</v>
      </c>
      <c r="F1211" s="2" t="str">
        <f>IF(A1211&lt;&gt;"", VLOOKUP(A1211, imdb_netflix_v5!A$2:H$7370, 7, FALSE), "")</f>
        <v>NA</v>
      </c>
    </row>
    <row r="1212" ht="15.75" customHeight="1">
      <c r="A1212" s="1" t="str">
        <f>IFERROR(__xludf.DUMMYFUNCTION("""COMPUTED_VALUE"""),"the circus")</f>
        <v>the circus</v>
      </c>
      <c r="B1212" s="1" t="str">
        <f>IF(A1212&lt;&gt;"", VLOOKUP(A1212, imdb_netflix_v5!A$2:H$7370, 2, FALSE), "")</f>
        <v>Movie</v>
      </c>
      <c r="C1212" s="2" t="str">
        <f>IF(A1212&lt;&gt;"", VLOOKUP(A1212, imdb_netflix_v5!A$2:H$7370, 3, FALSE), "")</f>
        <v>Comedy, Family, Romance</v>
      </c>
      <c r="D1212" s="2">
        <f>IF(A1212&lt;&gt;"", VLOOKUP(A1212, imdb_netflix_v5!A$2:H$7370, 4, FALSE), "")</f>
        <v>8.1</v>
      </c>
      <c r="E1212" s="2">
        <f>IF(A1212&lt;&gt;"", VLOOKUP(A1212, imdb_netflix_v5!A$2:H$7370, 5, FALSE), "")</f>
        <v>1928</v>
      </c>
      <c r="F1212" s="2" t="str">
        <f>IF(A1212&lt;&gt;"", VLOOKUP(A1212, imdb_netflix_v5!A$2:H$7370, 7, FALSE), "")</f>
        <v>NA</v>
      </c>
    </row>
    <row r="1213" ht="15.75" customHeight="1">
      <c r="A1213" s="1" t="str">
        <f>IFERROR(__xludf.DUMMYFUNCTION("""COMPUTED_VALUE"""),"white heat")</f>
        <v>white heat</v>
      </c>
      <c r="B1213" s="1" t="str">
        <f>IF(A1213&lt;&gt;"", VLOOKUP(A1213, imdb_netflix_v5!A$2:H$7370, 2, FALSE), "")</f>
        <v>Movie</v>
      </c>
      <c r="C1213" s="2" t="str">
        <f>IF(A1213&lt;&gt;"", VLOOKUP(A1213, imdb_netflix_v5!A$2:H$7370, 3, FALSE), "")</f>
        <v>Action, Crime, Drama</v>
      </c>
      <c r="D1213" s="2">
        <f>IF(A1213&lt;&gt;"", VLOOKUP(A1213, imdb_netflix_v5!A$2:H$7370, 4, FALSE), "")</f>
        <v>8.1</v>
      </c>
      <c r="E1213" s="2">
        <f>IF(A1213&lt;&gt;"", VLOOKUP(A1213, imdb_netflix_v5!A$2:H$7370, 5, FALSE), "")</f>
        <v>1949</v>
      </c>
      <c r="F1213" s="2" t="str">
        <f>IF(A1213&lt;&gt;"", VLOOKUP(A1213, imdb_netflix_v5!A$2:H$7370, 7, FALSE), "")</f>
        <v>NA</v>
      </c>
    </row>
    <row r="1214" ht="15.75" customHeight="1">
      <c r="A1214" s="1" t="str">
        <f>IFERROR(__xludf.DUMMYFUNCTION("""COMPUTED_VALUE"""),"black")</f>
        <v>black</v>
      </c>
      <c r="B1214" s="1" t="str">
        <f>IF(A1214&lt;&gt;"", VLOOKUP(A1214, imdb_netflix_v5!A$2:H$7370, 2, FALSE), "")</f>
        <v>Movie</v>
      </c>
      <c r="C1214" s="2" t="str">
        <f>IF(A1214&lt;&gt;"", VLOOKUP(A1214, imdb_netflix_v5!A$2:H$7370, 3, FALSE), "")</f>
        <v>Drama</v>
      </c>
      <c r="D1214" s="2">
        <f>IF(A1214&lt;&gt;"", VLOOKUP(A1214, imdb_netflix_v5!A$2:H$7370, 4, FALSE), "")</f>
        <v>8.1</v>
      </c>
      <c r="E1214" s="2">
        <f>IF(A1214&lt;&gt;"", VLOOKUP(A1214, imdb_netflix_v5!A$2:H$7370, 5, FALSE), "")</f>
        <v>2005</v>
      </c>
      <c r="F1214" s="2" t="str">
        <f>IF(A1214&lt;&gt;"", VLOOKUP(A1214, imdb_netflix_v5!A$2:H$7370, 7, FALSE), "")</f>
        <v>NA</v>
      </c>
    </row>
    <row r="1215" ht="15.75" customHeight="1">
      <c r="A1215" s="1" t="str">
        <f>IFERROR(__xludf.DUMMYFUNCTION("""COMPUTED_VALUE"""),"wild wild country")</f>
        <v>wild wild country</v>
      </c>
      <c r="B1215" s="1" t="str">
        <f>IF(A1215&lt;&gt;"", VLOOKUP(A1215, imdb_netflix_v5!A$2:H$7370, 2, FALSE), "")</f>
        <v>TV Show</v>
      </c>
      <c r="C1215" s="2" t="str">
        <f>IF(A1215&lt;&gt;"", VLOOKUP(A1215, imdb_netflix_v5!A$2:H$7370, 3, FALSE), "")</f>
        <v>Crime, Documentary</v>
      </c>
      <c r="D1215" s="2">
        <f>IF(A1215&lt;&gt;"", VLOOKUP(A1215, imdb_netflix_v5!A$2:H$7370, 4, FALSE), "")</f>
        <v>8.1</v>
      </c>
      <c r="E1215" s="2">
        <f>IF(A1215&lt;&gt;"", VLOOKUP(A1215, imdb_netflix_v5!A$2:H$7370, 5, FALSE), "")</f>
        <v>2018</v>
      </c>
      <c r="F1215" s="2" t="str">
        <f>IF(A1215&lt;&gt;"", VLOOKUP(A1215, imdb_netflix_v5!A$2:H$7370, 7, FALSE), "")</f>
        <v>NA</v>
      </c>
    </row>
    <row r="1216" ht="15.75" customHeight="1">
      <c r="A1216" s="1" t="str">
        <f>IFERROR(__xludf.DUMMYFUNCTION("""COMPUTED_VALUE"""),"the tashkent files")</f>
        <v>the tashkent files</v>
      </c>
      <c r="B1216" s="1" t="str">
        <f>IF(A1216&lt;&gt;"", VLOOKUP(A1216, imdb_netflix_v5!A$2:H$7370, 2, FALSE), "")</f>
        <v>Movie</v>
      </c>
      <c r="C1216" s="2" t="str">
        <f>IF(A1216&lt;&gt;"", VLOOKUP(A1216, imdb_netflix_v5!A$2:H$7370, 3, FALSE), "")</f>
        <v>Drama, Mystery, Thriller</v>
      </c>
      <c r="D1216" s="2">
        <f>IF(A1216&lt;&gt;"", VLOOKUP(A1216, imdb_netflix_v5!A$2:H$7370, 4, FALSE), "")</f>
        <v>8.1</v>
      </c>
      <c r="E1216" s="2">
        <f>IF(A1216&lt;&gt;"", VLOOKUP(A1216, imdb_netflix_v5!A$2:H$7370, 5, FALSE), "")</f>
        <v>2019</v>
      </c>
      <c r="F1216" s="2" t="str">
        <f>IF(A1216&lt;&gt;"", VLOOKUP(A1216, imdb_netflix_v5!A$2:H$7370, 7, FALSE), "")</f>
        <v>NA</v>
      </c>
    </row>
    <row r="1217" ht="15.75" customHeight="1">
      <c r="A1217" s="1" t="str">
        <f>IFERROR(__xludf.DUMMYFUNCTION("""COMPUTED_VALUE"""),"derek")</f>
        <v>derek</v>
      </c>
      <c r="B1217" s="1" t="str">
        <f>IF(A1217&lt;&gt;"", VLOOKUP(A1217, imdb_netflix_v5!A$2:H$7370, 2, FALSE), "")</f>
        <v>TV Show</v>
      </c>
      <c r="C1217" s="2" t="str">
        <f>IF(A1217&lt;&gt;"", VLOOKUP(A1217, imdb_netflix_v5!A$2:H$7370, 3, FALSE), "")</f>
        <v>Comedy, Drama</v>
      </c>
      <c r="D1217" s="2">
        <f>IF(A1217&lt;&gt;"", VLOOKUP(A1217, imdb_netflix_v5!A$2:H$7370, 4, FALSE), "")</f>
        <v>8.1</v>
      </c>
      <c r="E1217" s="2">
        <f>IF(A1217&lt;&gt;"", VLOOKUP(A1217, imdb_netflix_v5!A$2:H$7370, 5, FALSE), "")</f>
        <v>2012</v>
      </c>
      <c r="F1217" s="2" t="str">
        <f>IF(A1217&lt;&gt;"", VLOOKUP(A1217, imdb_netflix_v5!A$2:H$7370, 7, FALSE), "")</f>
        <v>NA</v>
      </c>
    </row>
    <row r="1218" ht="15.75" customHeight="1">
      <c r="A1218" s="1" t="str">
        <f>IFERROR(__xludf.DUMMYFUNCTION("""COMPUTED_VALUE"""),"raise the red lantern")</f>
        <v>raise the red lantern</v>
      </c>
      <c r="B1218" s="1" t="str">
        <f>IF(A1218&lt;&gt;"", VLOOKUP(A1218, imdb_netflix_v5!A$2:H$7370, 2, FALSE), "")</f>
        <v>Movie</v>
      </c>
      <c r="C1218" s="2" t="str">
        <f>IF(A1218&lt;&gt;"", VLOOKUP(A1218, imdb_netflix_v5!A$2:H$7370, 3, FALSE), "")</f>
        <v>Drama, Romance</v>
      </c>
      <c r="D1218" s="2">
        <f>IF(A1218&lt;&gt;"", VLOOKUP(A1218, imdb_netflix_v5!A$2:H$7370, 4, FALSE), "")</f>
        <v>8.1</v>
      </c>
      <c r="E1218" s="2">
        <f>IF(A1218&lt;&gt;"", VLOOKUP(A1218, imdb_netflix_v5!A$2:H$7370, 5, FALSE), "")</f>
        <v>1991</v>
      </c>
      <c r="F1218" s="2" t="str">
        <f>IF(A1218&lt;&gt;"", VLOOKUP(A1218, imdb_netflix_v5!A$2:H$7370, 7, FALSE), "")</f>
        <v>NA</v>
      </c>
    </row>
    <row r="1219" ht="15.75" customHeight="1">
      <c r="A1219" s="1" t="str">
        <f>IFERROR(__xludf.DUMMYFUNCTION("""COMPUTED_VALUE"""),"anand")</f>
        <v>anand</v>
      </c>
      <c r="B1219" s="1" t="str">
        <f>IF(A1219&lt;&gt;"", VLOOKUP(A1219, imdb_netflix_v5!A$2:H$7370, 2, FALSE), "")</f>
        <v>Movie</v>
      </c>
      <c r="C1219" s="2" t="str">
        <f>IF(A1219&lt;&gt;"", VLOOKUP(A1219, imdb_netflix_v5!A$2:H$7370, 3, FALSE), "")</f>
        <v>Drama, Musical</v>
      </c>
      <c r="D1219" s="2">
        <f>IF(A1219&lt;&gt;"", VLOOKUP(A1219, imdb_netflix_v5!A$2:H$7370, 4, FALSE), "")</f>
        <v>8.1</v>
      </c>
      <c r="E1219" s="2">
        <f>IF(A1219&lt;&gt;"", VLOOKUP(A1219, imdb_netflix_v5!A$2:H$7370, 5, FALSE), "")</f>
        <v>1971</v>
      </c>
      <c r="F1219" s="2" t="str">
        <f>IF(A1219&lt;&gt;"", VLOOKUP(A1219, imdb_netflix_v5!A$2:H$7370, 7, FALSE), "")</f>
        <v>NA</v>
      </c>
    </row>
    <row r="1220" ht="15.75" customHeight="1">
      <c r="A1220" s="1" t="str">
        <f>IFERROR(__xludf.DUMMYFUNCTION("""COMPUTED_VALUE"""),"seaspiracy")</f>
        <v>seaspiracy</v>
      </c>
      <c r="B1220" s="1" t="str">
        <f>IF(A1220&lt;&gt;"", VLOOKUP(A1220, imdb_netflix_v5!A$2:H$7370, 2, FALSE), "")</f>
        <v>Movie</v>
      </c>
      <c r="C1220" s="2" t="str">
        <f>IF(A1220&lt;&gt;"", VLOOKUP(A1220, imdb_netflix_v5!A$2:H$7370, 3, FALSE), "")</f>
        <v>Adventure, Documentary</v>
      </c>
      <c r="D1220" s="2">
        <f>IF(A1220&lt;&gt;"", VLOOKUP(A1220, imdb_netflix_v5!A$2:H$7370, 4, FALSE), "")</f>
        <v>8.1</v>
      </c>
      <c r="E1220" s="2">
        <f>IF(A1220&lt;&gt;"", VLOOKUP(A1220, imdb_netflix_v5!A$2:H$7370, 5, FALSE), "")</f>
        <v>2021</v>
      </c>
      <c r="F1220" s="2" t="str">
        <f>IF(A1220&lt;&gt;"", VLOOKUP(A1220, imdb_netflix_v5!A$2:H$7370, 7, FALSE), "")</f>
        <v>NA</v>
      </c>
    </row>
    <row r="1221" ht="15.75" customHeight="1">
      <c r="A1221" s="1" t="str">
        <f>IFERROR(__xludf.DUMMYFUNCTION("""COMPUTED_VALUE"""),"farewell my concubine")</f>
        <v>farewell my concubine</v>
      </c>
      <c r="B1221" s="1" t="str">
        <f>IF(A1221&lt;&gt;"", VLOOKUP(A1221, imdb_netflix_v5!A$2:H$7370, 2, FALSE), "")</f>
        <v>Movie</v>
      </c>
      <c r="C1221" s="2" t="str">
        <f>IF(A1221&lt;&gt;"", VLOOKUP(A1221, imdb_netflix_v5!A$2:H$7370, 3, FALSE), "")</f>
        <v>Drama, Music, Romance</v>
      </c>
      <c r="D1221" s="2">
        <f>IF(A1221&lt;&gt;"", VLOOKUP(A1221, imdb_netflix_v5!A$2:H$7370, 4, FALSE), "")</f>
        <v>8.1</v>
      </c>
      <c r="E1221" s="2">
        <f>IF(A1221&lt;&gt;"", VLOOKUP(A1221, imdb_netflix_v5!A$2:H$7370, 5, FALSE), "")</f>
        <v>1993</v>
      </c>
      <c r="F1221" s="2" t="str">
        <f>IF(A1221&lt;&gt;"", VLOOKUP(A1221, imdb_netflix_v5!A$2:H$7370, 7, FALSE), "")</f>
        <v>NA</v>
      </c>
    </row>
    <row r="1222" ht="15.75" customHeight="1">
      <c r="A1222" s="1" t="str">
        <f>IFERROR(__xludf.DUMMYFUNCTION("""COMPUTED_VALUE"""),"strike back")</f>
        <v>strike back</v>
      </c>
      <c r="B1222" s="1" t="str">
        <f>IF(A1222&lt;&gt;"", VLOOKUP(A1222, imdb_netflix_v5!A$2:H$7370, 2, FALSE), "")</f>
        <v>TV Show</v>
      </c>
      <c r="C1222" s="2" t="str">
        <f>IF(A1222&lt;&gt;"", VLOOKUP(A1222, imdb_netflix_v5!A$2:H$7370, 3, FALSE), "")</f>
        <v>Action, Drama, Thriller</v>
      </c>
      <c r="D1222" s="2">
        <f>IF(A1222&lt;&gt;"", VLOOKUP(A1222, imdb_netflix_v5!A$2:H$7370, 4, FALSE), "")</f>
        <v>8.1</v>
      </c>
      <c r="E1222" s="2">
        <f>IF(A1222&lt;&gt;"", VLOOKUP(A1222, imdb_netflix_v5!A$2:H$7370, 5, FALSE), "")</f>
        <v>2010</v>
      </c>
      <c r="F1222" s="2" t="str">
        <f>IF(A1222&lt;&gt;"", VLOOKUP(A1222, imdb_netflix_v5!A$2:H$7370, 7, FALSE), "")</f>
        <v>NA</v>
      </c>
    </row>
    <row r="1223" ht="15.75" customHeight="1">
      <c r="A1223" s="1" t="str">
        <f>IFERROR(__xludf.DUMMYFUNCTION("""COMPUTED_VALUE"""),"american vandal")</f>
        <v>american vandal</v>
      </c>
      <c r="B1223" s="1" t="str">
        <f>IF(A1223&lt;&gt;"", VLOOKUP(A1223, imdb_netflix_v5!A$2:H$7370, 2, FALSE), "")</f>
        <v>TV Show</v>
      </c>
      <c r="C1223" s="2" t="str">
        <f>IF(A1223&lt;&gt;"", VLOOKUP(A1223, imdb_netflix_v5!A$2:H$7370, 3, FALSE), "")</f>
        <v>Comedy, Crime, Drama</v>
      </c>
      <c r="D1223" s="2">
        <f>IF(A1223&lt;&gt;"", VLOOKUP(A1223, imdb_netflix_v5!A$2:H$7370, 4, FALSE), "")</f>
        <v>8.1</v>
      </c>
      <c r="E1223" s="2">
        <f>IF(A1223&lt;&gt;"", VLOOKUP(A1223, imdb_netflix_v5!A$2:H$7370, 5, FALSE), "")</f>
        <v>2017</v>
      </c>
      <c r="F1223" s="2" t="str">
        <f>IF(A1223&lt;&gt;"", VLOOKUP(A1223, imdb_netflix_v5!A$2:H$7370, 7, FALSE), "")</f>
        <v>NA</v>
      </c>
    </row>
    <row r="1224" ht="15.75" customHeight="1">
      <c r="A1224" s="1" t="str">
        <f>IFERROR(__xludf.DUMMYFUNCTION("""COMPUTED_VALUE"""),"the lost room")</f>
        <v>the lost room</v>
      </c>
      <c r="B1224" s="1" t="str">
        <f>IF(A1224&lt;&gt;"", VLOOKUP(A1224, imdb_netflix_v5!A$2:H$7370, 2, FALSE), "")</f>
        <v>TV Show</v>
      </c>
      <c r="C1224" s="2" t="str">
        <f>IF(A1224&lt;&gt;"", VLOOKUP(A1224, imdb_netflix_v5!A$2:H$7370, 3, FALSE), "")</f>
        <v>Action, Fantasy, Mystery</v>
      </c>
      <c r="D1224" s="2">
        <f>IF(A1224&lt;&gt;"", VLOOKUP(A1224, imdb_netflix_v5!A$2:H$7370, 4, FALSE), "")</f>
        <v>8.1</v>
      </c>
      <c r="E1224" s="2">
        <f>IF(A1224&lt;&gt;"", VLOOKUP(A1224, imdb_netflix_v5!A$2:H$7370, 5, FALSE), "")</f>
        <v>2006</v>
      </c>
      <c r="F1224" s="2" t="str">
        <f>IF(A1224&lt;&gt;"", VLOOKUP(A1224, imdb_netflix_v5!A$2:H$7370, 7, FALSE), "")</f>
        <v>NA</v>
      </c>
    </row>
    <row r="1225" ht="15.75" customHeight="1">
      <c r="A1225" s="1" t="str">
        <f>IFERROR(__xludf.DUMMYFUNCTION("""COMPUTED_VALUE"""),"inherit the wind")</f>
        <v>inherit the wind</v>
      </c>
      <c r="B1225" s="1" t="str">
        <f>IF(A1225&lt;&gt;"", VLOOKUP(A1225, imdb_netflix_v5!A$2:H$7370, 2, FALSE), "")</f>
        <v>Movie</v>
      </c>
      <c r="C1225" s="2" t="str">
        <f>IF(A1225&lt;&gt;"", VLOOKUP(A1225, imdb_netflix_v5!A$2:H$7370, 3, FALSE), "")</f>
        <v>Biography, Drama, History</v>
      </c>
      <c r="D1225" s="2">
        <f>IF(A1225&lt;&gt;"", VLOOKUP(A1225, imdb_netflix_v5!A$2:H$7370, 4, FALSE), "")</f>
        <v>8.1</v>
      </c>
      <c r="E1225" s="2">
        <f>IF(A1225&lt;&gt;"", VLOOKUP(A1225, imdb_netflix_v5!A$2:H$7370, 5, FALSE), "")</f>
        <v>1960</v>
      </c>
      <c r="F1225" s="2" t="str">
        <f>IF(A1225&lt;&gt;"", VLOOKUP(A1225, imdb_netflix_v5!A$2:H$7370, 7, FALSE), "")</f>
        <v>NA</v>
      </c>
    </row>
    <row r="1226" ht="15.75" customHeight="1">
      <c r="A1226" s="1" t="str">
        <f>IFERROR(__xludf.DUMMYFUNCTION("""COMPUTED_VALUE"""),"time of the gypsies")</f>
        <v>time of the gypsies</v>
      </c>
      <c r="B1226" s="1" t="str">
        <f>IF(A1226&lt;&gt;"", VLOOKUP(A1226, imdb_netflix_v5!A$2:H$7370, 2, FALSE), "")</f>
        <v>Movie</v>
      </c>
      <c r="C1226" s="2" t="str">
        <f>IF(A1226&lt;&gt;"", VLOOKUP(A1226, imdb_netflix_v5!A$2:H$7370, 3, FALSE), "")</f>
        <v>Comedy, Crime, Drama</v>
      </c>
      <c r="D1226" s="2">
        <f>IF(A1226&lt;&gt;"", VLOOKUP(A1226, imdb_netflix_v5!A$2:H$7370, 4, FALSE), "")</f>
        <v>8.1</v>
      </c>
      <c r="E1226" s="2">
        <f>IF(A1226&lt;&gt;"", VLOOKUP(A1226, imdb_netflix_v5!A$2:H$7370, 5, FALSE), "")</f>
        <v>1988</v>
      </c>
      <c r="F1226" s="2" t="str">
        <f>IF(A1226&lt;&gt;"", VLOOKUP(A1226, imdb_netflix_v5!A$2:H$7370, 7, FALSE), "")</f>
        <v>NA</v>
      </c>
    </row>
    <row r="1227" ht="15.75" customHeight="1">
      <c r="A1227" s="1" t="str">
        <f>IFERROR(__xludf.DUMMYFUNCTION("""COMPUTED_VALUE"""),"the glory")</f>
        <v>the glory</v>
      </c>
      <c r="B1227" s="1" t="str">
        <f>IF(A1227&lt;&gt;"", VLOOKUP(A1227, imdb_netflix_v5!A$2:H$7370, 2, FALSE), "")</f>
        <v>TV Show</v>
      </c>
      <c r="C1227" s="2" t="str">
        <f>IF(A1227&lt;&gt;"", VLOOKUP(A1227, imdb_netflix_v5!A$2:H$7370, 3, FALSE), "")</f>
        <v>Drama, Mystery, Thriller</v>
      </c>
      <c r="D1227" s="2">
        <f>IF(A1227&lt;&gt;"", VLOOKUP(A1227, imdb_netflix_v5!A$2:H$7370, 4, FALSE), "")</f>
        <v>8.1</v>
      </c>
      <c r="E1227" s="2">
        <f>IF(A1227&lt;&gt;"", VLOOKUP(A1227, imdb_netflix_v5!A$2:H$7370, 5, FALSE), "")</f>
        <v>2022</v>
      </c>
      <c r="F1227" s="2">
        <f>IF(A1227&lt;&gt;"", VLOOKUP(A1227, imdb_netflix_v5!A$2:H$7370, 7, FALSE), "")</f>
        <v>7680000</v>
      </c>
    </row>
    <row r="1228" ht="15.75" customHeight="1">
      <c r="A1228" s="1" t="str">
        <f>IFERROR(__xludf.DUMMYFUNCTION("""COMPUTED_VALUE"""),"major")</f>
        <v>major</v>
      </c>
      <c r="B1228" s="1" t="str">
        <f>IF(A1228&lt;&gt;"", VLOOKUP(A1228, imdb_netflix_v5!A$2:H$7370, 2, FALSE), "")</f>
        <v>Movie</v>
      </c>
      <c r="C1228" s="2" t="str">
        <f>IF(A1228&lt;&gt;"", VLOOKUP(A1228, imdb_netflix_v5!A$2:H$7370, 3, FALSE), "")</f>
        <v>Action, Biography, Drama</v>
      </c>
      <c r="D1228" s="2">
        <f>IF(A1228&lt;&gt;"", VLOOKUP(A1228, imdb_netflix_v5!A$2:H$7370, 4, FALSE), "")</f>
        <v>8.1</v>
      </c>
      <c r="E1228" s="2">
        <f>IF(A1228&lt;&gt;"", VLOOKUP(A1228, imdb_netflix_v5!A$2:H$7370, 5, FALSE), "")</f>
        <v>2022</v>
      </c>
      <c r="F1228" s="2" t="str">
        <f>IF(A1228&lt;&gt;"", VLOOKUP(A1228, imdb_netflix_v5!A$2:H$7370, 7, FALSE), "")</f>
        <v>NA</v>
      </c>
    </row>
    <row r="1229" ht="15.75" customHeight="1">
      <c r="A1229" s="1" t="str">
        <f>IFERROR(__xludf.DUMMYFUNCTION("""COMPUTED_VALUE"""),"the deuce")</f>
        <v>the deuce</v>
      </c>
      <c r="B1229" s="1" t="str">
        <f>IF(A1229&lt;&gt;"", VLOOKUP(A1229, imdb_netflix_v5!A$2:H$7370, 2, FALSE), "")</f>
        <v>TV Show</v>
      </c>
      <c r="C1229" s="2" t="str">
        <f>IF(A1229&lt;&gt;"", VLOOKUP(A1229, imdb_netflix_v5!A$2:H$7370, 3, FALSE), "")</f>
        <v>Crime, Drama, Mystery</v>
      </c>
      <c r="D1229" s="2">
        <f>IF(A1229&lt;&gt;"", VLOOKUP(A1229, imdb_netflix_v5!A$2:H$7370, 4, FALSE), "")</f>
        <v>8.1</v>
      </c>
      <c r="E1229" s="2">
        <f>IF(A1229&lt;&gt;"", VLOOKUP(A1229, imdb_netflix_v5!A$2:H$7370, 5, FALSE), "")</f>
        <v>2017</v>
      </c>
      <c r="F1229" s="2" t="str">
        <f>IF(A1229&lt;&gt;"", VLOOKUP(A1229, imdb_netflix_v5!A$2:H$7370, 7, FALSE), "")</f>
        <v>NA</v>
      </c>
    </row>
    <row r="1230" ht="15.75" customHeight="1">
      <c r="A1230" s="1" t="str">
        <f>IFERROR(__xludf.DUMMYFUNCTION("""COMPUTED_VALUE"""),"masaan")</f>
        <v>masaan</v>
      </c>
      <c r="B1230" s="1" t="str">
        <f>IF(A1230&lt;&gt;"", VLOOKUP(A1230, imdb_netflix_v5!A$2:H$7370, 2, FALSE), "")</f>
        <v>Movie</v>
      </c>
      <c r="C1230" s="2" t="str">
        <f>IF(A1230&lt;&gt;"", VLOOKUP(A1230, imdb_netflix_v5!A$2:H$7370, 3, FALSE), "")</f>
        <v>Drama</v>
      </c>
      <c r="D1230" s="2">
        <f>IF(A1230&lt;&gt;"", VLOOKUP(A1230, imdb_netflix_v5!A$2:H$7370, 4, FALSE), "")</f>
        <v>8.1</v>
      </c>
      <c r="E1230" s="2">
        <f>IF(A1230&lt;&gt;"", VLOOKUP(A1230, imdb_netflix_v5!A$2:H$7370, 5, FALSE), "")</f>
        <v>2015</v>
      </c>
      <c r="F1230" s="2" t="str">
        <f>IF(A1230&lt;&gt;"", VLOOKUP(A1230, imdb_netflix_v5!A$2:H$7370, 7, FALSE), "")</f>
        <v>NA</v>
      </c>
    </row>
    <row r="1231" ht="15.75" customHeight="1">
      <c r="A1231" s="1" t="str">
        <f>IFERROR(__xludf.DUMMYFUNCTION("""COMPUTED_VALUE"""),"z")</f>
        <v>z</v>
      </c>
      <c r="B1231" s="1" t="str">
        <f>IF(A1231&lt;&gt;"", VLOOKUP(A1231, imdb_netflix_v5!A$2:H$7370, 2, FALSE), "")</f>
        <v>Movie</v>
      </c>
      <c r="C1231" s="2" t="str">
        <f>IF(A1231&lt;&gt;"", VLOOKUP(A1231, imdb_netflix_v5!A$2:H$7370, 3, FALSE), "")</f>
        <v>Crime, Drama, Thriller</v>
      </c>
      <c r="D1231" s="2">
        <f>IF(A1231&lt;&gt;"", VLOOKUP(A1231, imdb_netflix_v5!A$2:H$7370, 4, FALSE), "")</f>
        <v>8.1</v>
      </c>
      <c r="E1231" s="2">
        <f>IF(A1231&lt;&gt;"", VLOOKUP(A1231, imdb_netflix_v5!A$2:H$7370, 5, FALSE), "")</f>
        <v>1969</v>
      </c>
      <c r="F1231" s="2" t="str">
        <f>IF(A1231&lt;&gt;"", VLOOKUP(A1231, imdb_netflix_v5!A$2:H$7370, 7, FALSE), "")</f>
        <v>NA</v>
      </c>
    </row>
    <row r="1232" ht="15.75" customHeight="1">
      <c r="A1232" s="1" t="str">
        <f>IFERROR(__xludf.DUMMYFUNCTION("""COMPUTED_VALUE"""),"damages")</f>
        <v>damages</v>
      </c>
      <c r="B1232" s="1" t="str">
        <f>IF(A1232&lt;&gt;"", VLOOKUP(A1232, imdb_netflix_v5!A$2:H$7370, 2, FALSE), "")</f>
        <v>TV Show</v>
      </c>
      <c r="C1232" s="2" t="str">
        <f>IF(A1232&lt;&gt;"", VLOOKUP(A1232, imdb_netflix_v5!A$2:H$7370, 3, FALSE), "")</f>
        <v>Crime, Drama, Mystery</v>
      </c>
      <c r="D1232" s="2">
        <f>IF(A1232&lt;&gt;"", VLOOKUP(A1232, imdb_netflix_v5!A$2:H$7370, 4, FALSE), "")</f>
        <v>8.1</v>
      </c>
      <c r="E1232" s="2">
        <f>IF(A1232&lt;&gt;"", VLOOKUP(A1232, imdb_netflix_v5!A$2:H$7370, 5, FALSE), "")</f>
        <v>2007</v>
      </c>
      <c r="F1232" s="2" t="str">
        <f>IF(A1232&lt;&gt;"", VLOOKUP(A1232, imdb_netflix_v5!A$2:H$7370, 7, FALSE), "")</f>
        <v>NA</v>
      </c>
    </row>
    <row r="1233" ht="15.75" customHeight="1">
      <c r="A1233" s="1" t="str">
        <f>IFERROR(__xludf.DUMMYFUNCTION("""COMPUTED_VALUE"""),"dr. stone")</f>
        <v>dr. stone</v>
      </c>
      <c r="B1233" s="1" t="str">
        <f>IF(A1233&lt;&gt;"", VLOOKUP(A1233, imdb_netflix_v5!A$2:H$7370, 2, FALSE), "")</f>
        <v>TV Show</v>
      </c>
      <c r="C1233" s="2" t="str">
        <f>IF(A1233&lt;&gt;"", VLOOKUP(A1233, imdb_netflix_v5!A$2:H$7370, 3, FALSE), "")</f>
        <v>Action, Adventure, Animation</v>
      </c>
      <c r="D1233" s="2">
        <f>IF(A1233&lt;&gt;"", VLOOKUP(A1233, imdb_netflix_v5!A$2:H$7370, 4, FALSE), "")</f>
        <v>8.1</v>
      </c>
      <c r="E1233" s="2">
        <f>IF(A1233&lt;&gt;"", VLOOKUP(A1233, imdb_netflix_v5!A$2:H$7370, 5, FALSE), "")</f>
        <v>2019</v>
      </c>
      <c r="F1233" s="2" t="str">
        <f>IF(A1233&lt;&gt;"", VLOOKUP(A1233, imdb_netflix_v5!A$2:H$7370, 7, FALSE), "")</f>
        <v>NA</v>
      </c>
    </row>
    <row r="1234" ht="15.75" customHeight="1">
      <c r="A1234" s="1" t="str">
        <f>IFERROR(__xludf.DUMMYFUNCTION("""COMPUTED_VALUE"""),"batman beyond")</f>
        <v>batman beyond</v>
      </c>
      <c r="B1234" s="1" t="str">
        <f>IF(A1234&lt;&gt;"", VLOOKUP(A1234, imdb_netflix_v5!A$2:H$7370, 2, FALSE), "")</f>
        <v>TV Show</v>
      </c>
      <c r="C1234" s="2" t="str">
        <f>IF(A1234&lt;&gt;"", VLOOKUP(A1234, imdb_netflix_v5!A$2:H$7370, 3, FALSE), "")</f>
        <v>Action, Adventure, Animation</v>
      </c>
      <c r="D1234" s="2">
        <f>IF(A1234&lt;&gt;"", VLOOKUP(A1234, imdb_netflix_v5!A$2:H$7370, 4, FALSE), "")</f>
        <v>8.1</v>
      </c>
      <c r="E1234" s="2">
        <f>IF(A1234&lt;&gt;"", VLOOKUP(A1234, imdb_netflix_v5!A$2:H$7370, 5, FALSE), "")</f>
        <v>1999</v>
      </c>
      <c r="F1234" s="2" t="str">
        <f>IF(A1234&lt;&gt;"", VLOOKUP(A1234, imdb_netflix_v5!A$2:H$7370, 7, FALSE), "")</f>
        <v>NA</v>
      </c>
    </row>
    <row r="1235" ht="15.75" customHeight="1">
      <c r="A1235" s="1" t="str">
        <f>IFERROR(__xludf.DUMMYFUNCTION("""COMPUTED_VALUE"""),"kaththi")</f>
        <v>kaththi</v>
      </c>
      <c r="B1235" s="1" t="str">
        <f>IF(A1235&lt;&gt;"", VLOOKUP(A1235, imdb_netflix_v5!A$2:H$7370, 2, FALSE), "")</f>
        <v>Movie</v>
      </c>
      <c r="C1235" s="2" t="str">
        <f>IF(A1235&lt;&gt;"", VLOOKUP(A1235, imdb_netflix_v5!A$2:H$7370, 3, FALSE), "")</f>
        <v>Action, Drama</v>
      </c>
      <c r="D1235" s="2">
        <f>IF(A1235&lt;&gt;"", VLOOKUP(A1235, imdb_netflix_v5!A$2:H$7370, 4, FALSE), "")</f>
        <v>8.1</v>
      </c>
      <c r="E1235" s="2">
        <f>IF(A1235&lt;&gt;"", VLOOKUP(A1235, imdb_netflix_v5!A$2:H$7370, 5, FALSE), "")</f>
        <v>2014</v>
      </c>
      <c r="F1235" s="2" t="str">
        <f>IF(A1235&lt;&gt;"", VLOOKUP(A1235, imdb_netflix_v5!A$2:H$7370, 7, FALSE), "")</f>
        <v>NA</v>
      </c>
    </row>
    <row r="1236" ht="15.75" customHeight="1">
      <c r="A1236" s="1" t="str">
        <f>IFERROR(__xludf.DUMMYFUNCTION("""COMPUTED_VALUE"""),"young rock")</f>
        <v>young rock</v>
      </c>
      <c r="B1236" s="1" t="str">
        <f>IF(A1236&lt;&gt;"", VLOOKUP(A1236, imdb_netflix_v5!A$2:H$7370, 2, FALSE), "")</f>
        <v>TV Show</v>
      </c>
      <c r="C1236" s="2" t="str">
        <f>IF(A1236&lt;&gt;"", VLOOKUP(A1236, imdb_netflix_v5!A$2:H$7370, 3, FALSE), "")</f>
        <v>Biography, Comedy</v>
      </c>
      <c r="D1236" s="2">
        <f>IF(A1236&lt;&gt;"", VLOOKUP(A1236, imdb_netflix_v5!A$2:H$7370, 4, FALSE), "")</f>
        <v>8.1</v>
      </c>
      <c r="E1236" s="2">
        <f>IF(A1236&lt;&gt;"", VLOOKUP(A1236, imdb_netflix_v5!A$2:H$7370, 5, FALSE), "")</f>
        <v>2021</v>
      </c>
      <c r="F1236" s="2" t="str">
        <f>IF(A1236&lt;&gt;"", VLOOKUP(A1236, imdb_netflix_v5!A$2:H$7370, 7, FALSE), "")</f>
        <v>NA</v>
      </c>
    </row>
    <row r="1237" ht="15.75" customHeight="1">
      <c r="A1237" s="1" t="str">
        <f>IFERROR(__xludf.DUMMYFUNCTION("""COMPUTED_VALUE"""),"zerozerozero")</f>
        <v>zerozerozero</v>
      </c>
      <c r="B1237" s="1" t="str">
        <f>IF(A1237&lt;&gt;"", VLOOKUP(A1237, imdb_netflix_v5!A$2:H$7370, 2, FALSE), "")</f>
        <v>TV Show</v>
      </c>
      <c r="C1237" s="2" t="str">
        <f>IF(A1237&lt;&gt;"", VLOOKUP(A1237, imdb_netflix_v5!A$2:H$7370, 3, FALSE), "")</f>
        <v>Crime, Drama, Thriller</v>
      </c>
      <c r="D1237" s="2">
        <f>IF(A1237&lt;&gt;"", VLOOKUP(A1237, imdb_netflix_v5!A$2:H$7370, 4, FALSE), "")</f>
        <v>8.1</v>
      </c>
      <c r="E1237" s="2">
        <f>IF(A1237&lt;&gt;"", VLOOKUP(A1237, imdb_netflix_v5!A$2:H$7370, 5, FALSE), "")</f>
        <v>2019</v>
      </c>
      <c r="F1237" s="2" t="str">
        <f>IF(A1237&lt;&gt;"", VLOOKUP(A1237, imdb_netflix_v5!A$2:H$7370, 7, FALSE), "")</f>
        <v>NA</v>
      </c>
    </row>
    <row r="1238" ht="15.75" customHeight="1">
      <c r="A1238" s="1" t="str">
        <f>IFERROR(__xludf.DUMMYFUNCTION("""COMPUTED_VALUE"""),"the frog")</f>
        <v>the frog</v>
      </c>
      <c r="B1238" s="1" t="str">
        <f>IF(A1238&lt;&gt;"", VLOOKUP(A1238, imdb_netflix_v5!A$2:H$7370, 2, FALSE), "")</f>
        <v>TV Show</v>
      </c>
      <c r="C1238" s="2" t="str">
        <f>IF(A1238&lt;&gt;"", VLOOKUP(A1238, imdb_netflix_v5!A$2:H$7370, 3, FALSE), "")</f>
        <v>Crime, Drama, Mystery</v>
      </c>
      <c r="D1238" s="2">
        <f>IF(A1238&lt;&gt;"", VLOOKUP(A1238, imdb_netflix_v5!A$2:H$7370, 4, FALSE), "")</f>
        <v>8.1</v>
      </c>
      <c r="E1238" s="2">
        <f>IF(A1238&lt;&gt;"", VLOOKUP(A1238, imdb_netflix_v5!A$2:H$7370, 5, FALSE), "")</f>
        <v>2020</v>
      </c>
      <c r="F1238" s="2" t="str">
        <f>IF(A1238&lt;&gt;"", VLOOKUP(A1238, imdb_netflix_v5!A$2:H$7370, 7, FALSE), "")</f>
        <v>NA</v>
      </c>
    </row>
    <row r="1239" ht="15.75" customHeight="1">
      <c r="A1239" s="1" t="str">
        <f>IFERROR(__xludf.DUMMYFUNCTION("""COMPUTED_VALUE"""),"angels in america")</f>
        <v>angels in america</v>
      </c>
      <c r="B1239" s="1" t="str">
        <f>IF(A1239&lt;&gt;"", VLOOKUP(A1239, imdb_netflix_v5!A$2:H$7370, 2, FALSE), "")</f>
        <v>TV Show</v>
      </c>
      <c r="C1239" s="2" t="str">
        <f>IF(A1239&lt;&gt;"", VLOOKUP(A1239, imdb_netflix_v5!A$2:H$7370, 3, FALSE), "")</f>
        <v>Drama, Fantasy, Romance</v>
      </c>
      <c r="D1239" s="2">
        <f>IF(A1239&lt;&gt;"", VLOOKUP(A1239, imdb_netflix_v5!A$2:H$7370, 4, FALSE), "")</f>
        <v>8.1</v>
      </c>
      <c r="E1239" s="2">
        <f>IF(A1239&lt;&gt;"", VLOOKUP(A1239, imdb_netflix_v5!A$2:H$7370, 5, FALSE), "")</f>
        <v>2003</v>
      </c>
      <c r="F1239" s="2" t="str">
        <f>IF(A1239&lt;&gt;"", VLOOKUP(A1239, imdb_netflix_v5!A$2:H$7370, 7, FALSE), "")</f>
        <v>NA</v>
      </c>
    </row>
    <row r="1240" ht="15.75" customHeight="1">
      <c r="A1240" s="1" t="str">
        <f>IFERROR(__xludf.DUMMYFUNCTION("""COMPUTED_VALUE"""),"yi yi")</f>
        <v>yi yi</v>
      </c>
      <c r="B1240" s="1" t="str">
        <f>IF(A1240&lt;&gt;"", VLOOKUP(A1240, imdb_netflix_v5!A$2:H$7370, 2, FALSE), "")</f>
        <v>Movie</v>
      </c>
      <c r="C1240" s="2" t="str">
        <f>IF(A1240&lt;&gt;"", VLOOKUP(A1240, imdb_netflix_v5!A$2:H$7370, 3, FALSE), "")</f>
        <v>Drama, Romance</v>
      </c>
      <c r="D1240" s="2">
        <f>IF(A1240&lt;&gt;"", VLOOKUP(A1240, imdb_netflix_v5!A$2:H$7370, 4, FALSE), "")</f>
        <v>8.1</v>
      </c>
      <c r="E1240" s="2">
        <f>IF(A1240&lt;&gt;"", VLOOKUP(A1240, imdb_netflix_v5!A$2:H$7370, 5, FALSE), "")</f>
        <v>2000</v>
      </c>
      <c r="F1240" s="2" t="str">
        <f>IF(A1240&lt;&gt;"", VLOOKUP(A1240, imdb_netflix_v5!A$2:H$7370, 7, FALSE), "")</f>
        <v>NA</v>
      </c>
    </row>
    <row r="1241" ht="15.75" customHeight="1">
      <c r="A1241" s="1" t="str">
        <f>IFERROR(__xludf.DUMMYFUNCTION("""COMPUTED_VALUE"""),"youre the worst")</f>
        <v>youre the worst</v>
      </c>
      <c r="B1241" s="1" t="str">
        <f>IF(A1241&lt;&gt;"", VLOOKUP(A1241, imdb_netflix_v5!A$2:H$7370, 2, FALSE), "")</f>
        <v>TV Show</v>
      </c>
      <c r="C1241" s="2" t="str">
        <f>IF(A1241&lt;&gt;"", VLOOKUP(A1241, imdb_netflix_v5!A$2:H$7370, 3, FALSE), "")</f>
        <v>Comedy, Drama, Romance</v>
      </c>
      <c r="D1241" s="2">
        <f>IF(A1241&lt;&gt;"", VLOOKUP(A1241, imdb_netflix_v5!A$2:H$7370, 4, FALSE), "")</f>
        <v>8.1</v>
      </c>
      <c r="E1241" s="2">
        <f>IF(A1241&lt;&gt;"", VLOOKUP(A1241, imdb_netflix_v5!A$2:H$7370, 5, FALSE), "")</f>
        <v>2014</v>
      </c>
      <c r="F1241" s="2" t="str">
        <f>IF(A1241&lt;&gt;"", VLOOKUP(A1241, imdb_netflix_v5!A$2:H$7370, 7, FALSE), "")</f>
        <v>NA</v>
      </c>
    </row>
    <row r="1242" ht="15.75" customHeight="1">
      <c r="A1242" s="1" t="str">
        <f>IFERROR(__xludf.DUMMYFUNCTION("""COMPUTED_VALUE"""),"business proposal")</f>
        <v>business proposal</v>
      </c>
      <c r="B1242" s="1" t="str">
        <f>IF(A1242&lt;&gt;"", VLOOKUP(A1242, imdb_netflix_v5!A$2:H$7370, 2, FALSE), "")</f>
        <v>TV Show</v>
      </c>
      <c r="C1242" s="2" t="str">
        <f>IF(A1242&lt;&gt;"", VLOOKUP(A1242, imdb_netflix_v5!A$2:H$7370, 3, FALSE), "")</f>
        <v>Comedy, Drama, Romance</v>
      </c>
      <c r="D1242" s="2">
        <f>IF(A1242&lt;&gt;"", VLOOKUP(A1242, imdb_netflix_v5!A$2:H$7370, 4, FALSE), "")</f>
        <v>8.1</v>
      </c>
      <c r="E1242" s="2">
        <f>IF(A1242&lt;&gt;"", VLOOKUP(A1242, imdb_netflix_v5!A$2:H$7370, 5, FALSE), "")</f>
        <v>2022</v>
      </c>
      <c r="F1242" s="2">
        <f>IF(A1242&lt;&gt;"", VLOOKUP(A1242, imdb_netflix_v5!A$2:H$7370, 7, FALSE), "")</f>
        <v>8270000</v>
      </c>
    </row>
    <row r="1243" ht="15.75" customHeight="1">
      <c r="A1243" s="1" t="str">
        <f>IFERROR(__xludf.DUMMYFUNCTION("""COMPUTED_VALUE"""),"re zero - starting life in another world")</f>
        <v>re zero - starting life in another world</v>
      </c>
      <c r="B1243" s="1" t="str">
        <f>IF(A1243&lt;&gt;"", VLOOKUP(A1243, imdb_netflix_v5!A$2:H$7370, 2, FALSE), "")</f>
        <v>TV Show</v>
      </c>
      <c r="C1243" s="2" t="str">
        <f>IF(A1243&lt;&gt;"", VLOOKUP(A1243, imdb_netflix_v5!A$2:H$7370, 3, FALSE), "")</f>
        <v>Adventure, Animation, Drama</v>
      </c>
      <c r="D1243" s="2">
        <f>IF(A1243&lt;&gt;"", VLOOKUP(A1243, imdb_netflix_v5!A$2:H$7370, 4, FALSE), "")</f>
        <v>8.1</v>
      </c>
      <c r="E1243" s="2">
        <f>IF(A1243&lt;&gt;"", VLOOKUP(A1243, imdb_netflix_v5!A$2:H$7370, 5, FALSE), "")</f>
        <v>2016</v>
      </c>
      <c r="F1243" s="2" t="str">
        <f>IF(A1243&lt;&gt;"", VLOOKUP(A1243, imdb_netflix_v5!A$2:H$7370, 7, FALSE), "")</f>
        <v>NA</v>
      </c>
    </row>
    <row r="1244" ht="15.75" customHeight="1">
      <c r="A1244" s="1" t="str">
        <f>IFERROR(__xludf.DUMMYFUNCTION("""COMPUTED_VALUE"""),"everythings gonna be great")</f>
        <v>everythings gonna be great</v>
      </c>
      <c r="B1244" s="1" t="str">
        <f>IF(A1244&lt;&gt;"", VLOOKUP(A1244, imdb_netflix_v5!A$2:H$7370, 2, FALSE), "")</f>
        <v>Movie</v>
      </c>
      <c r="C1244" s="2" t="str">
        <f>IF(A1244&lt;&gt;"", VLOOKUP(A1244, imdb_netflix_v5!A$2:H$7370, 3, FALSE), "")</f>
        <v>Comedy, Drama</v>
      </c>
      <c r="D1244" s="2">
        <f>IF(A1244&lt;&gt;"", VLOOKUP(A1244, imdb_netflix_v5!A$2:H$7370, 4, FALSE), "")</f>
        <v>8.1</v>
      </c>
      <c r="E1244" s="2">
        <f>IF(A1244&lt;&gt;"", VLOOKUP(A1244, imdb_netflix_v5!A$2:H$7370, 5, FALSE), "")</f>
        <v>1998</v>
      </c>
      <c r="F1244" s="2" t="str">
        <f>IF(A1244&lt;&gt;"", VLOOKUP(A1244, imdb_netflix_v5!A$2:H$7370, 7, FALSE), "")</f>
        <v>NA</v>
      </c>
    </row>
    <row r="1245" ht="15.75" customHeight="1">
      <c r="A1245" s="1" t="str">
        <f>IFERROR(__xludf.DUMMYFUNCTION("""COMPUTED_VALUE"""),"jean de florette")</f>
        <v>jean de florette</v>
      </c>
      <c r="B1245" s="1" t="str">
        <f>IF(A1245&lt;&gt;"", VLOOKUP(A1245, imdb_netflix_v5!A$2:H$7370, 2, FALSE), "")</f>
        <v>Movie</v>
      </c>
      <c r="C1245" s="2" t="str">
        <f>IF(A1245&lt;&gt;"", VLOOKUP(A1245, imdb_netflix_v5!A$2:H$7370, 3, FALSE), "")</f>
        <v>Comedy, Drama</v>
      </c>
      <c r="D1245" s="2">
        <f>IF(A1245&lt;&gt;"", VLOOKUP(A1245, imdb_netflix_v5!A$2:H$7370, 4, FALSE), "")</f>
        <v>8.1</v>
      </c>
      <c r="E1245" s="2">
        <f>IF(A1245&lt;&gt;"", VLOOKUP(A1245, imdb_netflix_v5!A$2:H$7370, 5, FALSE), "")</f>
        <v>1986</v>
      </c>
      <c r="F1245" s="2" t="str">
        <f>IF(A1245&lt;&gt;"", VLOOKUP(A1245, imdb_netflix_v5!A$2:H$7370, 7, FALSE), "")</f>
        <v>NA</v>
      </c>
    </row>
    <row r="1246" ht="15.75" customHeight="1">
      <c r="A1246" s="1" t="str">
        <f>IFERROR(__xludf.DUMMYFUNCTION("""COMPUTED_VALUE"""),"daria")</f>
        <v>daria</v>
      </c>
      <c r="B1246" s="1" t="str">
        <f>IF(A1246&lt;&gt;"", VLOOKUP(A1246, imdb_netflix_v5!A$2:H$7370, 2, FALSE), "")</f>
        <v>TV Show</v>
      </c>
      <c r="C1246" s="2" t="str">
        <f>IF(A1246&lt;&gt;"", VLOOKUP(A1246, imdb_netflix_v5!A$2:H$7370, 3, FALSE), "")</f>
        <v>Animation, Comedy, Drama</v>
      </c>
      <c r="D1246" s="2">
        <f>IF(A1246&lt;&gt;"", VLOOKUP(A1246, imdb_netflix_v5!A$2:H$7370, 4, FALSE), "")</f>
        <v>8.1</v>
      </c>
      <c r="E1246" s="2">
        <f>IF(A1246&lt;&gt;"", VLOOKUP(A1246, imdb_netflix_v5!A$2:H$7370, 5, FALSE), "")</f>
        <v>1997</v>
      </c>
      <c r="F1246" s="2" t="str">
        <f>IF(A1246&lt;&gt;"", VLOOKUP(A1246, imdb_netflix_v5!A$2:H$7370, 7, FALSE), "")</f>
        <v>NA</v>
      </c>
    </row>
    <row r="1247" ht="15.75" customHeight="1">
      <c r="A1247" s="1" t="str">
        <f>IFERROR(__xludf.DUMMYFUNCTION("""COMPUTED_VALUE"""),"apollo 11")</f>
        <v>apollo 11</v>
      </c>
      <c r="B1247" s="1" t="str">
        <f>IF(A1247&lt;&gt;"", VLOOKUP(A1247, imdb_netflix_v5!A$2:H$7370, 2, FALSE), "")</f>
        <v>Movie</v>
      </c>
      <c r="C1247" s="2" t="str">
        <f>IF(A1247&lt;&gt;"", VLOOKUP(A1247, imdb_netflix_v5!A$2:H$7370, 3, FALSE), "")</f>
        <v>Documentary, History</v>
      </c>
      <c r="D1247" s="2">
        <f>IF(A1247&lt;&gt;"", VLOOKUP(A1247, imdb_netflix_v5!A$2:H$7370, 4, FALSE), "")</f>
        <v>8.1</v>
      </c>
      <c r="E1247" s="2">
        <f>IF(A1247&lt;&gt;"", VLOOKUP(A1247, imdb_netflix_v5!A$2:H$7370, 5, FALSE), "")</f>
        <v>2019</v>
      </c>
      <c r="F1247" s="2" t="str">
        <f>IF(A1247&lt;&gt;"", VLOOKUP(A1247, imdb_netflix_v5!A$2:H$7370, 7, FALSE), "")</f>
        <v>NA</v>
      </c>
    </row>
    <row r="1248" ht="15.75" customHeight="1">
      <c r="A1248" s="1" t="str">
        <f>IFERROR(__xludf.DUMMYFUNCTION("""COMPUTED_VALUE"""),"anora")</f>
        <v>anora</v>
      </c>
      <c r="B1248" s="1" t="str">
        <f>IF(A1248&lt;&gt;"", VLOOKUP(A1248, imdb_netflix_v5!A$2:H$7370, 2, FALSE), "")</f>
        <v>Movie</v>
      </c>
      <c r="C1248" s="2" t="str">
        <f>IF(A1248&lt;&gt;"", VLOOKUP(A1248, imdb_netflix_v5!A$2:H$7370, 3, FALSE), "")</f>
        <v>Comedy, Drama, Romance</v>
      </c>
      <c r="D1248" s="2">
        <f>IF(A1248&lt;&gt;"", VLOOKUP(A1248, imdb_netflix_v5!A$2:H$7370, 4, FALSE), "")</f>
        <v>8.1</v>
      </c>
      <c r="E1248" s="2">
        <f>IF(A1248&lt;&gt;"", VLOOKUP(A1248, imdb_netflix_v5!A$2:H$7370, 5, FALSE), "")</f>
        <v>2024</v>
      </c>
      <c r="F1248" s="2" t="str">
        <f>IF(A1248&lt;&gt;"", VLOOKUP(A1248, imdb_netflix_v5!A$2:H$7370, 7, FALSE), "")</f>
        <v>NA</v>
      </c>
    </row>
    <row r="1249" ht="15.75" customHeight="1">
      <c r="A1249" s="1" t="str">
        <f>IFERROR(__xludf.DUMMYFUNCTION("""COMPUTED_VALUE"""),"sarfarosh")</f>
        <v>sarfarosh</v>
      </c>
      <c r="B1249" s="1" t="str">
        <f>IF(A1249&lt;&gt;"", VLOOKUP(A1249, imdb_netflix_v5!A$2:H$7370, 2, FALSE), "")</f>
        <v>Movie</v>
      </c>
      <c r="C1249" s="2" t="str">
        <f>IF(A1249&lt;&gt;"", VLOOKUP(A1249, imdb_netflix_v5!A$2:H$7370, 3, FALSE), "")</f>
        <v>Action, Crime, Drama</v>
      </c>
      <c r="D1249" s="2">
        <f>IF(A1249&lt;&gt;"", VLOOKUP(A1249, imdb_netflix_v5!A$2:H$7370, 4, FALSE), "")</f>
        <v>8.1</v>
      </c>
      <c r="E1249" s="2">
        <f>IF(A1249&lt;&gt;"", VLOOKUP(A1249, imdb_netflix_v5!A$2:H$7370, 5, FALSE), "")</f>
        <v>1999</v>
      </c>
      <c r="F1249" s="2" t="str">
        <f>IF(A1249&lt;&gt;"", VLOOKUP(A1249, imdb_netflix_v5!A$2:H$7370, 7, FALSE), "")</f>
        <v>NA</v>
      </c>
    </row>
    <row r="1250" ht="15.75" customHeight="1">
      <c r="A1250" s="1" t="str">
        <f>IFERROR(__xludf.DUMMYFUNCTION("""COMPUTED_VALUE"""),"war &amp; peace")</f>
        <v>war &amp; peace</v>
      </c>
      <c r="B1250" s="1" t="str">
        <f>IF(A1250&lt;&gt;"", VLOOKUP(A1250, imdb_netflix_v5!A$2:H$7370, 2, FALSE), "")</f>
        <v>TV Show</v>
      </c>
      <c r="C1250" s="2" t="str">
        <f>IF(A1250&lt;&gt;"", VLOOKUP(A1250, imdb_netflix_v5!A$2:H$7370, 3, FALSE), "")</f>
        <v>Drama, History, Romance</v>
      </c>
      <c r="D1250" s="2">
        <f>IF(A1250&lt;&gt;"", VLOOKUP(A1250, imdb_netflix_v5!A$2:H$7370, 4, FALSE), "")</f>
        <v>8.1</v>
      </c>
      <c r="E1250" s="2">
        <f>IF(A1250&lt;&gt;"", VLOOKUP(A1250, imdb_netflix_v5!A$2:H$7370, 5, FALSE), "")</f>
        <v>2016</v>
      </c>
      <c r="F1250" s="2" t="str">
        <f>IF(A1250&lt;&gt;"", VLOOKUP(A1250, imdb_netflix_v5!A$2:H$7370, 7, FALSE), "")</f>
        <v>NA</v>
      </c>
    </row>
    <row r="1251" ht="15.75" customHeight="1">
      <c r="A1251" s="1" t="str">
        <f>IFERROR(__xludf.DUMMYFUNCTION("""COMPUTED_VALUE"""),"i want to eat your pancreas")</f>
        <v>i want to eat your pancreas</v>
      </c>
      <c r="B1251" s="1" t="str">
        <f>IF(A1251&lt;&gt;"", VLOOKUP(A1251, imdb_netflix_v5!A$2:H$7370, 2, FALSE), "")</f>
        <v>Movie</v>
      </c>
      <c r="C1251" s="2" t="str">
        <f>IF(A1251&lt;&gt;"", VLOOKUP(A1251, imdb_netflix_v5!A$2:H$7370, 3, FALSE), "")</f>
        <v>Animation, Drama, Family</v>
      </c>
      <c r="D1251" s="2">
        <f>IF(A1251&lt;&gt;"", VLOOKUP(A1251, imdb_netflix_v5!A$2:H$7370, 4, FALSE), "")</f>
        <v>8.1</v>
      </c>
      <c r="E1251" s="2">
        <f>IF(A1251&lt;&gt;"", VLOOKUP(A1251, imdb_netflix_v5!A$2:H$7370, 5, FALSE), "")</f>
        <v>2018</v>
      </c>
      <c r="F1251" s="2" t="str">
        <f>IF(A1251&lt;&gt;"", VLOOKUP(A1251, imdb_netflix_v5!A$2:H$7370, 7, FALSE), "")</f>
        <v>NA</v>
      </c>
    </row>
    <row r="1252" ht="15.75" customHeight="1">
      <c r="A1252" s="1" t="str">
        <f>IFERROR(__xludf.DUMMYFUNCTION("""COMPUTED_VALUE"""),"vis a vis")</f>
        <v>vis a vis</v>
      </c>
      <c r="B1252" s="1" t="str">
        <f>IF(A1252&lt;&gt;"", VLOOKUP(A1252, imdb_netflix_v5!A$2:H$7370, 2, FALSE), "")</f>
        <v>TV Show</v>
      </c>
      <c r="C1252" s="2" t="str">
        <f>IF(A1252&lt;&gt;"", VLOOKUP(A1252, imdb_netflix_v5!A$2:H$7370, 3, FALSE), "")</f>
        <v>Drama, Thriller</v>
      </c>
      <c r="D1252" s="2">
        <f>IF(A1252&lt;&gt;"", VLOOKUP(A1252, imdb_netflix_v5!A$2:H$7370, 4, FALSE), "")</f>
        <v>8.1</v>
      </c>
      <c r="E1252" s="2">
        <f>IF(A1252&lt;&gt;"", VLOOKUP(A1252, imdb_netflix_v5!A$2:H$7370, 5, FALSE), "")</f>
        <v>2015</v>
      </c>
      <c r="F1252" s="2" t="str">
        <f>IF(A1252&lt;&gt;"", VLOOKUP(A1252, imdb_netflix_v5!A$2:H$7370, 7, FALSE), "")</f>
        <v>NA</v>
      </c>
    </row>
    <row r="1253" ht="15.75" customHeight="1">
      <c r="A1253" s="1" t="str">
        <f>IFERROR(__xludf.DUMMYFUNCTION("""COMPUTED_VALUE"""),"army of shadows")</f>
        <v>army of shadows</v>
      </c>
      <c r="B1253" s="1" t="str">
        <f>IF(A1253&lt;&gt;"", VLOOKUP(A1253, imdb_netflix_v5!A$2:H$7370, 2, FALSE), "")</f>
        <v>Movie</v>
      </c>
      <c r="C1253" s="2" t="str">
        <f>IF(A1253&lt;&gt;"", VLOOKUP(A1253, imdb_netflix_v5!A$2:H$7370, 3, FALSE), "")</f>
        <v>Drama, War</v>
      </c>
      <c r="D1253" s="2">
        <f>IF(A1253&lt;&gt;"", VLOOKUP(A1253, imdb_netflix_v5!A$2:H$7370, 4, FALSE), "")</f>
        <v>8.1</v>
      </c>
      <c r="E1253" s="2">
        <f>IF(A1253&lt;&gt;"", VLOOKUP(A1253, imdb_netflix_v5!A$2:H$7370, 5, FALSE), "")</f>
        <v>1969</v>
      </c>
      <c r="F1253" s="2" t="str">
        <f>IF(A1253&lt;&gt;"", VLOOKUP(A1253, imdb_netflix_v5!A$2:H$7370, 7, FALSE), "")</f>
        <v>NA</v>
      </c>
    </row>
    <row r="1254" ht="15.75" customHeight="1">
      <c r="A1254" s="1" t="str">
        <f>IFERROR(__xludf.DUMMYFUNCTION("""COMPUTED_VALUE"""),"cowspiracy the sustainability secret")</f>
        <v>cowspiracy the sustainability secret</v>
      </c>
      <c r="B1254" s="1" t="str">
        <f>IF(A1254&lt;&gt;"", VLOOKUP(A1254, imdb_netflix_v5!A$2:H$7370, 2, FALSE), "")</f>
        <v>Movie</v>
      </c>
      <c r="C1254" s="2" t="str">
        <f>IF(A1254&lt;&gt;"", VLOOKUP(A1254, imdb_netflix_v5!A$2:H$7370, 3, FALSE), "")</f>
        <v>Documentary</v>
      </c>
      <c r="D1254" s="2">
        <f>IF(A1254&lt;&gt;"", VLOOKUP(A1254, imdb_netflix_v5!A$2:H$7370, 4, FALSE), "")</f>
        <v>8.1</v>
      </c>
      <c r="E1254" s="2">
        <f>IF(A1254&lt;&gt;"", VLOOKUP(A1254, imdb_netflix_v5!A$2:H$7370, 5, FALSE), "")</f>
        <v>2014</v>
      </c>
      <c r="F1254" s="2" t="str">
        <f>IF(A1254&lt;&gt;"", VLOOKUP(A1254, imdb_netflix_v5!A$2:H$7370, 7, FALSE), "")</f>
        <v>NA</v>
      </c>
    </row>
    <row r="1255" ht="15.75" customHeight="1">
      <c r="A1255" s="1" t="str">
        <f>IFERROR(__xludf.DUMMYFUNCTION("""COMPUTED_VALUE"""),"i may destroy you")</f>
        <v>i may destroy you</v>
      </c>
      <c r="B1255" s="1" t="str">
        <f>IF(A1255&lt;&gt;"", VLOOKUP(A1255, imdb_netflix_v5!A$2:H$7370, 2, FALSE), "")</f>
        <v>TV Show</v>
      </c>
      <c r="C1255" s="2" t="str">
        <f>IF(A1255&lt;&gt;"", VLOOKUP(A1255, imdb_netflix_v5!A$2:H$7370, 3, FALSE), "")</f>
        <v>Drama</v>
      </c>
      <c r="D1255" s="2">
        <f>IF(A1255&lt;&gt;"", VLOOKUP(A1255, imdb_netflix_v5!A$2:H$7370, 4, FALSE), "")</f>
        <v>8.1</v>
      </c>
      <c r="E1255" s="2">
        <f>IF(A1255&lt;&gt;"", VLOOKUP(A1255, imdb_netflix_v5!A$2:H$7370, 5, FALSE), "")</f>
        <v>2020</v>
      </c>
      <c r="F1255" s="2" t="str">
        <f>IF(A1255&lt;&gt;"", VLOOKUP(A1255, imdb_netflix_v5!A$2:H$7370, 7, FALSE), "")</f>
        <v>NA</v>
      </c>
    </row>
    <row r="1256" ht="15.75" customHeight="1">
      <c r="A1256" s="1" t="str">
        <f>IFERROR(__xludf.DUMMYFUNCTION("""COMPUTED_VALUE"""),"a short film about love")</f>
        <v>a short film about love</v>
      </c>
      <c r="B1256" s="1" t="str">
        <f>IF(A1256&lt;&gt;"", VLOOKUP(A1256, imdb_netflix_v5!A$2:H$7370, 2, FALSE), "")</f>
        <v>Movie</v>
      </c>
      <c r="C1256" s="2" t="str">
        <f>IF(A1256&lt;&gt;"", VLOOKUP(A1256, imdb_netflix_v5!A$2:H$7370, 3, FALSE), "")</f>
        <v>Drama, Romance</v>
      </c>
      <c r="D1256" s="2">
        <f>IF(A1256&lt;&gt;"", VLOOKUP(A1256, imdb_netflix_v5!A$2:H$7370, 4, FALSE), "")</f>
        <v>8.1</v>
      </c>
      <c r="E1256" s="2">
        <f>IF(A1256&lt;&gt;"", VLOOKUP(A1256, imdb_netflix_v5!A$2:H$7370, 5, FALSE), "")</f>
        <v>1988</v>
      </c>
      <c r="F1256" s="2" t="str">
        <f>IF(A1256&lt;&gt;"", VLOOKUP(A1256, imdb_netflix_v5!A$2:H$7370, 7, FALSE), "")</f>
        <v>NA</v>
      </c>
    </row>
    <row r="1257" ht="15.75" customHeight="1">
      <c r="A1257" s="1" t="str">
        <f>IFERROR(__xludf.DUMMYFUNCTION("""COMPUTED_VALUE"""),"viridiana")</f>
        <v>viridiana</v>
      </c>
      <c r="B1257" s="1" t="str">
        <f>IF(A1257&lt;&gt;"", VLOOKUP(A1257, imdb_netflix_v5!A$2:H$7370, 2, FALSE), "")</f>
        <v>Movie</v>
      </c>
      <c r="C1257" s="2" t="str">
        <f>IF(A1257&lt;&gt;"", VLOOKUP(A1257, imdb_netflix_v5!A$2:H$7370, 3, FALSE), "")</f>
        <v>Drama</v>
      </c>
      <c r="D1257" s="2">
        <f>IF(A1257&lt;&gt;"", VLOOKUP(A1257, imdb_netflix_v5!A$2:H$7370, 4, FALSE), "")</f>
        <v>8.1</v>
      </c>
      <c r="E1257" s="2">
        <f>IF(A1257&lt;&gt;"", VLOOKUP(A1257, imdb_netflix_v5!A$2:H$7370, 5, FALSE), "")</f>
        <v>1961</v>
      </c>
      <c r="F1257" s="2" t="str">
        <f>IF(A1257&lt;&gt;"", VLOOKUP(A1257, imdb_netflix_v5!A$2:H$7370, 7, FALSE), "")</f>
        <v>NA</v>
      </c>
    </row>
    <row r="1258" ht="15.75" customHeight="1">
      <c r="A1258" s="1" t="str">
        <f>IFERROR(__xludf.DUMMYFUNCTION("""COMPUTED_VALUE"""),"ugetsu")</f>
        <v>ugetsu</v>
      </c>
      <c r="B1258" s="1" t="str">
        <f>IF(A1258&lt;&gt;"", VLOOKUP(A1258, imdb_netflix_v5!A$2:H$7370, 2, FALSE), "")</f>
        <v>Movie</v>
      </c>
      <c r="C1258" s="2" t="str">
        <f>IF(A1258&lt;&gt;"", VLOOKUP(A1258, imdb_netflix_v5!A$2:H$7370, 3, FALSE), "")</f>
        <v>Drama, Fantasy, War</v>
      </c>
      <c r="D1258" s="2">
        <f>IF(A1258&lt;&gt;"", VLOOKUP(A1258, imdb_netflix_v5!A$2:H$7370, 4, FALSE), "")</f>
        <v>8.1</v>
      </c>
      <c r="E1258" s="2">
        <f>IF(A1258&lt;&gt;"", VLOOKUP(A1258, imdb_netflix_v5!A$2:H$7370, 5, FALSE), "")</f>
        <v>1953</v>
      </c>
      <c r="F1258" s="2" t="str">
        <f>IF(A1258&lt;&gt;"", VLOOKUP(A1258, imdb_netflix_v5!A$2:H$7370, 7, FALSE), "")</f>
        <v>NA</v>
      </c>
    </row>
    <row r="1259" ht="15.75" customHeight="1">
      <c r="A1259" s="1" t="str">
        <f>IFERROR(__xludf.DUMMYFUNCTION("""COMPUTED_VALUE"""),"a christmas carol")</f>
        <v>a christmas carol</v>
      </c>
      <c r="B1259" s="1" t="str">
        <f>IF(A1259&lt;&gt;"", VLOOKUP(A1259, imdb_netflix_v5!A$2:H$7370, 2, FALSE), "")</f>
        <v>Movie</v>
      </c>
      <c r="C1259" s="2" t="str">
        <f>IF(A1259&lt;&gt;"", VLOOKUP(A1259, imdb_netflix_v5!A$2:H$7370, 3, FALSE), "")</f>
        <v>Drama, Family, Fantasy</v>
      </c>
      <c r="D1259" s="2">
        <f>IF(A1259&lt;&gt;"", VLOOKUP(A1259, imdb_netflix_v5!A$2:H$7370, 4, FALSE), "")</f>
        <v>8.1</v>
      </c>
      <c r="E1259" s="2">
        <f>IF(A1259&lt;&gt;"", VLOOKUP(A1259, imdb_netflix_v5!A$2:H$7370, 5, FALSE), "")</f>
        <v>1951</v>
      </c>
      <c r="F1259" s="2" t="str">
        <f>IF(A1259&lt;&gt;"", VLOOKUP(A1259, imdb_netflix_v5!A$2:H$7370, 7, FALSE), "")</f>
        <v>NA</v>
      </c>
    </row>
    <row r="1260" ht="15.75" customHeight="1">
      <c r="A1260" s="1" t="str">
        <f>IFERROR(__xludf.DUMMYFUNCTION("""COMPUTED_VALUE"""),"mozart in the jungle")</f>
        <v>mozart in the jungle</v>
      </c>
      <c r="B1260" s="1" t="str">
        <f>IF(A1260&lt;&gt;"", VLOOKUP(A1260, imdb_netflix_v5!A$2:H$7370, 2, FALSE), "")</f>
        <v>TV Show</v>
      </c>
      <c r="C1260" s="2" t="str">
        <f>IF(A1260&lt;&gt;"", VLOOKUP(A1260, imdb_netflix_v5!A$2:H$7370, 3, FALSE), "")</f>
        <v>Comedy, Drama, Music</v>
      </c>
      <c r="D1260" s="2">
        <f>IF(A1260&lt;&gt;"", VLOOKUP(A1260, imdb_netflix_v5!A$2:H$7370, 4, FALSE), "")</f>
        <v>8.1</v>
      </c>
      <c r="E1260" s="2">
        <f>IF(A1260&lt;&gt;"", VLOOKUP(A1260, imdb_netflix_v5!A$2:H$7370, 5, FALSE), "")</f>
        <v>2014</v>
      </c>
      <c r="F1260" s="2" t="str">
        <f>IF(A1260&lt;&gt;"", VLOOKUP(A1260, imdb_netflix_v5!A$2:H$7370, 7, FALSE), "")</f>
        <v>NA</v>
      </c>
    </row>
    <row r="1261" ht="15.75" customHeight="1">
      <c r="A1261" s="1" t="str">
        <f>IFERROR(__xludf.DUMMYFUNCTION("""COMPUTED_VALUE"""),"a moment to remember")</f>
        <v>a moment to remember</v>
      </c>
      <c r="B1261" s="1" t="str">
        <f>IF(A1261&lt;&gt;"", VLOOKUP(A1261, imdb_netflix_v5!A$2:H$7370, 2, FALSE), "")</f>
        <v>Movie</v>
      </c>
      <c r="C1261" s="2" t="str">
        <f>IF(A1261&lt;&gt;"", VLOOKUP(A1261, imdb_netflix_v5!A$2:H$7370, 3, FALSE), "")</f>
        <v>Drama, Romance</v>
      </c>
      <c r="D1261" s="2">
        <f>IF(A1261&lt;&gt;"", VLOOKUP(A1261, imdb_netflix_v5!A$2:H$7370, 4, FALSE), "")</f>
        <v>8.1</v>
      </c>
      <c r="E1261" s="2">
        <f>IF(A1261&lt;&gt;"", VLOOKUP(A1261, imdb_netflix_v5!A$2:H$7370, 5, FALSE), "")</f>
        <v>2004</v>
      </c>
      <c r="F1261" s="2" t="str">
        <f>IF(A1261&lt;&gt;"", VLOOKUP(A1261, imdb_netflix_v5!A$2:H$7370, 7, FALSE), "")</f>
        <v>NA</v>
      </c>
    </row>
    <row r="1262" ht="15.75" customHeight="1">
      <c r="A1262" s="1" t="str">
        <f>IFERROR(__xludf.DUMMYFUNCTION("""COMPUTED_VALUE"""),"the twilight samurai")</f>
        <v>the twilight samurai</v>
      </c>
      <c r="B1262" s="1" t="str">
        <f>IF(A1262&lt;&gt;"", VLOOKUP(A1262, imdb_netflix_v5!A$2:H$7370, 2, FALSE), "")</f>
        <v>Movie</v>
      </c>
      <c r="C1262" s="2" t="str">
        <f>IF(A1262&lt;&gt;"", VLOOKUP(A1262, imdb_netflix_v5!A$2:H$7370, 3, FALSE), "")</f>
        <v>Drama, Romance</v>
      </c>
      <c r="D1262" s="2">
        <f>IF(A1262&lt;&gt;"", VLOOKUP(A1262, imdb_netflix_v5!A$2:H$7370, 4, FALSE), "")</f>
        <v>8.1</v>
      </c>
      <c r="E1262" s="2">
        <f>IF(A1262&lt;&gt;"", VLOOKUP(A1262, imdb_netflix_v5!A$2:H$7370, 5, FALSE), "")</f>
        <v>2002</v>
      </c>
      <c r="F1262" s="2" t="str">
        <f>IF(A1262&lt;&gt;"", VLOOKUP(A1262, imdb_netflix_v5!A$2:H$7370, 7, FALSE), "")</f>
        <v>NA</v>
      </c>
    </row>
    <row r="1263" ht="15.75" customHeight="1">
      <c r="A1263" s="1" t="str">
        <f>IFERROR(__xludf.DUMMYFUNCTION("""COMPUTED_VALUE"""),"cunk on earth")</f>
        <v>cunk on earth</v>
      </c>
      <c r="B1263" s="1" t="str">
        <f>IF(A1263&lt;&gt;"", VLOOKUP(A1263, imdb_netflix_v5!A$2:H$7370, 2, FALSE), "")</f>
        <v>TV Show</v>
      </c>
      <c r="C1263" s="2" t="str">
        <f>IF(A1263&lt;&gt;"", VLOOKUP(A1263, imdb_netflix_v5!A$2:H$7370, 3, FALSE), "")</f>
        <v>Comedy</v>
      </c>
      <c r="D1263" s="2">
        <f>IF(A1263&lt;&gt;"", VLOOKUP(A1263, imdb_netflix_v5!A$2:H$7370, 4, FALSE), "")</f>
        <v>8.1</v>
      </c>
      <c r="E1263" s="2">
        <f>IF(A1263&lt;&gt;"", VLOOKUP(A1263, imdb_netflix_v5!A$2:H$7370, 5, FALSE), "")</f>
        <v>2022</v>
      </c>
      <c r="F1263" s="2" t="str">
        <f>IF(A1263&lt;&gt;"", VLOOKUP(A1263, imdb_netflix_v5!A$2:H$7370, 7, FALSE), "")</f>
        <v>NA</v>
      </c>
    </row>
    <row r="1264" ht="15.75" customHeight="1">
      <c r="A1264" s="1" t="str">
        <f>IFERROR(__xludf.DUMMYFUNCTION("""COMPUTED_VALUE"""),"the fog of war")</f>
        <v>the fog of war</v>
      </c>
      <c r="B1264" s="1" t="str">
        <f>IF(A1264&lt;&gt;"", VLOOKUP(A1264, imdb_netflix_v5!A$2:H$7370, 2, FALSE), "")</f>
        <v>Movie</v>
      </c>
      <c r="C1264" s="2" t="str">
        <f>IF(A1264&lt;&gt;"", VLOOKUP(A1264, imdb_netflix_v5!A$2:H$7370, 3, FALSE), "")</f>
        <v>Biography, Documentary, History</v>
      </c>
      <c r="D1264" s="2">
        <f>IF(A1264&lt;&gt;"", VLOOKUP(A1264, imdb_netflix_v5!A$2:H$7370, 4, FALSE), "")</f>
        <v>8.1</v>
      </c>
      <c r="E1264" s="2">
        <f>IF(A1264&lt;&gt;"", VLOOKUP(A1264, imdb_netflix_v5!A$2:H$7370, 5, FALSE), "")</f>
        <v>2003</v>
      </c>
      <c r="F1264" s="2" t="str">
        <f>IF(A1264&lt;&gt;"", VLOOKUP(A1264, imdb_netflix_v5!A$2:H$7370, 7, FALSE), "")</f>
        <v>NA</v>
      </c>
    </row>
    <row r="1265" ht="15.75" customHeight="1">
      <c r="A1265" s="1" t="str">
        <f>IFERROR(__xludf.DUMMYFUNCTION("""COMPUTED_VALUE"""),"love doesnt understand words")</f>
        <v>love doesnt understand words</v>
      </c>
      <c r="B1265" s="1" t="str">
        <f>IF(A1265&lt;&gt;"", VLOOKUP(A1265, imdb_netflix_v5!A$2:H$7370, 2, FALSE), "")</f>
        <v>TV Show</v>
      </c>
      <c r="C1265" s="2" t="str">
        <f>IF(A1265&lt;&gt;"", VLOOKUP(A1265, imdb_netflix_v5!A$2:H$7370, 3, FALSE), "")</f>
        <v>Comedy, Romance</v>
      </c>
      <c r="D1265" s="2">
        <f>IF(A1265&lt;&gt;"", VLOOKUP(A1265, imdb_netflix_v5!A$2:H$7370, 4, FALSE), "")</f>
        <v>8.1</v>
      </c>
      <c r="E1265" s="2">
        <f>IF(A1265&lt;&gt;"", VLOOKUP(A1265, imdb_netflix_v5!A$2:H$7370, 5, FALSE), "")</f>
        <v>2016</v>
      </c>
      <c r="F1265" s="2" t="str">
        <f>IF(A1265&lt;&gt;"", VLOOKUP(A1265, imdb_netflix_v5!A$2:H$7370, 7, FALSE), "")</f>
        <v>NA</v>
      </c>
    </row>
    <row r="1266" ht="15.75" customHeight="1">
      <c r="A1266" s="1" t="str">
        <f>IFERROR(__xludf.DUMMYFUNCTION("""COMPUTED_VALUE"""),"jo jeeta wohi sikandar")</f>
        <v>jo jeeta wohi sikandar</v>
      </c>
      <c r="B1266" s="1" t="str">
        <f>IF(A1266&lt;&gt;"", VLOOKUP(A1266, imdb_netflix_v5!A$2:H$7370, 2, FALSE), "")</f>
        <v>Movie</v>
      </c>
      <c r="C1266" s="2" t="str">
        <f>IF(A1266&lt;&gt;"", VLOOKUP(A1266, imdb_netflix_v5!A$2:H$7370, 3, FALSE), "")</f>
        <v>Comedy, Drama, Romance</v>
      </c>
      <c r="D1266" s="2">
        <f>IF(A1266&lt;&gt;"", VLOOKUP(A1266, imdb_netflix_v5!A$2:H$7370, 4, FALSE), "")</f>
        <v>8.1</v>
      </c>
      <c r="E1266" s="2">
        <f>IF(A1266&lt;&gt;"", VLOOKUP(A1266, imdb_netflix_v5!A$2:H$7370, 5, FALSE), "")</f>
        <v>1992</v>
      </c>
      <c r="F1266" s="2" t="str">
        <f>IF(A1266&lt;&gt;"", VLOOKUP(A1266, imdb_netflix_v5!A$2:H$7370, 7, FALSE), "")</f>
        <v>NA</v>
      </c>
    </row>
    <row r="1267" ht="15.75" customHeight="1">
      <c r="A1267" s="1" t="str">
        <f>IFERROR(__xludf.DUMMYFUNCTION("""COMPUTED_VALUE"""),"i know this much is true")</f>
        <v>i know this much is true</v>
      </c>
      <c r="B1267" s="1" t="str">
        <f>IF(A1267&lt;&gt;"", VLOOKUP(A1267, imdb_netflix_v5!A$2:H$7370, 2, FALSE), "")</f>
        <v>TV Show</v>
      </c>
      <c r="C1267" s="2" t="str">
        <f>IF(A1267&lt;&gt;"", VLOOKUP(A1267, imdb_netflix_v5!A$2:H$7370, 3, FALSE), "")</f>
        <v>Drama</v>
      </c>
      <c r="D1267" s="2">
        <f>IF(A1267&lt;&gt;"", VLOOKUP(A1267, imdb_netflix_v5!A$2:H$7370, 4, FALSE), "")</f>
        <v>8.1</v>
      </c>
      <c r="E1267" s="2">
        <f>IF(A1267&lt;&gt;"", VLOOKUP(A1267, imdb_netflix_v5!A$2:H$7370, 5, FALSE), "")</f>
        <v>2020</v>
      </c>
      <c r="F1267" s="2" t="str">
        <f>IF(A1267&lt;&gt;"", VLOOKUP(A1267, imdb_netflix_v5!A$2:H$7370, 7, FALSE), "")</f>
        <v>NA</v>
      </c>
    </row>
    <row r="1268" ht="15.75" customHeight="1">
      <c r="A1268" s="1" t="str">
        <f>IFERROR(__xludf.DUMMYFUNCTION("""COMPUTED_VALUE"""),"hearts of darkness a filmmakers apocalypse")</f>
        <v>hearts of darkness a filmmakers apocalypse</v>
      </c>
      <c r="B1268" s="1" t="str">
        <f>IF(A1268&lt;&gt;"", VLOOKUP(A1268, imdb_netflix_v5!A$2:H$7370, 2, FALSE), "")</f>
        <v>Movie</v>
      </c>
      <c r="C1268" s="2" t="str">
        <f>IF(A1268&lt;&gt;"", VLOOKUP(A1268, imdb_netflix_v5!A$2:H$7370, 3, FALSE), "")</f>
        <v>Documentary</v>
      </c>
      <c r="D1268" s="2">
        <f>IF(A1268&lt;&gt;"", VLOOKUP(A1268, imdb_netflix_v5!A$2:H$7370, 4, FALSE), "")</f>
        <v>8.1</v>
      </c>
      <c r="E1268" s="2">
        <f>IF(A1268&lt;&gt;"", VLOOKUP(A1268, imdb_netflix_v5!A$2:H$7370, 5, FALSE), "")</f>
        <v>1991</v>
      </c>
      <c r="F1268" s="2" t="str">
        <f>IF(A1268&lt;&gt;"", VLOOKUP(A1268, imdb_netflix_v5!A$2:H$7370, 7, FALSE), "")</f>
        <v>NA</v>
      </c>
    </row>
    <row r="1269" ht="15.75" customHeight="1">
      <c r="A1269" s="1" t="str">
        <f>IFERROR(__xludf.DUMMYFUNCTION("""COMPUTED_VALUE"""),"turn washingtons spies")</f>
        <v>turn washingtons spies</v>
      </c>
      <c r="B1269" s="1" t="str">
        <f>IF(A1269&lt;&gt;"", VLOOKUP(A1269, imdb_netflix_v5!A$2:H$7370, 2, FALSE), "")</f>
        <v>TV Show</v>
      </c>
      <c r="C1269" s="2" t="str">
        <f>IF(A1269&lt;&gt;"", VLOOKUP(A1269, imdb_netflix_v5!A$2:H$7370, 3, FALSE), "")</f>
        <v>Drama, History, War</v>
      </c>
      <c r="D1269" s="2">
        <f>IF(A1269&lt;&gt;"", VLOOKUP(A1269, imdb_netflix_v5!A$2:H$7370, 4, FALSE), "")</f>
        <v>8.1</v>
      </c>
      <c r="E1269" s="2">
        <f>IF(A1269&lt;&gt;"", VLOOKUP(A1269, imdb_netflix_v5!A$2:H$7370, 5, FALSE), "")</f>
        <v>2014</v>
      </c>
      <c r="F1269" s="2" t="str">
        <f>IF(A1269&lt;&gt;"", VLOOKUP(A1269, imdb_netflix_v5!A$2:H$7370, 7, FALSE), "")</f>
        <v>NA</v>
      </c>
    </row>
    <row r="1270" ht="15.75" customHeight="1">
      <c r="A1270" s="1" t="str">
        <f>IFERROR(__xludf.DUMMYFUNCTION("""COMPUTED_VALUE"""),"the unit")</f>
        <v>the unit</v>
      </c>
      <c r="B1270" s="1" t="str">
        <f>IF(A1270&lt;&gt;"", VLOOKUP(A1270, imdb_netflix_v5!A$2:H$7370, 2, FALSE), "")</f>
        <v>TV Show</v>
      </c>
      <c r="C1270" s="2" t="str">
        <f>IF(A1270&lt;&gt;"", VLOOKUP(A1270, imdb_netflix_v5!A$2:H$7370, 3, FALSE), "")</f>
        <v>Action, Drama, Thriller</v>
      </c>
      <c r="D1270" s="2">
        <f>IF(A1270&lt;&gt;"", VLOOKUP(A1270, imdb_netflix_v5!A$2:H$7370, 4, FALSE), "")</f>
        <v>8.1</v>
      </c>
      <c r="E1270" s="2">
        <f>IF(A1270&lt;&gt;"", VLOOKUP(A1270, imdb_netflix_v5!A$2:H$7370, 5, FALSE), "")</f>
        <v>2006</v>
      </c>
      <c r="F1270" s="2" t="str">
        <f>IF(A1270&lt;&gt;"", VLOOKUP(A1270, imdb_netflix_v5!A$2:H$7370, 7, FALSE), "")</f>
        <v>NA</v>
      </c>
    </row>
    <row r="1271" ht="15.75" customHeight="1">
      <c r="A1271" s="1" t="str">
        <f>IFERROR(__xludf.DUMMYFUNCTION("""COMPUTED_VALUE"""),"safety last!")</f>
        <v>safety last!</v>
      </c>
      <c r="B1271" s="1" t="str">
        <f>IF(A1271&lt;&gt;"", VLOOKUP(A1271, imdb_netflix_v5!A$2:H$7370, 2, FALSE), "")</f>
        <v>Movie</v>
      </c>
      <c r="C1271" s="2" t="str">
        <f>IF(A1271&lt;&gt;"", VLOOKUP(A1271, imdb_netflix_v5!A$2:H$7370, 3, FALSE), "")</f>
        <v>Action, Comedy, Thriller</v>
      </c>
      <c r="D1271" s="2">
        <f>IF(A1271&lt;&gt;"", VLOOKUP(A1271, imdb_netflix_v5!A$2:H$7370, 4, FALSE), "")</f>
        <v>8.1</v>
      </c>
      <c r="E1271" s="2">
        <f>IF(A1271&lt;&gt;"", VLOOKUP(A1271, imdb_netflix_v5!A$2:H$7370, 5, FALSE), "")</f>
        <v>1923</v>
      </c>
      <c r="F1271" s="2" t="str">
        <f>IF(A1271&lt;&gt;"", VLOOKUP(A1271, imdb_netflix_v5!A$2:H$7370, 7, FALSE), "")</f>
        <v>NA</v>
      </c>
    </row>
    <row r="1272" ht="15.75" customHeight="1">
      <c r="A1272" s="1" t="str">
        <f>IFERROR(__xludf.DUMMYFUNCTION("""COMPUTED_VALUE"""),"pardon")</f>
        <v>pardon</v>
      </c>
      <c r="B1272" s="1" t="str">
        <f>IF(A1272&lt;&gt;"", VLOOKUP(A1272, imdb_netflix_v5!A$2:H$7370, 2, FALSE), "")</f>
        <v>Movie</v>
      </c>
      <c r="C1272" s="2" t="str">
        <f>IF(A1272&lt;&gt;"", VLOOKUP(A1272, imdb_netflix_v5!A$2:H$7370, 3, FALSE), "")</f>
        <v>Comedy, Drama</v>
      </c>
      <c r="D1272" s="2">
        <f>IF(A1272&lt;&gt;"", VLOOKUP(A1272, imdb_netflix_v5!A$2:H$7370, 4, FALSE), "")</f>
        <v>8.1</v>
      </c>
      <c r="E1272" s="2">
        <f>IF(A1272&lt;&gt;"", VLOOKUP(A1272, imdb_netflix_v5!A$2:H$7370, 5, FALSE), "")</f>
        <v>2005</v>
      </c>
      <c r="F1272" s="2" t="str">
        <f>IF(A1272&lt;&gt;"", VLOOKUP(A1272, imdb_netflix_v5!A$2:H$7370, 7, FALSE), "")</f>
        <v>NA</v>
      </c>
    </row>
    <row r="1273" ht="15.75" customHeight="1">
      <c r="A1273" s="1" t="str">
        <f>IFERROR(__xludf.DUMMYFUNCTION("""COMPUTED_VALUE"""),"psycho-pass")</f>
        <v>psycho-pass</v>
      </c>
      <c r="B1273" s="1" t="str">
        <f>IF(A1273&lt;&gt;"", VLOOKUP(A1273, imdb_netflix_v5!A$2:H$7370, 2, FALSE), "")</f>
        <v>TV Show</v>
      </c>
      <c r="C1273" s="2" t="str">
        <f>IF(A1273&lt;&gt;"", VLOOKUP(A1273, imdb_netflix_v5!A$2:H$7370, 3, FALSE), "")</f>
        <v>Action, Animation, Crime</v>
      </c>
      <c r="D1273" s="2">
        <f>IF(A1273&lt;&gt;"", VLOOKUP(A1273, imdb_netflix_v5!A$2:H$7370, 4, FALSE), "")</f>
        <v>8.1</v>
      </c>
      <c r="E1273" s="2">
        <f>IF(A1273&lt;&gt;"", VLOOKUP(A1273, imdb_netflix_v5!A$2:H$7370, 5, FALSE), "")</f>
        <v>2012</v>
      </c>
      <c r="F1273" s="2" t="str">
        <f>IF(A1273&lt;&gt;"", VLOOKUP(A1273, imdb_netflix_v5!A$2:H$7370, 7, FALSE), "")</f>
        <v>NA</v>
      </c>
    </row>
    <row r="1274" ht="15.75" customHeight="1">
      <c r="A1274" s="1" t="str">
        <f>IFERROR(__xludf.DUMMYFUNCTION("""COMPUTED_VALUE"""),"man vs. wild")</f>
        <v>man vs. wild</v>
      </c>
      <c r="B1274" s="1" t="str">
        <f>IF(A1274&lt;&gt;"", VLOOKUP(A1274, imdb_netflix_v5!A$2:H$7370, 2, FALSE), "")</f>
        <v>TV Show</v>
      </c>
      <c r="C1274" s="2" t="str">
        <f>IF(A1274&lt;&gt;"", VLOOKUP(A1274, imdb_netflix_v5!A$2:H$7370, 3, FALSE), "")</f>
        <v>Adventure, Reality-TV</v>
      </c>
      <c r="D1274" s="2">
        <f>IF(A1274&lt;&gt;"", VLOOKUP(A1274, imdb_netflix_v5!A$2:H$7370, 4, FALSE), "")</f>
        <v>8.1</v>
      </c>
      <c r="E1274" s="2">
        <f>IF(A1274&lt;&gt;"", VLOOKUP(A1274, imdb_netflix_v5!A$2:H$7370, 5, FALSE), "")</f>
        <v>2006</v>
      </c>
      <c r="F1274" s="2" t="str">
        <f>IF(A1274&lt;&gt;"", VLOOKUP(A1274, imdb_netflix_v5!A$2:H$7370, 7, FALSE), "")</f>
        <v>NA</v>
      </c>
    </row>
    <row r="1275" ht="15.75" customHeight="1">
      <c r="A1275" s="1" t="str">
        <f>IFERROR(__xludf.DUMMYFUNCTION("""COMPUTED_VALUE"""),"rogue heroes")</f>
        <v>rogue heroes</v>
      </c>
      <c r="B1275" s="1" t="str">
        <f>IF(A1275&lt;&gt;"", VLOOKUP(A1275, imdb_netflix_v5!A$2:H$7370, 2, FALSE), "")</f>
        <v>TV Show</v>
      </c>
      <c r="C1275" s="2" t="str">
        <f>IF(A1275&lt;&gt;"", VLOOKUP(A1275, imdb_netflix_v5!A$2:H$7370, 3, FALSE), "")</f>
        <v>Action, Drama, Thriller</v>
      </c>
      <c r="D1275" s="2">
        <f>IF(A1275&lt;&gt;"", VLOOKUP(A1275, imdb_netflix_v5!A$2:H$7370, 4, FALSE), "")</f>
        <v>8.1</v>
      </c>
      <c r="E1275" s="2">
        <f>IF(A1275&lt;&gt;"", VLOOKUP(A1275, imdb_netflix_v5!A$2:H$7370, 5, FALSE), "")</f>
        <v>2022</v>
      </c>
      <c r="F1275" s="2" t="str">
        <f>IF(A1275&lt;&gt;"", VLOOKUP(A1275, imdb_netflix_v5!A$2:H$7370, 7, FALSE), "")</f>
        <v>NA</v>
      </c>
    </row>
    <row r="1276" ht="15.75" customHeight="1">
      <c r="A1276" s="1" t="str">
        <f>IFERROR(__xludf.DUMMYFUNCTION("""COMPUTED_VALUE"""),"insecure")</f>
        <v>insecure</v>
      </c>
      <c r="B1276" s="1" t="str">
        <f>IF(A1276&lt;&gt;"", VLOOKUP(A1276, imdb_netflix_v5!A$2:H$7370, 2, FALSE), "")</f>
        <v>TV Show</v>
      </c>
      <c r="C1276" s="2" t="str">
        <f>IF(A1276&lt;&gt;"", VLOOKUP(A1276, imdb_netflix_v5!A$2:H$7370, 3, FALSE), "")</f>
        <v>Comedy, Drama, Romance</v>
      </c>
      <c r="D1276" s="2">
        <f>IF(A1276&lt;&gt;"", VLOOKUP(A1276, imdb_netflix_v5!A$2:H$7370, 4, FALSE), "")</f>
        <v>8.1</v>
      </c>
      <c r="E1276" s="2">
        <f>IF(A1276&lt;&gt;"", VLOOKUP(A1276, imdb_netflix_v5!A$2:H$7370, 5, FALSE), "")</f>
        <v>2016</v>
      </c>
      <c r="F1276" s="2" t="str">
        <f>IF(A1276&lt;&gt;"", VLOOKUP(A1276, imdb_netflix_v5!A$2:H$7370, 7, FALSE), "")</f>
        <v>NA</v>
      </c>
    </row>
    <row r="1277" ht="15.75" customHeight="1">
      <c r="A1277" s="1" t="str">
        <f>IFERROR(__xludf.DUMMYFUNCTION("""COMPUTED_VALUE"""),"ripper street")</f>
        <v>ripper street</v>
      </c>
      <c r="B1277" s="1" t="str">
        <f>IF(A1277&lt;&gt;"", VLOOKUP(A1277, imdb_netflix_v5!A$2:H$7370, 2, FALSE), "")</f>
        <v>TV Show</v>
      </c>
      <c r="C1277" s="2" t="str">
        <f>IF(A1277&lt;&gt;"", VLOOKUP(A1277, imdb_netflix_v5!A$2:H$7370, 3, FALSE), "")</f>
        <v>Crime, Drama, Mystery</v>
      </c>
      <c r="D1277" s="2">
        <f>IF(A1277&lt;&gt;"", VLOOKUP(A1277, imdb_netflix_v5!A$2:H$7370, 4, FALSE), "")</f>
        <v>8.1</v>
      </c>
      <c r="E1277" s="2">
        <f>IF(A1277&lt;&gt;"", VLOOKUP(A1277, imdb_netflix_v5!A$2:H$7370, 5, FALSE), "")</f>
        <v>2012</v>
      </c>
      <c r="F1277" s="2" t="str">
        <f>IF(A1277&lt;&gt;"", VLOOKUP(A1277, imdb_netflix_v5!A$2:H$7370, 7, FALSE), "")</f>
        <v>NA</v>
      </c>
    </row>
    <row r="1278" ht="15.75" customHeight="1">
      <c r="A1278" s="1" t="str">
        <f>IFERROR(__xludf.DUMMYFUNCTION("""COMPUTED_VALUE"""),"the valley of the wolves")</f>
        <v>the valley of the wolves</v>
      </c>
      <c r="B1278" s="1" t="str">
        <f>IF(A1278&lt;&gt;"", VLOOKUP(A1278, imdb_netflix_v5!A$2:H$7370, 2, FALSE), "")</f>
        <v>TV Show</v>
      </c>
      <c r="C1278" s="2" t="str">
        <f>IF(A1278&lt;&gt;"", VLOOKUP(A1278, imdb_netflix_v5!A$2:H$7370, 3, FALSE), "")</f>
        <v>Action, Crime, Drama</v>
      </c>
      <c r="D1278" s="2">
        <f>IF(A1278&lt;&gt;"", VLOOKUP(A1278, imdb_netflix_v5!A$2:H$7370, 4, FALSE), "")</f>
        <v>8.1</v>
      </c>
      <c r="E1278" s="2">
        <f>IF(A1278&lt;&gt;"", VLOOKUP(A1278, imdb_netflix_v5!A$2:H$7370, 5, FALSE), "")</f>
        <v>2003</v>
      </c>
      <c r="F1278" s="2" t="str">
        <f>IF(A1278&lt;&gt;"", VLOOKUP(A1278, imdb_netflix_v5!A$2:H$7370, 7, FALSE), "")</f>
        <v>NA</v>
      </c>
    </row>
    <row r="1279" ht="15.75" customHeight="1">
      <c r="A1279" s="1" t="str">
        <f>IFERROR(__xludf.DUMMYFUNCTION("""COMPUTED_VALUE"""),"godfather of harlem")</f>
        <v>godfather of harlem</v>
      </c>
      <c r="B1279" s="1" t="str">
        <f>IF(A1279&lt;&gt;"", VLOOKUP(A1279, imdb_netflix_v5!A$2:H$7370, 2, FALSE), "")</f>
        <v>TV Show</v>
      </c>
      <c r="C1279" s="2" t="str">
        <f>IF(A1279&lt;&gt;"", VLOOKUP(A1279, imdb_netflix_v5!A$2:H$7370, 3, FALSE), "")</f>
        <v>Crime, Drama</v>
      </c>
      <c r="D1279" s="2">
        <f>IF(A1279&lt;&gt;"", VLOOKUP(A1279, imdb_netflix_v5!A$2:H$7370, 4, FALSE), "")</f>
        <v>8.1</v>
      </c>
      <c r="E1279" s="2">
        <f>IF(A1279&lt;&gt;"", VLOOKUP(A1279, imdb_netflix_v5!A$2:H$7370, 5, FALSE), "")</f>
        <v>2019</v>
      </c>
      <c r="F1279" s="2" t="str">
        <f>IF(A1279&lt;&gt;"", VLOOKUP(A1279, imdb_netflix_v5!A$2:H$7370, 7, FALSE), "")</f>
        <v>NA</v>
      </c>
    </row>
    <row r="1280" ht="15.75" customHeight="1">
      <c r="A1280" s="1" t="str">
        <f>IFERROR(__xludf.DUMMYFUNCTION("""COMPUTED_VALUE"""),"insider")</f>
        <v>insider</v>
      </c>
      <c r="B1280" s="1" t="str">
        <f>IF(A1280&lt;&gt;"", VLOOKUP(A1280, imdb_netflix_v5!A$2:H$7370, 2, FALSE), "")</f>
        <v>TV Show</v>
      </c>
      <c r="C1280" s="2" t="str">
        <f>IF(A1280&lt;&gt;"", VLOOKUP(A1280, imdb_netflix_v5!A$2:H$7370, 3, FALSE), "")</f>
        <v>Action, Crime, Drama</v>
      </c>
      <c r="D1280" s="2">
        <f>IF(A1280&lt;&gt;"", VLOOKUP(A1280, imdb_netflix_v5!A$2:H$7370, 4, FALSE), "")</f>
        <v>8.1</v>
      </c>
      <c r="E1280" s="2">
        <f>IF(A1280&lt;&gt;"", VLOOKUP(A1280, imdb_netflix_v5!A$2:H$7370, 5, FALSE), "")</f>
        <v>2016</v>
      </c>
      <c r="F1280" s="2" t="str">
        <f>IF(A1280&lt;&gt;"", VLOOKUP(A1280, imdb_netflix_v5!A$2:H$7370, 7, FALSE), "")</f>
        <v>NA</v>
      </c>
    </row>
    <row r="1281" ht="15.75" customHeight="1">
      <c r="A1281" s="1" t="str">
        <f>IFERROR(__xludf.DUMMYFUNCTION("""COMPUTED_VALUE"""),"the dawn wall")</f>
        <v>the dawn wall</v>
      </c>
      <c r="B1281" s="1" t="str">
        <f>IF(A1281&lt;&gt;"", VLOOKUP(A1281, imdb_netflix_v5!A$2:H$7370, 2, FALSE), "")</f>
        <v>Movie</v>
      </c>
      <c r="C1281" s="2" t="str">
        <f>IF(A1281&lt;&gt;"", VLOOKUP(A1281, imdb_netflix_v5!A$2:H$7370, 3, FALSE), "")</f>
        <v>Biography, Documentary, Sport</v>
      </c>
      <c r="D1281" s="2">
        <f>IF(A1281&lt;&gt;"", VLOOKUP(A1281, imdb_netflix_v5!A$2:H$7370, 4, FALSE), "")</f>
        <v>8.1</v>
      </c>
      <c r="E1281" s="2">
        <f>IF(A1281&lt;&gt;"", VLOOKUP(A1281, imdb_netflix_v5!A$2:H$7370, 5, FALSE), "")</f>
        <v>2017</v>
      </c>
      <c r="F1281" s="2" t="str">
        <f>IF(A1281&lt;&gt;"", VLOOKUP(A1281, imdb_netflix_v5!A$2:H$7370, 7, FALSE), "")</f>
        <v>NA</v>
      </c>
    </row>
    <row r="1282" ht="15.75" customHeight="1">
      <c r="A1282" s="1" t="str">
        <f>IFERROR(__xludf.DUMMYFUNCTION("""COMPUTED_VALUE"""),"the miracle worker")</f>
        <v>the miracle worker</v>
      </c>
      <c r="B1282" s="1" t="str">
        <f>IF(A1282&lt;&gt;"", VLOOKUP(A1282, imdb_netflix_v5!A$2:H$7370, 2, FALSE), "")</f>
        <v>Movie</v>
      </c>
      <c r="C1282" s="2" t="str">
        <f>IF(A1282&lt;&gt;"", VLOOKUP(A1282, imdb_netflix_v5!A$2:H$7370, 3, FALSE), "")</f>
        <v>Biography, Drama</v>
      </c>
      <c r="D1282" s="2">
        <f>IF(A1282&lt;&gt;"", VLOOKUP(A1282, imdb_netflix_v5!A$2:H$7370, 4, FALSE), "")</f>
        <v>8.1</v>
      </c>
      <c r="E1282" s="2">
        <f>IF(A1282&lt;&gt;"", VLOOKUP(A1282, imdb_netflix_v5!A$2:H$7370, 5, FALSE), "")</f>
        <v>1962</v>
      </c>
      <c r="F1282" s="2" t="str">
        <f>IF(A1282&lt;&gt;"", VLOOKUP(A1282, imdb_netflix_v5!A$2:H$7370, 7, FALSE), "")</f>
        <v>NA</v>
      </c>
    </row>
    <row r="1283" ht="15.75" customHeight="1">
      <c r="A1283" s="1" t="str">
        <f>IFERROR(__xludf.DUMMYFUNCTION("""COMPUTED_VALUE"""),"the last waltz")</f>
        <v>the last waltz</v>
      </c>
      <c r="B1283" s="1" t="str">
        <f>IF(A1283&lt;&gt;"", VLOOKUP(A1283, imdb_netflix_v5!A$2:H$7370, 2, FALSE), "")</f>
        <v>Movie</v>
      </c>
      <c r="C1283" s="2" t="str">
        <f>IF(A1283&lt;&gt;"", VLOOKUP(A1283, imdb_netflix_v5!A$2:H$7370, 3, FALSE), "")</f>
        <v>Biography, Documentary, Music</v>
      </c>
      <c r="D1283" s="2">
        <f>IF(A1283&lt;&gt;"", VLOOKUP(A1283, imdb_netflix_v5!A$2:H$7370, 4, FALSE), "")</f>
        <v>8.1</v>
      </c>
      <c r="E1283" s="2">
        <f>IF(A1283&lt;&gt;"", VLOOKUP(A1283, imdb_netflix_v5!A$2:H$7370, 5, FALSE), "")</f>
        <v>1978</v>
      </c>
      <c r="F1283" s="2" t="str">
        <f>IF(A1283&lt;&gt;"", VLOOKUP(A1283, imdb_netflix_v5!A$2:H$7370, 7, FALSE), "")</f>
        <v>NA</v>
      </c>
    </row>
    <row r="1284" ht="15.75" customHeight="1">
      <c r="A1284" s="1" t="str">
        <f>IFERROR(__xludf.DUMMYFUNCTION("""COMPUTED_VALUE"""),"innocence")</f>
        <v>innocence</v>
      </c>
      <c r="B1284" s="1" t="str">
        <f>IF(A1284&lt;&gt;"", VLOOKUP(A1284, imdb_netflix_v5!A$2:H$7370, 2, FALSE), "")</f>
        <v>Movie</v>
      </c>
      <c r="C1284" s="2" t="str">
        <f>IF(A1284&lt;&gt;"", VLOOKUP(A1284, imdb_netflix_v5!A$2:H$7370, 3, FALSE), "")</f>
        <v>Drama</v>
      </c>
      <c r="D1284" s="2">
        <f>IF(A1284&lt;&gt;"", VLOOKUP(A1284, imdb_netflix_v5!A$2:H$7370, 4, FALSE), "")</f>
        <v>8.1</v>
      </c>
      <c r="E1284" s="2">
        <f>IF(A1284&lt;&gt;"", VLOOKUP(A1284, imdb_netflix_v5!A$2:H$7370, 5, FALSE), "")</f>
        <v>1997</v>
      </c>
      <c r="F1284" s="2" t="str">
        <f>IF(A1284&lt;&gt;"", VLOOKUP(A1284, imdb_netflix_v5!A$2:H$7370, 7, FALSE), "")</f>
        <v>NA</v>
      </c>
    </row>
    <row r="1285" ht="15.75" customHeight="1">
      <c r="A1285" s="1" t="str">
        <f>IFERROR(__xludf.DUMMYFUNCTION("""COMPUTED_VALUE"""),"flcl")</f>
        <v>flcl</v>
      </c>
      <c r="B1285" s="1" t="str">
        <f>IF(A1285&lt;&gt;"", VLOOKUP(A1285, imdb_netflix_v5!A$2:H$7370, 2, FALSE), "")</f>
        <v>TV Show</v>
      </c>
      <c r="C1285" s="2" t="str">
        <f>IF(A1285&lt;&gt;"", VLOOKUP(A1285, imdb_netflix_v5!A$2:H$7370, 3, FALSE), "")</f>
        <v>Action, Animation, Comedy</v>
      </c>
      <c r="D1285" s="2">
        <f>IF(A1285&lt;&gt;"", VLOOKUP(A1285, imdb_netflix_v5!A$2:H$7370, 4, FALSE), "")</f>
        <v>8.1</v>
      </c>
      <c r="E1285" s="2">
        <f>IF(A1285&lt;&gt;"", VLOOKUP(A1285, imdb_netflix_v5!A$2:H$7370, 5, FALSE), "")</f>
        <v>2000</v>
      </c>
      <c r="F1285" s="2" t="str">
        <f>IF(A1285&lt;&gt;"", VLOOKUP(A1285, imdb_netflix_v5!A$2:H$7370, 7, FALSE), "")</f>
        <v>NA</v>
      </c>
    </row>
    <row r="1286" ht="15.75" customHeight="1">
      <c r="A1286" s="1" t="str">
        <f>IFERROR(__xludf.DUMMYFUNCTION("""COMPUTED_VALUE"""),"criminal justice")</f>
        <v>criminal justice</v>
      </c>
      <c r="B1286" s="1" t="str">
        <f>IF(A1286&lt;&gt;"", VLOOKUP(A1286, imdb_netflix_v5!A$2:H$7370, 2, FALSE), "")</f>
        <v>TV Show</v>
      </c>
      <c r="C1286" s="2" t="str">
        <f>IF(A1286&lt;&gt;"", VLOOKUP(A1286, imdb_netflix_v5!A$2:H$7370, 3, FALSE), "")</f>
        <v>Crime, Drama, Mystery</v>
      </c>
      <c r="D1286" s="2">
        <f>IF(A1286&lt;&gt;"", VLOOKUP(A1286, imdb_netflix_v5!A$2:H$7370, 4, FALSE), "")</f>
        <v>8.1</v>
      </c>
      <c r="E1286" s="2">
        <f>IF(A1286&lt;&gt;"", VLOOKUP(A1286, imdb_netflix_v5!A$2:H$7370, 5, FALSE), "")</f>
        <v>2019</v>
      </c>
      <c r="F1286" s="2" t="str">
        <f>IF(A1286&lt;&gt;"", VLOOKUP(A1286, imdb_netflix_v5!A$2:H$7370, 7, FALSE), "")</f>
        <v>NA</v>
      </c>
    </row>
    <row r="1287" ht="15.75" customHeight="1">
      <c r="A1287" s="1" t="str">
        <f>IFERROR(__xludf.DUMMYFUNCTION("""COMPUTED_VALUE"""),"she-ra and the princesses of power")</f>
        <v>she-ra and the princesses of power</v>
      </c>
      <c r="B1287" s="1" t="str">
        <f>IF(A1287&lt;&gt;"", VLOOKUP(A1287, imdb_netflix_v5!A$2:H$7370, 2, FALSE), "")</f>
        <v>TV Show</v>
      </c>
      <c r="C1287" s="2" t="str">
        <f>IF(A1287&lt;&gt;"", VLOOKUP(A1287, imdb_netflix_v5!A$2:H$7370, 3, FALSE), "")</f>
        <v>Action, Adventure, Animation</v>
      </c>
      <c r="D1287" s="2">
        <f>IF(A1287&lt;&gt;"", VLOOKUP(A1287, imdb_netflix_v5!A$2:H$7370, 4, FALSE), "")</f>
        <v>8.1</v>
      </c>
      <c r="E1287" s="2">
        <f>IF(A1287&lt;&gt;"", VLOOKUP(A1287, imdb_netflix_v5!A$2:H$7370, 5, FALSE), "")</f>
        <v>2018</v>
      </c>
      <c r="F1287" s="2" t="str">
        <f>IF(A1287&lt;&gt;"", VLOOKUP(A1287, imdb_netflix_v5!A$2:H$7370, 7, FALSE), "")</f>
        <v>NA</v>
      </c>
    </row>
    <row r="1288" ht="15.75" customHeight="1">
      <c r="A1288" s="1" t="str">
        <f>IFERROR(__xludf.DUMMYFUNCTION("""COMPUTED_VALUE"""),"where is the friends house?")</f>
        <v>where is the friends house?</v>
      </c>
      <c r="B1288" s="1" t="str">
        <f>IF(A1288&lt;&gt;"", VLOOKUP(A1288, imdb_netflix_v5!A$2:H$7370, 2, FALSE), "")</f>
        <v>Movie</v>
      </c>
      <c r="C1288" s="2" t="str">
        <f>IF(A1288&lt;&gt;"", VLOOKUP(A1288, imdb_netflix_v5!A$2:H$7370, 3, FALSE), "")</f>
        <v>Drama, Family</v>
      </c>
      <c r="D1288" s="2">
        <f>IF(A1288&lt;&gt;"", VLOOKUP(A1288, imdb_netflix_v5!A$2:H$7370, 4, FALSE), "")</f>
        <v>8.1</v>
      </c>
      <c r="E1288" s="2">
        <f>IF(A1288&lt;&gt;"", VLOOKUP(A1288, imdb_netflix_v5!A$2:H$7370, 5, FALSE), "")</f>
        <v>1987</v>
      </c>
      <c r="F1288" s="2" t="str">
        <f>IF(A1288&lt;&gt;"", VLOOKUP(A1288, imdb_netflix_v5!A$2:H$7370, 7, FALSE), "")</f>
        <v>NA</v>
      </c>
    </row>
    <row r="1289" ht="15.75" customHeight="1">
      <c r="A1289" s="1" t="str">
        <f>IFERROR(__xludf.DUMMYFUNCTION("""COMPUTED_VALUE"""),"the new pope")</f>
        <v>the new pope</v>
      </c>
      <c r="B1289" s="1" t="str">
        <f>IF(A1289&lt;&gt;"", VLOOKUP(A1289, imdb_netflix_v5!A$2:H$7370, 2, FALSE), "")</f>
        <v>TV Show</v>
      </c>
      <c r="C1289" s="2" t="str">
        <f>IF(A1289&lt;&gt;"", VLOOKUP(A1289, imdb_netflix_v5!A$2:H$7370, 3, FALSE), "")</f>
        <v>Drama</v>
      </c>
      <c r="D1289" s="2">
        <f>IF(A1289&lt;&gt;"", VLOOKUP(A1289, imdb_netflix_v5!A$2:H$7370, 4, FALSE), "")</f>
        <v>8.1</v>
      </c>
      <c r="E1289" s="2">
        <f>IF(A1289&lt;&gt;"", VLOOKUP(A1289, imdb_netflix_v5!A$2:H$7370, 5, FALSE), "")</f>
        <v>2020</v>
      </c>
      <c r="F1289" s="2" t="str">
        <f>IF(A1289&lt;&gt;"", VLOOKUP(A1289, imdb_netflix_v5!A$2:H$7370, 7, FALSE), "")</f>
        <v>NA</v>
      </c>
    </row>
    <row r="1290" ht="15.75" customHeight="1">
      <c r="A1290" s="1" t="str">
        <f>IFERROR(__xludf.DUMMYFUNCTION("""COMPUTED_VALUE"""),"section 375")</f>
        <v>section 375</v>
      </c>
      <c r="B1290" s="1" t="str">
        <f>IF(A1290&lt;&gt;"", VLOOKUP(A1290, imdb_netflix_v5!A$2:H$7370, 2, FALSE), "")</f>
        <v>Movie</v>
      </c>
      <c r="C1290" s="2" t="str">
        <f>IF(A1290&lt;&gt;"", VLOOKUP(A1290, imdb_netflix_v5!A$2:H$7370, 3, FALSE), "")</f>
        <v>Crime, Drama, Mystery</v>
      </c>
      <c r="D1290" s="2">
        <f>IF(A1290&lt;&gt;"", VLOOKUP(A1290, imdb_netflix_v5!A$2:H$7370, 4, FALSE), "")</f>
        <v>8.1</v>
      </c>
      <c r="E1290" s="2">
        <f>IF(A1290&lt;&gt;"", VLOOKUP(A1290, imdb_netflix_v5!A$2:H$7370, 5, FALSE), "")</f>
        <v>2019</v>
      </c>
      <c r="F1290" s="2" t="str">
        <f>IF(A1290&lt;&gt;"", VLOOKUP(A1290, imdb_netflix_v5!A$2:H$7370, 7, FALSE), "")</f>
        <v>NA</v>
      </c>
    </row>
    <row r="1291" ht="15.75" customHeight="1">
      <c r="A1291" s="1" t="str">
        <f>IFERROR(__xludf.DUMMYFUNCTION("""COMPUTED_VALUE"""),"one day at a time")</f>
        <v>one day at a time</v>
      </c>
      <c r="B1291" s="1" t="str">
        <f>IF(A1291&lt;&gt;"", VLOOKUP(A1291, imdb_netflix_v5!A$2:H$7370, 2, FALSE), "")</f>
        <v>TV Show</v>
      </c>
      <c r="C1291" s="2" t="str">
        <f>IF(A1291&lt;&gt;"", VLOOKUP(A1291, imdb_netflix_v5!A$2:H$7370, 3, FALSE), "")</f>
        <v>Comedy, Drama</v>
      </c>
      <c r="D1291" s="2">
        <f>IF(A1291&lt;&gt;"", VLOOKUP(A1291, imdb_netflix_v5!A$2:H$7370, 4, FALSE), "")</f>
        <v>8.1</v>
      </c>
      <c r="E1291" s="2">
        <f>IF(A1291&lt;&gt;"", VLOOKUP(A1291, imdb_netflix_v5!A$2:H$7370, 5, FALSE), "")</f>
        <v>2017</v>
      </c>
      <c r="F1291" s="2" t="str">
        <f>IF(A1291&lt;&gt;"", VLOOKUP(A1291, imdb_netflix_v5!A$2:H$7370, 7, FALSE), "")</f>
        <v>NA</v>
      </c>
    </row>
    <row r="1292" ht="15.75" customHeight="1">
      <c r="A1292" s="1" t="str">
        <f>IFERROR(__xludf.DUMMYFUNCTION("""COMPUTED_VALUE"""),"zeitgeist moving forward")</f>
        <v>zeitgeist moving forward</v>
      </c>
      <c r="B1292" s="1" t="str">
        <f>IF(A1292&lt;&gt;"", VLOOKUP(A1292, imdb_netflix_v5!A$2:H$7370, 2, FALSE), "")</f>
        <v>Movie</v>
      </c>
      <c r="C1292" s="2" t="str">
        <f>IF(A1292&lt;&gt;"", VLOOKUP(A1292, imdb_netflix_v5!A$2:H$7370, 3, FALSE), "")</f>
        <v>Documentary</v>
      </c>
      <c r="D1292" s="2">
        <f>IF(A1292&lt;&gt;"", VLOOKUP(A1292, imdb_netflix_v5!A$2:H$7370, 4, FALSE), "")</f>
        <v>8.1</v>
      </c>
      <c r="E1292" s="2">
        <f>IF(A1292&lt;&gt;"", VLOOKUP(A1292, imdb_netflix_v5!A$2:H$7370, 5, FALSE), "")</f>
        <v>2011</v>
      </c>
      <c r="F1292" s="2" t="str">
        <f>IF(A1292&lt;&gt;"", VLOOKUP(A1292, imdb_netflix_v5!A$2:H$7370, 7, FALSE), "")</f>
        <v>NA</v>
      </c>
    </row>
    <row r="1293" ht="15.75" customHeight="1">
      <c r="A1293" s="1" t="str">
        <f>IFERROR(__xludf.DUMMYFUNCTION("""COMPUTED_VALUE"""),"woodstock")</f>
        <v>woodstock</v>
      </c>
      <c r="B1293" s="1" t="str">
        <f>IF(A1293&lt;&gt;"", VLOOKUP(A1293, imdb_netflix_v5!A$2:H$7370, 2, FALSE), "")</f>
        <v>Movie</v>
      </c>
      <c r="C1293" s="2" t="str">
        <f>IF(A1293&lt;&gt;"", VLOOKUP(A1293, imdb_netflix_v5!A$2:H$7370, 3, FALSE), "")</f>
        <v>Documentary, History, Music</v>
      </c>
      <c r="D1293" s="2">
        <f>IF(A1293&lt;&gt;"", VLOOKUP(A1293, imdb_netflix_v5!A$2:H$7370, 4, FALSE), "")</f>
        <v>8.1</v>
      </c>
      <c r="E1293" s="2">
        <f>IF(A1293&lt;&gt;"", VLOOKUP(A1293, imdb_netflix_v5!A$2:H$7370, 5, FALSE), "")</f>
        <v>1970</v>
      </c>
      <c r="F1293" s="2" t="str">
        <f>IF(A1293&lt;&gt;"", VLOOKUP(A1293, imdb_netflix_v5!A$2:H$7370, 7, FALSE), "")</f>
        <v>NA</v>
      </c>
    </row>
    <row r="1294" ht="15.75" customHeight="1">
      <c r="A1294" s="1" t="str">
        <f>IFERROR(__xludf.DUMMYFUNCTION("""COMPUTED_VALUE"""),"serial experiments lain")</f>
        <v>serial experiments lain</v>
      </c>
      <c r="B1294" s="1" t="str">
        <f>IF(A1294&lt;&gt;"", VLOOKUP(A1294, imdb_netflix_v5!A$2:H$7370, 2, FALSE), "")</f>
        <v>TV Show</v>
      </c>
      <c r="C1294" s="2" t="str">
        <f>IF(A1294&lt;&gt;"", VLOOKUP(A1294, imdb_netflix_v5!A$2:H$7370, 3, FALSE), "")</f>
        <v>Animation, Drama, Horror</v>
      </c>
      <c r="D1294" s="2">
        <f>IF(A1294&lt;&gt;"", VLOOKUP(A1294, imdb_netflix_v5!A$2:H$7370, 4, FALSE), "")</f>
        <v>8.1</v>
      </c>
      <c r="E1294" s="2">
        <f>IF(A1294&lt;&gt;"", VLOOKUP(A1294, imdb_netflix_v5!A$2:H$7370, 5, FALSE), "")</f>
        <v>1998</v>
      </c>
      <c r="F1294" s="2" t="str">
        <f>IF(A1294&lt;&gt;"", VLOOKUP(A1294, imdb_netflix_v5!A$2:H$7370, 7, FALSE), "")</f>
        <v>NA</v>
      </c>
    </row>
    <row r="1295" ht="15.75" customHeight="1">
      <c r="A1295" s="1" t="str">
        <f>IFERROR(__xludf.DUMMYFUNCTION("""COMPUTED_VALUE"""),"the color of paradise")</f>
        <v>the color of paradise</v>
      </c>
      <c r="B1295" s="1" t="str">
        <f>IF(A1295&lt;&gt;"", VLOOKUP(A1295, imdb_netflix_v5!A$2:H$7370, 2, FALSE), "")</f>
        <v>Movie</v>
      </c>
      <c r="C1295" s="2" t="str">
        <f>IF(A1295&lt;&gt;"", VLOOKUP(A1295, imdb_netflix_v5!A$2:H$7370, 3, FALSE), "")</f>
        <v>Drama, Family</v>
      </c>
      <c r="D1295" s="2">
        <f>IF(A1295&lt;&gt;"", VLOOKUP(A1295, imdb_netflix_v5!A$2:H$7370, 4, FALSE), "")</f>
        <v>8.1</v>
      </c>
      <c r="E1295" s="2">
        <f>IF(A1295&lt;&gt;"", VLOOKUP(A1295, imdb_netflix_v5!A$2:H$7370, 5, FALSE), "")</f>
        <v>1999</v>
      </c>
      <c r="F1295" s="2" t="str">
        <f>IF(A1295&lt;&gt;"", VLOOKUP(A1295, imdb_netflix_v5!A$2:H$7370, 7, FALSE), "")</f>
        <v>NA</v>
      </c>
    </row>
    <row r="1296" ht="15.75" customHeight="1">
      <c r="A1296" s="1" t="str">
        <f>IFERROR(__xludf.DUMMYFUNCTION("""COMPUTED_VALUE"""),"boss")</f>
        <v>boss</v>
      </c>
      <c r="B1296" s="1" t="str">
        <f>IF(A1296&lt;&gt;"", VLOOKUP(A1296, imdb_netflix_v5!A$2:H$7370, 2, FALSE), "")</f>
        <v>TV Show</v>
      </c>
      <c r="C1296" s="2" t="str">
        <f>IF(A1296&lt;&gt;"", VLOOKUP(A1296, imdb_netflix_v5!A$2:H$7370, 3, FALSE), "")</f>
        <v>Crime, Drama</v>
      </c>
      <c r="D1296" s="2">
        <f>IF(A1296&lt;&gt;"", VLOOKUP(A1296, imdb_netflix_v5!A$2:H$7370, 4, FALSE), "")</f>
        <v>8.1</v>
      </c>
      <c r="E1296" s="2">
        <f>IF(A1296&lt;&gt;"", VLOOKUP(A1296, imdb_netflix_v5!A$2:H$7370, 5, FALSE), "")</f>
        <v>2011</v>
      </c>
      <c r="F1296" s="2" t="str">
        <f>IF(A1296&lt;&gt;"", VLOOKUP(A1296, imdb_netflix_v5!A$2:H$7370, 7, FALSE), "")</f>
        <v>NA</v>
      </c>
    </row>
    <row r="1297" ht="15.75" customHeight="1">
      <c r="A1297" s="1" t="str">
        <f>IFERROR(__xludf.DUMMYFUNCTION("""COMPUTED_VALUE"""),"emma")</f>
        <v>emma</v>
      </c>
      <c r="B1297" s="1" t="str">
        <f>IF(A1297&lt;&gt;"", VLOOKUP(A1297, imdb_netflix_v5!A$2:H$7370, 2, FALSE), "")</f>
        <v>TV Show</v>
      </c>
      <c r="C1297" s="2" t="str">
        <f>IF(A1297&lt;&gt;"", VLOOKUP(A1297, imdb_netflix_v5!A$2:H$7370, 3, FALSE), "")</f>
        <v>Comedy, Drama, Romance</v>
      </c>
      <c r="D1297" s="2">
        <f>IF(A1297&lt;&gt;"", VLOOKUP(A1297, imdb_netflix_v5!A$2:H$7370, 4, FALSE), "")</f>
        <v>8.1</v>
      </c>
      <c r="E1297" s="2">
        <f>IF(A1297&lt;&gt;"", VLOOKUP(A1297, imdb_netflix_v5!A$2:H$7370, 5, FALSE), "")</f>
        <v>2009</v>
      </c>
      <c r="F1297" s="2" t="str">
        <f>IF(A1297&lt;&gt;"", VLOOKUP(A1297, imdb_netflix_v5!A$2:H$7370, 7, FALSE), "")</f>
        <v>NA</v>
      </c>
    </row>
    <row r="1298" ht="15.75" customHeight="1">
      <c r="A1298" s="1" t="str">
        <f>IFERROR(__xludf.DUMMYFUNCTION("""COMPUTED_VALUE"""),"superman the animated series")</f>
        <v>superman the animated series</v>
      </c>
      <c r="B1298" s="1" t="str">
        <f>IF(A1298&lt;&gt;"", VLOOKUP(A1298, imdb_netflix_v5!A$2:H$7370, 2, FALSE), "")</f>
        <v>TV Show</v>
      </c>
      <c r="C1298" s="2" t="str">
        <f>IF(A1298&lt;&gt;"", VLOOKUP(A1298, imdb_netflix_v5!A$2:H$7370, 3, FALSE), "")</f>
        <v>Action, Adventure, Animation</v>
      </c>
      <c r="D1298" s="2">
        <f>IF(A1298&lt;&gt;"", VLOOKUP(A1298, imdb_netflix_v5!A$2:H$7370, 4, FALSE), "")</f>
        <v>8.1</v>
      </c>
      <c r="E1298" s="2">
        <f>IF(A1298&lt;&gt;"", VLOOKUP(A1298, imdb_netflix_v5!A$2:H$7370, 5, FALSE), "")</f>
        <v>1996</v>
      </c>
      <c r="F1298" s="2" t="str">
        <f>IF(A1298&lt;&gt;"", VLOOKUP(A1298, imdb_netflix_v5!A$2:H$7370, 7, FALSE), "")</f>
        <v>NA</v>
      </c>
    </row>
    <row r="1299" ht="15.75" customHeight="1">
      <c r="A1299" s="1" t="str">
        <f>IFERROR(__xludf.DUMMYFUNCTION("""COMPUTED_VALUE"""),"zoeys extraordinary playlist")</f>
        <v>zoeys extraordinary playlist</v>
      </c>
      <c r="B1299" s="1" t="str">
        <f>IF(A1299&lt;&gt;"", VLOOKUP(A1299, imdb_netflix_v5!A$2:H$7370, 2, FALSE), "")</f>
        <v>TV Show</v>
      </c>
      <c r="C1299" s="2" t="str">
        <f>IF(A1299&lt;&gt;"", VLOOKUP(A1299, imdb_netflix_v5!A$2:H$7370, 3, FALSE), "")</f>
        <v>Comedy, Drama, Musical</v>
      </c>
      <c r="D1299" s="2">
        <f>IF(A1299&lt;&gt;"", VLOOKUP(A1299, imdb_netflix_v5!A$2:H$7370, 4, FALSE), "")</f>
        <v>8.1</v>
      </c>
      <c r="E1299" s="2">
        <f>IF(A1299&lt;&gt;"", VLOOKUP(A1299, imdb_netflix_v5!A$2:H$7370, 5, FALSE), "")</f>
        <v>2020</v>
      </c>
      <c r="F1299" s="2" t="str">
        <f>IF(A1299&lt;&gt;"", VLOOKUP(A1299, imdb_netflix_v5!A$2:H$7370, 7, FALSE), "")</f>
        <v>NA</v>
      </c>
    </row>
    <row r="1300" ht="15.75" customHeight="1">
      <c r="A1300" s="1" t="str">
        <f>IFERROR(__xludf.DUMMYFUNCTION("""COMPUTED_VALUE"""),"iqbal")</f>
        <v>iqbal</v>
      </c>
      <c r="B1300" s="1" t="str">
        <f>IF(A1300&lt;&gt;"", VLOOKUP(A1300, imdb_netflix_v5!A$2:H$7370, 2, FALSE), "")</f>
        <v>Movie</v>
      </c>
      <c r="C1300" s="2" t="str">
        <f>IF(A1300&lt;&gt;"", VLOOKUP(A1300, imdb_netflix_v5!A$2:H$7370, 3, FALSE), "")</f>
        <v>Drama, Sport</v>
      </c>
      <c r="D1300" s="2">
        <f>IF(A1300&lt;&gt;"", VLOOKUP(A1300, imdb_netflix_v5!A$2:H$7370, 4, FALSE), "")</f>
        <v>8.1</v>
      </c>
      <c r="E1300" s="2">
        <f>IF(A1300&lt;&gt;"", VLOOKUP(A1300, imdb_netflix_v5!A$2:H$7370, 5, FALSE), "")</f>
        <v>2005</v>
      </c>
      <c r="F1300" s="2" t="str">
        <f>IF(A1300&lt;&gt;"", VLOOKUP(A1300, imdb_netflix_v5!A$2:H$7370, 7, FALSE), "")</f>
        <v>NA</v>
      </c>
    </row>
    <row r="1301" ht="15.75" customHeight="1">
      <c r="A1301" s="1" t="str">
        <f>IFERROR(__xludf.DUMMYFUNCTION("""COMPUTED_VALUE"""),"the heiress")</f>
        <v>the heiress</v>
      </c>
      <c r="B1301" s="1" t="str">
        <f>IF(A1301&lt;&gt;"", VLOOKUP(A1301, imdb_netflix_v5!A$2:H$7370, 2, FALSE), "")</f>
        <v>Movie</v>
      </c>
      <c r="C1301" s="2" t="str">
        <f>IF(A1301&lt;&gt;"", VLOOKUP(A1301, imdb_netflix_v5!A$2:H$7370, 3, FALSE), "")</f>
        <v>Drama, Romance</v>
      </c>
      <c r="D1301" s="2">
        <f>IF(A1301&lt;&gt;"", VLOOKUP(A1301, imdb_netflix_v5!A$2:H$7370, 4, FALSE), "")</f>
        <v>8.1</v>
      </c>
      <c r="E1301" s="2">
        <f>IF(A1301&lt;&gt;"", VLOOKUP(A1301, imdb_netflix_v5!A$2:H$7370, 5, FALSE), "")</f>
        <v>1949</v>
      </c>
      <c r="F1301" s="2" t="str">
        <f>IF(A1301&lt;&gt;"", VLOOKUP(A1301, imdb_netflix_v5!A$2:H$7370, 7, FALSE), "")</f>
        <v>NA</v>
      </c>
    </row>
    <row r="1302" ht="15.75" customHeight="1">
      <c r="A1302" s="1" t="str">
        <f>IFERROR(__xludf.DUMMYFUNCTION("""COMPUTED_VALUE"""),"that time i got reincarnated as a slime")</f>
        <v>that time i got reincarnated as a slime</v>
      </c>
      <c r="B1302" s="1" t="str">
        <f>IF(A1302&lt;&gt;"", VLOOKUP(A1302, imdb_netflix_v5!A$2:H$7370, 2, FALSE), "")</f>
        <v>TV Show</v>
      </c>
      <c r="C1302" s="2" t="str">
        <f>IF(A1302&lt;&gt;"", VLOOKUP(A1302, imdb_netflix_v5!A$2:H$7370, 3, FALSE), "")</f>
        <v>Action, Adventure, Animation</v>
      </c>
      <c r="D1302" s="2">
        <f>IF(A1302&lt;&gt;"", VLOOKUP(A1302, imdb_netflix_v5!A$2:H$7370, 4, FALSE), "")</f>
        <v>8.1</v>
      </c>
      <c r="E1302" s="2">
        <f>IF(A1302&lt;&gt;"", VLOOKUP(A1302, imdb_netflix_v5!A$2:H$7370, 5, FALSE), "")</f>
        <v>2018</v>
      </c>
      <c r="F1302" s="2" t="str">
        <f>IF(A1302&lt;&gt;"", VLOOKUP(A1302, imdb_netflix_v5!A$2:H$7370, 7, FALSE), "")</f>
        <v>NA</v>
      </c>
    </row>
    <row r="1303" ht="15.75" customHeight="1">
      <c r="A1303" s="1" t="str">
        <f>IFERROR(__xludf.DUMMYFUNCTION("""COMPUTED_VALUE"""),"the legend of bhagat singh")</f>
        <v>the legend of bhagat singh</v>
      </c>
      <c r="B1303" s="1" t="str">
        <f>IF(A1303&lt;&gt;"", VLOOKUP(A1303, imdb_netflix_v5!A$2:H$7370, 2, FALSE), "")</f>
        <v>Movie</v>
      </c>
      <c r="C1303" s="2" t="str">
        <f>IF(A1303&lt;&gt;"", VLOOKUP(A1303, imdb_netflix_v5!A$2:H$7370, 3, FALSE), "")</f>
        <v>Biography, Drama, History</v>
      </c>
      <c r="D1303" s="2">
        <f>IF(A1303&lt;&gt;"", VLOOKUP(A1303, imdb_netflix_v5!A$2:H$7370, 4, FALSE), "")</f>
        <v>8.1</v>
      </c>
      <c r="E1303" s="2">
        <f>IF(A1303&lt;&gt;"", VLOOKUP(A1303, imdb_netflix_v5!A$2:H$7370, 5, FALSE), "")</f>
        <v>2002</v>
      </c>
      <c r="F1303" s="2" t="str">
        <f>IF(A1303&lt;&gt;"", VLOOKUP(A1303, imdb_netflix_v5!A$2:H$7370, 7, FALSE), "")</f>
        <v>NA</v>
      </c>
    </row>
    <row r="1304" ht="15.75" customHeight="1">
      <c r="A1304" s="1" t="str">
        <f>IFERROR(__xludf.DUMMYFUNCTION("""COMPUTED_VALUE"""),"lucky baskhar")</f>
        <v>lucky baskhar</v>
      </c>
      <c r="B1304" s="1" t="str">
        <f>IF(A1304&lt;&gt;"", VLOOKUP(A1304, imdb_netflix_v5!A$2:H$7370, 2, FALSE), "")</f>
        <v>Movie</v>
      </c>
      <c r="C1304" s="2" t="str">
        <f>IF(A1304&lt;&gt;"", VLOOKUP(A1304, imdb_netflix_v5!A$2:H$7370, 3, FALSE), "")</f>
        <v>Crime, Drama, Thriller</v>
      </c>
      <c r="D1304" s="2">
        <f>IF(A1304&lt;&gt;"", VLOOKUP(A1304, imdb_netflix_v5!A$2:H$7370, 4, FALSE), "")</f>
        <v>8.1</v>
      </c>
      <c r="E1304" s="2">
        <f>IF(A1304&lt;&gt;"", VLOOKUP(A1304, imdb_netflix_v5!A$2:H$7370, 5, FALSE), "")</f>
        <v>2024</v>
      </c>
      <c r="F1304" s="2" t="str">
        <f>IF(A1304&lt;&gt;"", VLOOKUP(A1304, imdb_netflix_v5!A$2:H$7370, 7, FALSE), "")</f>
        <v>NA</v>
      </c>
    </row>
    <row r="1305" ht="15.75" customHeight="1">
      <c r="A1305" s="1" t="str">
        <f>IFERROR(__xludf.DUMMYFUNCTION("""COMPUTED_VALUE"""),"blue lock")</f>
        <v>blue lock</v>
      </c>
      <c r="B1305" s="1" t="str">
        <f>IF(A1305&lt;&gt;"", VLOOKUP(A1305, imdb_netflix_v5!A$2:H$7370, 2, FALSE), "")</f>
        <v>TV Show</v>
      </c>
      <c r="C1305" s="2" t="str">
        <f>IF(A1305&lt;&gt;"", VLOOKUP(A1305, imdb_netflix_v5!A$2:H$7370, 3, FALSE), "")</f>
        <v>Animation, Sport, Thriller</v>
      </c>
      <c r="D1305" s="2">
        <f>IF(A1305&lt;&gt;"", VLOOKUP(A1305, imdb_netflix_v5!A$2:H$7370, 4, FALSE), "")</f>
        <v>8.1</v>
      </c>
      <c r="E1305" s="2">
        <f>IF(A1305&lt;&gt;"", VLOOKUP(A1305, imdb_netflix_v5!A$2:H$7370, 5, FALSE), "")</f>
        <v>2022</v>
      </c>
      <c r="F1305" s="2" t="str">
        <f>IF(A1305&lt;&gt;"", VLOOKUP(A1305, imdb_netflix_v5!A$2:H$7370, 7, FALSE), "")</f>
        <v>NA</v>
      </c>
    </row>
    <row r="1306" ht="15.75" customHeight="1">
      <c r="A1306" s="1" t="str">
        <f>IFERROR(__xludf.DUMMYFUNCTION("""COMPUTED_VALUE"""),"the king eternal monarch")</f>
        <v>the king eternal monarch</v>
      </c>
      <c r="B1306" s="1" t="str">
        <f>IF(A1306&lt;&gt;"", VLOOKUP(A1306, imdb_netflix_v5!A$2:H$7370, 2, FALSE), "")</f>
        <v>TV Show</v>
      </c>
      <c r="C1306" s="2" t="str">
        <f>IF(A1306&lt;&gt;"", VLOOKUP(A1306, imdb_netflix_v5!A$2:H$7370, 3, FALSE), "")</f>
        <v>Fantasy, Mystery, Romance</v>
      </c>
      <c r="D1306" s="2">
        <f>IF(A1306&lt;&gt;"", VLOOKUP(A1306, imdb_netflix_v5!A$2:H$7370, 4, FALSE), "")</f>
        <v>8.1</v>
      </c>
      <c r="E1306" s="2">
        <f>IF(A1306&lt;&gt;"", VLOOKUP(A1306, imdb_netflix_v5!A$2:H$7370, 5, FALSE), "")</f>
        <v>2020</v>
      </c>
      <c r="F1306" s="2" t="str">
        <f>IF(A1306&lt;&gt;"", VLOOKUP(A1306, imdb_netflix_v5!A$2:H$7370, 7, FALSE), "")</f>
        <v>NA</v>
      </c>
    </row>
    <row r="1307" ht="15.75" customHeight="1">
      <c r="A1307" s="1" t="str">
        <f>IFERROR(__xludf.DUMMYFUNCTION("""COMPUTED_VALUE"""),"faust")</f>
        <v>faust</v>
      </c>
      <c r="B1307" s="1" t="str">
        <f>IF(A1307&lt;&gt;"", VLOOKUP(A1307, imdb_netflix_v5!A$2:H$7370, 2, FALSE), "")</f>
        <v>Movie</v>
      </c>
      <c r="C1307" s="2" t="str">
        <f>IF(A1307&lt;&gt;"", VLOOKUP(A1307, imdb_netflix_v5!A$2:H$7370, 3, FALSE), "")</f>
        <v>Drama, Fantasy, Horror</v>
      </c>
      <c r="D1307" s="2">
        <f>IF(A1307&lt;&gt;"", VLOOKUP(A1307, imdb_netflix_v5!A$2:H$7370, 4, FALSE), "")</f>
        <v>8.1</v>
      </c>
      <c r="E1307" s="2">
        <f>IF(A1307&lt;&gt;"", VLOOKUP(A1307, imdb_netflix_v5!A$2:H$7370, 5, FALSE), "")</f>
        <v>1926</v>
      </c>
      <c r="F1307" s="2" t="str">
        <f>IF(A1307&lt;&gt;"", VLOOKUP(A1307, imdb_netflix_v5!A$2:H$7370, 7, FALSE), "")</f>
        <v>NA</v>
      </c>
    </row>
    <row r="1308" ht="15.75" customHeight="1">
      <c r="A1308" s="1" t="str">
        <f>IFERROR(__xludf.DUMMYFUNCTION("""COMPUTED_VALUE"""),"hridayam")</f>
        <v>hridayam</v>
      </c>
      <c r="B1308" s="1" t="str">
        <f>IF(A1308&lt;&gt;"", VLOOKUP(A1308, imdb_netflix_v5!A$2:H$7370, 2, FALSE), "")</f>
        <v>Movie</v>
      </c>
      <c r="C1308" s="2" t="str">
        <f>IF(A1308&lt;&gt;"", VLOOKUP(A1308, imdb_netflix_v5!A$2:H$7370, 3, FALSE), "")</f>
        <v>Drama, Musical, Romance</v>
      </c>
      <c r="D1308" s="2">
        <f>IF(A1308&lt;&gt;"", VLOOKUP(A1308, imdb_netflix_v5!A$2:H$7370, 4, FALSE), "")</f>
        <v>8.1</v>
      </c>
      <c r="E1308" s="2">
        <f>IF(A1308&lt;&gt;"", VLOOKUP(A1308, imdb_netflix_v5!A$2:H$7370, 5, FALSE), "")</f>
        <v>2022</v>
      </c>
      <c r="F1308" s="2" t="str">
        <f>IF(A1308&lt;&gt;"", VLOOKUP(A1308, imdb_netflix_v5!A$2:H$7370, 7, FALSE), "")</f>
        <v>NA</v>
      </c>
    </row>
    <row r="1309" ht="15.75" customHeight="1">
      <c r="A1309" s="1" t="str">
        <f>IFERROR(__xludf.DUMMYFUNCTION("""COMPUTED_VALUE"""),"hells paradise jigokuraku")</f>
        <v>hells paradise jigokuraku</v>
      </c>
      <c r="B1309" s="1" t="str">
        <f>IF(A1309&lt;&gt;"", VLOOKUP(A1309, imdb_netflix_v5!A$2:H$7370, 2, FALSE), "")</f>
        <v>TV Show</v>
      </c>
      <c r="C1309" s="2" t="str">
        <f>IF(A1309&lt;&gt;"", VLOOKUP(A1309, imdb_netflix_v5!A$2:H$7370, 3, FALSE), "")</f>
        <v>Action, Adventure, Animation</v>
      </c>
      <c r="D1309" s="2">
        <f>IF(A1309&lt;&gt;"", VLOOKUP(A1309, imdb_netflix_v5!A$2:H$7370, 4, FALSE), "")</f>
        <v>8.1</v>
      </c>
      <c r="E1309" s="2">
        <f>IF(A1309&lt;&gt;"", VLOOKUP(A1309, imdb_netflix_v5!A$2:H$7370, 5, FALSE), "")</f>
        <v>2023</v>
      </c>
      <c r="F1309" s="2" t="str">
        <f>IF(A1309&lt;&gt;"", VLOOKUP(A1309, imdb_netflix_v5!A$2:H$7370, 7, FALSE), "")</f>
        <v>NA</v>
      </c>
    </row>
    <row r="1310" ht="15.75" customHeight="1">
      <c r="A1310" s="1" t="str">
        <f>IFERROR(__xludf.DUMMYFUNCTION("""COMPUTED_VALUE"""),"galavant")</f>
        <v>galavant</v>
      </c>
      <c r="B1310" s="1" t="str">
        <f>IF(A1310&lt;&gt;"", VLOOKUP(A1310, imdb_netflix_v5!A$2:H$7370, 2, FALSE), "")</f>
        <v>TV Show</v>
      </c>
      <c r="C1310" s="2" t="str">
        <f>IF(A1310&lt;&gt;"", VLOOKUP(A1310, imdb_netflix_v5!A$2:H$7370, 3, FALSE), "")</f>
        <v>Adventure, Comedy, Fantasy</v>
      </c>
      <c r="D1310" s="2">
        <f>IF(A1310&lt;&gt;"", VLOOKUP(A1310, imdb_netflix_v5!A$2:H$7370, 4, FALSE), "")</f>
        <v>8.1</v>
      </c>
      <c r="E1310" s="2">
        <f>IF(A1310&lt;&gt;"", VLOOKUP(A1310, imdb_netflix_v5!A$2:H$7370, 5, FALSE), "")</f>
        <v>2015</v>
      </c>
      <c r="F1310" s="2" t="str">
        <f>IF(A1310&lt;&gt;"", VLOOKUP(A1310, imdb_netflix_v5!A$2:H$7370, 7, FALSE), "")</f>
        <v>NA</v>
      </c>
    </row>
    <row r="1311" ht="15.75" customHeight="1">
      <c r="A1311" s="1" t="str">
        <f>IFERROR(__xludf.DUMMYFUNCTION("""COMPUTED_VALUE"""),"a special day")</f>
        <v>a special day</v>
      </c>
      <c r="B1311" s="1" t="str">
        <f>IF(A1311&lt;&gt;"", VLOOKUP(A1311, imdb_netflix_v5!A$2:H$7370, 2, FALSE), "")</f>
        <v>Movie</v>
      </c>
      <c r="C1311" s="2" t="str">
        <f>IF(A1311&lt;&gt;"", VLOOKUP(A1311, imdb_netflix_v5!A$2:H$7370, 3, FALSE), "")</f>
        <v>Drama</v>
      </c>
      <c r="D1311" s="2">
        <f>IF(A1311&lt;&gt;"", VLOOKUP(A1311, imdb_netflix_v5!A$2:H$7370, 4, FALSE), "")</f>
        <v>8.1</v>
      </c>
      <c r="E1311" s="2">
        <f>IF(A1311&lt;&gt;"", VLOOKUP(A1311, imdb_netflix_v5!A$2:H$7370, 5, FALSE), "")</f>
        <v>1977</v>
      </c>
      <c r="F1311" s="2" t="str">
        <f>IF(A1311&lt;&gt;"", VLOOKUP(A1311, imdb_netflix_v5!A$2:H$7370, 7, FALSE), "")</f>
        <v>NA</v>
      </c>
    </row>
    <row r="1312" ht="15.75" customHeight="1">
      <c r="A1312" s="1" t="str">
        <f>IFERROR(__xludf.DUMMYFUNCTION("""COMPUTED_VALUE"""),"anohana the flower we saw that day")</f>
        <v>anohana the flower we saw that day</v>
      </c>
      <c r="B1312" s="1" t="str">
        <f>IF(A1312&lt;&gt;"", VLOOKUP(A1312, imdb_netflix_v5!A$2:H$7370, 2, FALSE), "")</f>
        <v>TV Show</v>
      </c>
      <c r="C1312" s="2" t="str">
        <f>IF(A1312&lt;&gt;"", VLOOKUP(A1312, imdb_netflix_v5!A$2:H$7370, 3, FALSE), "")</f>
        <v>Adventure, Animation, Drama</v>
      </c>
      <c r="D1312" s="2">
        <f>IF(A1312&lt;&gt;"", VLOOKUP(A1312, imdb_netflix_v5!A$2:H$7370, 4, FALSE), "")</f>
        <v>8.1</v>
      </c>
      <c r="E1312" s="2">
        <f>IF(A1312&lt;&gt;"", VLOOKUP(A1312, imdb_netflix_v5!A$2:H$7370, 5, FALSE), "")</f>
        <v>2011</v>
      </c>
      <c r="F1312" s="2" t="str">
        <f>IF(A1312&lt;&gt;"", VLOOKUP(A1312, imdb_netflix_v5!A$2:H$7370, 7, FALSE), "")</f>
        <v>NA</v>
      </c>
    </row>
    <row r="1313" ht="15.75" customHeight="1">
      <c r="A1313" s="1" t="str">
        <f>IFERROR(__xludf.DUMMYFUNCTION("""COMPUTED_VALUE"""),"still a michael j. fox movie")</f>
        <v>still a michael j. fox movie</v>
      </c>
      <c r="B1313" s="1" t="str">
        <f>IF(A1313&lt;&gt;"", VLOOKUP(A1313, imdb_netflix_v5!A$2:H$7370, 2, FALSE), "")</f>
        <v>Movie</v>
      </c>
      <c r="C1313" s="2" t="str">
        <f>IF(A1313&lt;&gt;"", VLOOKUP(A1313, imdb_netflix_v5!A$2:H$7370, 3, FALSE), "")</f>
        <v>Biography, Documentary</v>
      </c>
      <c r="D1313" s="2">
        <f>IF(A1313&lt;&gt;"", VLOOKUP(A1313, imdb_netflix_v5!A$2:H$7370, 4, FALSE), "")</f>
        <v>8.1</v>
      </c>
      <c r="E1313" s="2">
        <f>IF(A1313&lt;&gt;"", VLOOKUP(A1313, imdb_netflix_v5!A$2:H$7370, 5, FALSE), "")</f>
        <v>2023</v>
      </c>
      <c r="F1313" s="2" t="str">
        <f>IF(A1313&lt;&gt;"", VLOOKUP(A1313, imdb_netflix_v5!A$2:H$7370, 7, FALSE), "")</f>
        <v>NA</v>
      </c>
    </row>
    <row r="1314" ht="15.75" customHeight="1">
      <c r="A1314" s="1" t="str">
        <f>IFERROR(__xludf.DUMMYFUNCTION("""COMPUTED_VALUE"""),"the big c")</f>
        <v>the big c</v>
      </c>
      <c r="B1314" s="1" t="str">
        <f>IF(A1314&lt;&gt;"", VLOOKUP(A1314, imdb_netflix_v5!A$2:H$7370, 2, FALSE), "")</f>
        <v>TV Show</v>
      </c>
      <c r="C1314" s="2" t="str">
        <f>IF(A1314&lt;&gt;"", VLOOKUP(A1314, imdb_netflix_v5!A$2:H$7370, 3, FALSE), "")</f>
        <v>Comedy, Drama</v>
      </c>
      <c r="D1314" s="2">
        <f>IF(A1314&lt;&gt;"", VLOOKUP(A1314, imdb_netflix_v5!A$2:H$7370, 4, FALSE), "")</f>
        <v>8.1</v>
      </c>
      <c r="E1314" s="2">
        <f>IF(A1314&lt;&gt;"", VLOOKUP(A1314, imdb_netflix_v5!A$2:H$7370, 5, FALSE), "")</f>
        <v>2010</v>
      </c>
      <c r="F1314" s="2" t="str">
        <f>IF(A1314&lt;&gt;"", VLOOKUP(A1314, imdb_netflix_v5!A$2:H$7370, 7, FALSE), "")</f>
        <v>NA</v>
      </c>
    </row>
    <row r="1315" ht="15.75" customHeight="1">
      <c r="A1315" s="1" t="str">
        <f>IFERROR(__xludf.DUMMYFUNCTION("""COMPUTED_VALUE"""),"sesame street")</f>
        <v>sesame street</v>
      </c>
      <c r="B1315" s="1" t="str">
        <f>IF(A1315&lt;&gt;"", VLOOKUP(A1315, imdb_netflix_v5!A$2:H$7370, 2, FALSE), "")</f>
        <v>TV Show</v>
      </c>
      <c r="C1315" s="2" t="str">
        <f>IF(A1315&lt;&gt;"", VLOOKUP(A1315, imdb_netflix_v5!A$2:H$7370, 3, FALSE), "")</f>
        <v>Adventure, Animation, Comedy</v>
      </c>
      <c r="D1315" s="2">
        <f>IF(A1315&lt;&gt;"", VLOOKUP(A1315, imdb_netflix_v5!A$2:H$7370, 4, FALSE), "")</f>
        <v>8.1</v>
      </c>
      <c r="E1315" s="2">
        <f>IF(A1315&lt;&gt;"", VLOOKUP(A1315, imdb_netflix_v5!A$2:H$7370, 5, FALSE), "")</f>
        <v>1969</v>
      </c>
      <c r="F1315" s="2" t="str">
        <f>IF(A1315&lt;&gt;"", VLOOKUP(A1315, imdb_netflix_v5!A$2:H$7370, 7, FALSE), "")</f>
        <v>NA</v>
      </c>
    </row>
    <row r="1316" ht="15.75" customHeight="1">
      <c r="A1316" s="1" t="str">
        <f>IFERROR(__xludf.DUMMYFUNCTION("""COMPUTED_VALUE"""),"blue lights")</f>
        <v>blue lights</v>
      </c>
      <c r="B1316" s="1" t="str">
        <f>IF(A1316&lt;&gt;"", VLOOKUP(A1316, imdb_netflix_v5!A$2:H$7370, 2, FALSE), "")</f>
        <v>TV Show</v>
      </c>
      <c r="C1316" s="2" t="str">
        <f>IF(A1316&lt;&gt;"", VLOOKUP(A1316, imdb_netflix_v5!A$2:H$7370, 3, FALSE), "")</f>
        <v>Crime, Drama, Thriller</v>
      </c>
      <c r="D1316" s="2">
        <f>IF(A1316&lt;&gt;"", VLOOKUP(A1316, imdb_netflix_v5!A$2:H$7370, 4, FALSE), "")</f>
        <v>8.1</v>
      </c>
      <c r="E1316" s="2">
        <f>IF(A1316&lt;&gt;"", VLOOKUP(A1316, imdb_netflix_v5!A$2:H$7370, 5, FALSE), "")</f>
        <v>2023</v>
      </c>
      <c r="F1316" s="2" t="str">
        <f>IF(A1316&lt;&gt;"", VLOOKUP(A1316, imdb_netflix_v5!A$2:H$7370, 7, FALSE), "")</f>
        <v>NA</v>
      </c>
    </row>
    <row r="1317" ht="15.75" customHeight="1">
      <c r="A1317" s="1" t="str">
        <f>IFERROR(__xludf.DUMMYFUNCTION("""COMPUTED_VALUE"""),"bloodhounds")</f>
        <v>bloodhounds</v>
      </c>
      <c r="B1317" s="1" t="str">
        <f>IF(A1317&lt;&gt;"", VLOOKUP(A1317, imdb_netflix_v5!A$2:H$7370, 2, FALSE), "")</f>
        <v>TV Show</v>
      </c>
      <c r="C1317" s="2" t="str">
        <f>IF(A1317&lt;&gt;"", VLOOKUP(A1317, imdb_netflix_v5!A$2:H$7370, 3, FALSE), "")</f>
        <v>Action, Crime, Drama</v>
      </c>
      <c r="D1317" s="2">
        <f>IF(A1317&lt;&gt;"", VLOOKUP(A1317, imdb_netflix_v5!A$2:H$7370, 4, FALSE), "")</f>
        <v>8.1</v>
      </c>
      <c r="E1317" s="2">
        <f>IF(A1317&lt;&gt;"", VLOOKUP(A1317, imdb_netflix_v5!A$2:H$7370, 5, FALSE), "")</f>
        <v>2023</v>
      </c>
      <c r="F1317" s="2">
        <f>IF(A1317&lt;&gt;"", VLOOKUP(A1317, imdb_netflix_v5!A$2:H$7370, 7, FALSE), "")</f>
        <v>12800000</v>
      </c>
    </row>
    <row r="1318" ht="15.75" customHeight="1">
      <c r="A1318" s="1" t="str">
        <f>IFERROR(__xludf.DUMMYFUNCTION("""COMPUTED_VALUE"""),"pluto")</f>
        <v>pluto</v>
      </c>
      <c r="B1318" s="1" t="str">
        <f>IF(A1318&lt;&gt;"", VLOOKUP(A1318, imdb_netflix_v5!A$2:H$7370, 2, FALSE), "")</f>
        <v>TV Show</v>
      </c>
      <c r="C1318" s="2" t="str">
        <f>IF(A1318&lt;&gt;"", VLOOKUP(A1318, imdb_netflix_v5!A$2:H$7370, 3, FALSE), "")</f>
        <v>Action, Animation, Drama</v>
      </c>
      <c r="D1318" s="2">
        <f>IF(A1318&lt;&gt;"", VLOOKUP(A1318, imdb_netflix_v5!A$2:H$7370, 4, FALSE), "")</f>
        <v>8.1</v>
      </c>
      <c r="E1318" s="2">
        <f>IF(A1318&lt;&gt;"", VLOOKUP(A1318, imdb_netflix_v5!A$2:H$7370, 5, FALSE), "")</f>
        <v>2023</v>
      </c>
      <c r="F1318" s="2" t="str">
        <f>IF(A1318&lt;&gt;"", VLOOKUP(A1318, imdb_netflix_v5!A$2:H$7370, 7, FALSE), "")</f>
        <v>NA</v>
      </c>
    </row>
    <row r="1319" ht="15.75" customHeight="1">
      <c r="A1319" s="1" t="str">
        <f>IFERROR(__xludf.DUMMYFUNCTION("""COMPUTED_VALUE"""),"rangitaranga")</f>
        <v>rangitaranga</v>
      </c>
      <c r="B1319" s="1" t="str">
        <f>IF(A1319&lt;&gt;"", VLOOKUP(A1319, imdb_netflix_v5!A$2:H$7370, 2, FALSE), "")</f>
        <v>Movie</v>
      </c>
      <c r="C1319" s="2" t="str">
        <f>IF(A1319&lt;&gt;"", VLOOKUP(A1319, imdb_netflix_v5!A$2:H$7370, 3, FALSE), "")</f>
        <v>Mystery, Thriller</v>
      </c>
      <c r="D1319" s="2">
        <f>IF(A1319&lt;&gt;"", VLOOKUP(A1319, imdb_netflix_v5!A$2:H$7370, 4, FALSE), "")</f>
        <v>8.1</v>
      </c>
      <c r="E1319" s="2">
        <f>IF(A1319&lt;&gt;"", VLOOKUP(A1319, imdb_netflix_v5!A$2:H$7370, 5, FALSE), "")</f>
        <v>2015</v>
      </c>
      <c r="F1319" s="2" t="str">
        <f>IF(A1319&lt;&gt;"", VLOOKUP(A1319, imdb_netflix_v5!A$2:H$7370, 7, FALSE), "")</f>
        <v>NA</v>
      </c>
    </row>
    <row r="1320" ht="15.75" customHeight="1">
      <c r="A1320" s="1" t="str">
        <f>IFERROR(__xludf.DUMMYFUNCTION("""COMPUTED_VALUE"""),"indian")</f>
        <v>indian</v>
      </c>
      <c r="B1320" s="1" t="str">
        <f>IF(A1320&lt;&gt;"", VLOOKUP(A1320, imdb_netflix_v5!A$2:H$7370, 2, FALSE), "")</f>
        <v>Movie</v>
      </c>
      <c r="C1320" s="2" t="str">
        <f>IF(A1320&lt;&gt;"", VLOOKUP(A1320, imdb_netflix_v5!A$2:H$7370, 3, FALSE), "")</f>
        <v>Action, Drama, Thriller</v>
      </c>
      <c r="D1320" s="2">
        <f>IF(A1320&lt;&gt;"", VLOOKUP(A1320, imdb_netflix_v5!A$2:H$7370, 4, FALSE), "")</f>
        <v>8.1</v>
      </c>
      <c r="E1320" s="2">
        <f>IF(A1320&lt;&gt;"", VLOOKUP(A1320, imdb_netflix_v5!A$2:H$7370, 5, FALSE), "")</f>
        <v>1996</v>
      </c>
      <c r="F1320" s="2" t="str">
        <f>IF(A1320&lt;&gt;"", VLOOKUP(A1320, imdb_netflix_v5!A$2:H$7370, 7, FALSE), "")</f>
        <v>NA</v>
      </c>
    </row>
    <row r="1321" ht="15.75" customHeight="1">
      <c r="A1321" s="1" t="str">
        <f>IFERROR(__xludf.DUMMYFUNCTION("""COMPUTED_VALUE"""),"karm yuddh")</f>
        <v>karm yuddh</v>
      </c>
      <c r="B1321" s="1" t="str">
        <f>IF(A1321&lt;&gt;"", VLOOKUP(A1321, imdb_netflix_v5!A$2:H$7370, 2, FALSE), "")</f>
        <v>TV Show</v>
      </c>
      <c r="C1321" s="2" t="str">
        <f>IF(A1321&lt;&gt;"", VLOOKUP(A1321, imdb_netflix_v5!A$2:H$7370, 3, FALSE), "")</f>
        <v>Drama</v>
      </c>
      <c r="D1321" s="2">
        <f>IF(A1321&lt;&gt;"", VLOOKUP(A1321, imdb_netflix_v5!A$2:H$7370, 4, FALSE), "")</f>
        <v>8.1</v>
      </c>
      <c r="E1321" s="2">
        <f>IF(A1321&lt;&gt;"", VLOOKUP(A1321, imdb_netflix_v5!A$2:H$7370, 5, FALSE), "")</f>
        <v>2022</v>
      </c>
      <c r="F1321" s="2" t="str">
        <f>IF(A1321&lt;&gt;"", VLOOKUP(A1321, imdb_netflix_v5!A$2:H$7370, 7, FALSE), "")</f>
        <v>NA</v>
      </c>
    </row>
    <row r="1322" ht="15.75" customHeight="1">
      <c r="A1322" s="1" t="str">
        <f>IFERROR(__xludf.DUMMYFUNCTION("""COMPUTED_VALUE"""),"pen15")</f>
        <v>pen15</v>
      </c>
      <c r="B1322" s="1" t="str">
        <f>IF(A1322&lt;&gt;"", VLOOKUP(A1322, imdb_netflix_v5!A$2:H$7370, 2, FALSE), "")</f>
        <v>TV Show</v>
      </c>
      <c r="C1322" s="2" t="str">
        <f>IF(A1322&lt;&gt;"", VLOOKUP(A1322, imdb_netflix_v5!A$2:H$7370, 3, FALSE), "")</f>
        <v>Comedy</v>
      </c>
      <c r="D1322" s="2">
        <f>IF(A1322&lt;&gt;"", VLOOKUP(A1322, imdb_netflix_v5!A$2:H$7370, 4, FALSE), "")</f>
        <v>8.1</v>
      </c>
      <c r="E1322" s="2">
        <f>IF(A1322&lt;&gt;"", VLOOKUP(A1322, imdb_netflix_v5!A$2:H$7370, 5, FALSE), "")</f>
        <v>2019</v>
      </c>
      <c r="F1322" s="2" t="str">
        <f>IF(A1322&lt;&gt;"", VLOOKUP(A1322, imdb_netflix_v5!A$2:H$7370, 7, FALSE), "")</f>
        <v>NA</v>
      </c>
    </row>
    <row r="1323" ht="15.75" customHeight="1">
      <c r="A1323" s="1" t="str">
        <f>IFERROR(__xludf.DUMMYFUNCTION("""COMPUTED_VALUE"""),"hotel del luna")</f>
        <v>hotel del luna</v>
      </c>
      <c r="B1323" s="1" t="str">
        <f>IF(A1323&lt;&gt;"", VLOOKUP(A1323, imdb_netflix_v5!A$2:H$7370, 2, FALSE), "")</f>
        <v>TV Show</v>
      </c>
      <c r="C1323" s="2" t="str">
        <f>IF(A1323&lt;&gt;"", VLOOKUP(A1323, imdb_netflix_v5!A$2:H$7370, 3, FALSE), "")</f>
        <v>Action, Comedy, Drama</v>
      </c>
      <c r="D1323" s="2">
        <f>IF(A1323&lt;&gt;"", VLOOKUP(A1323, imdb_netflix_v5!A$2:H$7370, 4, FALSE), "")</f>
        <v>8.1</v>
      </c>
      <c r="E1323" s="2">
        <f>IF(A1323&lt;&gt;"", VLOOKUP(A1323, imdb_netflix_v5!A$2:H$7370, 5, FALSE), "")</f>
        <v>2019</v>
      </c>
      <c r="F1323" s="2">
        <f>IF(A1323&lt;&gt;"", VLOOKUP(A1323, imdb_netflix_v5!A$2:H$7370, 7, FALSE), "")</f>
        <v>9980000</v>
      </c>
    </row>
    <row r="1324" ht="15.75" customHeight="1">
      <c r="A1324" s="1" t="str">
        <f>IFERROR(__xludf.DUMMYFUNCTION("""COMPUTED_VALUE"""),"wolf hall")</f>
        <v>wolf hall</v>
      </c>
      <c r="B1324" s="1" t="str">
        <f>IF(A1324&lt;&gt;"", VLOOKUP(A1324, imdb_netflix_v5!A$2:H$7370, 2, FALSE), "")</f>
        <v>TV Show</v>
      </c>
      <c r="C1324" s="2" t="str">
        <f>IF(A1324&lt;&gt;"", VLOOKUP(A1324, imdb_netflix_v5!A$2:H$7370, 3, FALSE), "")</f>
        <v>Biography, Drama, History</v>
      </c>
      <c r="D1324" s="2">
        <f>IF(A1324&lt;&gt;"", VLOOKUP(A1324, imdb_netflix_v5!A$2:H$7370, 4, FALSE), "")</f>
        <v>8.1</v>
      </c>
      <c r="E1324" s="2">
        <f>IF(A1324&lt;&gt;"", VLOOKUP(A1324, imdb_netflix_v5!A$2:H$7370, 5, FALSE), "")</f>
        <v>2015</v>
      </c>
      <c r="F1324" s="2" t="str">
        <f>IF(A1324&lt;&gt;"", VLOOKUP(A1324, imdb_netflix_v5!A$2:H$7370, 7, FALSE), "")</f>
        <v>NA</v>
      </c>
    </row>
    <row r="1325" ht="15.75" customHeight="1">
      <c r="A1325" s="1" t="str">
        <f>IFERROR(__xludf.DUMMYFUNCTION("""COMPUTED_VALUE"""),"candy")</f>
        <v>candy</v>
      </c>
      <c r="B1325" s="1" t="str">
        <f>IF(A1325&lt;&gt;"", VLOOKUP(A1325, imdb_netflix_v5!A$2:H$7370, 2, FALSE), "")</f>
        <v>TV Show</v>
      </c>
      <c r="C1325" s="2" t="str">
        <f>IF(A1325&lt;&gt;"", VLOOKUP(A1325, imdb_netflix_v5!A$2:H$7370, 3, FALSE), "")</f>
        <v>Thriller</v>
      </c>
      <c r="D1325" s="2">
        <f>IF(A1325&lt;&gt;"", VLOOKUP(A1325, imdb_netflix_v5!A$2:H$7370, 4, FALSE), "")</f>
        <v>8.1</v>
      </c>
      <c r="E1325" s="2">
        <f>IF(A1325&lt;&gt;"", VLOOKUP(A1325, imdb_netflix_v5!A$2:H$7370, 5, FALSE), "")</f>
        <v>2021</v>
      </c>
      <c r="F1325" s="2" t="str">
        <f>IF(A1325&lt;&gt;"", VLOOKUP(A1325, imdb_netflix_v5!A$2:H$7370, 7, FALSE), "")</f>
        <v>NA</v>
      </c>
    </row>
    <row r="1326" ht="15.75" customHeight="1">
      <c r="A1326" s="1" t="str">
        <f>IFERROR(__xludf.DUMMYFUNCTION("""COMPUTED_VALUE"""),"the black donnellys")</f>
        <v>the black donnellys</v>
      </c>
      <c r="B1326" s="1" t="str">
        <f>IF(A1326&lt;&gt;"", VLOOKUP(A1326, imdb_netflix_v5!A$2:H$7370, 2, FALSE), "")</f>
        <v>TV Show</v>
      </c>
      <c r="C1326" s="2" t="str">
        <f>IF(A1326&lt;&gt;"", VLOOKUP(A1326, imdb_netflix_v5!A$2:H$7370, 3, FALSE), "")</f>
        <v>Crime, Drama</v>
      </c>
      <c r="D1326" s="2">
        <f>IF(A1326&lt;&gt;"", VLOOKUP(A1326, imdb_netflix_v5!A$2:H$7370, 4, FALSE), "")</f>
        <v>8.1</v>
      </c>
      <c r="E1326" s="2">
        <f>IF(A1326&lt;&gt;"", VLOOKUP(A1326, imdb_netflix_v5!A$2:H$7370, 5, FALSE), "")</f>
        <v>2007</v>
      </c>
      <c r="F1326" s="2" t="str">
        <f>IF(A1326&lt;&gt;"", VLOOKUP(A1326, imdb_netflix_v5!A$2:H$7370, 7, FALSE), "")</f>
        <v>NA</v>
      </c>
    </row>
    <row r="1327" ht="15.75" customHeight="1">
      <c r="A1327" s="1" t="str">
        <f>IFERROR(__xludf.DUMMYFUNCTION("""COMPUTED_VALUE"""),"the trials of gabriel fernandez")</f>
        <v>the trials of gabriel fernandez</v>
      </c>
      <c r="B1327" s="1" t="str">
        <f>IF(A1327&lt;&gt;"", VLOOKUP(A1327, imdb_netflix_v5!A$2:H$7370, 2, FALSE), "")</f>
        <v>TV Show</v>
      </c>
      <c r="C1327" s="2" t="str">
        <f>IF(A1327&lt;&gt;"", VLOOKUP(A1327, imdb_netflix_v5!A$2:H$7370, 3, FALSE), "")</f>
        <v>Crime, Documentary</v>
      </c>
      <c r="D1327" s="2">
        <f>IF(A1327&lt;&gt;"", VLOOKUP(A1327, imdb_netflix_v5!A$2:H$7370, 4, FALSE), "")</f>
        <v>8.1</v>
      </c>
      <c r="E1327" s="2">
        <f>IF(A1327&lt;&gt;"", VLOOKUP(A1327, imdb_netflix_v5!A$2:H$7370, 5, FALSE), "")</f>
        <v>2020</v>
      </c>
      <c r="F1327" s="2" t="str">
        <f>IF(A1327&lt;&gt;"", VLOOKUP(A1327, imdb_netflix_v5!A$2:H$7370, 7, FALSE), "")</f>
        <v>NA</v>
      </c>
    </row>
    <row r="1328" ht="15.75" customHeight="1">
      <c r="A1328" s="1" t="str">
        <f>IFERROR(__xludf.DUMMYFUNCTION("""COMPUTED_VALUE"""),"roja")</f>
        <v>roja</v>
      </c>
      <c r="B1328" s="1" t="str">
        <f>IF(A1328&lt;&gt;"", VLOOKUP(A1328, imdb_netflix_v5!A$2:H$7370, 2, FALSE), "")</f>
        <v>Movie</v>
      </c>
      <c r="C1328" s="2" t="str">
        <f>IF(A1328&lt;&gt;"", VLOOKUP(A1328, imdb_netflix_v5!A$2:H$7370, 3, FALSE), "")</f>
        <v>Drama, Romance, Thriller</v>
      </c>
      <c r="D1328" s="2">
        <f>IF(A1328&lt;&gt;"", VLOOKUP(A1328, imdb_netflix_v5!A$2:H$7370, 4, FALSE), "")</f>
        <v>8.1</v>
      </c>
      <c r="E1328" s="2">
        <f>IF(A1328&lt;&gt;"", VLOOKUP(A1328, imdb_netflix_v5!A$2:H$7370, 5, FALSE), "")</f>
        <v>1992</v>
      </c>
      <c r="F1328" s="2" t="str">
        <f>IF(A1328&lt;&gt;"", VLOOKUP(A1328, imdb_netflix_v5!A$2:H$7370, 7, FALSE), "")</f>
        <v>NA</v>
      </c>
    </row>
    <row r="1329" ht="15.75" customHeight="1">
      <c r="A1329" s="1" t="str">
        <f>IFERROR(__xludf.DUMMYFUNCTION("""COMPUTED_VALUE"""),"bombay")</f>
        <v>bombay</v>
      </c>
      <c r="B1329" s="1" t="str">
        <f>IF(A1329&lt;&gt;"", VLOOKUP(A1329, imdb_netflix_v5!A$2:H$7370, 2, FALSE), "")</f>
        <v>Movie</v>
      </c>
      <c r="C1329" s="2" t="str">
        <f>IF(A1329&lt;&gt;"", VLOOKUP(A1329, imdb_netflix_v5!A$2:H$7370, 3, FALSE), "")</f>
        <v>Drama, Romance</v>
      </c>
      <c r="D1329" s="2">
        <f>IF(A1329&lt;&gt;"", VLOOKUP(A1329, imdb_netflix_v5!A$2:H$7370, 4, FALSE), "")</f>
        <v>8.1</v>
      </c>
      <c r="E1329" s="2">
        <f>IF(A1329&lt;&gt;"", VLOOKUP(A1329, imdb_netflix_v5!A$2:H$7370, 5, FALSE), "")</f>
        <v>1995</v>
      </c>
      <c r="F1329" s="2" t="str">
        <f>IF(A1329&lt;&gt;"", VLOOKUP(A1329, imdb_netflix_v5!A$2:H$7370, 7, FALSE), "")</f>
        <v>NA</v>
      </c>
    </row>
    <row r="1330" ht="15.75" customHeight="1">
      <c r="A1330" s="1" t="str">
        <f>IFERROR(__xludf.DUMMYFUNCTION("""COMPUTED_VALUE"""),"collective")</f>
        <v>collective</v>
      </c>
      <c r="B1330" s="1" t="str">
        <f>IF(A1330&lt;&gt;"", VLOOKUP(A1330, imdb_netflix_v5!A$2:H$7370, 2, FALSE), "")</f>
        <v>Movie</v>
      </c>
      <c r="C1330" s="2" t="str">
        <f>IF(A1330&lt;&gt;"", VLOOKUP(A1330, imdb_netflix_v5!A$2:H$7370, 3, FALSE), "")</f>
        <v>Crime, Documentary</v>
      </c>
      <c r="D1330" s="2">
        <f>IF(A1330&lt;&gt;"", VLOOKUP(A1330, imdb_netflix_v5!A$2:H$7370, 4, FALSE), "")</f>
        <v>8.1</v>
      </c>
      <c r="E1330" s="2">
        <f>IF(A1330&lt;&gt;"", VLOOKUP(A1330, imdb_netflix_v5!A$2:H$7370, 5, FALSE), "")</f>
        <v>2019</v>
      </c>
      <c r="F1330" s="2" t="str">
        <f>IF(A1330&lt;&gt;"", VLOOKUP(A1330, imdb_netflix_v5!A$2:H$7370, 7, FALSE), "")</f>
        <v>NA</v>
      </c>
    </row>
    <row r="1331" ht="15.75" customHeight="1">
      <c r="A1331" s="1" t="str">
        <f>IFERROR(__xludf.DUMMYFUNCTION("""COMPUTED_VALUE"""),"legend of the blue sea")</f>
        <v>legend of the blue sea</v>
      </c>
      <c r="B1331" s="1" t="str">
        <f>IF(A1331&lt;&gt;"", VLOOKUP(A1331, imdb_netflix_v5!A$2:H$7370, 2, FALSE), "")</f>
        <v>TV Show</v>
      </c>
      <c r="C1331" s="2" t="str">
        <f>IF(A1331&lt;&gt;"", VLOOKUP(A1331, imdb_netflix_v5!A$2:H$7370, 3, FALSE), "")</f>
        <v>Comedy, Drama, Fantasy</v>
      </c>
      <c r="D1331" s="2">
        <f>IF(A1331&lt;&gt;"", VLOOKUP(A1331, imdb_netflix_v5!A$2:H$7370, 4, FALSE), "")</f>
        <v>8.1</v>
      </c>
      <c r="E1331" s="2">
        <f>IF(A1331&lt;&gt;"", VLOOKUP(A1331, imdb_netflix_v5!A$2:H$7370, 5, FALSE), "")</f>
        <v>2016</v>
      </c>
      <c r="F1331" s="2" t="str">
        <f>IF(A1331&lt;&gt;"", VLOOKUP(A1331, imdb_netflix_v5!A$2:H$7370, 7, FALSE), "")</f>
        <v>NA</v>
      </c>
    </row>
    <row r="1332" ht="15.75" customHeight="1">
      <c r="A1332" s="1" t="str">
        <f>IFERROR(__xludf.DUMMYFUNCTION("""COMPUTED_VALUE"""),"somebody somewhere")</f>
        <v>somebody somewhere</v>
      </c>
      <c r="B1332" s="1" t="str">
        <f>IF(A1332&lt;&gt;"", VLOOKUP(A1332, imdb_netflix_v5!A$2:H$7370, 2, FALSE), "")</f>
        <v>TV Show</v>
      </c>
      <c r="C1332" s="2" t="str">
        <f>IF(A1332&lt;&gt;"", VLOOKUP(A1332, imdb_netflix_v5!A$2:H$7370, 3, FALSE), "")</f>
        <v>Comedy, Drama</v>
      </c>
      <c r="D1332" s="2">
        <f>IF(A1332&lt;&gt;"", VLOOKUP(A1332, imdb_netflix_v5!A$2:H$7370, 4, FALSE), "")</f>
        <v>8.1</v>
      </c>
      <c r="E1332" s="2">
        <f>IF(A1332&lt;&gt;"", VLOOKUP(A1332, imdb_netflix_v5!A$2:H$7370, 5, FALSE), "")</f>
        <v>2022</v>
      </c>
      <c r="F1332" s="2" t="str">
        <f>IF(A1332&lt;&gt;"", VLOOKUP(A1332, imdb_netflix_v5!A$2:H$7370, 7, FALSE), "")</f>
        <v>NA</v>
      </c>
    </row>
    <row r="1333" ht="15.75" customHeight="1">
      <c r="A1333" s="1" t="str">
        <f>IFERROR(__xludf.DUMMYFUNCTION("""COMPUTED_VALUE"""),"snowdrop")</f>
        <v>snowdrop</v>
      </c>
      <c r="B1333" s="1" t="str">
        <f>IF(A1333&lt;&gt;"", VLOOKUP(A1333, imdb_netflix_v5!A$2:H$7370, 2, FALSE), "")</f>
        <v>TV Show</v>
      </c>
      <c r="C1333" s="2" t="str">
        <f>IF(A1333&lt;&gt;"", VLOOKUP(A1333, imdb_netflix_v5!A$2:H$7370, 3, FALSE), "")</f>
        <v>Crime, Drama, Romance</v>
      </c>
      <c r="D1333" s="2">
        <f>IF(A1333&lt;&gt;"", VLOOKUP(A1333, imdb_netflix_v5!A$2:H$7370, 4, FALSE), "")</f>
        <v>8.1</v>
      </c>
      <c r="E1333" s="2">
        <f>IF(A1333&lt;&gt;"", VLOOKUP(A1333, imdb_netflix_v5!A$2:H$7370, 5, FALSE), "")</f>
        <v>2021</v>
      </c>
      <c r="F1333" s="2" t="str">
        <f>IF(A1333&lt;&gt;"", VLOOKUP(A1333, imdb_netflix_v5!A$2:H$7370, 7, FALSE), "")</f>
        <v>NA</v>
      </c>
    </row>
    <row r="1334" ht="15.75" customHeight="1">
      <c r="A1334" s="1" t="str">
        <f>IFERROR(__xludf.DUMMYFUNCTION("""COMPUTED_VALUE"""),"montevideo taste of a dream")</f>
        <v>montevideo taste of a dream</v>
      </c>
      <c r="B1334" s="1" t="str">
        <f>IF(A1334&lt;&gt;"", VLOOKUP(A1334, imdb_netflix_v5!A$2:H$7370, 2, FALSE), "")</f>
        <v>Movie</v>
      </c>
      <c r="C1334" s="2" t="str">
        <f>IF(A1334&lt;&gt;"", VLOOKUP(A1334, imdb_netflix_v5!A$2:H$7370, 3, FALSE), "")</f>
        <v>Adventure, Comedy, Drama</v>
      </c>
      <c r="D1334" s="2">
        <f>IF(A1334&lt;&gt;"", VLOOKUP(A1334, imdb_netflix_v5!A$2:H$7370, 4, FALSE), "")</f>
        <v>8.1</v>
      </c>
      <c r="E1334" s="2">
        <f>IF(A1334&lt;&gt;"", VLOOKUP(A1334, imdb_netflix_v5!A$2:H$7370, 5, FALSE), "")</f>
        <v>2010</v>
      </c>
      <c r="F1334" s="2" t="str">
        <f>IF(A1334&lt;&gt;"", VLOOKUP(A1334, imdb_netflix_v5!A$2:H$7370, 7, FALSE), "")</f>
        <v>NA</v>
      </c>
    </row>
    <row r="1335" ht="15.75" customHeight="1">
      <c r="A1335" s="1" t="str">
        <f>IFERROR(__xludf.DUMMYFUNCTION("""COMPUTED_VALUE"""),"food wars shokugeki no soma")</f>
        <v>food wars shokugeki no soma</v>
      </c>
      <c r="B1335" s="1" t="str">
        <f>IF(A1335&lt;&gt;"", VLOOKUP(A1335, imdb_netflix_v5!A$2:H$7370, 2, FALSE), "")</f>
        <v>TV Show</v>
      </c>
      <c r="C1335" s="2" t="str">
        <f>IF(A1335&lt;&gt;"", VLOOKUP(A1335, imdb_netflix_v5!A$2:H$7370, 3, FALSE), "")</f>
        <v>Animation, Comedy, Drama</v>
      </c>
      <c r="D1335" s="2">
        <f>IF(A1335&lt;&gt;"", VLOOKUP(A1335, imdb_netflix_v5!A$2:H$7370, 4, FALSE), "")</f>
        <v>8.1</v>
      </c>
      <c r="E1335" s="2">
        <f>IF(A1335&lt;&gt;"", VLOOKUP(A1335, imdb_netflix_v5!A$2:H$7370, 5, FALSE), "")</f>
        <v>2015</v>
      </c>
      <c r="F1335" s="2" t="str">
        <f>IF(A1335&lt;&gt;"", VLOOKUP(A1335, imdb_netflix_v5!A$2:H$7370, 7, FALSE), "")</f>
        <v>NA</v>
      </c>
    </row>
    <row r="1336" ht="15.75" customHeight="1">
      <c r="A1336" s="1" t="str">
        <f>IFERROR(__xludf.DUMMYFUNCTION("""COMPUTED_VALUE"""),"cat")</f>
        <v>cat</v>
      </c>
      <c r="B1336" s="1" t="str">
        <f>IF(A1336&lt;&gt;"", VLOOKUP(A1336, imdb_netflix_v5!A$2:H$7370, 2, FALSE), "")</f>
        <v>TV Show</v>
      </c>
      <c r="C1336" s="2" t="str">
        <f>IF(A1336&lt;&gt;"", VLOOKUP(A1336, imdb_netflix_v5!A$2:H$7370, 3, FALSE), "")</f>
        <v>Crime, Drama, Thriller</v>
      </c>
      <c r="D1336" s="2">
        <f>IF(A1336&lt;&gt;"", VLOOKUP(A1336, imdb_netflix_v5!A$2:H$7370, 4, FALSE), "")</f>
        <v>8.1</v>
      </c>
      <c r="E1336" s="2">
        <f>IF(A1336&lt;&gt;"", VLOOKUP(A1336, imdb_netflix_v5!A$2:H$7370, 5, FALSE), "")</f>
        <v>2022</v>
      </c>
      <c r="F1336" s="2" t="str">
        <f>IF(A1336&lt;&gt;"", VLOOKUP(A1336, imdb_netflix_v5!A$2:H$7370, 7, FALSE), "")</f>
        <v>NA</v>
      </c>
    </row>
    <row r="1337" ht="15.75" customHeight="1">
      <c r="A1337" s="1" t="str">
        <f>IFERROR(__xludf.DUMMYFUNCTION("""COMPUTED_VALUE"""),"helluva boss")</f>
        <v>helluva boss</v>
      </c>
      <c r="B1337" s="1" t="str">
        <f>IF(A1337&lt;&gt;"", VLOOKUP(A1337, imdb_netflix_v5!A$2:H$7370, 2, FALSE), "")</f>
        <v>TV Show</v>
      </c>
      <c r="C1337" s="2" t="str">
        <f>IF(A1337&lt;&gt;"", VLOOKUP(A1337, imdb_netflix_v5!A$2:H$7370, 3, FALSE), "")</f>
        <v>Action, Animation, Comedy</v>
      </c>
      <c r="D1337" s="2">
        <f>IF(A1337&lt;&gt;"", VLOOKUP(A1337, imdb_netflix_v5!A$2:H$7370, 4, FALSE), "")</f>
        <v>8.1</v>
      </c>
      <c r="E1337" s="2">
        <f>IF(A1337&lt;&gt;"", VLOOKUP(A1337, imdb_netflix_v5!A$2:H$7370, 5, FALSE), "")</f>
        <v>2019</v>
      </c>
      <c r="F1337" s="2" t="str">
        <f>IF(A1337&lt;&gt;"", VLOOKUP(A1337, imdb_netflix_v5!A$2:H$7370, 7, FALSE), "")</f>
        <v>NA</v>
      </c>
    </row>
    <row r="1338" ht="15.75" customHeight="1">
      <c r="A1338" s="1" t="str">
        <f>IFERROR(__xludf.DUMMYFUNCTION("""COMPUTED_VALUE"""),"george harrison living in the material world")</f>
        <v>george harrison living in the material world</v>
      </c>
      <c r="B1338" s="1" t="str">
        <f>IF(A1338&lt;&gt;"", VLOOKUP(A1338, imdb_netflix_v5!A$2:H$7370, 2, FALSE), "")</f>
        <v>Movie</v>
      </c>
      <c r="C1338" s="2" t="str">
        <f>IF(A1338&lt;&gt;"", VLOOKUP(A1338, imdb_netflix_v5!A$2:H$7370, 3, FALSE), "")</f>
        <v>Biography, Documentary, Music</v>
      </c>
      <c r="D1338" s="2">
        <f>IF(A1338&lt;&gt;"", VLOOKUP(A1338, imdb_netflix_v5!A$2:H$7370, 4, FALSE), "")</f>
        <v>8.1</v>
      </c>
      <c r="E1338" s="2">
        <f>IF(A1338&lt;&gt;"", VLOOKUP(A1338, imdb_netflix_v5!A$2:H$7370, 5, FALSE), "")</f>
        <v>2011</v>
      </c>
      <c r="F1338" s="2" t="str">
        <f>IF(A1338&lt;&gt;"", VLOOKUP(A1338, imdb_netflix_v5!A$2:H$7370, 7, FALSE), "")</f>
        <v>NA</v>
      </c>
    </row>
    <row r="1339" ht="15.75" customHeight="1">
      <c r="A1339" s="1" t="str">
        <f>IFERROR(__xludf.DUMMYFUNCTION("""COMPUTED_VALUE"""),"outnumbered")</f>
        <v>outnumbered</v>
      </c>
      <c r="B1339" s="1" t="str">
        <f>IF(A1339&lt;&gt;"", VLOOKUP(A1339, imdb_netflix_v5!A$2:H$7370, 2, FALSE), "")</f>
        <v>TV Show</v>
      </c>
      <c r="C1339" s="2" t="str">
        <f>IF(A1339&lt;&gt;"", VLOOKUP(A1339, imdb_netflix_v5!A$2:H$7370, 3, FALSE), "")</f>
        <v>Comedy, Drama</v>
      </c>
      <c r="D1339" s="2">
        <f>IF(A1339&lt;&gt;"", VLOOKUP(A1339, imdb_netflix_v5!A$2:H$7370, 4, FALSE), "")</f>
        <v>8.1</v>
      </c>
      <c r="E1339" s="2">
        <f>IF(A1339&lt;&gt;"", VLOOKUP(A1339, imdb_netflix_v5!A$2:H$7370, 5, FALSE), "")</f>
        <v>2007</v>
      </c>
      <c r="F1339" s="2" t="str">
        <f>IF(A1339&lt;&gt;"", VLOOKUP(A1339, imdb_netflix_v5!A$2:H$7370, 7, FALSE), "")</f>
        <v>NA</v>
      </c>
    </row>
    <row r="1340" ht="15.75" customHeight="1">
      <c r="A1340" s="1" t="str">
        <f>IFERROR(__xludf.DUMMYFUNCTION("""COMPUTED_VALUE"""),"vagabond")</f>
        <v>vagabond</v>
      </c>
      <c r="B1340" s="1" t="str">
        <f>IF(A1340&lt;&gt;"", VLOOKUP(A1340, imdb_netflix_v5!A$2:H$7370, 2, FALSE), "")</f>
        <v>TV Show</v>
      </c>
      <c r="C1340" s="2" t="str">
        <f>IF(A1340&lt;&gt;"", VLOOKUP(A1340, imdb_netflix_v5!A$2:H$7370, 3, FALSE), "")</f>
        <v>Action, Mystery, Thriller</v>
      </c>
      <c r="D1340" s="2">
        <f>IF(A1340&lt;&gt;"", VLOOKUP(A1340, imdb_netflix_v5!A$2:H$7370, 4, FALSE), "")</f>
        <v>8.1</v>
      </c>
      <c r="E1340" s="2">
        <f>IF(A1340&lt;&gt;"", VLOOKUP(A1340, imdb_netflix_v5!A$2:H$7370, 5, FALSE), "")</f>
        <v>2019</v>
      </c>
      <c r="F1340" s="2" t="str">
        <f>IF(A1340&lt;&gt;"", VLOOKUP(A1340, imdb_netflix_v5!A$2:H$7370, 7, FALSE), "")</f>
        <v>NA</v>
      </c>
    </row>
    <row r="1341" ht="15.75" customHeight="1">
      <c r="A1341" s="1" t="str">
        <f>IFERROR(__xludf.DUMMYFUNCTION("""COMPUTED_VALUE"""),"colin from accounts")</f>
        <v>colin from accounts</v>
      </c>
      <c r="B1341" s="1" t="str">
        <f>IF(A1341&lt;&gt;"", VLOOKUP(A1341, imdb_netflix_v5!A$2:H$7370, 2, FALSE), "")</f>
        <v>TV Show</v>
      </c>
      <c r="C1341" s="2" t="str">
        <f>IF(A1341&lt;&gt;"", VLOOKUP(A1341, imdb_netflix_v5!A$2:H$7370, 3, FALSE), "")</f>
        <v>Comedy, Drama, Romance</v>
      </c>
      <c r="D1341" s="2">
        <f>IF(A1341&lt;&gt;"", VLOOKUP(A1341, imdb_netflix_v5!A$2:H$7370, 4, FALSE), "")</f>
        <v>8.1</v>
      </c>
      <c r="E1341" s="2">
        <f>IF(A1341&lt;&gt;"", VLOOKUP(A1341, imdb_netflix_v5!A$2:H$7370, 5, FALSE), "")</f>
        <v>2022</v>
      </c>
      <c r="F1341" s="2" t="str">
        <f>IF(A1341&lt;&gt;"", VLOOKUP(A1341, imdb_netflix_v5!A$2:H$7370, 7, FALSE), "")</f>
        <v>NA</v>
      </c>
    </row>
    <row r="1342" ht="15.75" customHeight="1">
      <c r="A1342" s="1" t="str">
        <f>IFERROR(__xludf.DUMMYFUNCTION("""COMPUTED_VALUE"""),"dorohedoro")</f>
        <v>dorohedoro</v>
      </c>
      <c r="B1342" s="1" t="str">
        <f>IF(A1342&lt;&gt;"", VLOOKUP(A1342, imdb_netflix_v5!A$2:H$7370, 2, FALSE), "")</f>
        <v>TV Show</v>
      </c>
      <c r="C1342" s="2" t="str">
        <f>IF(A1342&lt;&gt;"", VLOOKUP(A1342, imdb_netflix_v5!A$2:H$7370, 3, FALSE), "")</f>
        <v>Action, Animation, Comedy</v>
      </c>
      <c r="D1342" s="2">
        <f>IF(A1342&lt;&gt;"", VLOOKUP(A1342, imdb_netflix_v5!A$2:H$7370, 4, FALSE), "")</f>
        <v>8.1</v>
      </c>
      <c r="E1342" s="2">
        <f>IF(A1342&lt;&gt;"", VLOOKUP(A1342, imdb_netflix_v5!A$2:H$7370, 5, FALSE), "")</f>
        <v>2020</v>
      </c>
      <c r="F1342" s="2" t="str">
        <f>IF(A1342&lt;&gt;"", VLOOKUP(A1342, imdb_netflix_v5!A$2:H$7370, 7, FALSE), "")</f>
        <v>NA</v>
      </c>
    </row>
    <row r="1343" ht="15.75" customHeight="1">
      <c r="A1343" s="1" t="str">
        <f>IFERROR(__xludf.DUMMYFUNCTION("""COMPUTED_VALUE"""),"virunga")</f>
        <v>virunga</v>
      </c>
      <c r="B1343" s="1" t="str">
        <f>IF(A1343&lt;&gt;"", VLOOKUP(A1343, imdb_netflix_v5!A$2:H$7370, 2, FALSE), "")</f>
        <v>Movie</v>
      </c>
      <c r="C1343" s="2" t="str">
        <f>IF(A1343&lt;&gt;"", VLOOKUP(A1343, imdb_netflix_v5!A$2:H$7370, 3, FALSE), "")</f>
        <v>Documentary, War</v>
      </c>
      <c r="D1343" s="2">
        <f>IF(A1343&lt;&gt;"", VLOOKUP(A1343, imdb_netflix_v5!A$2:H$7370, 4, FALSE), "")</f>
        <v>8.1</v>
      </c>
      <c r="E1343" s="2">
        <f>IF(A1343&lt;&gt;"", VLOOKUP(A1343, imdb_netflix_v5!A$2:H$7370, 5, FALSE), "")</f>
        <v>2014</v>
      </c>
      <c r="F1343" s="2" t="str">
        <f>IF(A1343&lt;&gt;"", VLOOKUP(A1343, imdb_netflix_v5!A$2:H$7370, 7, FALSE), "")</f>
        <v>NA</v>
      </c>
    </row>
    <row r="1344" ht="15.75" customHeight="1">
      <c r="A1344" s="1" t="str">
        <f>IFERROR(__xludf.DUMMYFUNCTION("""COMPUTED_VALUE"""),"day of the wacko")</f>
        <v>day of the wacko</v>
      </c>
      <c r="B1344" s="1" t="str">
        <f>IF(A1344&lt;&gt;"", VLOOKUP(A1344, imdb_netflix_v5!A$2:H$7370, 2, FALSE), "")</f>
        <v>Movie</v>
      </c>
      <c r="C1344" s="2" t="str">
        <f>IF(A1344&lt;&gt;"", VLOOKUP(A1344, imdb_netflix_v5!A$2:H$7370, 3, FALSE), "")</f>
        <v>Comedy, Drama, Romance</v>
      </c>
      <c r="D1344" s="2">
        <f>IF(A1344&lt;&gt;"", VLOOKUP(A1344, imdb_netflix_v5!A$2:H$7370, 4, FALSE), "")</f>
        <v>8.1</v>
      </c>
      <c r="E1344" s="2">
        <f>IF(A1344&lt;&gt;"", VLOOKUP(A1344, imdb_netflix_v5!A$2:H$7370, 5, FALSE), "")</f>
        <v>2002</v>
      </c>
      <c r="F1344" s="2" t="str">
        <f>IF(A1344&lt;&gt;"", VLOOKUP(A1344, imdb_netflix_v5!A$2:H$7370, 7, FALSE), "")</f>
        <v>NA</v>
      </c>
    </row>
    <row r="1345" ht="15.75" customHeight="1">
      <c r="A1345" s="1" t="str">
        <f>IFERROR(__xludf.DUMMYFUNCTION("""COMPUTED_VALUE"""),"north &amp; south book 1, north &amp; south")</f>
        <v>north &amp; south book 1, north &amp; south</v>
      </c>
      <c r="B1345" s="1" t="str">
        <f>IF(A1345&lt;&gt;"", VLOOKUP(A1345, imdb_netflix_v5!A$2:H$7370, 2, FALSE), "")</f>
        <v>TV Show</v>
      </c>
      <c r="C1345" s="2" t="str">
        <f>IF(A1345&lt;&gt;"", VLOOKUP(A1345, imdb_netflix_v5!A$2:H$7370, 3, FALSE), "")</f>
        <v>Drama, History, Romance</v>
      </c>
      <c r="D1345" s="2">
        <f>IF(A1345&lt;&gt;"", VLOOKUP(A1345, imdb_netflix_v5!A$2:H$7370, 4, FALSE), "")</f>
        <v>8.1</v>
      </c>
      <c r="E1345" s="2">
        <f>IF(A1345&lt;&gt;"", VLOOKUP(A1345, imdb_netflix_v5!A$2:H$7370, 5, FALSE), "")</f>
        <v>1985</v>
      </c>
      <c r="F1345" s="2" t="str">
        <f>IF(A1345&lt;&gt;"", VLOOKUP(A1345, imdb_netflix_v5!A$2:H$7370, 7, FALSE), "")</f>
        <v>NA</v>
      </c>
    </row>
    <row r="1346" ht="15.75" customHeight="1">
      <c r="A1346" s="1" t="str">
        <f>IFERROR(__xludf.DUMMYFUNCTION("""COMPUTED_VALUE"""),"khakee the bihar chapter")</f>
        <v>khakee the bihar chapter</v>
      </c>
      <c r="B1346" s="1" t="str">
        <f>IF(A1346&lt;&gt;"", VLOOKUP(A1346, imdb_netflix_v5!A$2:H$7370, 2, FALSE), "")</f>
        <v>TV Show</v>
      </c>
      <c r="C1346" s="2" t="str">
        <f>IF(A1346&lt;&gt;"", VLOOKUP(A1346, imdb_netflix_v5!A$2:H$7370, 3, FALSE), "")</f>
        <v>Crime, Drama</v>
      </c>
      <c r="D1346" s="2">
        <f>IF(A1346&lt;&gt;"", VLOOKUP(A1346, imdb_netflix_v5!A$2:H$7370, 4, FALSE), "")</f>
        <v>8.1</v>
      </c>
      <c r="E1346" s="2">
        <f>IF(A1346&lt;&gt;"", VLOOKUP(A1346, imdb_netflix_v5!A$2:H$7370, 5, FALSE), "")</f>
        <v>2022</v>
      </c>
      <c r="F1346" s="2">
        <f>IF(A1346&lt;&gt;"", VLOOKUP(A1346, imdb_netflix_v5!A$2:H$7370, 7, FALSE), "")</f>
        <v>11270000</v>
      </c>
    </row>
    <row r="1347" ht="15.75" customHeight="1">
      <c r="A1347" s="1" t="str">
        <f>IFERROR(__xludf.DUMMYFUNCTION("""COMPUTED_VALUE"""),"the great weddings of munnes")</f>
        <v>the great weddings of munnes</v>
      </c>
      <c r="B1347" s="1" t="str">
        <f>IF(A1347&lt;&gt;"", VLOOKUP(A1347, imdb_netflix_v5!A$2:H$7370, 2, FALSE), "")</f>
        <v>TV Show</v>
      </c>
      <c r="C1347" s="2" t="str">
        <f>IF(A1347&lt;&gt;"", VLOOKUP(A1347, imdb_netflix_v5!A$2:H$7370, 3, FALSE), "")</f>
        <v>Comedy, Drama</v>
      </c>
      <c r="D1347" s="2">
        <f>IF(A1347&lt;&gt;"", VLOOKUP(A1347, imdb_netflix_v5!A$2:H$7370, 4, FALSE), "")</f>
        <v>8.1</v>
      </c>
      <c r="E1347" s="2">
        <f>IF(A1347&lt;&gt;"", VLOOKUP(A1347, imdb_netflix_v5!A$2:H$7370, 5, FALSE), "")</f>
        <v>2022</v>
      </c>
      <c r="F1347" s="2" t="str">
        <f>IF(A1347&lt;&gt;"", VLOOKUP(A1347, imdb_netflix_v5!A$2:H$7370, 7, FALSE), "")</f>
        <v>NA</v>
      </c>
    </row>
    <row r="1348" ht="15.75" customHeight="1">
      <c r="A1348" s="1" t="str">
        <f>IFERROR(__xludf.DUMMYFUNCTION("""COMPUTED_VALUE"""),"ashes to ashes")</f>
        <v>ashes to ashes</v>
      </c>
      <c r="B1348" s="1" t="str">
        <f>IF(A1348&lt;&gt;"", VLOOKUP(A1348, imdb_netflix_v5!A$2:H$7370, 2, FALSE), "")</f>
        <v>TV Show</v>
      </c>
      <c r="C1348" s="2" t="str">
        <f>IF(A1348&lt;&gt;"", VLOOKUP(A1348, imdb_netflix_v5!A$2:H$7370, 3, FALSE), "")</f>
        <v>Crime, Drama, Fantasy</v>
      </c>
      <c r="D1348" s="2">
        <f>IF(A1348&lt;&gt;"", VLOOKUP(A1348, imdb_netflix_v5!A$2:H$7370, 4, FALSE), "")</f>
        <v>8.1</v>
      </c>
      <c r="E1348" s="2">
        <f>IF(A1348&lt;&gt;"", VLOOKUP(A1348, imdb_netflix_v5!A$2:H$7370, 5, FALSE), "")</f>
        <v>2008</v>
      </c>
      <c r="F1348" s="2" t="str">
        <f>IF(A1348&lt;&gt;"", VLOOKUP(A1348, imdb_netflix_v5!A$2:H$7370, 7, FALSE), "")</f>
        <v>NA</v>
      </c>
    </row>
    <row r="1349" ht="15.75" customHeight="1">
      <c r="A1349" s="1" t="str">
        <f>IFERROR(__xludf.DUMMYFUNCTION("""COMPUTED_VALUE"""),"maestro")</f>
        <v>maestro</v>
      </c>
      <c r="B1349" s="1" t="str">
        <f>IF(A1349&lt;&gt;"", VLOOKUP(A1349, imdb_netflix_v5!A$2:H$7370, 2, FALSE), "")</f>
        <v>TV Show</v>
      </c>
      <c r="C1349" s="2" t="str">
        <f>IF(A1349&lt;&gt;"", VLOOKUP(A1349, imdb_netflix_v5!A$2:H$7370, 3, FALSE), "")</f>
        <v>Crime, Drama, Mystery</v>
      </c>
      <c r="D1349" s="2">
        <f>IF(A1349&lt;&gt;"", VLOOKUP(A1349, imdb_netflix_v5!A$2:H$7370, 4, FALSE), "")</f>
        <v>8.1</v>
      </c>
      <c r="E1349" s="2">
        <f>IF(A1349&lt;&gt;"", VLOOKUP(A1349, imdb_netflix_v5!A$2:H$7370, 5, FALSE), "")</f>
        <v>2022</v>
      </c>
      <c r="F1349" s="2" t="str">
        <f>IF(A1349&lt;&gt;"", VLOOKUP(A1349, imdb_netflix_v5!A$2:H$7370, 7, FALSE), "")</f>
        <v>NA</v>
      </c>
    </row>
    <row r="1350" ht="15.75" customHeight="1">
      <c r="A1350" s="1" t="str">
        <f>IFERROR(__xludf.DUMMYFUNCTION("""COMPUTED_VALUE"""),"day of wrath")</f>
        <v>day of wrath</v>
      </c>
      <c r="B1350" s="1" t="str">
        <f>IF(A1350&lt;&gt;"", VLOOKUP(A1350, imdb_netflix_v5!A$2:H$7370, 2, FALSE), "")</f>
        <v>Movie</v>
      </c>
      <c r="C1350" s="2" t="str">
        <f>IF(A1350&lt;&gt;"", VLOOKUP(A1350, imdb_netflix_v5!A$2:H$7370, 3, FALSE), "")</f>
        <v>Drama, History</v>
      </c>
      <c r="D1350" s="2">
        <f>IF(A1350&lt;&gt;"", VLOOKUP(A1350, imdb_netflix_v5!A$2:H$7370, 4, FALSE), "")</f>
        <v>8.1</v>
      </c>
      <c r="E1350" s="2">
        <f>IF(A1350&lt;&gt;"", VLOOKUP(A1350, imdb_netflix_v5!A$2:H$7370, 5, FALSE), "")</f>
        <v>1943</v>
      </c>
      <c r="F1350" s="2" t="str">
        <f>IF(A1350&lt;&gt;"", VLOOKUP(A1350, imdb_netflix_v5!A$2:H$7370, 7, FALSE), "")</f>
        <v>NA</v>
      </c>
    </row>
    <row r="1351" ht="15.75" customHeight="1">
      <c r="A1351" s="1" t="str">
        <f>IFERROR(__xludf.DUMMYFUNCTION("""COMPUTED_VALUE"""),"high maintenance")</f>
        <v>high maintenance</v>
      </c>
      <c r="B1351" s="1" t="str">
        <f>IF(A1351&lt;&gt;"", VLOOKUP(A1351, imdb_netflix_v5!A$2:H$7370, 2, FALSE), "")</f>
        <v>TV Show</v>
      </c>
      <c r="C1351" s="2" t="str">
        <f>IF(A1351&lt;&gt;"", VLOOKUP(A1351, imdb_netflix_v5!A$2:H$7370, 3, FALSE), "")</f>
        <v>Comedy, Drama</v>
      </c>
      <c r="D1351" s="2">
        <f>IF(A1351&lt;&gt;"", VLOOKUP(A1351, imdb_netflix_v5!A$2:H$7370, 4, FALSE), "")</f>
        <v>8.1</v>
      </c>
      <c r="E1351" s="2">
        <f>IF(A1351&lt;&gt;"", VLOOKUP(A1351, imdb_netflix_v5!A$2:H$7370, 5, FALSE), "")</f>
        <v>2016</v>
      </c>
      <c r="F1351" s="2" t="str">
        <f>IF(A1351&lt;&gt;"", VLOOKUP(A1351, imdb_netflix_v5!A$2:H$7370, 7, FALSE), "")</f>
        <v>NA</v>
      </c>
    </row>
    <row r="1352" ht="15.75" customHeight="1">
      <c r="A1352" s="1" t="str">
        <f>IFERROR(__xludf.DUMMYFUNCTION("""COMPUTED_VALUE"""),"tacoma fd")</f>
        <v>tacoma fd</v>
      </c>
      <c r="B1352" s="1" t="str">
        <f>IF(A1352&lt;&gt;"", VLOOKUP(A1352, imdb_netflix_v5!A$2:H$7370, 2, FALSE), "")</f>
        <v>TV Show</v>
      </c>
      <c r="C1352" s="2" t="str">
        <f>IF(A1352&lt;&gt;"", VLOOKUP(A1352, imdb_netflix_v5!A$2:H$7370, 3, FALSE), "")</f>
        <v>Comedy</v>
      </c>
      <c r="D1352" s="2">
        <f>IF(A1352&lt;&gt;"", VLOOKUP(A1352, imdb_netflix_v5!A$2:H$7370, 4, FALSE), "")</f>
        <v>8.1</v>
      </c>
      <c r="E1352" s="2">
        <f>IF(A1352&lt;&gt;"", VLOOKUP(A1352, imdb_netflix_v5!A$2:H$7370, 5, FALSE), "")</f>
        <v>2019</v>
      </c>
      <c r="F1352" s="2" t="str">
        <f>IF(A1352&lt;&gt;"", VLOOKUP(A1352, imdb_netflix_v5!A$2:H$7370, 7, FALSE), "")</f>
        <v>NA</v>
      </c>
    </row>
    <row r="1353" ht="15.75" customHeight="1">
      <c r="A1353" s="1" t="str">
        <f>IFERROR(__xludf.DUMMYFUNCTION("""COMPUTED_VALUE"""),"for my son")</f>
        <v>for my son</v>
      </c>
      <c r="B1353" s="1" t="str">
        <f>IF(A1353&lt;&gt;"", VLOOKUP(A1353, imdb_netflix_v5!A$2:H$7370, 2, FALSE), "")</f>
        <v>TV Show</v>
      </c>
      <c r="C1353" s="2" t="str">
        <f>IF(A1353&lt;&gt;"", VLOOKUP(A1353, imdb_netflix_v5!A$2:H$7370, 3, FALSE), "")</f>
        <v>Crime, Drama</v>
      </c>
      <c r="D1353" s="2">
        <f>IF(A1353&lt;&gt;"", VLOOKUP(A1353, imdb_netflix_v5!A$2:H$7370, 4, FALSE), "")</f>
        <v>8.1</v>
      </c>
      <c r="E1353" s="2">
        <f>IF(A1353&lt;&gt;"", VLOOKUP(A1353, imdb_netflix_v5!A$2:H$7370, 5, FALSE), "")</f>
        <v>2015</v>
      </c>
      <c r="F1353" s="2" t="str">
        <f>IF(A1353&lt;&gt;"", VLOOKUP(A1353, imdb_netflix_v5!A$2:H$7370, 7, FALSE), "")</f>
        <v>NA</v>
      </c>
    </row>
    <row r="1354" ht="15.75" customHeight="1">
      <c r="A1354" s="1" t="str">
        <f>IFERROR(__xludf.DUMMYFUNCTION("""COMPUTED_VALUE"""),"dirty money")</f>
        <v>dirty money</v>
      </c>
      <c r="B1354" s="1" t="str">
        <f>IF(A1354&lt;&gt;"", VLOOKUP(A1354, imdb_netflix_v5!A$2:H$7370, 2, FALSE), "")</f>
        <v>TV Show</v>
      </c>
      <c r="C1354" s="2" t="str">
        <f>IF(A1354&lt;&gt;"", VLOOKUP(A1354, imdb_netflix_v5!A$2:H$7370, 3, FALSE), "")</f>
        <v>Crime, Documentary</v>
      </c>
      <c r="D1354" s="2">
        <f>IF(A1354&lt;&gt;"", VLOOKUP(A1354, imdb_netflix_v5!A$2:H$7370, 4, FALSE), "")</f>
        <v>8.1</v>
      </c>
      <c r="E1354" s="2">
        <f>IF(A1354&lt;&gt;"", VLOOKUP(A1354, imdb_netflix_v5!A$2:H$7370, 5, FALSE), "")</f>
        <v>2018</v>
      </c>
      <c r="F1354" s="2" t="str">
        <f>IF(A1354&lt;&gt;"", VLOOKUP(A1354, imdb_netflix_v5!A$2:H$7370, 7, FALSE), "")</f>
        <v>NA</v>
      </c>
    </row>
    <row r="1355" ht="15.75" customHeight="1">
      <c r="A1355" s="1" t="str">
        <f>IFERROR(__xludf.DUMMYFUNCTION("""COMPUTED_VALUE"""),"power book iv force")</f>
        <v>power book iv force</v>
      </c>
      <c r="B1355" s="1" t="str">
        <f>IF(A1355&lt;&gt;"", VLOOKUP(A1355, imdb_netflix_v5!A$2:H$7370, 2, FALSE), "")</f>
        <v>TV Show</v>
      </c>
      <c r="C1355" s="2" t="str">
        <f>IF(A1355&lt;&gt;"", VLOOKUP(A1355, imdb_netflix_v5!A$2:H$7370, 3, FALSE), "")</f>
        <v>Crime, Drama</v>
      </c>
      <c r="D1355" s="2">
        <f>IF(A1355&lt;&gt;"", VLOOKUP(A1355, imdb_netflix_v5!A$2:H$7370, 4, FALSE), "")</f>
        <v>8.1</v>
      </c>
      <c r="E1355" s="2">
        <f>IF(A1355&lt;&gt;"", VLOOKUP(A1355, imdb_netflix_v5!A$2:H$7370, 5, FALSE), "")</f>
        <v>2022</v>
      </c>
      <c r="F1355" s="2" t="str">
        <f>IF(A1355&lt;&gt;"", VLOOKUP(A1355, imdb_netflix_v5!A$2:H$7370, 7, FALSE), "")</f>
        <v>NA</v>
      </c>
    </row>
    <row r="1356" ht="15.75" customHeight="1">
      <c r="A1356" s="1" t="str">
        <f>IFERROR(__xludf.DUMMYFUNCTION("""COMPUTED_VALUE"""),"rita")</f>
        <v>rita</v>
      </c>
      <c r="B1356" s="1" t="str">
        <f>IF(A1356&lt;&gt;"", VLOOKUP(A1356, imdb_netflix_v5!A$2:H$7370, 2, FALSE), "")</f>
        <v>TV Show</v>
      </c>
      <c r="C1356" s="2" t="str">
        <f>IF(A1356&lt;&gt;"", VLOOKUP(A1356, imdb_netflix_v5!A$2:H$7370, 3, FALSE), "")</f>
        <v>Comedy, Drama</v>
      </c>
      <c r="D1356" s="2">
        <f>IF(A1356&lt;&gt;"", VLOOKUP(A1356, imdb_netflix_v5!A$2:H$7370, 4, FALSE), "")</f>
        <v>8.1</v>
      </c>
      <c r="E1356" s="2">
        <f>IF(A1356&lt;&gt;"", VLOOKUP(A1356, imdb_netflix_v5!A$2:H$7370, 5, FALSE), "")</f>
        <v>2012</v>
      </c>
      <c r="F1356" s="2" t="str">
        <f>IF(A1356&lt;&gt;"", VLOOKUP(A1356, imdb_netflix_v5!A$2:H$7370, 7, FALSE), "")</f>
        <v>NA</v>
      </c>
    </row>
    <row r="1357" ht="15.75" customHeight="1">
      <c r="A1357" s="1" t="str">
        <f>IFERROR(__xludf.DUMMYFUNCTION("""COMPUTED_VALUE"""),"fight for my way")</f>
        <v>fight for my way</v>
      </c>
      <c r="B1357" s="1" t="str">
        <f>IF(A1357&lt;&gt;"", VLOOKUP(A1357, imdb_netflix_v5!A$2:H$7370, 2, FALSE), "")</f>
        <v>TV Show</v>
      </c>
      <c r="C1357" s="2" t="str">
        <f>IF(A1357&lt;&gt;"", VLOOKUP(A1357, imdb_netflix_v5!A$2:H$7370, 3, FALSE), "")</f>
        <v>Comedy, Romance</v>
      </c>
      <c r="D1357" s="2">
        <f>IF(A1357&lt;&gt;"", VLOOKUP(A1357, imdb_netflix_v5!A$2:H$7370, 4, FALSE), "")</f>
        <v>8.1</v>
      </c>
      <c r="E1357" s="2">
        <f>IF(A1357&lt;&gt;"", VLOOKUP(A1357, imdb_netflix_v5!A$2:H$7370, 5, FALSE), "")</f>
        <v>2017</v>
      </c>
      <c r="F1357" s="2" t="str">
        <f>IF(A1357&lt;&gt;"", VLOOKUP(A1357, imdb_netflix_v5!A$2:H$7370, 7, FALSE), "")</f>
        <v>NA</v>
      </c>
    </row>
    <row r="1358" ht="15.75" customHeight="1">
      <c r="A1358" s="1" t="str">
        <f>IFERROR(__xludf.DUMMYFUNCTION("""COMPUTED_VALUE"""),"the first slam dunk")</f>
        <v>the first slam dunk</v>
      </c>
      <c r="B1358" s="1" t="str">
        <f>IF(A1358&lt;&gt;"", VLOOKUP(A1358, imdb_netflix_v5!A$2:H$7370, 2, FALSE), "")</f>
        <v>Movie</v>
      </c>
      <c r="C1358" s="2" t="str">
        <f>IF(A1358&lt;&gt;"", VLOOKUP(A1358, imdb_netflix_v5!A$2:H$7370, 3, FALSE), "")</f>
        <v>Animation, Comedy, Drama</v>
      </c>
      <c r="D1358" s="2">
        <f>IF(A1358&lt;&gt;"", VLOOKUP(A1358, imdb_netflix_v5!A$2:H$7370, 4, FALSE), "")</f>
        <v>8.1</v>
      </c>
      <c r="E1358" s="2">
        <f>IF(A1358&lt;&gt;"", VLOOKUP(A1358, imdb_netflix_v5!A$2:H$7370, 5, FALSE), "")</f>
        <v>2022</v>
      </c>
      <c r="F1358" s="2" t="str">
        <f>IF(A1358&lt;&gt;"", VLOOKUP(A1358, imdb_netflix_v5!A$2:H$7370, 7, FALSE), "")</f>
        <v>NA</v>
      </c>
    </row>
    <row r="1359" ht="15.75" customHeight="1">
      <c r="A1359" s="1" t="str">
        <f>IFERROR(__xludf.DUMMYFUNCTION("""COMPUTED_VALUE"""),"the great indian kitchen")</f>
        <v>the great indian kitchen</v>
      </c>
      <c r="B1359" s="1" t="str">
        <f>IF(A1359&lt;&gt;"", VLOOKUP(A1359, imdb_netflix_v5!A$2:H$7370, 2, FALSE), "")</f>
        <v>Movie</v>
      </c>
      <c r="C1359" s="2" t="str">
        <f>IF(A1359&lt;&gt;"", VLOOKUP(A1359, imdb_netflix_v5!A$2:H$7370, 3, FALSE), "")</f>
        <v>Comedy, Drama</v>
      </c>
      <c r="D1359" s="2">
        <f>IF(A1359&lt;&gt;"", VLOOKUP(A1359, imdb_netflix_v5!A$2:H$7370, 4, FALSE), "")</f>
        <v>8.1</v>
      </c>
      <c r="E1359" s="2">
        <f>IF(A1359&lt;&gt;"", VLOOKUP(A1359, imdb_netflix_v5!A$2:H$7370, 5, FALSE), "")</f>
        <v>2021</v>
      </c>
      <c r="F1359" s="2" t="str">
        <f>IF(A1359&lt;&gt;"", VLOOKUP(A1359, imdb_netflix_v5!A$2:H$7370, 7, FALSE), "")</f>
        <v>NA</v>
      </c>
    </row>
    <row r="1360" ht="15.75" customHeight="1">
      <c r="A1360" s="1" t="str">
        <f>IFERROR(__xludf.DUMMYFUNCTION("""COMPUTED_VALUE"""),"vicious")</f>
        <v>vicious</v>
      </c>
      <c r="B1360" s="1" t="str">
        <f>IF(A1360&lt;&gt;"", VLOOKUP(A1360, imdb_netflix_v5!A$2:H$7370, 2, FALSE), "")</f>
        <v>TV Show</v>
      </c>
      <c r="C1360" s="2" t="str">
        <f>IF(A1360&lt;&gt;"", VLOOKUP(A1360, imdb_netflix_v5!A$2:H$7370, 3, FALSE), "")</f>
        <v>Comedy</v>
      </c>
      <c r="D1360" s="2">
        <f>IF(A1360&lt;&gt;"", VLOOKUP(A1360, imdb_netflix_v5!A$2:H$7370, 4, FALSE), "")</f>
        <v>8.1</v>
      </c>
      <c r="E1360" s="2">
        <f>IF(A1360&lt;&gt;"", VLOOKUP(A1360, imdb_netflix_v5!A$2:H$7370, 5, FALSE), "")</f>
        <v>2013</v>
      </c>
      <c r="F1360" s="2" t="str">
        <f>IF(A1360&lt;&gt;"", VLOOKUP(A1360, imdb_netflix_v5!A$2:H$7370, 7, FALSE), "")</f>
        <v>NA</v>
      </c>
    </row>
    <row r="1361" ht="15.75" customHeight="1">
      <c r="A1361" s="1" t="str">
        <f>IFERROR(__xludf.DUMMYFUNCTION("""COMPUTED_VALUE"""),"kenny vs. spenny")</f>
        <v>kenny vs. spenny</v>
      </c>
      <c r="B1361" s="1" t="str">
        <f>IF(A1361&lt;&gt;"", VLOOKUP(A1361, imdb_netflix_v5!A$2:H$7370, 2, FALSE), "")</f>
        <v>TV Show</v>
      </c>
      <c r="C1361" s="2" t="str">
        <f>IF(A1361&lt;&gt;"", VLOOKUP(A1361, imdb_netflix_v5!A$2:H$7370, 3, FALSE), "")</f>
        <v>Comedy, Game-Show, Reality-TV</v>
      </c>
      <c r="D1361" s="2">
        <f>IF(A1361&lt;&gt;"", VLOOKUP(A1361, imdb_netflix_v5!A$2:H$7370, 4, FALSE), "")</f>
        <v>8.1</v>
      </c>
      <c r="E1361" s="2">
        <f>IF(A1361&lt;&gt;"", VLOOKUP(A1361, imdb_netflix_v5!A$2:H$7370, 5, FALSE), "")</f>
        <v>2002</v>
      </c>
      <c r="F1361" s="2" t="str">
        <f>IF(A1361&lt;&gt;"", VLOOKUP(A1361, imdb_netflix_v5!A$2:H$7370, 7, FALSE), "")</f>
        <v>NA</v>
      </c>
    </row>
    <row r="1362" ht="15.75" customHeight="1">
      <c r="A1362" s="1" t="str">
        <f>IFERROR(__xludf.DUMMYFUNCTION("""COMPUTED_VALUE"""),"the avengers")</f>
        <v>the avengers</v>
      </c>
      <c r="B1362" s="1" t="str">
        <f>IF(A1362&lt;&gt;"", VLOOKUP(A1362, imdb_netflix_v5!A$2:H$7370, 2, FALSE), "")</f>
        <v>Movie</v>
      </c>
      <c r="C1362" s="2" t="str">
        <f>IF(A1362&lt;&gt;"", VLOOKUP(A1362, imdb_netflix_v5!A$2:H$7370, 3, FALSE), "")</f>
        <v>Action, Sci-Fi</v>
      </c>
      <c r="D1362" s="2">
        <f>IF(A1362&lt;&gt;"", VLOOKUP(A1362, imdb_netflix_v5!A$2:H$7370, 4, FALSE), "")</f>
        <v>8</v>
      </c>
      <c r="E1362" s="2">
        <f>IF(A1362&lt;&gt;"", VLOOKUP(A1362, imdb_netflix_v5!A$2:H$7370, 5, FALSE), "")</f>
        <v>2012</v>
      </c>
      <c r="F1362" s="2" t="str">
        <f>IF(A1362&lt;&gt;"", VLOOKUP(A1362, imdb_netflix_v5!A$2:H$7370, 7, FALSE), "")</f>
        <v>NA</v>
      </c>
    </row>
    <row r="1363" ht="15.75" customHeight="1">
      <c r="A1363" s="1" t="str">
        <f>IFERROR(__xludf.DUMMYFUNCTION("""COMPUTED_VALUE"""),"guardians of the galaxy")</f>
        <v>guardians of the galaxy</v>
      </c>
      <c r="B1363" s="1" t="str">
        <f>IF(A1363&lt;&gt;"", VLOOKUP(A1363, imdb_netflix_v5!A$2:H$7370, 2, FALSE), "")</f>
        <v>Movie</v>
      </c>
      <c r="C1363" s="2" t="str">
        <f>IF(A1363&lt;&gt;"", VLOOKUP(A1363, imdb_netflix_v5!A$2:H$7370, 3, FALSE), "")</f>
        <v>Action, Adventure, Comedy</v>
      </c>
      <c r="D1363" s="2">
        <f>IF(A1363&lt;&gt;"", VLOOKUP(A1363, imdb_netflix_v5!A$2:H$7370, 4, FALSE), "")</f>
        <v>8</v>
      </c>
      <c r="E1363" s="2">
        <f>IF(A1363&lt;&gt;"", VLOOKUP(A1363, imdb_netflix_v5!A$2:H$7370, 5, FALSE), "")</f>
        <v>2014</v>
      </c>
      <c r="F1363" s="2" t="str">
        <f>IF(A1363&lt;&gt;"", VLOOKUP(A1363, imdb_netflix_v5!A$2:H$7370, 7, FALSE), "")</f>
        <v>NA</v>
      </c>
    </row>
    <row r="1364" ht="15.75" customHeight="1">
      <c r="A1364" s="1" t="str">
        <f>IFERROR(__xludf.DUMMYFUNCTION("""COMPUTED_VALUE"""),"deadpool")</f>
        <v>deadpool</v>
      </c>
      <c r="B1364" s="1" t="str">
        <f>IF(A1364&lt;&gt;"", VLOOKUP(A1364, imdb_netflix_v5!A$2:H$7370, 2, FALSE), "")</f>
        <v>Movie</v>
      </c>
      <c r="C1364" s="2" t="str">
        <f>IF(A1364&lt;&gt;"", VLOOKUP(A1364, imdb_netflix_v5!A$2:H$7370, 3, FALSE), "")</f>
        <v>Action, Comedy</v>
      </c>
      <c r="D1364" s="2">
        <f>IF(A1364&lt;&gt;"", VLOOKUP(A1364, imdb_netflix_v5!A$2:H$7370, 4, FALSE), "")</f>
        <v>8</v>
      </c>
      <c r="E1364" s="2">
        <f>IF(A1364&lt;&gt;"", VLOOKUP(A1364, imdb_netflix_v5!A$2:H$7370, 5, FALSE), "")</f>
        <v>2016</v>
      </c>
      <c r="F1364" s="2" t="str">
        <f>IF(A1364&lt;&gt;"", VLOOKUP(A1364, imdb_netflix_v5!A$2:H$7370, 7, FALSE), "")</f>
        <v>NA</v>
      </c>
    </row>
    <row r="1365" ht="15.75" customHeight="1">
      <c r="A1365" s="1" t="str">
        <f>IFERROR(__xludf.DUMMYFUNCTION("""COMPUTED_VALUE"""),"the martian")</f>
        <v>the martian</v>
      </c>
      <c r="B1365" s="1" t="str">
        <f>IF(A1365&lt;&gt;"", VLOOKUP(A1365, imdb_netflix_v5!A$2:H$7370, 2, FALSE), "")</f>
        <v>Movie</v>
      </c>
      <c r="C1365" s="2" t="str">
        <f>IF(A1365&lt;&gt;"", VLOOKUP(A1365, imdb_netflix_v5!A$2:H$7370, 3, FALSE), "")</f>
        <v>Adventure, Drama, Sci-Fi</v>
      </c>
      <c r="D1365" s="2">
        <f>IF(A1365&lt;&gt;"", VLOOKUP(A1365, imdb_netflix_v5!A$2:H$7370, 4, FALSE), "")</f>
        <v>8</v>
      </c>
      <c r="E1365" s="2">
        <f>IF(A1365&lt;&gt;"", VLOOKUP(A1365, imdb_netflix_v5!A$2:H$7370, 5, FALSE), "")</f>
        <v>2015</v>
      </c>
      <c r="F1365" s="2" t="str">
        <f>IF(A1365&lt;&gt;"", VLOOKUP(A1365, imdb_netflix_v5!A$2:H$7370, 7, FALSE), "")</f>
        <v>NA</v>
      </c>
    </row>
    <row r="1366" ht="15.75" customHeight="1">
      <c r="A1366" s="1" t="str">
        <f>IFERROR(__xludf.DUMMYFUNCTION("""COMPUTED_VALUE"""),"dune part one")</f>
        <v>dune part one</v>
      </c>
      <c r="B1366" s="1" t="str">
        <f>IF(A1366&lt;&gt;"", VLOOKUP(A1366, imdb_netflix_v5!A$2:H$7370, 2, FALSE), "")</f>
        <v>Movie</v>
      </c>
      <c r="C1366" s="2" t="str">
        <f>IF(A1366&lt;&gt;"", VLOOKUP(A1366, imdb_netflix_v5!A$2:H$7370, 3, FALSE), "")</f>
        <v>Action, Adventure, Drama</v>
      </c>
      <c r="D1366" s="2">
        <f>IF(A1366&lt;&gt;"", VLOOKUP(A1366, imdb_netflix_v5!A$2:H$7370, 4, FALSE), "")</f>
        <v>8</v>
      </c>
      <c r="E1366" s="2">
        <f>IF(A1366&lt;&gt;"", VLOOKUP(A1366, imdb_netflix_v5!A$2:H$7370, 5, FALSE), "")</f>
        <v>2021</v>
      </c>
      <c r="F1366" s="2" t="str">
        <f>IF(A1366&lt;&gt;"", VLOOKUP(A1366, imdb_netflix_v5!A$2:H$7370, 7, FALSE), "")</f>
        <v>NA</v>
      </c>
    </row>
    <row r="1367" ht="15.75" customHeight="1">
      <c r="A1367" s="1" t="str">
        <f>IFERROR(__xludf.DUMMYFUNCTION("""COMPUTED_VALUE"""),"the revenant")</f>
        <v>the revenant</v>
      </c>
      <c r="B1367" s="1" t="str">
        <f>IF(A1367&lt;&gt;"", VLOOKUP(A1367, imdb_netflix_v5!A$2:H$7370, 2, FALSE), "")</f>
        <v>Movie</v>
      </c>
      <c r="C1367" s="2" t="str">
        <f>IF(A1367&lt;&gt;"", VLOOKUP(A1367, imdb_netflix_v5!A$2:H$7370, 3, FALSE), "")</f>
        <v>Action, Adventure, Drama</v>
      </c>
      <c r="D1367" s="2">
        <f>IF(A1367&lt;&gt;"", VLOOKUP(A1367, imdb_netflix_v5!A$2:H$7370, 4, FALSE), "")</f>
        <v>8</v>
      </c>
      <c r="E1367" s="2">
        <f>IF(A1367&lt;&gt;"", VLOOKUP(A1367, imdb_netflix_v5!A$2:H$7370, 5, FALSE), "")</f>
        <v>2015</v>
      </c>
      <c r="F1367" s="2" t="str">
        <f>IF(A1367&lt;&gt;"", VLOOKUP(A1367, imdb_netflix_v5!A$2:H$7370, 7, FALSE), "")</f>
        <v>NA</v>
      </c>
    </row>
    <row r="1368" ht="15.75" customHeight="1">
      <c r="A1368" s="1" t="str">
        <f>IFERROR(__xludf.DUMMYFUNCTION("""COMPUTED_VALUE"""),"slumdog millionaire")</f>
        <v>slumdog millionaire</v>
      </c>
      <c r="B1368" s="1" t="str">
        <f>IF(A1368&lt;&gt;"", VLOOKUP(A1368, imdb_netflix_v5!A$2:H$7370, 2, FALSE), "")</f>
        <v>Movie</v>
      </c>
      <c r="C1368" s="2" t="str">
        <f>IF(A1368&lt;&gt;"", VLOOKUP(A1368, imdb_netflix_v5!A$2:H$7370, 3, FALSE), "")</f>
        <v>Crime, Drama, Romance</v>
      </c>
      <c r="D1368" s="2">
        <f>IF(A1368&lt;&gt;"", VLOOKUP(A1368, imdb_netflix_v5!A$2:H$7370, 4, FALSE), "")</f>
        <v>8</v>
      </c>
      <c r="E1368" s="2">
        <f>IF(A1368&lt;&gt;"", VLOOKUP(A1368, imdb_netflix_v5!A$2:H$7370, 5, FALSE), "")</f>
        <v>2008</v>
      </c>
      <c r="F1368" s="2" t="str">
        <f>IF(A1368&lt;&gt;"", VLOOKUP(A1368, imdb_netflix_v5!A$2:H$7370, 7, FALSE), "")</f>
        <v>NA</v>
      </c>
    </row>
    <row r="1369" ht="15.75" customHeight="1">
      <c r="A1369" s="1" t="str">
        <f>IFERROR(__xludf.DUMMYFUNCTION("""COMPUTED_VALUE"""),"donnie darko")</f>
        <v>donnie darko</v>
      </c>
      <c r="B1369" s="1" t="str">
        <f>IF(A1369&lt;&gt;"", VLOOKUP(A1369, imdb_netflix_v5!A$2:H$7370, 2, FALSE), "")</f>
        <v>Movie</v>
      </c>
      <c r="C1369" s="2" t="str">
        <f>IF(A1369&lt;&gt;"", VLOOKUP(A1369, imdb_netflix_v5!A$2:H$7370, 3, FALSE), "")</f>
        <v>Drama, Mystery, Sci-Fi</v>
      </c>
      <c r="D1369" s="2">
        <f>IF(A1369&lt;&gt;"", VLOOKUP(A1369, imdb_netflix_v5!A$2:H$7370, 4, FALSE), "")</f>
        <v>8</v>
      </c>
      <c r="E1369" s="2">
        <f>IF(A1369&lt;&gt;"", VLOOKUP(A1369, imdb_netflix_v5!A$2:H$7370, 5, FALSE), "")</f>
        <v>2001</v>
      </c>
      <c r="F1369" s="2" t="str">
        <f>IF(A1369&lt;&gt;"", VLOOKUP(A1369, imdb_netflix_v5!A$2:H$7370, 7, FALSE), "")</f>
        <v>NA</v>
      </c>
    </row>
    <row r="1370" ht="15.75" customHeight="1">
      <c r="A1370" s="1" t="str">
        <f>IFERROR(__xludf.DUMMYFUNCTION("""COMPUTED_VALUE"""),"black swan")</f>
        <v>black swan</v>
      </c>
      <c r="B1370" s="1" t="str">
        <f>IF(A1370&lt;&gt;"", VLOOKUP(A1370, imdb_netflix_v5!A$2:H$7370, 2, FALSE), "")</f>
        <v>Movie</v>
      </c>
      <c r="C1370" s="2" t="str">
        <f>IF(A1370&lt;&gt;"", VLOOKUP(A1370, imdb_netflix_v5!A$2:H$7370, 3, FALSE), "")</f>
        <v>Drama, Thriller</v>
      </c>
      <c r="D1370" s="2">
        <f>IF(A1370&lt;&gt;"", VLOOKUP(A1370, imdb_netflix_v5!A$2:H$7370, 4, FALSE), "")</f>
        <v>8</v>
      </c>
      <c r="E1370" s="2">
        <f>IF(A1370&lt;&gt;"", VLOOKUP(A1370, imdb_netflix_v5!A$2:H$7370, 5, FALSE), "")</f>
        <v>2010</v>
      </c>
      <c r="F1370" s="2" t="str">
        <f>IF(A1370&lt;&gt;"", VLOOKUP(A1370, imdb_netflix_v5!A$2:H$7370, 7, FALSE), "")</f>
        <v>NA</v>
      </c>
    </row>
    <row r="1371" ht="15.75" customHeight="1">
      <c r="A1371" s="1" t="str">
        <f>IFERROR(__xludf.DUMMYFUNCTION("""COMPUTED_VALUE"""),"the imitation game")</f>
        <v>the imitation game</v>
      </c>
      <c r="B1371" s="1" t="str">
        <f>IF(A1371&lt;&gt;"", VLOOKUP(A1371, imdb_netflix_v5!A$2:H$7370, 2, FALSE), "")</f>
        <v>Movie</v>
      </c>
      <c r="C1371" s="2" t="str">
        <f>IF(A1371&lt;&gt;"", VLOOKUP(A1371, imdb_netflix_v5!A$2:H$7370, 3, FALSE), "")</f>
        <v>Biography, Drama, Thriller</v>
      </c>
      <c r="D1371" s="2">
        <f>IF(A1371&lt;&gt;"", VLOOKUP(A1371, imdb_netflix_v5!A$2:H$7370, 4, FALSE), "")</f>
        <v>8</v>
      </c>
      <c r="E1371" s="2">
        <f>IF(A1371&lt;&gt;"", VLOOKUP(A1371, imdb_netflix_v5!A$2:H$7370, 5, FALSE), "")</f>
        <v>2014</v>
      </c>
      <c r="F1371" s="2" t="str">
        <f>IF(A1371&lt;&gt;"", VLOOKUP(A1371, imdb_netflix_v5!A$2:H$7370, 7, FALSE), "")</f>
        <v>NA</v>
      </c>
    </row>
    <row r="1372" ht="15.75" customHeight="1">
      <c r="A1372" s="1" t="str">
        <f>IFERROR(__xludf.DUMMYFUNCTION("""COMPUTED_VALUE"""),"the incredibles")</f>
        <v>the incredibles</v>
      </c>
      <c r="B1372" s="1" t="str">
        <f>IF(A1372&lt;&gt;"", VLOOKUP(A1372, imdb_netflix_v5!A$2:H$7370, 2, FALSE), "")</f>
        <v>Movie</v>
      </c>
      <c r="C1372" s="2" t="str">
        <f>IF(A1372&lt;&gt;"", VLOOKUP(A1372, imdb_netflix_v5!A$2:H$7370, 3, FALSE), "")</f>
        <v>Action, Adventure, Animation</v>
      </c>
      <c r="D1372" s="2">
        <f>IF(A1372&lt;&gt;"", VLOOKUP(A1372, imdb_netflix_v5!A$2:H$7370, 4, FALSE), "")</f>
        <v>8</v>
      </c>
      <c r="E1372" s="2">
        <f>IF(A1372&lt;&gt;"", VLOOKUP(A1372, imdb_netflix_v5!A$2:H$7370, 5, FALSE), "")</f>
        <v>2004</v>
      </c>
      <c r="F1372" s="2" t="str">
        <f>IF(A1372&lt;&gt;"", VLOOKUP(A1372, imdb_netflix_v5!A$2:H$7370, 7, FALSE), "")</f>
        <v>NA</v>
      </c>
    </row>
    <row r="1373" ht="15.75" customHeight="1">
      <c r="A1373" s="1" t="str">
        <f>IFERROR(__xludf.DUMMYFUNCTION("""COMPUTED_VALUE"""),"kill bill vol. 2")</f>
        <v>kill bill vol. 2</v>
      </c>
      <c r="B1373" s="1" t="str">
        <f>IF(A1373&lt;&gt;"", VLOOKUP(A1373, imdb_netflix_v5!A$2:H$7370, 2, FALSE), "")</f>
        <v>Movie</v>
      </c>
      <c r="C1373" s="2" t="str">
        <f>IF(A1373&lt;&gt;"", VLOOKUP(A1373, imdb_netflix_v5!A$2:H$7370, 3, FALSE), "")</f>
        <v>Action, Crime, Thriller</v>
      </c>
      <c r="D1373" s="2">
        <f>IF(A1373&lt;&gt;"", VLOOKUP(A1373, imdb_netflix_v5!A$2:H$7370, 4, FALSE), "")</f>
        <v>8</v>
      </c>
      <c r="E1373" s="2">
        <f>IF(A1373&lt;&gt;"", VLOOKUP(A1373, imdb_netflix_v5!A$2:H$7370, 5, FALSE), "")</f>
        <v>2004</v>
      </c>
      <c r="F1373" s="2" t="str">
        <f>IF(A1373&lt;&gt;"", VLOOKUP(A1373, imdb_netflix_v5!A$2:H$7370, 7, FALSE), "")</f>
        <v>NA</v>
      </c>
    </row>
    <row r="1374" ht="15.75" customHeight="1">
      <c r="A1374" s="1" t="str">
        <f>IFERROR(__xludf.DUMMYFUNCTION("""COMPUTED_VALUE"""),"sin city")</f>
        <v>sin city</v>
      </c>
      <c r="B1374" s="1" t="str">
        <f>IF(A1374&lt;&gt;"", VLOOKUP(A1374, imdb_netflix_v5!A$2:H$7370, 2, FALSE), "")</f>
        <v>Movie</v>
      </c>
      <c r="C1374" s="2" t="str">
        <f>IF(A1374&lt;&gt;"", VLOOKUP(A1374, imdb_netflix_v5!A$2:H$7370, 3, FALSE), "")</f>
        <v>Crime, Thriller</v>
      </c>
      <c r="D1374" s="2">
        <f>IF(A1374&lt;&gt;"", VLOOKUP(A1374, imdb_netflix_v5!A$2:H$7370, 4, FALSE), "")</f>
        <v>8</v>
      </c>
      <c r="E1374" s="2">
        <f>IF(A1374&lt;&gt;"", VLOOKUP(A1374, imdb_netflix_v5!A$2:H$7370, 5, FALSE), "")</f>
        <v>2005</v>
      </c>
      <c r="F1374" s="2" t="str">
        <f>IF(A1374&lt;&gt;"", VLOOKUP(A1374, imdb_netflix_v5!A$2:H$7370, 7, FALSE), "")</f>
        <v>NA</v>
      </c>
    </row>
    <row r="1375" ht="15.75" customHeight="1">
      <c r="A1375" s="1" t="str">
        <f>IFERROR(__xludf.DUMMYFUNCTION("""COMPUTED_VALUE"""),"the kings speech")</f>
        <v>the kings speech</v>
      </c>
      <c r="B1375" s="1" t="str">
        <f>IF(A1375&lt;&gt;"", VLOOKUP(A1375, imdb_netflix_v5!A$2:H$7370, 2, FALSE), "")</f>
        <v>Movie</v>
      </c>
      <c r="C1375" s="2" t="str">
        <f>IF(A1375&lt;&gt;"", VLOOKUP(A1375, imdb_netflix_v5!A$2:H$7370, 3, FALSE), "")</f>
        <v>Biography, Drama, History</v>
      </c>
      <c r="D1375" s="2">
        <f>IF(A1375&lt;&gt;"", VLOOKUP(A1375, imdb_netflix_v5!A$2:H$7370, 4, FALSE), "")</f>
        <v>8</v>
      </c>
      <c r="E1375" s="2">
        <f>IF(A1375&lt;&gt;"", VLOOKUP(A1375, imdb_netflix_v5!A$2:H$7370, 5, FALSE), "")</f>
        <v>2010</v>
      </c>
      <c r="F1375" s="2" t="str">
        <f>IF(A1375&lt;&gt;"", VLOOKUP(A1375, imdb_netflix_v5!A$2:H$7370, 7, FALSE), "")</f>
        <v>NA</v>
      </c>
    </row>
    <row r="1376" ht="15.75" customHeight="1">
      <c r="A1376" s="1" t="str">
        <f>IFERROR(__xludf.DUMMYFUNCTION("""COMPUTED_VALUE"""),"casino royale")</f>
        <v>casino royale</v>
      </c>
      <c r="B1376" s="1" t="str">
        <f>IF(A1376&lt;&gt;"", VLOOKUP(A1376, imdb_netflix_v5!A$2:H$7370, 2, FALSE), "")</f>
        <v>Movie</v>
      </c>
      <c r="C1376" s="2" t="str">
        <f>IF(A1376&lt;&gt;"", VLOOKUP(A1376, imdb_netflix_v5!A$2:H$7370, 3, FALSE), "")</f>
        <v>Action, Adventure, Thriller</v>
      </c>
      <c r="D1376" s="2">
        <f>IF(A1376&lt;&gt;"", VLOOKUP(A1376, imdb_netflix_v5!A$2:H$7370, 4, FALSE), "")</f>
        <v>8</v>
      </c>
      <c r="E1376" s="2">
        <f>IF(A1376&lt;&gt;"", VLOOKUP(A1376, imdb_netflix_v5!A$2:H$7370, 5, FALSE), "")</f>
        <v>2006</v>
      </c>
      <c r="F1376" s="2" t="str">
        <f>IF(A1376&lt;&gt;"", VLOOKUP(A1376, imdb_netflix_v5!A$2:H$7370, 7, FALSE), "")</f>
        <v>NA</v>
      </c>
    </row>
    <row r="1377" ht="15.75" customHeight="1">
      <c r="A1377" s="1" t="str">
        <f>IFERROR(__xludf.DUMMYFUNCTION("""COMPUTED_VALUE"""),"groundhog day")</f>
        <v>groundhog day</v>
      </c>
      <c r="B1377" s="1" t="str">
        <f>IF(A1377&lt;&gt;"", VLOOKUP(A1377, imdb_netflix_v5!A$2:H$7370, 2, FALSE), "")</f>
        <v>Movie</v>
      </c>
      <c r="C1377" s="2" t="str">
        <f>IF(A1377&lt;&gt;"", VLOOKUP(A1377, imdb_netflix_v5!A$2:H$7370, 3, FALSE), "")</f>
        <v>Comedy, Drama, Fantasy</v>
      </c>
      <c r="D1377" s="2">
        <f>IF(A1377&lt;&gt;"", VLOOKUP(A1377, imdb_netflix_v5!A$2:H$7370, 4, FALSE), "")</f>
        <v>8</v>
      </c>
      <c r="E1377" s="2">
        <f>IF(A1377&lt;&gt;"", VLOOKUP(A1377, imdb_netflix_v5!A$2:H$7370, 5, FALSE), "")</f>
        <v>1993</v>
      </c>
      <c r="F1377" s="2" t="str">
        <f>IF(A1377&lt;&gt;"", VLOOKUP(A1377, imdb_netflix_v5!A$2:H$7370, 7, FALSE), "")</f>
        <v>NA</v>
      </c>
    </row>
    <row r="1378" ht="15.75" customHeight="1">
      <c r="A1378" s="1" t="str">
        <f>IFERROR(__xludf.DUMMYFUNCTION("""COMPUTED_VALUE"""),"la la land")</f>
        <v>la la land</v>
      </c>
      <c r="B1378" s="1" t="str">
        <f>IF(A1378&lt;&gt;"", VLOOKUP(A1378, imdb_netflix_v5!A$2:H$7370, 2, FALSE), "")</f>
        <v>Movie</v>
      </c>
      <c r="C1378" s="2" t="str">
        <f>IF(A1378&lt;&gt;"", VLOOKUP(A1378, imdb_netflix_v5!A$2:H$7370, 3, FALSE), "")</f>
        <v>Comedy, Drama, Music</v>
      </c>
      <c r="D1378" s="2">
        <f>IF(A1378&lt;&gt;"", VLOOKUP(A1378, imdb_netflix_v5!A$2:H$7370, 4, FALSE), "")</f>
        <v>8</v>
      </c>
      <c r="E1378" s="2">
        <f>IF(A1378&lt;&gt;"", VLOOKUP(A1378, imdb_netflix_v5!A$2:H$7370, 5, FALSE), "")</f>
        <v>2016</v>
      </c>
      <c r="F1378" s="2" t="str">
        <f>IF(A1378&lt;&gt;"", VLOOKUP(A1378, imdb_netflix_v5!A$2:H$7370, 7, FALSE), "")</f>
        <v>NA</v>
      </c>
    </row>
    <row r="1379" ht="15.75" customHeight="1">
      <c r="A1379" s="1" t="str">
        <f>IFERROR(__xludf.DUMMYFUNCTION("""COMPUTED_VALUE"""),"blade runner 2049")</f>
        <v>blade runner 2049</v>
      </c>
      <c r="B1379" s="1" t="str">
        <f>IF(A1379&lt;&gt;"", VLOOKUP(A1379, imdb_netflix_v5!A$2:H$7370, 2, FALSE), "")</f>
        <v>Movie</v>
      </c>
      <c r="C1379" s="2" t="str">
        <f>IF(A1379&lt;&gt;"", VLOOKUP(A1379, imdb_netflix_v5!A$2:H$7370, 3, FALSE), "")</f>
        <v>Action, Drama, Mystery</v>
      </c>
      <c r="D1379" s="2">
        <f>IF(A1379&lt;&gt;"", VLOOKUP(A1379, imdb_netflix_v5!A$2:H$7370, 4, FALSE), "")</f>
        <v>8</v>
      </c>
      <c r="E1379" s="2">
        <f>IF(A1379&lt;&gt;"", VLOOKUP(A1379, imdb_netflix_v5!A$2:H$7370, 5, FALSE), "")</f>
        <v>2017</v>
      </c>
      <c r="F1379" s="2">
        <f>IF(A1379&lt;&gt;"", VLOOKUP(A1379, imdb_netflix_v5!A$2:H$7370, 7, FALSE), "")</f>
        <v>7850000</v>
      </c>
    </row>
    <row r="1380" ht="15.75" customHeight="1">
      <c r="A1380" s="1" t="str">
        <f>IFERROR(__xludf.DUMMYFUNCTION("""COMPUTED_VALUE"""),"her")</f>
        <v>her</v>
      </c>
      <c r="B1380" s="1" t="str">
        <f>IF(A1380&lt;&gt;"", VLOOKUP(A1380, imdb_netflix_v5!A$2:H$7370, 2, FALSE), "")</f>
        <v>Movie</v>
      </c>
      <c r="C1380" s="2" t="str">
        <f>IF(A1380&lt;&gt;"", VLOOKUP(A1380, imdb_netflix_v5!A$2:H$7370, 3, FALSE), "")</f>
        <v>Drama, Romance, Sci-Fi</v>
      </c>
      <c r="D1380" s="2">
        <f>IF(A1380&lt;&gt;"", VLOOKUP(A1380, imdb_netflix_v5!A$2:H$7370, 4, FALSE), "")</f>
        <v>8</v>
      </c>
      <c r="E1380" s="2">
        <f>IF(A1380&lt;&gt;"", VLOOKUP(A1380, imdb_netflix_v5!A$2:H$7370, 5, FALSE), "")</f>
        <v>2013</v>
      </c>
      <c r="F1380" s="2" t="str">
        <f>IF(A1380&lt;&gt;"", VLOOKUP(A1380, imdb_netflix_v5!A$2:H$7370, 7, FALSE), "")</f>
        <v>NA</v>
      </c>
    </row>
    <row r="1381" ht="15.75" customHeight="1">
      <c r="A1381" s="1" t="str">
        <f>IFERROR(__xludf.DUMMYFUNCTION("""COMPUTED_VALUE"""),"the bourne ultimatum")</f>
        <v>the bourne ultimatum</v>
      </c>
      <c r="B1381" s="1" t="str">
        <f>IF(A1381&lt;&gt;"", VLOOKUP(A1381, imdb_netflix_v5!A$2:H$7370, 2, FALSE), "")</f>
        <v>Movie</v>
      </c>
      <c r="C1381" s="2" t="str">
        <f>IF(A1381&lt;&gt;"", VLOOKUP(A1381, imdb_netflix_v5!A$2:H$7370, 3, FALSE), "")</f>
        <v>Action, Mystery, Thriller</v>
      </c>
      <c r="D1381" s="2">
        <f>IF(A1381&lt;&gt;"", VLOOKUP(A1381, imdb_netflix_v5!A$2:H$7370, 4, FALSE), "")</f>
        <v>8</v>
      </c>
      <c r="E1381" s="2">
        <f>IF(A1381&lt;&gt;"", VLOOKUP(A1381, imdb_netflix_v5!A$2:H$7370, 5, FALSE), "")</f>
        <v>2007</v>
      </c>
      <c r="F1381" s="2" t="str">
        <f>IF(A1381&lt;&gt;"", VLOOKUP(A1381, imdb_netflix_v5!A$2:H$7370, 7, FALSE), "")</f>
        <v>NA</v>
      </c>
    </row>
    <row r="1382" ht="15.75" customHeight="1">
      <c r="A1382" s="1" t="str">
        <f>IFERROR(__xludf.DUMMYFUNCTION("""COMPUTED_VALUE"""),"12 monkeys")</f>
        <v>12 monkeys</v>
      </c>
      <c r="B1382" s="1" t="str">
        <f>IF(A1382&lt;&gt;"", VLOOKUP(A1382, imdb_netflix_v5!A$2:H$7370, 2, FALSE), "")</f>
        <v>Movie</v>
      </c>
      <c r="C1382" s="2" t="str">
        <f>IF(A1382&lt;&gt;"", VLOOKUP(A1382, imdb_netflix_v5!A$2:H$7370, 3, FALSE), "")</f>
        <v>Mystery, Sci-Fi, Thriller</v>
      </c>
      <c r="D1382" s="2">
        <f>IF(A1382&lt;&gt;"", VLOOKUP(A1382, imdb_netflix_v5!A$2:H$7370, 4, FALSE), "")</f>
        <v>8</v>
      </c>
      <c r="E1382" s="2">
        <f>IF(A1382&lt;&gt;"", VLOOKUP(A1382, imdb_netflix_v5!A$2:H$7370, 5, FALSE), "")</f>
        <v>1995</v>
      </c>
      <c r="F1382" s="2" t="str">
        <f>IF(A1382&lt;&gt;"", VLOOKUP(A1382, imdb_netflix_v5!A$2:H$7370, 7, FALSE), "")</f>
        <v>NA</v>
      </c>
    </row>
    <row r="1383" ht="15.75" customHeight="1">
      <c r="A1383" s="1" t="str">
        <f>IFERROR(__xludf.DUMMYFUNCTION("""COMPUTED_VALUE"""),"blood diamond")</f>
        <v>blood diamond</v>
      </c>
      <c r="B1383" s="1" t="str">
        <f>IF(A1383&lt;&gt;"", VLOOKUP(A1383, imdb_netflix_v5!A$2:H$7370, 2, FALSE), "")</f>
        <v>Movie</v>
      </c>
      <c r="C1383" s="2" t="str">
        <f>IF(A1383&lt;&gt;"", VLOOKUP(A1383, imdb_netflix_v5!A$2:H$7370, 3, FALSE), "")</f>
        <v>Adventure, Drama, Thriller</v>
      </c>
      <c r="D1383" s="2">
        <f>IF(A1383&lt;&gt;"", VLOOKUP(A1383, imdb_netflix_v5!A$2:H$7370, 4, FALSE), "")</f>
        <v>8</v>
      </c>
      <c r="E1383" s="2">
        <f>IF(A1383&lt;&gt;"", VLOOKUP(A1383, imdb_netflix_v5!A$2:H$7370, 5, FALSE), "")</f>
        <v>2006</v>
      </c>
      <c r="F1383" s="2" t="str">
        <f>IF(A1383&lt;&gt;"", VLOOKUP(A1383, imdb_netflix_v5!A$2:H$7370, 7, FALSE), "")</f>
        <v>NA</v>
      </c>
    </row>
    <row r="1384" ht="15.75" customHeight="1">
      <c r="A1384" s="1" t="str">
        <f>IFERROR(__xludf.DUMMYFUNCTION("""COMPUTED_VALUE"""),"the witcher")</f>
        <v>the witcher</v>
      </c>
      <c r="B1384" s="1" t="str">
        <f>IF(A1384&lt;&gt;"", VLOOKUP(A1384, imdb_netflix_v5!A$2:H$7370, 2, FALSE), "")</f>
        <v>TV Show</v>
      </c>
      <c r="C1384" s="2" t="str">
        <f>IF(A1384&lt;&gt;"", VLOOKUP(A1384, imdb_netflix_v5!A$2:H$7370, 3, FALSE), "")</f>
        <v>Action, Adventure, Drama</v>
      </c>
      <c r="D1384" s="2">
        <f>IF(A1384&lt;&gt;"", VLOOKUP(A1384, imdb_netflix_v5!A$2:H$7370, 4, FALSE), "")</f>
        <v>8</v>
      </c>
      <c r="E1384" s="2">
        <f>IF(A1384&lt;&gt;"", VLOOKUP(A1384, imdb_netflix_v5!A$2:H$7370, 5, FALSE), "")</f>
        <v>2019</v>
      </c>
      <c r="F1384" s="2">
        <f>IF(A1384&lt;&gt;"", VLOOKUP(A1384, imdb_netflix_v5!A$2:H$7370, 7, FALSE), "")</f>
        <v>14700000</v>
      </c>
    </row>
    <row r="1385" ht="15.75" customHeight="1">
      <c r="A1385" s="1" t="str">
        <f>IFERROR(__xludf.DUMMYFUNCTION("""COMPUTED_VALUE"""),"squid game")</f>
        <v>squid game</v>
      </c>
      <c r="B1385" s="1" t="str">
        <f>IF(A1385&lt;&gt;"", VLOOKUP(A1385, imdb_netflix_v5!A$2:H$7370, 2, FALSE), "")</f>
        <v>TV Show</v>
      </c>
      <c r="C1385" s="2" t="str">
        <f>IF(A1385&lt;&gt;"", VLOOKUP(A1385, imdb_netflix_v5!A$2:H$7370, 3, FALSE), "")</f>
        <v>Action, Drama, Mystery</v>
      </c>
      <c r="D1385" s="2">
        <f>IF(A1385&lt;&gt;"", VLOOKUP(A1385, imdb_netflix_v5!A$2:H$7370, 4, FALSE), "")</f>
        <v>8</v>
      </c>
      <c r="E1385" s="2">
        <f>IF(A1385&lt;&gt;"", VLOOKUP(A1385, imdb_netflix_v5!A$2:H$7370, 5, FALSE), "")</f>
        <v>2021</v>
      </c>
      <c r="F1385" s="2">
        <f>IF(A1385&lt;&gt;"", VLOOKUP(A1385, imdb_netflix_v5!A$2:H$7370, 7, FALSE), "")</f>
        <v>12700000</v>
      </c>
    </row>
    <row r="1386" ht="15.75" customHeight="1">
      <c r="A1386" s="1" t="str">
        <f>IFERROR(__xludf.DUMMYFUNCTION("""COMPUTED_VALUE"""),"the pursuit of happyness")</f>
        <v>the pursuit of happyness</v>
      </c>
      <c r="B1386" s="1" t="str">
        <f>IF(A1386&lt;&gt;"", VLOOKUP(A1386, imdb_netflix_v5!A$2:H$7370, 2, FALSE), "")</f>
        <v>Movie</v>
      </c>
      <c r="C1386" s="2" t="str">
        <f>IF(A1386&lt;&gt;"", VLOOKUP(A1386, imdb_netflix_v5!A$2:H$7370, 3, FALSE), "")</f>
        <v>Biography, Drama</v>
      </c>
      <c r="D1386" s="2">
        <f>IF(A1386&lt;&gt;"", VLOOKUP(A1386, imdb_netflix_v5!A$2:H$7370, 4, FALSE), "")</f>
        <v>8</v>
      </c>
      <c r="E1386" s="2">
        <f>IF(A1386&lt;&gt;"", VLOOKUP(A1386, imdb_netflix_v5!A$2:H$7370, 5, FALSE), "")</f>
        <v>2006</v>
      </c>
      <c r="F1386" s="2" t="str">
        <f>IF(A1386&lt;&gt;"", VLOOKUP(A1386, imdb_netflix_v5!A$2:H$7370, 7, FALSE), "")</f>
        <v>NA</v>
      </c>
    </row>
    <row r="1387" ht="15.75" customHeight="1">
      <c r="A1387" s="1" t="str">
        <f>IFERROR(__xludf.DUMMYFUNCTION("""COMPUTED_VALUE"""),"zootopia")</f>
        <v>zootopia</v>
      </c>
      <c r="B1387" s="1" t="str">
        <f>IF(A1387&lt;&gt;"", VLOOKUP(A1387, imdb_netflix_v5!A$2:H$7370, 2, FALSE), "")</f>
        <v>Movie</v>
      </c>
      <c r="C1387" s="2" t="str">
        <f>IF(A1387&lt;&gt;"", VLOOKUP(A1387, imdb_netflix_v5!A$2:H$7370, 3, FALSE), "")</f>
        <v>Action, Adventure, Animation</v>
      </c>
      <c r="D1387" s="2">
        <f>IF(A1387&lt;&gt;"", VLOOKUP(A1387, imdb_netflix_v5!A$2:H$7370, 4, FALSE), "")</f>
        <v>8</v>
      </c>
      <c r="E1387" s="2">
        <f>IF(A1387&lt;&gt;"", VLOOKUP(A1387, imdb_netflix_v5!A$2:H$7370, 5, FALSE), "")</f>
        <v>2016</v>
      </c>
      <c r="F1387" s="2" t="str">
        <f>IF(A1387&lt;&gt;"", VLOOKUP(A1387, imdb_netflix_v5!A$2:H$7370, 7, FALSE), "")</f>
        <v>NA</v>
      </c>
    </row>
    <row r="1388" ht="15.75" customHeight="1">
      <c r="A1388" s="1" t="str">
        <f>IFERROR(__xludf.DUMMYFUNCTION("""COMPUTED_VALUE"""),"rain man")</f>
        <v>rain man</v>
      </c>
      <c r="B1388" s="1" t="str">
        <f>IF(A1388&lt;&gt;"", VLOOKUP(A1388, imdb_netflix_v5!A$2:H$7370, 2, FALSE), "")</f>
        <v>Movie</v>
      </c>
      <c r="C1388" s="2" t="str">
        <f>IF(A1388&lt;&gt;"", VLOOKUP(A1388, imdb_netflix_v5!A$2:H$7370, 3, FALSE), "")</f>
        <v>Drama</v>
      </c>
      <c r="D1388" s="2">
        <f>IF(A1388&lt;&gt;"", VLOOKUP(A1388, imdb_netflix_v5!A$2:H$7370, 4, FALSE), "")</f>
        <v>8</v>
      </c>
      <c r="E1388" s="2">
        <f>IF(A1388&lt;&gt;"", VLOOKUP(A1388, imdb_netflix_v5!A$2:H$7370, 5, FALSE), "")</f>
        <v>1988</v>
      </c>
      <c r="F1388" s="2" t="str">
        <f>IF(A1388&lt;&gt;"", VLOOKUP(A1388, imdb_netflix_v5!A$2:H$7370, 7, FALSE), "")</f>
        <v>NA</v>
      </c>
    </row>
    <row r="1389" ht="15.75" customHeight="1">
      <c r="A1389" s="1" t="str">
        <f>IFERROR(__xludf.DUMMYFUNCTION("""COMPUTED_VALUE"""),"beauty and the beast")</f>
        <v>beauty and the beast</v>
      </c>
      <c r="B1389" s="1" t="str">
        <f>IF(A1389&lt;&gt;"", VLOOKUP(A1389, imdb_netflix_v5!A$2:H$7370, 2, FALSE), "")</f>
        <v>Movie</v>
      </c>
      <c r="C1389" s="2" t="str">
        <f>IF(A1389&lt;&gt;"", VLOOKUP(A1389, imdb_netflix_v5!A$2:H$7370, 3, FALSE), "")</f>
        <v>Animation, Family, Fantasy</v>
      </c>
      <c r="D1389" s="2">
        <f>IF(A1389&lt;&gt;"", VLOOKUP(A1389, imdb_netflix_v5!A$2:H$7370, 4, FALSE), "")</f>
        <v>8</v>
      </c>
      <c r="E1389" s="2">
        <f>IF(A1389&lt;&gt;"", VLOOKUP(A1389, imdb_netflix_v5!A$2:H$7370, 5, FALSE), "")</f>
        <v>1991</v>
      </c>
      <c r="F1389" s="2">
        <f>IF(A1389&lt;&gt;"", VLOOKUP(A1389, imdb_netflix_v5!A$2:H$7370, 7, FALSE), "")</f>
        <v>1150000</v>
      </c>
    </row>
    <row r="1390" ht="15.75" customHeight="1">
      <c r="A1390" s="1" t="str">
        <f>IFERROR(__xludf.DUMMYFUNCTION("""COMPUTED_VALUE"""),"aladdin")</f>
        <v>aladdin</v>
      </c>
      <c r="B1390" s="1" t="str">
        <f>IF(A1390&lt;&gt;"", VLOOKUP(A1390, imdb_netflix_v5!A$2:H$7370, 2, FALSE), "")</f>
        <v>Movie</v>
      </c>
      <c r="C1390" s="2" t="str">
        <f>IF(A1390&lt;&gt;"", VLOOKUP(A1390, imdb_netflix_v5!A$2:H$7370, 3, FALSE), "")</f>
        <v>Adventure, Animation, Comedy</v>
      </c>
      <c r="D1390" s="2">
        <f>IF(A1390&lt;&gt;"", VLOOKUP(A1390, imdb_netflix_v5!A$2:H$7370, 4, FALSE), "")</f>
        <v>8</v>
      </c>
      <c r="E1390" s="2">
        <f>IF(A1390&lt;&gt;"", VLOOKUP(A1390, imdb_netflix_v5!A$2:H$7370, 5, FALSE), "")</f>
        <v>1992</v>
      </c>
      <c r="F1390" s="2" t="str">
        <f>IF(A1390&lt;&gt;"", VLOOKUP(A1390, imdb_netflix_v5!A$2:H$7370, 7, FALSE), "")</f>
        <v>NA</v>
      </c>
    </row>
    <row r="1391" ht="15.75" customHeight="1">
      <c r="A1391" s="1" t="str">
        <f>IFERROR(__xludf.DUMMYFUNCTION("""COMPUTED_VALUE"""),"big fish")</f>
        <v>big fish</v>
      </c>
      <c r="B1391" s="1" t="str">
        <f>IF(A1391&lt;&gt;"", VLOOKUP(A1391, imdb_netflix_v5!A$2:H$7370, 2, FALSE), "")</f>
        <v>Movie</v>
      </c>
      <c r="C1391" s="2" t="str">
        <f>IF(A1391&lt;&gt;"", VLOOKUP(A1391, imdb_netflix_v5!A$2:H$7370, 3, FALSE), "")</f>
        <v>Adventure, Drama, Fantasy</v>
      </c>
      <c r="D1391" s="2">
        <f>IF(A1391&lt;&gt;"", VLOOKUP(A1391, imdb_netflix_v5!A$2:H$7370, 4, FALSE), "")</f>
        <v>8</v>
      </c>
      <c r="E1391" s="2">
        <f>IF(A1391&lt;&gt;"", VLOOKUP(A1391, imdb_netflix_v5!A$2:H$7370, 5, FALSE), "")</f>
        <v>2003</v>
      </c>
      <c r="F1391" s="2" t="str">
        <f>IF(A1391&lt;&gt;"", VLOOKUP(A1391, imdb_netflix_v5!A$2:H$7370, 7, FALSE), "")</f>
        <v>NA</v>
      </c>
    </row>
    <row r="1392" ht="15.75" customHeight="1">
      <c r="A1392" s="1" t="str">
        <f>IFERROR(__xludf.DUMMYFUNCTION("""COMPUTED_VALUE"""),"the princess bride")</f>
        <v>the princess bride</v>
      </c>
      <c r="B1392" s="1" t="str">
        <f>IF(A1392&lt;&gt;"", VLOOKUP(A1392, imdb_netflix_v5!A$2:H$7370, 2, FALSE), "")</f>
        <v>Movie</v>
      </c>
      <c r="C1392" s="2" t="str">
        <f>IF(A1392&lt;&gt;"", VLOOKUP(A1392, imdb_netflix_v5!A$2:H$7370, 3, FALSE), "")</f>
        <v>Adventure, Comedy, Family</v>
      </c>
      <c r="D1392" s="2">
        <f>IF(A1392&lt;&gt;"", VLOOKUP(A1392, imdb_netflix_v5!A$2:H$7370, 4, FALSE), "")</f>
        <v>8</v>
      </c>
      <c r="E1392" s="2">
        <f>IF(A1392&lt;&gt;"", VLOOKUP(A1392, imdb_netflix_v5!A$2:H$7370, 5, FALSE), "")</f>
        <v>1987</v>
      </c>
      <c r="F1392" s="2" t="str">
        <f>IF(A1392&lt;&gt;"", VLOOKUP(A1392, imdb_netflix_v5!A$2:H$7370, 7, FALSE), "")</f>
        <v>NA</v>
      </c>
    </row>
    <row r="1393" ht="15.75" customHeight="1">
      <c r="A1393" s="1" t="str">
        <f>IFERROR(__xludf.DUMMYFUNCTION("""COMPUTED_VALUE"""),"monty pythons life of brian")</f>
        <v>monty pythons life of brian</v>
      </c>
      <c r="B1393" s="1" t="str">
        <f>IF(A1393&lt;&gt;"", VLOOKUP(A1393, imdb_netflix_v5!A$2:H$7370, 2, FALSE), "")</f>
        <v>Movie</v>
      </c>
      <c r="C1393" s="2" t="str">
        <f>IF(A1393&lt;&gt;"", VLOOKUP(A1393, imdb_netflix_v5!A$2:H$7370, 3, FALSE), "")</f>
        <v>Comedy</v>
      </c>
      <c r="D1393" s="2">
        <f>IF(A1393&lt;&gt;"", VLOOKUP(A1393, imdb_netflix_v5!A$2:H$7370, 4, FALSE), "")</f>
        <v>8</v>
      </c>
      <c r="E1393" s="2">
        <f>IF(A1393&lt;&gt;"", VLOOKUP(A1393, imdb_netflix_v5!A$2:H$7370, 5, FALSE), "")</f>
        <v>1979</v>
      </c>
      <c r="F1393" s="2" t="str">
        <f>IF(A1393&lt;&gt;"", VLOOKUP(A1393, imdb_netflix_v5!A$2:H$7370, 7, FALSE), "")</f>
        <v>NA</v>
      </c>
    </row>
    <row r="1394" ht="15.75" customHeight="1">
      <c r="A1394" s="1" t="str">
        <f>IFERROR(__xludf.DUMMYFUNCTION("""COMPUTED_VALUE"""),"soul")</f>
        <v>soul</v>
      </c>
      <c r="B1394" s="1" t="str">
        <f>IF(A1394&lt;&gt;"", VLOOKUP(A1394, imdb_netflix_v5!A$2:H$7370, 2, FALSE), "")</f>
        <v>Movie</v>
      </c>
      <c r="C1394" s="2" t="str">
        <f>IF(A1394&lt;&gt;"", VLOOKUP(A1394, imdb_netflix_v5!A$2:H$7370, 3, FALSE), "")</f>
        <v>Adventure, Animation, Comedy</v>
      </c>
      <c r="D1394" s="2">
        <f>IF(A1394&lt;&gt;"", VLOOKUP(A1394, imdb_netflix_v5!A$2:H$7370, 4, FALSE), "")</f>
        <v>8</v>
      </c>
      <c r="E1394" s="2">
        <f>IF(A1394&lt;&gt;"", VLOOKUP(A1394, imdb_netflix_v5!A$2:H$7370, 5, FALSE), "")</f>
        <v>2020</v>
      </c>
      <c r="F1394" s="2" t="str">
        <f>IF(A1394&lt;&gt;"", VLOOKUP(A1394, imdb_netflix_v5!A$2:H$7370, 7, FALSE), "")</f>
        <v>NA</v>
      </c>
    </row>
    <row r="1395" ht="15.75" customHeight="1">
      <c r="A1395" s="1" t="str">
        <f>IFERROR(__xludf.DUMMYFUNCTION("""COMPUTED_VALUE"""),"lucifer")</f>
        <v>lucifer</v>
      </c>
      <c r="B1395" s="1" t="str">
        <f>IF(A1395&lt;&gt;"", VLOOKUP(A1395, imdb_netflix_v5!A$2:H$7370, 2, FALSE), "")</f>
        <v>TV Show</v>
      </c>
      <c r="C1395" s="2" t="str">
        <f>IF(A1395&lt;&gt;"", VLOOKUP(A1395, imdb_netflix_v5!A$2:H$7370, 3, FALSE), "")</f>
        <v>Crime, Drama, Fantasy</v>
      </c>
      <c r="D1395" s="2">
        <f>IF(A1395&lt;&gt;"", VLOOKUP(A1395, imdb_netflix_v5!A$2:H$7370, 4, FALSE), "")</f>
        <v>8</v>
      </c>
      <c r="E1395" s="2">
        <f>IF(A1395&lt;&gt;"", VLOOKUP(A1395, imdb_netflix_v5!A$2:H$7370, 5, FALSE), "")</f>
        <v>2016</v>
      </c>
      <c r="F1395" s="2">
        <f>IF(A1395&lt;&gt;"", VLOOKUP(A1395, imdb_netflix_v5!A$2:H$7370, 7, FALSE), "")</f>
        <v>16730000</v>
      </c>
    </row>
    <row r="1396" ht="15.75" customHeight="1">
      <c r="A1396" s="1" t="str">
        <f>IFERROR(__xludf.DUMMYFUNCTION("""COMPUTED_VALUE"""),"scent of a woman")</f>
        <v>scent of a woman</v>
      </c>
      <c r="B1396" s="1" t="str">
        <f>IF(A1396&lt;&gt;"", VLOOKUP(A1396, imdb_netflix_v5!A$2:H$7370, 2, FALSE), "")</f>
        <v>Movie</v>
      </c>
      <c r="C1396" s="2" t="str">
        <f>IF(A1396&lt;&gt;"", VLOOKUP(A1396, imdb_netflix_v5!A$2:H$7370, 3, FALSE), "")</f>
        <v>Drama</v>
      </c>
      <c r="D1396" s="2">
        <f>IF(A1396&lt;&gt;"", VLOOKUP(A1396, imdb_netflix_v5!A$2:H$7370, 4, FALSE), "")</f>
        <v>8</v>
      </c>
      <c r="E1396" s="2">
        <f>IF(A1396&lt;&gt;"", VLOOKUP(A1396, imdb_netflix_v5!A$2:H$7370, 5, FALSE), "")</f>
        <v>1992</v>
      </c>
      <c r="F1396" s="2" t="str">
        <f>IF(A1396&lt;&gt;"", VLOOKUP(A1396, imdb_netflix_v5!A$2:H$7370, 7, FALSE), "")</f>
        <v>NA</v>
      </c>
    </row>
    <row r="1397" ht="15.75" customHeight="1">
      <c r="A1397" s="1" t="str">
        <f>IFERROR(__xludf.DUMMYFUNCTION("""COMPUTED_VALUE"""),"magnolia")</f>
        <v>magnolia</v>
      </c>
      <c r="B1397" s="1" t="str">
        <f>IF(A1397&lt;&gt;"", VLOOKUP(A1397, imdb_netflix_v5!A$2:H$7370, 2, FALSE), "")</f>
        <v>Movie</v>
      </c>
      <c r="C1397" s="2" t="str">
        <f>IF(A1397&lt;&gt;"", VLOOKUP(A1397, imdb_netflix_v5!A$2:H$7370, 3, FALSE), "")</f>
        <v>Drama</v>
      </c>
      <c r="D1397" s="2">
        <f>IF(A1397&lt;&gt;"", VLOOKUP(A1397, imdb_netflix_v5!A$2:H$7370, 4, FALSE), "")</f>
        <v>8</v>
      </c>
      <c r="E1397" s="2">
        <f>IF(A1397&lt;&gt;"", VLOOKUP(A1397, imdb_netflix_v5!A$2:H$7370, 5, FALSE), "")</f>
        <v>1999</v>
      </c>
      <c r="F1397" s="2" t="str">
        <f>IF(A1397&lt;&gt;"", VLOOKUP(A1397, imdb_netflix_v5!A$2:H$7370, 7, FALSE), "")</f>
        <v>NA</v>
      </c>
    </row>
    <row r="1398" ht="15.75" customHeight="1">
      <c r="A1398" s="1" t="str">
        <f>IFERROR(__xludf.DUMMYFUNCTION("""COMPUTED_VALUE"""),"orange is the new black")</f>
        <v>orange is the new black</v>
      </c>
      <c r="B1398" s="1" t="str">
        <f>IF(A1398&lt;&gt;"", VLOOKUP(A1398, imdb_netflix_v5!A$2:H$7370, 2, FALSE), "")</f>
        <v>TV Show</v>
      </c>
      <c r="C1398" s="2" t="str">
        <f>IF(A1398&lt;&gt;"", VLOOKUP(A1398, imdb_netflix_v5!A$2:H$7370, 3, FALSE), "")</f>
        <v>Comedy, Crime, Drama</v>
      </c>
      <c r="D1398" s="2">
        <f>IF(A1398&lt;&gt;"", VLOOKUP(A1398, imdb_netflix_v5!A$2:H$7370, 4, FALSE), "")</f>
        <v>8</v>
      </c>
      <c r="E1398" s="2">
        <f>IF(A1398&lt;&gt;"", VLOOKUP(A1398, imdb_netflix_v5!A$2:H$7370, 5, FALSE), "")</f>
        <v>2013</v>
      </c>
      <c r="F1398" s="2" t="str">
        <f>IF(A1398&lt;&gt;"", VLOOKUP(A1398, imdb_netflix_v5!A$2:H$7370, 7, FALSE), "")</f>
        <v>NA</v>
      </c>
    </row>
    <row r="1399" ht="15.75" customHeight="1">
      <c r="A1399" s="1" t="str">
        <f>IFERROR(__xludf.DUMMYFUNCTION("""COMPUTED_VALUE"""),"dances with wolves")</f>
        <v>dances with wolves</v>
      </c>
      <c r="B1399" s="1" t="str">
        <f>IF(A1399&lt;&gt;"", VLOOKUP(A1399, imdb_netflix_v5!A$2:H$7370, 2, FALSE), "")</f>
        <v>Movie</v>
      </c>
      <c r="C1399" s="2" t="str">
        <f>IF(A1399&lt;&gt;"", VLOOKUP(A1399, imdb_netflix_v5!A$2:H$7370, 3, FALSE), "")</f>
        <v>Adventure, Drama, Western</v>
      </c>
      <c r="D1399" s="2">
        <f>IF(A1399&lt;&gt;"", VLOOKUP(A1399, imdb_netflix_v5!A$2:H$7370, 4, FALSE), "")</f>
        <v>8</v>
      </c>
      <c r="E1399" s="2">
        <f>IF(A1399&lt;&gt;"", VLOOKUP(A1399, imdb_netflix_v5!A$2:H$7370, 5, FALSE), "")</f>
        <v>1990</v>
      </c>
      <c r="F1399" s="2" t="str">
        <f>IF(A1399&lt;&gt;"", VLOOKUP(A1399, imdb_netflix_v5!A$2:H$7370, 7, FALSE), "")</f>
        <v>NA</v>
      </c>
    </row>
    <row r="1400" ht="15.75" customHeight="1">
      <c r="A1400" s="1" t="str">
        <f>IFERROR(__xludf.DUMMYFUNCTION("""COMPUTED_VALUE"""),"the graduate")</f>
        <v>the graduate</v>
      </c>
      <c r="B1400" s="1" t="str">
        <f>IF(A1400&lt;&gt;"", VLOOKUP(A1400, imdb_netflix_v5!A$2:H$7370, 2, FALSE), "")</f>
        <v>Movie</v>
      </c>
      <c r="C1400" s="2" t="str">
        <f>IF(A1400&lt;&gt;"", VLOOKUP(A1400, imdb_netflix_v5!A$2:H$7370, 3, FALSE), "")</f>
        <v>Comedy, Drama, Romance</v>
      </c>
      <c r="D1400" s="2">
        <f>IF(A1400&lt;&gt;"", VLOOKUP(A1400, imdb_netflix_v5!A$2:H$7370, 4, FALSE), "")</f>
        <v>8</v>
      </c>
      <c r="E1400" s="2">
        <f>IF(A1400&lt;&gt;"", VLOOKUP(A1400, imdb_netflix_v5!A$2:H$7370, 5, FALSE), "")</f>
        <v>1967</v>
      </c>
      <c r="F1400" s="2" t="str">
        <f>IF(A1400&lt;&gt;"", VLOOKUP(A1400, imdb_netflix_v5!A$2:H$7370, 7, FALSE), "")</f>
        <v>NA</v>
      </c>
    </row>
    <row r="1401" ht="15.75" customHeight="1">
      <c r="A1401" s="1" t="str">
        <f>IFERROR(__xludf.DUMMYFUNCTION("""COMPUTED_VALUE"""),"annie hall")</f>
        <v>annie hall</v>
      </c>
      <c r="B1401" s="1" t="str">
        <f>IF(A1401&lt;&gt;"", VLOOKUP(A1401, imdb_netflix_v5!A$2:H$7370, 2, FALSE), "")</f>
        <v>Movie</v>
      </c>
      <c r="C1401" s="2" t="str">
        <f>IF(A1401&lt;&gt;"", VLOOKUP(A1401, imdb_netflix_v5!A$2:H$7370, 3, FALSE), "")</f>
        <v>Comedy, Romance</v>
      </c>
      <c r="D1401" s="2">
        <f>IF(A1401&lt;&gt;"", VLOOKUP(A1401, imdb_netflix_v5!A$2:H$7370, 4, FALSE), "")</f>
        <v>8</v>
      </c>
      <c r="E1401" s="2">
        <f>IF(A1401&lt;&gt;"", VLOOKUP(A1401, imdb_netflix_v5!A$2:H$7370, 5, FALSE), "")</f>
        <v>1977</v>
      </c>
      <c r="F1401" s="2" t="str">
        <f>IF(A1401&lt;&gt;"", VLOOKUP(A1401, imdb_netflix_v5!A$2:H$7370, 7, FALSE), "")</f>
        <v>NA</v>
      </c>
    </row>
    <row r="1402" ht="15.75" customHeight="1">
      <c r="A1402" s="1" t="str">
        <f>IFERROR(__xludf.DUMMYFUNCTION("""COMPUTED_VALUE"""),"dog day afternoon")</f>
        <v>dog day afternoon</v>
      </c>
      <c r="B1402" s="1" t="str">
        <f>IF(A1402&lt;&gt;"", VLOOKUP(A1402, imdb_netflix_v5!A$2:H$7370, 2, FALSE), "")</f>
        <v>Movie</v>
      </c>
      <c r="C1402" s="2" t="str">
        <f>IF(A1402&lt;&gt;"", VLOOKUP(A1402, imdb_netflix_v5!A$2:H$7370, 3, FALSE), "")</f>
        <v>Biography, Crime, Drama</v>
      </c>
      <c r="D1402" s="2">
        <f>IF(A1402&lt;&gt;"", VLOOKUP(A1402, imdb_netflix_v5!A$2:H$7370, 4, FALSE), "")</f>
        <v>8</v>
      </c>
      <c r="E1402" s="2">
        <f>IF(A1402&lt;&gt;"", VLOOKUP(A1402, imdb_netflix_v5!A$2:H$7370, 5, FALSE), "")</f>
        <v>1975</v>
      </c>
      <c r="F1402" s="2" t="str">
        <f>IF(A1402&lt;&gt;"", VLOOKUP(A1402, imdb_netflix_v5!A$2:H$7370, 7, FALSE), "")</f>
        <v>NA</v>
      </c>
    </row>
    <row r="1403" ht="15.75" customHeight="1">
      <c r="A1403" s="1" t="str">
        <f>IFERROR(__xludf.DUMMYFUNCTION("""COMPUTED_VALUE"""),"amores perros")</f>
        <v>amores perros</v>
      </c>
      <c r="B1403" s="1" t="str">
        <f>IF(A1403&lt;&gt;"", VLOOKUP(A1403, imdb_netflix_v5!A$2:H$7370, 2, FALSE), "")</f>
        <v>Movie</v>
      </c>
      <c r="C1403" s="2" t="str">
        <f>IF(A1403&lt;&gt;"", VLOOKUP(A1403, imdb_netflix_v5!A$2:H$7370, 3, FALSE), "")</f>
        <v>Drama, Thriller</v>
      </c>
      <c r="D1403" s="2">
        <f>IF(A1403&lt;&gt;"", VLOOKUP(A1403, imdb_netflix_v5!A$2:H$7370, 4, FALSE), "")</f>
        <v>8</v>
      </c>
      <c r="E1403" s="2">
        <f>IF(A1403&lt;&gt;"", VLOOKUP(A1403, imdb_netflix_v5!A$2:H$7370, 5, FALSE), "")</f>
        <v>2000</v>
      </c>
      <c r="F1403" s="2">
        <f>IF(A1403&lt;&gt;"", VLOOKUP(A1403, imdb_netflix_v5!A$2:H$7370, 7, FALSE), "")</f>
        <v>1450000</v>
      </c>
    </row>
    <row r="1404" ht="15.75" customHeight="1">
      <c r="A1404" s="1" t="str">
        <f>IFERROR(__xludf.DUMMYFUNCTION("""COMPUTED_VALUE"""),"lion")</f>
        <v>lion</v>
      </c>
      <c r="B1404" s="1" t="str">
        <f>IF(A1404&lt;&gt;"", VLOOKUP(A1404, imdb_netflix_v5!A$2:H$7370, 2, FALSE), "")</f>
        <v>Movie</v>
      </c>
      <c r="C1404" s="2" t="str">
        <f>IF(A1404&lt;&gt;"", VLOOKUP(A1404, imdb_netflix_v5!A$2:H$7370, 3, FALSE), "")</f>
        <v>Biography, Drama</v>
      </c>
      <c r="D1404" s="2">
        <f>IF(A1404&lt;&gt;"", VLOOKUP(A1404, imdb_netflix_v5!A$2:H$7370, 4, FALSE), "")</f>
        <v>8</v>
      </c>
      <c r="E1404" s="2">
        <f>IF(A1404&lt;&gt;"", VLOOKUP(A1404, imdb_netflix_v5!A$2:H$7370, 5, FALSE), "")</f>
        <v>2016</v>
      </c>
      <c r="F1404" s="2" t="str">
        <f>IF(A1404&lt;&gt;"", VLOOKUP(A1404, imdb_netflix_v5!A$2:H$7370, 7, FALSE), "")</f>
        <v>NA</v>
      </c>
    </row>
    <row r="1405" ht="15.75" customHeight="1">
      <c r="A1405" s="1" t="str">
        <f>IFERROR(__xludf.DUMMYFUNCTION("""COMPUTED_VALUE"""),"rosemarys baby")</f>
        <v>rosemarys baby</v>
      </c>
      <c r="B1405" s="1" t="str">
        <f>IF(A1405&lt;&gt;"", VLOOKUP(A1405, imdb_netflix_v5!A$2:H$7370, 2, FALSE), "")</f>
        <v>Movie</v>
      </c>
      <c r="C1405" s="2" t="str">
        <f>IF(A1405&lt;&gt;"", VLOOKUP(A1405, imdb_netflix_v5!A$2:H$7370, 3, FALSE), "")</f>
        <v>Drama, Horror</v>
      </c>
      <c r="D1405" s="2">
        <f>IF(A1405&lt;&gt;"", VLOOKUP(A1405, imdb_netflix_v5!A$2:H$7370, 4, FALSE), "")</f>
        <v>8</v>
      </c>
      <c r="E1405" s="2">
        <f>IF(A1405&lt;&gt;"", VLOOKUP(A1405, imdb_netflix_v5!A$2:H$7370, 5, FALSE), "")</f>
        <v>1968</v>
      </c>
      <c r="F1405" s="2" t="str">
        <f>IF(A1405&lt;&gt;"", VLOOKUP(A1405, imdb_netflix_v5!A$2:H$7370, 7, FALSE), "")</f>
        <v>NA</v>
      </c>
    </row>
    <row r="1406" ht="15.75" customHeight="1">
      <c r="A1406" s="1" t="str">
        <f>IFERROR(__xludf.DUMMYFUNCTION("""COMPUTED_VALUE"""),"gandhi")</f>
        <v>gandhi</v>
      </c>
      <c r="B1406" s="1" t="str">
        <f>IF(A1406&lt;&gt;"", VLOOKUP(A1406, imdb_netflix_v5!A$2:H$7370, 2, FALSE), "")</f>
        <v>Movie</v>
      </c>
      <c r="C1406" s="2" t="str">
        <f>IF(A1406&lt;&gt;"", VLOOKUP(A1406, imdb_netflix_v5!A$2:H$7370, 3, FALSE), "")</f>
        <v>Biography, Drama, History</v>
      </c>
      <c r="D1406" s="2">
        <f>IF(A1406&lt;&gt;"", VLOOKUP(A1406, imdb_netflix_v5!A$2:H$7370, 4, FALSE), "")</f>
        <v>8</v>
      </c>
      <c r="E1406" s="2">
        <f>IF(A1406&lt;&gt;"", VLOOKUP(A1406, imdb_netflix_v5!A$2:H$7370, 5, FALSE), "")</f>
        <v>1982</v>
      </c>
      <c r="F1406" s="2" t="str">
        <f>IF(A1406&lt;&gt;"", VLOOKUP(A1406, imdb_netflix_v5!A$2:H$7370, 7, FALSE), "")</f>
        <v>NA</v>
      </c>
    </row>
    <row r="1407" ht="15.75" customHeight="1">
      <c r="A1407" s="1" t="str">
        <f>IFERROR(__xludf.DUMMYFUNCTION("""COMPUTED_VALUE"""),"ip man")</f>
        <v>ip man</v>
      </c>
      <c r="B1407" s="1" t="str">
        <f>IF(A1407&lt;&gt;"", VLOOKUP(A1407, imdb_netflix_v5!A$2:H$7370, 2, FALSE), "")</f>
        <v>Movie</v>
      </c>
      <c r="C1407" s="2" t="str">
        <f>IF(A1407&lt;&gt;"", VLOOKUP(A1407, imdb_netflix_v5!A$2:H$7370, 3, FALSE), "")</f>
        <v>Action, Biography, Drama</v>
      </c>
      <c r="D1407" s="2">
        <f>IF(A1407&lt;&gt;"", VLOOKUP(A1407, imdb_netflix_v5!A$2:H$7370, 4, FALSE), "")</f>
        <v>8</v>
      </c>
      <c r="E1407" s="2">
        <f>IF(A1407&lt;&gt;"", VLOOKUP(A1407, imdb_netflix_v5!A$2:H$7370, 5, FALSE), "")</f>
        <v>2008</v>
      </c>
      <c r="F1407" s="2" t="str">
        <f>IF(A1407&lt;&gt;"", VLOOKUP(A1407, imdb_netflix_v5!A$2:H$7370, 7, FALSE), "")</f>
        <v>NA</v>
      </c>
    </row>
    <row r="1408" ht="15.75" customHeight="1">
      <c r="A1408" s="1" t="str">
        <f>IFERROR(__xludf.DUMMYFUNCTION("""COMPUTED_VALUE"""),"reacher")</f>
        <v>reacher</v>
      </c>
      <c r="B1408" s="1" t="str">
        <f>IF(A1408&lt;&gt;"", VLOOKUP(A1408, imdb_netflix_v5!A$2:H$7370, 2, FALSE), "")</f>
        <v>TV Show</v>
      </c>
      <c r="C1408" s="2" t="str">
        <f>IF(A1408&lt;&gt;"", VLOOKUP(A1408, imdb_netflix_v5!A$2:H$7370, 3, FALSE), "")</f>
        <v>Action, Crime, Drama</v>
      </c>
      <c r="D1408" s="2">
        <f>IF(A1408&lt;&gt;"", VLOOKUP(A1408, imdb_netflix_v5!A$2:H$7370, 4, FALSE), "")</f>
        <v>8</v>
      </c>
      <c r="E1408" s="2">
        <f>IF(A1408&lt;&gt;"", VLOOKUP(A1408, imdb_netflix_v5!A$2:H$7370, 5, FALSE), "")</f>
        <v>2022</v>
      </c>
      <c r="F1408" s="2" t="str">
        <f>IF(A1408&lt;&gt;"", VLOOKUP(A1408, imdb_netflix_v5!A$2:H$7370, 7, FALSE), "")</f>
        <v>NA</v>
      </c>
    </row>
    <row r="1409" ht="15.75" customHeight="1">
      <c r="A1409" s="1" t="str">
        <f>IFERROR(__xludf.DUMMYFUNCTION("""COMPUTED_VALUE"""),"butch cassidy and the sundance kid")</f>
        <v>butch cassidy and the sundance kid</v>
      </c>
      <c r="B1409" s="1" t="str">
        <f>IF(A1409&lt;&gt;"", VLOOKUP(A1409, imdb_netflix_v5!A$2:H$7370, 2, FALSE), "")</f>
        <v>Movie</v>
      </c>
      <c r="C1409" s="2" t="str">
        <f>IF(A1409&lt;&gt;"", VLOOKUP(A1409, imdb_netflix_v5!A$2:H$7370, 3, FALSE), "")</f>
        <v>Biography, Crime, Drama</v>
      </c>
      <c r="D1409" s="2">
        <f>IF(A1409&lt;&gt;"", VLOOKUP(A1409, imdb_netflix_v5!A$2:H$7370, 4, FALSE), "")</f>
        <v>8</v>
      </c>
      <c r="E1409" s="2">
        <f>IF(A1409&lt;&gt;"", VLOOKUP(A1409, imdb_netflix_v5!A$2:H$7370, 5, FALSE), "")</f>
        <v>1969</v>
      </c>
      <c r="F1409" s="2" t="str">
        <f>IF(A1409&lt;&gt;"", VLOOKUP(A1409, imdb_netflix_v5!A$2:H$7370, 7, FALSE), "")</f>
        <v>NA</v>
      </c>
    </row>
    <row r="1410" ht="15.75" customHeight="1">
      <c r="A1410" s="1" t="str">
        <f>IFERROR(__xludf.DUMMYFUNCTION("""COMPUTED_VALUE"""),"the end of the f***ing world")</f>
        <v>the end of the f***ing world</v>
      </c>
      <c r="B1410" s="1" t="str">
        <f>IF(A1410&lt;&gt;"", VLOOKUP(A1410, imdb_netflix_v5!A$2:H$7370, 2, FALSE), "")</f>
        <v>TV Show</v>
      </c>
      <c r="C1410" s="2" t="str">
        <f>IF(A1410&lt;&gt;"", VLOOKUP(A1410, imdb_netflix_v5!A$2:H$7370, 3, FALSE), "")</f>
        <v>Adventure, Comedy, Crime</v>
      </c>
      <c r="D1410" s="2">
        <f>IF(A1410&lt;&gt;"", VLOOKUP(A1410, imdb_netflix_v5!A$2:H$7370, 4, FALSE), "")</f>
        <v>8</v>
      </c>
      <c r="E1410" s="2">
        <f>IF(A1410&lt;&gt;"", VLOOKUP(A1410, imdb_netflix_v5!A$2:H$7370, 5, FALSE), "")</f>
        <v>2017</v>
      </c>
      <c r="F1410" s="2" t="str">
        <f>IF(A1410&lt;&gt;"", VLOOKUP(A1410, imdb_netflix_v5!A$2:H$7370, 7, FALSE), "")</f>
        <v>NA</v>
      </c>
    </row>
    <row r="1411" ht="15.75" customHeight="1">
      <c r="A1411" s="1" t="str">
        <f>IFERROR(__xludf.DUMMYFUNCTION("""COMPUTED_VALUE"""),"the white lotus")</f>
        <v>the white lotus</v>
      </c>
      <c r="B1411" s="1" t="str">
        <f>IF(A1411&lt;&gt;"", VLOOKUP(A1411, imdb_netflix_v5!A$2:H$7370, 2, FALSE), "")</f>
        <v>TV Show</v>
      </c>
      <c r="C1411" s="2" t="str">
        <f>IF(A1411&lt;&gt;"", VLOOKUP(A1411, imdb_netflix_v5!A$2:H$7370, 3, FALSE), "")</f>
        <v>Comedy, Drama</v>
      </c>
      <c r="D1411" s="2">
        <f>IF(A1411&lt;&gt;"", VLOOKUP(A1411, imdb_netflix_v5!A$2:H$7370, 4, FALSE), "")</f>
        <v>8</v>
      </c>
      <c r="E1411" s="2">
        <f>IF(A1411&lt;&gt;"", VLOOKUP(A1411, imdb_netflix_v5!A$2:H$7370, 5, FALSE), "")</f>
        <v>2021</v>
      </c>
      <c r="F1411" s="2" t="str">
        <f>IF(A1411&lt;&gt;"", VLOOKUP(A1411, imdb_netflix_v5!A$2:H$7370, 7, FALSE), "")</f>
        <v>NA</v>
      </c>
    </row>
    <row r="1412" ht="15.75" customHeight="1">
      <c r="A1412" s="1" t="str">
        <f>IFERROR(__xludf.DUMMYFUNCTION("""COMPUTED_VALUE"""),"akira")</f>
        <v>akira</v>
      </c>
      <c r="B1412" s="1" t="str">
        <f>IF(A1412&lt;&gt;"", VLOOKUP(A1412, imdb_netflix_v5!A$2:H$7370, 2, FALSE), "")</f>
        <v>Movie</v>
      </c>
      <c r="C1412" s="2" t="str">
        <f>IF(A1412&lt;&gt;"", VLOOKUP(A1412, imdb_netflix_v5!A$2:H$7370, 3, FALSE), "")</f>
        <v>Animation, Drama, Fantasy</v>
      </c>
      <c r="D1412" s="2">
        <f>IF(A1412&lt;&gt;"", VLOOKUP(A1412, imdb_netflix_v5!A$2:H$7370, 4, FALSE), "")</f>
        <v>8</v>
      </c>
      <c r="E1412" s="2">
        <f>IF(A1412&lt;&gt;"", VLOOKUP(A1412, imdb_netflix_v5!A$2:H$7370, 5, FALSE), "")</f>
        <v>1988</v>
      </c>
      <c r="F1412" s="2" t="str">
        <f>IF(A1412&lt;&gt;"", VLOOKUP(A1412, imdb_netflix_v5!A$2:H$7370, 7, FALSE), "")</f>
        <v>NA</v>
      </c>
    </row>
    <row r="1413" ht="15.75" customHeight="1">
      <c r="A1413" s="1" t="str">
        <f>IFERROR(__xludf.DUMMYFUNCTION("""COMPUTED_VALUE"""),"planet of the apes")</f>
        <v>planet of the apes</v>
      </c>
      <c r="B1413" s="1" t="str">
        <f>IF(A1413&lt;&gt;"", VLOOKUP(A1413, imdb_netflix_v5!A$2:H$7370, 2, FALSE), "")</f>
        <v>Movie</v>
      </c>
      <c r="C1413" s="2" t="str">
        <f>IF(A1413&lt;&gt;"", VLOOKUP(A1413, imdb_netflix_v5!A$2:H$7370, 3, FALSE), "")</f>
        <v>Adventure, Sci-Fi</v>
      </c>
      <c r="D1413" s="2">
        <f>IF(A1413&lt;&gt;"", VLOOKUP(A1413, imdb_netflix_v5!A$2:H$7370, 4, FALSE), "")</f>
        <v>8</v>
      </c>
      <c r="E1413" s="2">
        <f>IF(A1413&lt;&gt;"", VLOOKUP(A1413, imdb_netflix_v5!A$2:H$7370, 5, FALSE), "")</f>
        <v>1968</v>
      </c>
      <c r="F1413" s="2" t="str">
        <f>IF(A1413&lt;&gt;"", VLOOKUP(A1413, imdb_netflix_v5!A$2:H$7370, 7, FALSE), "")</f>
        <v>NA</v>
      </c>
    </row>
    <row r="1414" ht="15.75" customHeight="1">
      <c r="A1414" s="1" t="str">
        <f>IFERROR(__xludf.DUMMYFUNCTION("""COMPUTED_VALUE"""),"cinderella man")</f>
        <v>cinderella man</v>
      </c>
      <c r="B1414" s="1" t="str">
        <f>IF(A1414&lt;&gt;"", VLOOKUP(A1414, imdb_netflix_v5!A$2:H$7370, 2, FALSE), "")</f>
        <v>Movie</v>
      </c>
      <c r="C1414" s="2" t="str">
        <f>IF(A1414&lt;&gt;"", VLOOKUP(A1414, imdb_netflix_v5!A$2:H$7370, 3, FALSE), "")</f>
        <v>Biography, Drama, Romance</v>
      </c>
      <c r="D1414" s="2">
        <f>IF(A1414&lt;&gt;"", VLOOKUP(A1414, imdb_netflix_v5!A$2:H$7370, 4, FALSE), "")</f>
        <v>8</v>
      </c>
      <c r="E1414" s="2">
        <f>IF(A1414&lt;&gt;"", VLOOKUP(A1414, imdb_netflix_v5!A$2:H$7370, 5, FALSE), "")</f>
        <v>2005</v>
      </c>
      <c r="F1414" s="2" t="str">
        <f>IF(A1414&lt;&gt;"", VLOOKUP(A1414, imdb_netflix_v5!A$2:H$7370, 7, FALSE), "")</f>
        <v>NA</v>
      </c>
    </row>
    <row r="1415" ht="15.75" customHeight="1">
      <c r="A1415" s="1" t="str">
        <f>IFERROR(__xludf.DUMMYFUNCTION("""COMPUTED_VALUE"""),"the invisible guest")</f>
        <v>the invisible guest</v>
      </c>
      <c r="B1415" s="1" t="str">
        <f>IF(A1415&lt;&gt;"", VLOOKUP(A1415, imdb_netflix_v5!A$2:H$7370, 2, FALSE), "")</f>
        <v>Movie</v>
      </c>
      <c r="C1415" s="2" t="str">
        <f>IF(A1415&lt;&gt;"", VLOOKUP(A1415, imdb_netflix_v5!A$2:H$7370, 3, FALSE), "")</f>
        <v>Crime, Drama, Mystery</v>
      </c>
      <c r="D1415" s="2">
        <f>IF(A1415&lt;&gt;"", VLOOKUP(A1415, imdb_netflix_v5!A$2:H$7370, 4, FALSE), "")</f>
        <v>8</v>
      </c>
      <c r="E1415" s="2">
        <f>IF(A1415&lt;&gt;"", VLOOKUP(A1415, imdb_netflix_v5!A$2:H$7370, 5, FALSE), "")</f>
        <v>2016</v>
      </c>
      <c r="F1415" s="2" t="str">
        <f>IF(A1415&lt;&gt;"", VLOOKUP(A1415, imdb_netflix_v5!A$2:H$7370, 7, FALSE), "")</f>
        <v>NA</v>
      </c>
    </row>
    <row r="1416" ht="15.75" customHeight="1">
      <c r="A1416" s="1" t="str">
        <f>IFERROR(__xludf.DUMMYFUNCTION("""COMPUTED_VALUE"""),"cool hand luke")</f>
        <v>cool hand luke</v>
      </c>
      <c r="B1416" s="1" t="str">
        <f>IF(A1416&lt;&gt;"", VLOOKUP(A1416, imdb_netflix_v5!A$2:H$7370, 2, FALSE), "")</f>
        <v>Movie</v>
      </c>
      <c r="C1416" s="2" t="str">
        <f>IF(A1416&lt;&gt;"", VLOOKUP(A1416, imdb_netflix_v5!A$2:H$7370, 3, FALSE), "")</f>
        <v>Crime, Drama</v>
      </c>
      <c r="D1416" s="2">
        <f>IF(A1416&lt;&gt;"", VLOOKUP(A1416, imdb_netflix_v5!A$2:H$7370, 4, FALSE), "")</f>
        <v>8</v>
      </c>
      <c r="E1416" s="2">
        <f>IF(A1416&lt;&gt;"", VLOOKUP(A1416, imdb_netflix_v5!A$2:H$7370, 5, FALSE), "")</f>
        <v>1967</v>
      </c>
      <c r="F1416" s="2" t="str">
        <f>IF(A1416&lt;&gt;"", VLOOKUP(A1416, imdb_netflix_v5!A$2:H$7370, 7, FALSE), "")</f>
        <v>NA</v>
      </c>
    </row>
    <row r="1417" ht="15.75" customHeight="1">
      <c r="A1417" s="1" t="str">
        <f>IFERROR(__xludf.DUMMYFUNCTION("""COMPUTED_VALUE"""),"castle in the sky")</f>
        <v>castle in the sky</v>
      </c>
      <c r="B1417" s="1" t="str">
        <f>IF(A1417&lt;&gt;"", VLOOKUP(A1417, imdb_netflix_v5!A$2:H$7370, 2, FALSE), "")</f>
        <v>Movie</v>
      </c>
      <c r="C1417" s="2" t="str">
        <f>IF(A1417&lt;&gt;"", VLOOKUP(A1417, imdb_netflix_v5!A$2:H$7370, 3, FALSE), "")</f>
        <v>Adventure, Animation, Family</v>
      </c>
      <c r="D1417" s="2">
        <f>IF(A1417&lt;&gt;"", VLOOKUP(A1417, imdb_netflix_v5!A$2:H$7370, 4, FALSE), "")</f>
        <v>8</v>
      </c>
      <c r="E1417" s="2">
        <f>IF(A1417&lt;&gt;"", VLOOKUP(A1417, imdb_netflix_v5!A$2:H$7370, 5, FALSE), "")</f>
        <v>1986</v>
      </c>
      <c r="F1417" s="2" t="str">
        <f>IF(A1417&lt;&gt;"", VLOOKUP(A1417, imdb_netflix_v5!A$2:H$7370, 7, FALSE), "")</f>
        <v>NA</v>
      </c>
    </row>
    <row r="1418" ht="15.75" customHeight="1">
      <c r="A1418" s="1" t="str">
        <f>IFERROR(__xludf.DUMMYFUNCTION("""COMPUTED_VALUE"""),"nausicaä of the valley of the wind")</f>
        <v>nausicaä of the valley of the wind</v>
      </c>
      <c r="B1418" s="1" t="str">
        <f>IF(A1418&lt;&gt;"", VLOOKUP(A1418, imdb_netflix_v5!A$2:H$7370, 2, FALSE), "")</f>
        <v>Movie</v>
      </c>
      <c r="C1418" s="2" t="str">
        <f>IF(A1418&lt;&gt;"", VLOOKUP(A1418, imdb_netflix_v5!A$2:H$7370, 3, FALSE), "")</f>
        <v>Adventure, Animation, Sci-Fi</v>
      </c>
      <c r="D1418" s="2">
        <f>IF(A1418&lt;&gt;"", VLOOKUP(A1418, imdb_netflix_v5!A$2:H$7370, 4, FALSE), "")</f>
        <v>8</v>
      </c>
      <c r="E1418" s="2">
        <f>IF(A1418&lt;&gt;"", VLOOKUP(A1418, imdb_netflix_v5!A$2:H$7370, 5, FALSE), "")</f>
        <v>1984</v>
      </c>
      <c r="F1418" s="2" t="str">
        <f>IF(A1418&lt;&gt;"", VLOOKUP(A1418, imdb_netflix_v5!A$2:H$7370, 7, FALSE), "")</f>
        <v>NA</v>
      </c>
    </row>
    <row r="1419" ht="15.75" customHeight="1">
      <c r="A1419" s="1" t="str">
        <f>IFERROR(__xludf.DUMMYFUNCTION("""COMPUTED_VALUE"""),"tom clancys jack ryan")</f>
        <v>tom clancys jack ryan</v>
      </c>
      <c r="B1419" s="1" t="str">
        <f>IF(A1419&lt;&gt;"", VLOOKUP(A1419, imdb_netflix_v5!A$2:H$7370, 2, FALSE), "")</f>
        <v>TV Show</v>
      </c>
      <c r="C1419" s="2" t="str">
        <f>IF(A1419&lt;&gt;"", VLOOKUP(A1419, imdb_netflix_v5!A$2:H$7370, 3, FALSE), "")</f>
        <v>Action, Drama, Thriller</v>
      </c>
      <c r="D1419" s="2">
        <f>IF(A1419&lt;&gt;"", VLOOKUP(A1419, imdb_netflix_v5!A$2:H$7370, 4, FALSE), "")</f>
        <v>8</v>
      </c>
      <c r="E1419" s="2">
        <f>IF(A1419&lt;&gt;"", VLOOKUP(A1419, imdb_netflix_v5!A$2:H$7370, 5, FALSE), "")</f>
        <v>2018</v>
      </c>
      <c r="F1419" s="2" t="str">
        <f>IF(A1419&lt;&gt;"", VLOOKUP(A1419, imdb_netflix_v5!A$2:H$7370, 7, FALSE), "")</f>
        <v>NA</v>
      </c>
    </row>
    <row r="1420" ht="15.75" customHeight="1">
      <c r="A1420" s="1" t="str">
        <f>IFERROR(__xludf.DUMMYFUNCTION("""COMPUTED_VALUE"""),"jfk")</f>
        <v>jfk</v>
      </c>
      <c r="B1420" s="1" t="str">
        <f>IF(A1420&lt;&gt;"", VLOOKUP(A1420, imdb_netflix_v5!A$2:H$7370, 2, FALSE), "")</f>
        <v>Movie</v>
      </c>
      <c r="C1420" s="2" t="str">
        <f>IF(A1420&lt;&gt;"", VLOOKUP(A1420, imdb_netflix_v5!A$2:H$7370, 3, FALSE), "")</f>
        <v>Drama, History, Thriller</v>
      </c>
      <c r="D1420" s="2">
        <f>IF(A1420&lt;&gt;"", VLOOKUP(A1420, imdb_netflix_v5!A$2:H$7370, 4, FALSE), "")</f>
        <v>8</v>
      </c>
      <c r="E1420" s="2">
        <f>IF(A1420&lt;&gt;"", VLOOKUP(A1420, imdb_netflix_v5!A$2:H$7370, 5, FALSE), "")</f>
        <v>1991</v>
      </c>
      <c r="F1420" s="2" t="str">
        <f>IF(A1420&lt;&gt;"", VLOOKUP(A1420, imdb_netflix_v5!A$2:H$7370, 7, FALSE), "")</f>
        <v>NA</v>
      </c>
    </row>
    <row r="1421" ht="15.75" customHeight="1">
      <c r="A1421" s="1" t="str">
        <f>IFERROR(__xludf.DUMMYFUNCTION("""COMPUTED_VALUE"""),"young frankenstein")</f>
        <v>young frankenstein</v>
      </c>
      <c r="B1421" s="1" t="str">
        <f>IF(A1421&lt;&gt;"", VLOOKUP(A1421, imdb_netflix_v5!A$2:H$7370, 2, FALSE), "")</f>
        <v>Movie</v>
      </c>
      <c r="C1421" s="2" t="str">
        <f>IF(A1421&lt;&gt;"", VLOOKUP(A1421, imdb_netflix_v5!A$2:H$7370, 3, FALSE), "")</f>
        <v>Comedy</v>
      </c>
      <c r="D1421" s="2">
        <f>IF(A1421&lt;&gt;"", VLOOKUP(A1421, imdb_netflix_v5!A$2:H$7370, 4, FALSE), "")</f>
        <v>8</v>
      </c>
      <c r="E1421" s="2">
        <f>IF(A1421&lt;&gt;"", VLOOKUP(A1421, imdb_netflix_v5!A$2:H$7370, 5, FALSE), "")</f>
        <v>1974</v>
      </c>
      <c r="F1421" s="2" t="str">
        <f>IF(A1421&lt;&gt;"", VLOOKUP(A1421, imdb_netflix_v5!A$2:H$7370, 7, FALSE), "")</f>
        <v>NA</v>
      </c>
    </row>
    <row r="1422" ht="15.75" customHeight="1">
      <c r="A1422" s="1" t="str">
        <f>IFERROR(__xludf.DUMMYFUNCTION("""COMPUTED_VALUE"""),"coda")</f>
        <v>coda</v>
      </c>
      <c r="B1422" s="1" t="str">
        <f>IF(A1422&lt;&gt;"", VLOOKUP(A1422, imdb_netflix_v5!A$2:H$7370, 2, FALSE), "")</f>
        <v>Movie</v>
      </c>
      <c r="C1422" s="2" t="str">
        <f>IF(A1422&lt;&gt;"", VLOOKUP(A1422, imdb_netflix_v5!A$2:H$7370, 3, FALSE), "")</f>
        <v>Comedy, Drama, Music</v>
      </c>
      <c r="D1422" s="2">
        <f>IF(A1422&lt;&gt;"", VLOOKUP(A1422, imdb_netflix_v5!A$2:H$7370, 4, FALSE), "")</f>
        <v>8</v>
      </c>
      <c r="E1422" s="2">
        <f>IF(A1422&lt;&gt;"", VLOOKUP(A1422, imdb_netflix_v5!A$2:H$7370, 5, FALSE), "")</f>
        <v>2021</v>
      </c>
      <c r="F1422" s="2" t="str">
        <f>IF(A1422&lt;&gt;"", VLOOKUP(A1422, imdb_netflix_v5!A$2:H$7370, 7, FALSE), "")</f>
        <v>NA</v>
      </c>
    </row>
    <row r="1423" ht="15.75" customHeight="1">
      <c r="A1423" s="1" t="str">
        <f>IFERROR(__xludf.DUMMYFUNCTION("""COMPUTED_VALUE"""),"dogville")</f>
        <v>dogville</v>
      </c>
      <c r="B1423" s="1" t="str">
        <f>IF(A1423&lt;&gt;"", VLOOKUP(A1423, imdb_netflix_v5!A$2:H$7370, 2, FALSE), "")</f>
        <v>Movie</v>
      </c>
      <c r="C1423" s="2" t="str">
        <f>IF(A1423&lt;&gt;"", VLOOKUP(A1423, imdb_netflix_v5!A$2:H$7370, 3, FALSE), "")</f>
        <v>Crime, Drama</v>
      </c>
      <c r="D1423" s="2">
        <f>IF(A1423&lt;&gt;"", VLOOKUP(A1423, imdb_netflix_v5!A$2:H$7370, 4, FALSE), "")</f>
        <v>8</v>
      </c>
      <c r="E1423" s="2">
        <f>IF(A1423&lt;&gt;"", VLOOKUP(A1423, imdb_netflix_v5!A$2:H$7370, 5, FALSE), "")</f>
        <v>2003</v>
      </c>
      <c r="F1423" s="2" t="str">
        <f>IF(A1423&lt;&gt;"", VLOOKUP(A1423, imdb_netflix_v5!A$2:H$7370, 7, FALSE), "")</f>
        <v>NA</v>
      </c>
    </row>
    <row r="1424" ht="15.75" customHeight="1">
      <c r="A1424" s="1" t="str">
        <f>IFERROR(__xludf.DUMMYFUNCTION("""COMPUTED_VALUE"""),"bodyguard")</f>
        <v>bodyguard</v>
      </c>
      <c r="B1424" s="1" t="str">
        <f>IF(A1424&lt;&gt;"", VLOOKUP(A1424, imdb_netflix_v5!A$2:H$7370, 2, FALSE), "")</f>
        <v>TV Show</v>
      </c>
      <c r="C1424" s="2" t="str">
        <f>IF(A1424&lt;&gt;"", VLOOKUP(A1424, imdb_netflix_v5!A$2:H$7370, 3, FALSE), "")</f>
        <v>Crime, Drama, Thriller</v>
      </c>
      <c r="D1424" s="2">
        <f>IF(A1424&lt;&gt;"", VLOOKUP(A1424, imdb_netflix_v5!A$2:H$7370, 4, FALSE), "")</f>
        <v>8</v>
      </c>
      <c r="E1424" s="2">
        <f>IF(A1424&lt;&gt;"", VLOOKUP(A1424, imdb_netflix_v5!A$2:H$7370, 5, FALSE), "")</f>
        <v>2018</v>
      </c>
      <c r="F1424" s="2" t="str">
        <f>IF(A1424&lt;&gt;"", VLOOKUP(A1424, imdb_netflix_v5!A$2:H$7370, 7, FALSE), "")</f>
        <v>NA</v>
      </c>
    </row>
    <row r="1425" ht="15.75" customHeight="1">
      <c r="A1425" s="1" t="str">
        <f>IFERROR(__xludf.DUMMYFUNCTION("""COMPUTED_VALUE"""),"roman holiday")</f>
        <v>roman holiday</v>
      </c>
      <c r="B1425" s="1" t="str">
        <f>IF(A1425&lt;&gt;"", VLOOKUP(A1425, imdb_netflix_v5!A$2:H$7370, 2, FALSE), "")</f>
        <v>Movie</v>
      </c>
      <c r="C1425" s="2" t="str">
        <f>IF(A1425&lt;&gt;"", VLOOKUP(A1425, imdb_netflix_v5!A$2:H$7370, 3, FALSE), "")</f>
        <v>Comedy, Drama, Romance</v>
      </c>
      <c r="D1425" s="2">
        <f>IF(A1425&lt;&gt;"", VLOOKUP(A1425, imdb_netflix_v5!A$2:H$7370, 4, FALSE), "")</f>
        <v>8</v>
      </c>
      <c r="E1425" s="2">
        <f>IF(A1425&lt;&gt;"", VLOOKUP(A1425, imdb_netflix_v5!A$2:H$7370, 5, FALSE), "")</f>
        <v>1953</v>
      </c>
      <c r="F1425" s="2" t="str">
        <f>IF(A1425&lt;&gt;"", VLOOKUP(A1425, imdb_netflix_v5!A$2:H$7370, 7, FALSE), "")</f>
        <v>NA</v>
      </c>
    </row>
    <row r="1426" ht="15.75" customHeight="1">
      <c r="A1426" s="1" t="str">
        <f>IFERROR(__xludf.DUMMYFUNCTION("""COMPUTED_VALUE"""),"bowling for columbine")</f>
        <v>bowling for columbine</v>
      </c>
      <c r="B1426" s="1" t="str">
        <f>IF(A1426&lt;&gt;"", VLOOKUP(A1426, imdb_netflix_v5!A$2:H$7370, 2, FALSE), "")</f>
        <v>Movie</v>
      </c>
      <c r="C1426" s="2" t="str">
        <f>IF(A1426&lt;&gt;"", VLOOKUP(A1426, imdb_netflix_v5!A$2:H$7370, 3, FALSE), "")</f>
        <v>Crime, Documentary, Drama</v>
      </c>
      <c r="D1426" s="2">
        <f>IF(A1426&lt;&gt;"", VLOOKUP(A1426, imdb_netflix_v5!A$2:H$7370, 4, FALSE), "")</f>
        <v>8</v>
      </c>
      <c r="E1426" s="2">
        <f>IF(A1426&lt;&gt;"", VLOOKUP(A1426, imdb_netflix_v5!A$2:H$7370, 5, FALSE), "")</f>
        <v>2002</v>
      </c>
      <c r="F1426" s="2" t="str">
        <f>IF(A1426&lt;&gt;"", VLOOKUP(A1426, imdb_netflix_v5!A$2:H$7370, 7, FALSE), "")</f>
        <v>NA</v>
      </c>
    </row>
    <row r="1427" ht="15.75" customHeight="1">
      <c r="A1427" s="1" t="str">
        <f>IFERROR(__xludf.DUMMYFUNCTION("""COMPUTED_VALUE"""),"stalker")</f>
        <v>stalker</v>
      </c>
      <c r="B1427" s="1" t="str">
        <f>IF(A1427&lt;&gt;"", VLOOKUP(A1427, imdb_netflix_v5!A$2:H$7370, 2, FALSE), "")</f>
        <v>Movie</v>
      </c>
      <c r="C1427" s="2" t="str">
        <f>IF(A1427&lt;&gt;"", VLOOKUP(A1427, imdb_netflix_v5!A$2:H$7370, 3, FALSE), "")</f>
        <v>Drama, Sci-Fi</v>
      </c>
      <c r="D1427" s="2">
        <f>IF(A1427&lt;&gt;"", VLOOKUP(A1427, imdb_netflix_v5!A$2:H$7370, 4, FALSE), "")</f>
        <v>8</v>
      </c>
      <c r="E1427" s="2">
        <f>IF(A1427&lt;&gt;"", VLOOKUP(A1427, imdb_netflix_v5!A$2:H$7370, 5, FALSE), "")</f>
        <v>1979</v>
      </c>
      <c r="F1427" s="2" t="str">
        <f>IF(A1427&lt;&gt;"", VLOOKUP(A1427, imdb_netflix_v5!A$2:H$7370, 7, FALSE), "")</f>
        <v>NA</v>
      </c>
    </row>
    <row r="1428" ht="15.75" customHeight="1">
      <c r="A1428" s="1" t="str">
        <f>IFERROR(__xludf.DUMMYFUNCTION("""COMPUTED_VALUE"""),"the gentlemen")</f>
        <v>the gentlemen</v>
      </c>
      <c r="B1428" s="1" t="str">
        <f>IF(A1428&lt;&gt;"", VLOOKUP(A1428, imdb_netflix_v5!A$2:H$7370, 2, FALSE), "")</f>
        <v>TV Show</v>
      </c>
      <c r="C1428" s="2" t="str">
        <f>IF(A1428&lt;&gt;"", VLOOKUP(A1428, imdb_netflix_v5!A$2:H$7370, 3, FALSE), "")</f>
        <v>Action, Comedy, Crime</v>
      </c>
      <c r="D1428" s="2">
        <f>IF(A1428&lt;&gt;"", VLOOKUP(A1428, imdb_netflix_v5!A$2:H$7370, 4, FALSE), "")</f>
        <v>8</v>
      </c>
      <c r="E1428" s="2">
        <f>IF(A1428&lt;&gt;"", VLOOKUP(A1428, imdb_netflix_v5!A$2:H$7370, 5, FALSE), "")</f>
        <v>2024</v>
      </c>
      <c r="F1428" s="2">
        <f>IF(A1428&lt;&gt;"", VLOOKUP(A1428, imdb_netflix_v5!A$2:H$7370, 7, FALSE), "")</f>
        <v>8610000</v>
      </c>
    </row>
    <row r="1429" ht="15.75" customHeight="1">
      <c r="A1429" s="1" t="str">
        <f>IFERROR(__xludf.DUMMYFUNCTION("""COMPUTED_VALUE"""),"beef")</f>
        <v>beef</v>
      </c>
      <c r="B1429" s="1" t="str">
        <f>IF(A1429&lt;&gt;"", VLOOKUP(A1429, imdb_netflix_v5!A$2:H$7370, 2, FALSE), "")</f>
        <v>TV Show</v>
      </c>
      <c r="C1429" s="2" t="str">
        <f>IF(A1429&lt;&gt;"", VLOOKUP(A1429, imdb_netflix_v5!A$2:H$7370, 3, FALSE), "")</f>
        <v>Comedy, Drama</v>
      </c>
      <c r="D1429" s="2">
        <f>IF(A1429&lt;&gt;"", VLOOKUP(A1429, imdb_netflix_v5!A$2:H$7370, 4, FALSE), "")</f>
        <v>8</v>
      </c>
      <c r="E1429" s="2">
        <f>IF(A1429&lt;&gt;"", VLOOKUP(A1429, imdb_netflix_v5!A$2:H$7370, 5, FALSE), "")</f>
        <v>2023</v>
      </c>
      <c r="F1429" s="2">
        <f>IF(A1429&lt;&gt;"", VLOOKUP(A1429, imdb_netflix_v5!A$2:H$7370, 7, FALSE), "")</f>
        <v>14790000</v>
      </c>
    </row>
    <row r="1430" ht="15.75" customHeight="1">
      <c r="A1430" s="1" t="str">
        <f>IFERROR(__xludf.DUMMYFUNCTION("""COMPUTED_VALUE"""),"baahubali the beginning")</f>
        <v>baahubali the beginning</v>
      </c>
      <c r="B1430" s="1" t="str">
        <f>IF(A1430&lt;&gt;"", VLOOKUP(A1430, imdb_netflix_v5!A$2:H$7370, 2, FALSE), "")</f>
        <v>Movie</v>
      </c>
      <c r="C1430" s="2" t="str">
        <f>IF(A1430&lt;&gt;"", VLOOKUP(A1430, imdb_netflix_v5!A$2:H$7370, 3, FALSE), "")</f>
        <v>Action, Drama</v>
      </c>
      <c r="D1430" s="2">
        <f>IF(A1430&lt;&gt;"", VLOOKUP(A1430, imdb_netflix_v5!A$2:H$7370, 4, FALSE), "")</f>
        <v>8</v>
      </c>
      <c r="E1430" s="2">
        <f>IF(A1430&lt;&gt;"", VLOOKUP(A1430, imdb_netflix_v5!A$2:H$7370, 5, FALSE), "")</f>
        <v>2015</v>
      </c>
      <c r="F1430" s="2" t="str">
        <f>IF(A1430&lt;&gt;"", VLOOKUP(A1430, imdb_netflix_v5!A$2:H$7370, 7, FALSE), "")</f>
        <v>NA</v>
      </c>
    </row>
    <row r="1431" ht="15.75" customHeight="1">
      <c r="A1431" s="1" t="str">
        <f>IFERROR(__xludf.DUMMYFUNCTION("""COMPUTED_VALUE"""),"papillon")</f>
        <v>papillon</v>
      </c>
      <c r="B1431" s="1" t="str">
        <f>IF(A1431&lt;&gt;"", VLOOKUP(A1431, imdb_netflix_v5!A$2:H$7370, 2, FALSE), "")</f>
        <v>Movie</v>
      </c>
      <c r="C1431" s="2" t="str">
        <f>IF(A1431&lt;&gt;"", VLOOKUP(A1431, imdb_netflix_v5!A$2:H$7370, 3, FALSE), "")</f>
        <v>Biography, Crime, Drama</v>
      </c>
      <c r="D1431" s="2">
        <f>IF(A1431&lt;&gt;"", VLOOKUP(A1431, imdb_netflix_v5!A$2:H$7370, 4, FALSE), "")</f>
        <v>8</v>
      </c>
      <c r="E1431" s="2">
        <f>IF(A1431&lt;&gt;"", VLOOKUP(A1431, imdb_netflix_v5!A$2:H$7370, 5, FALSE), "")</f>
        <v>1973</v>
      </c>
      <c r="F1431" s="2" t="str">
        <f>IF(A1431&lt;&gt;"", VLOOKUP(A1431, imdb_netflix_v5!A$2:H$7370, 7, FALSE), "")</f>
        <v>NA</v>
      </c>
    </row>
    <row r="1432" ht="15.75" customHeight="1">
      <c r="A1432" s="1" t="str">
        <f>IFERROR(__xludf.DUMMYFUNCTION("""COMPUTED_VALUE"""),"infernal affairs")</f>
        <v>infernal affairs</v>
      </c>
      <c r="B1432" s="1" t="str">
        <f>IF(A1432&lt;&gt;"", VLOOKUP(A1432, imdb_netflix_v5!A$2:H$7370, 2, FALSE), "")</f>
        <v>Movie</v>
      </c>
      <c r="C1432" s="2" t="str">
        <f>IF(A1432&lt;&gt;"", VLOOKUP(A1432, imdb_netflix_v5!A$2:H$7370, 3, FALSE), "")</f>
        <v>Crime, Drama, Mystery</v>
      </c>
      <c r="D1432" s="2">
        <f>IF(A1432&lt;&gt;"", VLOOKUP(A1432, imdb_netflix_v5!A$2:H$7370, 4, FALSE), "")</f>
        <v>8</v>
      </c>
      <c r="E1432" s="2">
        <f>IF(A1432&lt;&gt;"", VLOOKUP(A1432, imdb_netflix_v5!A$2:H$7370, 5, FALSE), "")</f>
        <v>2002</v>
      </c>
      <c r="F1432" s="2" t="str">
        <f>IF(A1432&lt;&gt;"", VLOOKUP(A1432, imdb_netflix_v5!A$2:H$7370, 7, FALSE), "")</f>
        <v>NA</v>
      </c>
    </row>
    <row r="1433" ht="15.75" customHeight="1">
      <c r="A1433" s="1" t="str">
        <f>IFERROR(__xludf.DUMMYFUNCTION("""COMPUTED_VALUE"""),"lie to me")</f>
        <v>lie to me</v>
      </c>
      <c r="B1433" s="1" t="str">
        <f>IF(A1433&lt;&gt;"", VLOOKUP(A1433, imdb_netflix_v5!A$2:H$7370, 2, FALSE), "")</f>
        <v>TV Show</v>
      </c>
      <c r="C1433" s="2" t="str">
        <f>IF(A1433&lt;&gt;"", VLOOKUP(A1433, imdb_netflix_v5!A$2:H$7370, 3, FALSE), "")</f>
        <v>Crime, Drama, Mystery</v>
      </c>
      <c r="D1433" s="2">
        <f>IF(A1433&lt;&gt;"", VLOOKUP(A1433, imdb_netflix_v5!A$2:H$7370, 4, FALSE), "")</f>
        <v>8</v>
      </c>
      <c r="E1433" s="2">
        <f>IF(A1433&lt;&gt;"", VLOOKUP(A1433, imdb_netflix_v5!A$2:H$7370, 5, FALSE), "")</f>
        <v>2009</v>
      </c>
      <c r="F1433" s="2" t="str">
        <f>IF(A1433&lt;&gt;"", VLOOKUP(A1433, imdb_netflix_v5!A$2:H$7370, 7, FALSE), "")</f>
        <v>NA</v>
      </c>
    </row>
    <row r="1434" ht="15.75" customHeight="1">
      <c r="A1434" s="1" t="str">
        <f>IFERROR(__xludf.DUMMYFUNCTION("""COMPUTED_VALUE"""),"the 400 blows")</f>
        <v>the 400 blows</v>
      </c>
      <c r="B1434" s="1" t="str">
        <f>IF(A1434&lt;&gt;"", VLOOKUP(A1434, imdb_netflix_v5!A$2:H$7370, 2, FALSE), "")</f>
        <v>Movie</v>
      </c>
      <c r="C1434" s="2" t="str">
        <f>IF(A1434&lt;&gt;"", VLOOKUP(A1434, imdb_netflix_v5!A$2:H$7370, 3, FALSE), "")</f>
        <v>Crime, Drama</v>
      </c>
      <c r="D1434" s="2">
        <f>IF(A1434&lt;&gt;"", VLOOKUP(A1434, imdb_netflix_v5!A$2:H$7370, 4, FALSE), "")</f>
        <v>8</v>
      </c>
      <c r="E1434" s="2">
        <f>IF(A1434&lt;&gt;"", VLOOKUP(A1434, imdb_netflix_v5!A$2:H$7370, 5, FALSE), "")</f>
        <v>1959</v>
      </c>
      <c r="F1434" s="2" t="str">
        <f>IF(A1434&lt;&gt;"", VLOOKUP(A1434, imdb_netflix_v5!A$2:H$7370, 7, FALSE), "")</f>
        <v>NA</v>
      </c>
    </row>
    <row r="1435" ht="15.75" customHeight="1">
      <c r="A1435" s="1" t="str">
        <f>IFERROR(__xludf.DUMMYFUNCTION("""COMPUTED_VALUE"""),"8½")</f>
        <v>8½</v>
      </c>
      <c r="B1435" s="1" t="str">
        <f>IF(A1435&lt;&gt;"", VLOOKUP(A1435, imdb_netflix_v5!A$2:H$7370, 2, FALSE), "")</f>
        <v>Movie</v>
      </c>
      <c r="C1435" s="2" t="str">
        <f>IF(A1435&lt;&gt;"", VLOOKUP(A1435, imdb_netflix_v5!A$2:H$7370, 3, FALSE), "")</f>
        <v>Drama</v>
      </c>
      <c r="D1435" s="2">
        <f>IF(A1435&lt;&gt;"", VLOOKUP(A1435, imdb_netflix_v5!A$2:H$7370, 4, FALSE), "")</f>
        <v>8</v>
      </c>
      <c r="E1435" s="2">
        <f>IF(A1435&lt;&gt;"", VLOOKUP(A1435, imdb_netflix_v5!A$2:H$7370, 5, FALSE), "")</f>
        <v>1963</v>
      </c>
      <c r="F1435" s="2" t="str">
        <f>IF(A1435&lt;&gt;"", VLOOKUP(A1435, imdb_netflix_v5!A$2:H$7370, 7, FALSE), "")</f>
        <v>NA</v>
      </c>
    </row>
    <row r="1436" ht="15.75" customHeight="1">
      <c r="A1436" s="1" t="str">
        <f>IFERROR(__xludf.DUMMYFUNCTION("""COMPUTED_VALUE"""),"sharp objects")</f>
        <v>sharp objects</v>
      </c>
      <c r="B1436" s="1" t="str">
        <f>IF(A1436&lt;&gt;"", VLOOKUP(A1436, imdb_netflix_v5!A$2:H$7370, 2, FALSE), "")</f>
        <v>TV Show</v>
      </c>
      <c r="C1436" s="2" t="str">
        <f>IF(A1436&lt;&gt;"", VLOOKUP(A1436, imdb_netflix_v5!A$2:H$7370, 3, FALSE), "")</f>
        <v>Crime, Drama, Mystery</v>
      </c>
      <c r="D1436" s="2">
        <f>IF(A1436&lt;&gt;"", VLOOKUP(A1436, imdb_netflix_v5!A$2:H$7370, 4, FALSE), "")</f>
        <v>8</v>
      </c>
      <c r="E1436" s="2">
        <f>IF(A1436&lt;&gt;"", VLOOKUP(A1436, imdb_netflix_v5!A$2:H$7370, 5, FALSE), "")</f>
        <v>2018</v>
      </c>
      <c r="F1436" s="2" t="str">
        <f>IF(A1436&lt;&gt;"", VLOOKUP(A1436, imdb_netflix_v5!A$2:H$7370, 7, FALSE), "")</f>
        <v>NA</v>
      </c>
    </row>
    <row r="1437" ht="15.75" customHeight="1">
      <c r="A1437" s="1" t="str">
        <f>IFERROR(__xludf.DUMMYFUNCTION("""COMPUTED_VALUE"""),"the good doctor")</f>
        <v>the good doctor</v>
      </c>
      <c r="B1437" s="1" t="str">
        <f>IF(A1437&lt;&gt;"", VLOOKUP(A1437, imdb_netflix_v5!A$2:H$7370, 2, FALSE), "")</f>
        <v>TV Show</v>
      </c>
      <c r="C1437" s="2" t="str">
        <f>IF(A1437&lt;&gt;"", VLOOKUP(A1437, imdb_netflix_v5!A$2:H$7370, 3, FALSE), "")</f>
        <v>Drama</v>
      </c>
      <c r="D1437" s="2">
        <f>IF(A1437&lt;&gt;"", VLOOKUP(A1437, imdb_netflix_v5!A$2:H$7370, 4, FALSE), "")</f>
        <v>8</v>
      </c>
      <c r="E1437" s="2">
        <f>IF(A1437&lt;&gt;"", VLOOKUP(A1437, imdb_netflix_v5!A$2:H$7370, 5, FALSE), "")</f>
        <v>2017</v>
      </c>
      <c r="F1437" s="2">
        <f>IF(A1437&lt;&gt;"", VLOOKUP(A1437, imdb_netflix_v5!A$2:H$7370, 7, FALSE), "")</f>
        <v>10430000</v>
      </c>
    </row>
    <row r="1438" ht="15.75" customHeight="1">
      <c r="A1438" s="1" t="str">
        <f>IFERROR(__xludf.DUMMYFUNCTION("""COMPUTED_VALUE"""),"good omens")</f>
        <v>good omens</v>
      </c>
      <c r="B1438" s="1" t="str">
        <f>IF(A1438&lt;&gt;"", VLOOKUP(A1438, imdb_netflix_v5!A$2:H$7370, 2, FALSE), "")</f>
        <v>TV Show</v>
      </c>
      <c r="C1438" s="2" t="str">
        <f>IF(A1438&lt;&gt;"", VLOOKUP(A1438, imdb_netflix_v5!A$2:H$7370, 3, FALSE), "")</f>
        <v>Comedy, Drama, Fantasy</v>
      </c>
      <c r="D1438" s="2">
        <f>IF(A1438&lt;&gt;"", VLOOKUP(A1438, imdb_netflix_v5!A$2:H$7370, 4, FALSE), "")</f>
        <v>8</v>
      </c>
      <c r="E1438" s="2">
        <f>IF(A1438&lt;&gt;"", VLOOKUP(A1438, imdb_netflix_v5!A$2:H$7370, 5, FALSE), "")</f>
        <v>2019</v>
      </c>
      <c r="F1438" s="2" t="str">
        <f>IF(A1438&lt;&gt;"", VLOOKUP(A1438, imdb_netflix_v5!A$2:H$7370, 7, FALSE), "")</f>
        <v>NA</v>
      </c>
    </row>
    <row r="1439" ht="15.75" customHeight="1">
      <c r="A1439" s="1" t="str">
        <f>IFERROR(__xludf.DUMMYFUNCTION("""COMPUTED_VALUE"""),"elite squad")</f>
        <v>elite squad</v>
      </c>
      <c r="B1439" s="1" t="str">
        <f>IF(A1439&lt;&gt;"", VLOOKUP(A1439, imdb_netflix_v5!A$2:H$7370, 2, FALSE), "")</f>
        <v>Movie</v>
      </c>
      <c r="C1439" s="2" t="str">
        <f>IF(A1439&lt;&gt;"", VLOOKUP(A1439, imdb_netflix_v5!A$2:H$7370, 3, FALSE), "")</f>
        <v>Action, Crime, Drama</v>
      </c>
      <c r="D1439" s="2">
        <f>IF(A1439&lt;&gt;"", VLOOKUP(A1439, imdb_netflix_v5!A$2:H$7370, 4, FALSE), "")</f>
        <v>8</v>
      </c>
      <c r="E1439" s="2">
        <f>IF(A1439&lt;&gt;"", VLOOKUP(A1439, imdb_netflix_v5!A$2:H$7370, 5, FALSE), "")</f>
        <v>2007</v>
      </c>
      <c r="F1439" s="2">
        <f>IF(A1439&lt;&gt;"", VLOOKUP(A1439, imdb_netflix_v5!A$2:H$7370, 7, FALSE), "")</f>
        <v>2360000</v>
      </c>
    </row>
    <row r="1440" ht="15.75" customHeight="1">
      <c r="A1440" s="1" t="str">
        <f>IFERROR(__xludf.DUMMYFUNCTION("""COMPUTED_VALUE"""),"touch of evil")</f>
        <v>touch of evil</v>
      </c>
      <c r="B1440" s="1" t="str">
        <f>IF(A1440&lt;&gt;"", VLOOKUP(A1440, imdb_netflix_v5!A$2:H$7370, 2, FALSE), "")</f>
        <v>Movie</v>
      </c>
      <c r="C1440" s="2" t="str">
        <f>IF(A1440&lt;&gt;"", VLOOKUP(A1440, imdb_netflix_v5!A$2:H$7370, 3, FALSE), "")</f>
        <v>Crime, Drama, Film-Noir</v>
      </c>
      <c r="D1440" s="2">
        <f>IF(A1440&lt;&gt;"", VLOOKUP(A1440, imdb_netflix_v5!A$2:H$7370, 4, FALSE), "")</f>
        <v>8</v>
      </c>
      <c r="E1440" s="2">
        <f>IF(A1440&lt;&gt;"", VLOOKUP(A1440, imdb_netflix_v5!A$2:H$7370, 5, FALSE), "")</f>
        <v>1958</v>
      </c>
      <c r="F1440" s="2" t="str">
        <f>IF(A1440&lt;&gt;"", VLOOKUP(A1440, imdb_netflix_v5!A$2:H$7370, 7, FALSE), "")</f>
        <v>NA</v>
      </c>
    </row>
    <row r="1441" ht="15.75" customHeight="1">
      <c r="A1441" s="1" t="str">
        <f>IFERROR(__xludf.DUMMYFUNCTION("""COMPUTED_VALUE"""),"the diving bell and the butterfly")</f>
        <v>the diving bell and the butterfly</v>
      </c>
      <c r="B1441" s="1" t="str">
        <f>IF(A1441&lt;&gt;"", VLOOKUP(A1441, imdb_netflix_v5!A$2:H$7370, 2, FALSE), "")</f>
        <v>Movie</v>
      </c>
      <c r="C1441" s="2" t="str">
        <f>IF(A1441&lt;&gt;"", VLOOKUP(A1441, imdb_netflix_v5!A$2:H$7370, 3, FALSE), "")</f>
        <v>Biography, Drama</v>
      </c>
      <c r="D1441" s="2">
        <f>IF(A1441&lt;&gt;"", VLOOKUP(A1441, imdb_netflix_v5!A$2:H$7370, 4, FALSE), "")</f>
        <v>8</v>
      </c>
      <c r="E1441" s="2">
        <f>IF(A1441&lt;&gt;"", VLOOKUP(A1441, imdb_netflix_v5!A$2:H$7370, 5, FALSE), "")</f>
        <v>2007</v>
      </c>
      <c r="F1441" s="2" t="str">
        <f>IF(A1441&lt;&gt;"", VLOOKUP(A1441, imdb_netflix_v5!A$2:H$7370, 7, FALSE), "")</f>
        <v>NA</v>
      </c>
    </row>
    <row r="1442" ht="15.75" customHeight="1">
      <c r="A1442" s="1" t="str">
        <f>IFERROR(__xludf.DUMMYFUNCTION("""COMPUTED_VALUE"""),"dexter new blood")</f>
        <v>dexter new blood</v>
      </c>
      <c r="B1442" s="1" t="str">
        <f>IF(A1442&lt;&gt;"", VLOOKUP(A1442, imdb_netflix_v5!A$2:H$7370, 2, FALSE), "")</f>
        <v>TV Show</v>
      </c>
      <c r="C1442" s="2" t="str">
        <f>IF(A1442&lt;&gt;"", VLOOKUP(A1442, imdb_netflix_v5!A$2:H$7370, 3, FALSE), "")</f>
        <v>Crime, Drama, Mystery</v>
      </c>
      <c r="D1442" s="2">
        <f>IF(A1442&lt;&gt;"", VLOOKUP(A1442, imdb_netflix_v5!A$2:H$7370, 4, FALSE), "")</f>
        <v>8</v>
      </c>
      <c r="E1442" s="2">
        <f>IF(A1442&lt;&gt;"", VLOOKUP(A1442, imdb_netflix_v5!A$2:H$7370, 5, FALSE), "")</f>
        <v>2021</v>
      </c>
      <c r="F1442" s="2" t="str">
        <f>IF(A1442&lt;&gt;"", VLOOKUP(A1442, imdb_netflix_v5!A$2:H$7370, 7, FALSE), "")</f>
        <v>NA</v>
      </c>
    </row>
    <row r="1443" ht="15.75" customHeight="1">
      <c r="A1443" s="1" t="str">
        <f>IFERROR(__xludf.DUMMYFUNCTION("""COMPUTED_VALUE"""),"the night manager")</f>
        <v>the night manager</v>
      </c>
      <c r="B1443" s="1" t="str">
        <f>IF(A1443&lt;&gt;"", VLOOKUP(A1443, imdb_netflix_v5!A$2:H$7370, 2, FALSE), "")</f>
        <v>TV Show</v>
      </c>
      <c r="C1443" s="2" t="str">
        <f>IF(A1443&lt;&gt;"", VLOOKUP(A1443, imdb_netflix_v5!A$2:H$7370, 3, FALSE), "")</f>
        <v>Crime, Drama, Mystery</v>
      </c>
      <c r="D1443" s="2">
        <f>IF(A1443&lt;&gt;"", VLOOKUP(A1443, imdb_netflix_v5!A$2:H$7370, 4, FALSE), "")</f>
        <v>8</v>
      </c>
      <c r="E1443" s="2">
        <f>IF(A1443&lt;&gt;"", VLOOKUP(A1443, imdb_netflix_v5!A$2:H$7370, 5, FALSE), "")</f>
        <v>2016</v>
      </c>
      <c r="F1443" s="2" t="str">
        <f>IF(A1443&lt;&gt;"", VLOOKUP(A1443, imdb_netflix_v5!A$2:H$7370, 7, FALSE), "")</f>
        <v>NA</v>
      </c>
    </row>
    <row r="1444" ht="15.75" customHeight="1">
      <c r="A1444" s="1" t="str">
        <f>IFERROR(__xludf.DUMMYFUNCTION("""COMPUTED_VALUE"""),"the orville")</f>
        <v>the orville</v>
      </c>
      <c r="B1444" s="1" t="str">
        <f>IF(A1444&lt;&gt;"", VLOOKUP(A1444, imdb_netflix_v5!A$2:H$7370, 2, FALSE), "")</f>
        <v>TV Show</v>
      </c>
      <c r="C1444" s="2" t="str">
        <f>IF(A1444&lt;&gt;"", VLOOKUP(A1444, imdb_netflix_v5!A$2:H$7370, 3, FALSE), "")</f>
        <v>Adventure, Comedy, Drama</v>
      </c>
      <c r="D1444" s="2">
        <f>IF(A1444&lt;&gt;"", VLOOKUP(A1444, imdb_netflix_v5!A$2:H$7370, 4, FALSE), "")</f>
        <v>8</v>
      </c>
      <c r="E1444" s="2">
        <f>IF(A1444&lt;&gt;"", VLOOKUP(A1444, imdb_netflix_v5!A$2:H$7370, 5, FALSE), "")</f>
        <v>2017</v>
      </c>
      <c r="F1444" s="2" t="str">
        <f>IF(A1444&lt;&gt;"", VLOOKUP(A1444, imdb_netflix_v5!A$2:H$7370, 7, FALSE), "")</f>
        <v>NA</v>
      </c>
    </row>
    <row r="1445" ht="15.75" customHeight="1">
      <c r="A1445" s="1" t="str">
        <f>IFERROR(__xludf.DUMMYFUNCTION("""COMPUTED_VALUE"""),"perfect blue")</f>
        <v>perfect blue</v>
      </c>
      <c r="B1445" s="1" t="str">
        <f>IF(A1445&lt;&gt;"", VLOOKUP(A1445, imdb_netflix_v5!A$2:H$7370, 2, FALSE), "")</f>
        <v>Movie</v>
      </c>
      <c r="C1445" s="2" t="str">
        <f>IF(A1445&lt;&gt;"", VLOOKUP(A1445, imdb_netflix_v5!A$2:H$7370, 3, FALSE), "")</f>
        <v>Animation, Crime, Drama</v>
      </c>
      <c r="D1445" s="2">
        <f>IF(A1445&lt;&gt;"", VLOOKUP(A1445, imdb_netflix_v5!A$2:H$7370, 4, FALSE), "")</f>
        <v>8</v>
      </c>
      <c r="E1445" s="2">
        <f>IF(A1445&lt;&gt;"", VLOOKUP(A1445, imdb_netflix_v5!A$2:H$7370, 5, FALSE), "")</f>
        <v>1997</v>
      </c>
      <c r="F1445" s="2" t="str">
        <f>IF(A1445&lt;&gt;"", VLOOKUP(A1445, imdb_netflix_v5!A$2:H$7370, 7, FALSE), "")</f>
        <v>NA</v>
      </c>
    </row>
    <row r="1446" ht="15.75" customHeight="1">
      <c r="A1446" s="1" t="str">
        <f>IFERROR(__xludf.DUMMYFUNCTION("""COMPUTED_VALUE"""),"persepolis")</f>
        <v>persepolis</v>
      </c>
      <c r="B1446" s="1" t="str">
        <f>IF(A1446&lt;&gt;"", VLOOKUP(A1446, imdb_netflix_v5!A$2:H$7370, 2, FALSE), "")</f>
        <v>Movie</v>
      </c>
      <c r="C1446" s="2" t="str">
        <f>IF(A1446&lt;&gt;"", VLOOKUP(A1446, imdb_netflix_v5!A$2:H$7370, 3, FALSE), "")</f>
        <v>Animation, Biography, Drama</v>
      </c>
      <c r="D1446" s="2">
        <f>IF(A1446&lt;&gt;"", VLOOKUP(A1446, imdb_netflix_v5!A$2:H$7370, 4, FALSE), "")</f>
        <v>8</v>
      </c>
      <c r="E1446" s="2">
        <f>IF(A1446&lt;&gt;"", VLOOKUP(A1446, imdb_netflix_v5!A$2:H$7370, 5, FALSE), "")</f>
        <v>2007</v>
      </c>
      <c r="F1446" s="2" t="str">
        <f>IF(A1446&lt;&gt;"", VLOOKUP(A1446, imdb_netflix_v5!A$2:H$7370, 7, FALSE), "")</f>
        <v>NA</v>
      </c>
    </row>
    <row r="1447" ht="15.75" customHeight="1">
      <c r="A1447" s="1" t="str">
        <f>IFERROR(__xludf.DUMMYFUNCTION("""COMPUTED_VALUE"""),"the night of the hunter")</f>
        <v>the night of the hunter</v>
      </c>
      <c r="B1447" s="1" t="str">
        <f>IF(A1447&lt;&gt;"", VLOOKUP(A1447, imdb_netflix_v5!A$2:H$7370, 2, FALSE), "")</f>
        <v>Movie</v>
      </c>
      <c r="C1447" s="2" t="str">
        <f>IF(A1447&lt;&gt;"", VLOOKUP(A1447, imdb_netflix_v5!A$2:H$7370, 3, FALSE), "")</f>
        <v>Crime, Drama, Film-Noir</v>
      </c>
      <c r="D1447" s="2">
        <f>IF(A1447&lt;&gt;"", VLOOKUP(A1447, imdb_netflix_v5!A$2:H$7370, 4, FALSE), "")</f>
        <v>8</v>
      </c>
      <c r="E1447" s="2">
        <f>IF(A1447&lt;&gt;"", VLOOKUP(A1447, imdb_netflix_v5!A$2:H$7370, 5, FALSE), "")</f>
        <v>1955</v>
      </c>
      <c r="F1447" s="2" t="str">
        <f>IF(A1447&lt;&gt;"", VLOOKUP(A1447, imdb_netflix_v5!A$2:H$7370, 7, FALSE), "")</f>
        <v>NA</v>
      </c>
    </row>
    <row r="1448" ht="15.75" customHeight="1">
      <c r="A1448" s="1" t="str">
        <f>IFERROR(__xludf.DUMMYFUNCTION("""COMPUTED_VALUE"""),"sling blade")</f>
        <v>sling blade</v>
      </c>
      <c r="B1448" s="1" t="str">
        <f>IF(A1448&lt;&gt;"", VLOOKUP(A1448, imdb_netflix_v5!A$2:H$7370, 2, FALSE), "")</f>
        <v>Movie</v>
      </c>
      <c r="C1448" s="2" t="str">
        <f>IF(A1448&lt;&gt;"", VLOOKUP(A1448, imdb_netflix_v5!A$2:H$7370, 3, FALSE), "")</f>
        <v>Drama</v>
      </c>
      <c r="D1448" s="2">
        <f>IF(A1448&lt;&gt;"", VLOOKUP(A1448, imdb_netflix_v5!A$2:H$7370, 4, FALSE), "")</f>
        <v>8</v>
      </c>
      <c r="E1448" s="2">
        <f>IF(A1448&lt;&gt;"", VLOOKUP(A1448, imdb_netflix_v5!A$2:H$7370, 5, FALSE), "")</f>
        <v>1996</v>
      </c>
      <c r="F1448" s="2" t="str">
        <f>IF(A1448&lt;&gt;"", VLOOKUP(A1448, imdb_netflix_v5!A$2:H$7370, 7, FALSE), "")</f>
        <v>NA</v>
      </c>
    </row>
    <row r="1449" ht="15.75" customHeight="1">
      <c r="A1449" s="1" t="str">
        <f>IFERROR(__xludf.DUMMYFUNCTION("""COMPUTED_VALUE"""),"chungking express")</f>
        <v>chungking express</v>
      </c>
      <c r="B1449" s="1" t="str">
        <f>IF(A1449&lt;&gt;"", VLOOKUP(A1449, imdb_netflix_v5!A$2:H$7370, 2, FALSE), "")</f>
        <v>Movie</v>
      </c>
      <c r="C1449" s="2" t="str">
        <f>IF(A1449&lt;&gt;"", VLOOKUP(A1449, imdb_netflix_v5!A$2:H$7370, 3, FALSE), "")</f>
        <v>Comedy, Crime, Drama</v>
      </c>
      <c r="D1449" s="2">
        <f>IF(A1449&lt;&gt;"", VLOOKUP(A1449, imdb_netflix_v5!A$2:H$7370, 4, FALSE), "")</f>
        <v>8</v>
      </c>
      <c r="E1449" s="2">
        <f>IF(A1449&lt;&gt;"", VLOOKUP(A1449, imdb_netflix_v5!A$2:H$7370, 5, FALSE), "")</f>
        <v>1994</v>
      </c>
      <c r="F1449" s="2" t="str">
        <f>IF(A1449&lt;&gt;"", VLOOKUP(A1449, imdb_netflix_v5!A$2:H$7370, 7, FALSE), "")</f>
        <v>NA</v>
      </c>
    </row>
    <row r="1450" ht="15.75" customHeight="1">
      <c r="A1450" s="1" t="str">
        <f>IFERROR(__xludf.DUMMYFUNCTION("""COMPUTED_VALUE"""),"the straight story")</f>
        <v>the straight story</v>
      </c>
      <c r="B1450" s="1" t="str">
        <f>IF(A1450&lt;&gt;"", VLOOKUP(A1450, imdb_netflix_v5!A$2:H$7370, 2, FALSE), "")</f>
        <v>Movie</v>
      </c>
      <c r="C1450" s="2" t="str">
        <f>IF(A1450&lt;&gt;"", VLOOKUP(A1450, imdb_netflix_v5!A$2:H$7370, 3, FALSE), "")</f>
        <v>Biography, Drama</v>
      </c>
      <c r="D1450" s="2">
        <f>IF(A1450&lt;&gt;"", VLOOKUP(A1450, imdb_netflix_v5!A$2:H$7370, 4, FALSE), "")</f>
        <v>8</v>
      </c>
      <c r="E1450" s="2">
        <f>IF(A1450&lt;&gt;"", VLOOKUP(A1450, imdb_netflix_v5!A$2:H$7370, 5, FALSE), "")</f>
        <v>1999</v>
      </c>
      <c r="F1450" s="2" t="str">
        <f>IF(A1450&lt;&gt;"", VLOOKUP(A1450, imdb_netflix_v5!A$2:H$7370, 7, FALSE), "")</f>
        <v>NA</v>
      </c>
    </row>
    <row r="1451" ht="15.75" customHeight="1">
      <c r="A1451" s="1" t="str">
        <f>IFERROR(__xludf.DUMMYFUNCTION("""COMPUTED_VALUE"""),"the celebration")</f>
        <v>the celebration</v>
      </c>
      <c r="B1451" s="1" t="str">
        <f>IF(A1451&lt;&gt;"", VLOOKUP(A1451, imdb_netflix_v5!A$2:H$7370, 2, FALSE), "")</f>
        <v>Movie</v>
      </c>
      <c r="C1451" s="2" t="str">
        <f>IF(A1451&lt;&gt;"", VLOOKUP(A1451, imdb_netflix_v5!A$2:H$7370, 3, FALSE), "")</f>
        <v>Drama</v>
      </c>
      <c r="D1451" s="2">
        <f>IF(A1451&lt;&gt;"", VLOOKUP(A1451, imdb_netflix_v5!A$2:H$7370, 4, FALSE), "")</f>
        <v>8</v>
      </c>
      <c r="E1451" s="2">
        <f>IF(A1451&lt;&gt;"", VLOOKUP(A1451, imdb_netflix_v5!A$2:H$7370, 5, FALSE), "")</f>
        <v>1998</v>
      </c>
      <c r="F1451" s="2" t="str">
        <f>IF(A1451&lt;&gt;"", VLOOKUP(A1451, imdb_netflix_v5!A$2:H$7370, 7, FALSE), "")</f>
        <v>NA</v>
      </c>
    </row>
    <row r="1452" ht="15.75" customHeight="1">
      <c r="A1452" s="1" t="str">
        <f>IFERROR(__xludf.DUMMYFUNCTION("""COMPUTED_VALUE"""),"unorthodox")</f>
        <v>unorthodox</v>
      </c>
      <c r="B1452" s="1" t="str">
        <f>IF(A1452&lt;&gt;"", VLOOKUP(A1452, imdb_netflix_v5!A$2:H$7370, 2, FALSE), "")</f>
        <v>TV Show</v>
      </c>
      <c r="C1452" s="2" t="str">
        <f>IF(A1452&lt;&gt;"", VLOOKUP(A1452, imdb_netflix_v5!A$2:H$7370, 3, FALSE), "")</f>
        <v>Drama</v>
      </c>
      <c r="D1452" s="2">
        <f>IF(A1452&lt;&gt;"", VLOOKUP(A1452, imdb_netflix_v5!A$2:H$7370, 4, FALSE), "")</f>
        <v>8</v>
      </c>
      <c r="E1452" s="2">
        <f>IF(A1452&lt;&gt;"", VLOOKUP(A1452, imdb_netflix_v5!A$2:H$7370, 5, FALSE), "")</f>
        <v>2020</v>
      </c>
      <c r="F1452" s="2" t="str">
        <f>IF(A1452&lt;&gt;"", VLOOKUP(A1452, imdb_netflix_v5!A$2:H$7370, 7, FALSE), "")</f>
        <v>NA</v>
      </c>
    </row>
    <row r="1453" ht="15.75" customHeight="1">
      <c r="A1453" s="1" t="str">
        <f>IFERROR(__xludf.DUMMYFUNCTION("""COMPUTED_VALUE"""),"farha")</f>
        <v>farha</v>
      </c>
      <c r="B1453" s="1" t="str">
        <f>IF(A1453&lt;&gt;"", VLOOKUP(A1453, imdb_netflix_v5!A$2:H$7370, 2, FALSE), "")</f>
        <v>Movie</v>
      </c>
      <c r="C1453" s="2" t="str">
        <f>IF(A1453&lt;&gt;"", VLOOKUP(A1453, imdb_netflix_v5!A$2:H$7370, 3, FALSE), "")</f>
        <v>Drama</v>
      </c>
      <c r="D1453" s="2">
        <f>IF(A1453&lt;&gt;"", VLOOKUP(A1453, imdb_netflix_v5!A$2:H$7370, 4, FALSE), "")</f>
        <v>8</v>
      </c>
      <c r="E1453" s="2">
        <f>IF(A1453&lt;&gt;"", VLOOKUP(A1453, imdb_netflix_v5!A$2:H$7370, 5, FALSE), "")</f>
        <v>2021</v>
      </c>
      <c r="F1453" s="2" t="str">
        <f>IF(A1453&lt;&gt;"", VLOOKUP(A1453, imdb_netflix_v5!A$2:H$7370, 7, FALSE), "")</f>
        <v>NA</v>
      </c>
    </row>
    <row r="1454" ht="15.75" customHeight="1">
      <c r="A1454" s="1" t="str">
        <f>IFERROR(__xludf.DUMMYFUNCTION("""COMPUTED_VALUE"""),"tulsa king")</f>
        <v>tulsa king</v>
      </c>
      <c r="B1454" s="1" t="str">
        <f>IF(A1454&lt;&gt;"", VLOOKUP(A1454, imdb_netflix_v5!A$2:H$7370, 2, FALSE), "")</f>
        <v>TV Show</v>
      </c>
      <c r="C1454" s="2" t="str">
        <f>IF(A1454&lt;&gt;"", VLOOKUP(A1454, imdb_netflix_v5!A$2:H$7370, 3, FALSE), "")</f>
        <v>Crime, Drama</v>
      </c>
      <c r="D1454" s="2">
        <f>IF(A1454&lt;&gt;"", VLOOKUP(A1454, imdb_netflix_v5!A$2:H$7370, 4, FALSE), "")</f>
        <v>8</v>
      </c>
      <c r="E1454" s="2">
        <f>IF(A1454&lt;&gt;"", VLOOKUP(A1454, imdb_netflix_v5!A$2:H$7370, 5, FALSE), "")</f>
        <v>2022</v>
      </c>
      <c r="F1454" s="2" t="str">
        <f>IF(A1454&lt;&gt;"", VLOOKUP(A1454, imdb_netflix_v5!A$2:H$7370, 7, FALSE), "")</f>
        <v>NA</v>
      </c>
    </row>
    <row r="1455" ht="15.75" customHeight="1">
      <c r="A1455" s="1" t="str">
        <f>IFERROR(__xludf.DUMMYFUNCTION("""COMPUTED_VALUE"""),"elite squad 2 the enemy within")</f>
        <v>elite squad 2 the enemy within</v>
      </c>
      <c r="B1455" s="1" t="str">
        <f>IF(A1455&lt;&gt;"", VLOOKUP(A1455, imdb_netflix_v5!A$2:H$7370, 2, FALSE), "")</f>
        <v>Movie</v>
      </c>
      <c r="C1455" s="2" t="str">
        <f>IF(A1455&lt;&gt;"", VLOOKUP(A1455, imdb_netflix_v5!A$2:H$7370, 3, FALSE), "")</f>
        <v>Crime, Drama, Thriller</v>
      </c>
      <c r="D1455" s="2">
        <f>IF(A1455&lt;&gt;"", VLOOKUP(A1455, imdb_netflix_v5!A$2:H$7370, 4, FALSE), "")</f>
        <v>8</v>
      </c>
      <c r="E1455" s="2">
        <f>IF(A1455&lt;&gt;"", VLOOKUP(A1455, imdb_netflix_v5!A$2:H$7370, 5, FALSE), "")</f>
        <v>2010</v>
      </c>
      <c r="F1455" s="2" t="str">
        <f>IF(A1455&lt;&gt;"", VLOOKUP(A1455, imdb_netflix_v5!A$2:H$7370, 7, FALSE), "")</f>
        <v>NA</v>
      </c>
    </row>
    <row r="1456" ht="15.75" customHeight="1">
      <c r="A1456" s="1" t="str">
        <f>IFERROR(__xludf.DUMMYFUNCTION("""COMPUTED_VALUE"""),"spring, summer, fall, winter... and spring")</f>
        <v>spring, summer, fall, winter... and spring</v>
      </c>
      <c r="B1456" s="1" t="str">
        <f>IF(A1456&lt;&gt;"", VLOOKUP(A1456, imdb_netflix_v5!A$2:H$7370, 2, FALSE), "")</f>
        <v>Movie</v>
      </c>
      <c r="C1456" s="2" t="str">
        <f>IF(A1456&lt;&gt;"", VLOOKUP(A1456, imdb_netflix_v5!A$2:H$7370, 3, FALSE), "")</f>
        <v>Drama, Romance</v>
      </c>
      <c r="D1456" s="2">
        <f>IF(A1456&lt;&gt;"", VLOOKUP(A1456, imdb_netflix_v5!A$2:H$7370, 4, FALSE), "")</f>
        <v>8</v>
      </c>
      <c r="E1456" s="2">
        <f>IF(A1456&lt;&gt;"", VLOOKUP(A1456, imdb_netflix_v5!A$2:H$7370, 5, FALSE), "")</f>
        <v>2003</v>
      </c>
      <c r="F1456" s="2" t="str">
        <f>IF(A1456&lt;&gt;"", VLOOKUP(A1456, imdb_netflix_v5!A$2:H$7370, 7, FALSE), "")</f>
        <v>NA</v>
      </c>
    </row>
    <row r="1457" ht="15.75" customHeight="1">
      <c r="A1457" s="1" t="str">
        <f>IFERROR(__xludf.DUMMYFUNCTION("""COMPUTED_VALUE"""),"pink floyd the wall")</f>
        <v>pink floyd the wall</v>
      </c>
      <c r="B1457" s="1" t="str">
        <f>IF(A1457&lt;&gt;"", VLOOKUP(A1457, imdb_netflix_v5!A$2:H$7370, 2, FALSE), "")</f>
        <v>Movie</v>
      </c>
      <c r="C1457" s="2" t="str">
        <f>IF(A1457&lt;&gt;"", VLOOKUP(A1457, imdb_netflix_v5!A$2:H$7370, 3, FALSE), "")</f>
        <v>Drama, Fantasy, Music</v>
      </c>
      <c r="D1457" s="2">
        <f>IF(A1457&lt;&gt;"", VLOOKUP(A1457, imdb_netflix_v5!A$2:H$7370, 4, FALSE), "")</f>
        <v>8</v>
      </c>
      <c r="E1457" s="2">
        <f>IF(A1457&lt;&gt;"", VLOOKUP(A1457, imdb_netflix_v5!A$2:H$7370, 5, FALSE), "")</f>
        <v>1982</v>
      </c>
      <c r="F1457" s="2" t="str">
        <f>IF(A1457&lt;&gt;"", VLOOKUP(A1457, imdb_netflix_v5!A$2:H$7370, 7, FALSE), "")</f>
        <v>NA</v>
      </c>
    </row>
    <row r="1458" ht="15.75" customHeight="1">
      <c r="A1458" s="1" t="str">
        <f>IFERROR(__xludf.DUMMYFUNCTION("""COMPUTED_VALUE"""),"the sea inside")</f>
        <v>the sea inside</v>
      </c>
      <c r="B1458" s="1" t="str">
        <f>IF(A1458&lt;&gt;"", VLOOKUP(A1458, imdb_netflix_v5!A$2:H$7370, 2, FALSE), "")</f>
        <v>Movie</v>
      </c>
      <c r="C1458" s="2" t="str">
        <f>IF(A1458&lt;&gt;"", VLOOKUP(A1458, imdb_netflix_v5!A$2:H$7370, 3, FALSE), "")</f>
        <v>Biography, Drama</v>
      </c>
      <c r="D1458" s="2">
        <f>IF(A1458&lt;&gt;"", VLOOKUP(A1458, imdb_netflix_v5!A$2:H$7370, 4, FALSE), "")</f>
        <v>8</v>
      </c>
      <c r="E1458" s="2">
        <f>IF(A1458&lt;&gt;"", VLOOKUP(A1458, imdb_netflix_v5!A$2:H$7370, 5, FALSE), "")</f>
        <v>2004</v>
      </c>
      <c r="F1458" s="2" t="str">
        <f>IF(A1458&lt;&gt;"", VLOOKUP(A1458, imdb_netflix_v5!A$2:H$7370, 7, FALSE), "")</f>
        <v>NA</v>
      </c>
    </row>
    <row r="1459" ht="15.75" customHeight="1">
      <c r="A1459" s="1" t="str">
        <f>IFERROR(__xludf.DUMMYFUNCTION("""COMPUTED_VALUE"""),"the rookie")</f>
        <v>the rookie</v>
      </c>
      <c r="B1459" s="1" t="str">
        <f>IF(A1459&lt;&gt;"", VLOOKUP(A1459, imdb_netflix_v5!A$2:H$7370, 2, FALSE), "")</f>
        <v>TV Show</v>
      </c>
      <c r="C1459" s="2" t="str">
        <f>IF(A1459&lt;&gt;"", VLOOKUP(A1459, imdb_netflix_v5!A$2:H$7370, 3, FALSE), "")</f>
        <v>Action, Crime, Drama</v>
      </c>
      <c r="D1459" s="2">
        <f>IF(A1459&lt;&gt;"", VLOOKUP(A1459, imdb_netflix_v5!A$2:H$7370, 4, FALSE), "")</f>
        <v>8</v>
      </c>
      <c r="E1459" s="2">
        <f>IF(A1459&lt;&gt;"", VLOOKUP(A1459, imdb_netflix_v5!A$2:H$7370, 5, FALSE), "")</f>
        <v>2018</v>
      </c>
      <c r="F1459" s="2" t="str">
        <f>IF(A1459&lt;&gt;"", VLOOKUP(A1459, imdb_netflix_v5!A$2:H$7370, 7, FALSE), "")</f>
        <v>NA</v>
      </c>
    </row>
    <row r="1460" ht="15.75" customHeight="1">
      <c r="A1460" s="1" t="str">
        <f>IFERROR(__xludf.DUMMYFUNCTION("""COMPUTED_VALUE"""),"shrinking")</f>
        <v>shrinking</v>
      </c>
      <c r="B1460" s="1" t="str">
        <f>IF(A1460&lt;&gt;"", VLOOKUP(A1460, imdb_netflix_v5!A$2:H$7370, 2, FALSE), "")</f>
        <v>TV Show</v>
      </c>
      <c r="C1460" s="2" t="str">
        <f>IF(A1460&lt;&gt;"", VLOOKUP(A1460, imdb_netflix_v5!A$2:H$7370, 3, FALSE), "")</f>
        <v>Comedy, Drama</v>
      </c>
      <c r="D1460" s="2">
        <f>IF(A1460&lt;&gt;"", VLOOKUP(A1460, imdb_netflix_v5!A$2:H$7370, 4, FALSE), "")</f>
        <v>8</v>
      </c>
      <c r="E1460" s="2">
        <f>IF(A1460&lt;&gt;"", VLOOKUP(A1460, imdb_netflix_v5!A$2:H$7370, 5, FALSE), "")</f>
        <v>2023</v>
      </c>
      <c r="F1460" s="2" t="str">
        <f>IF(A1460&lt;&gt;"", VLOOKUP(A1460, imdb_netflix_v5!A$2:H$7370, 7, FALSE), "")</f>
        <v>NA</v>
      </c>
    </row>
    <row r="1461" ht="15.75" customHeight="1">
      <c r="A1461" s="1" t="str">
        <f>IFERROR(__xludf.DUMMYFUNCTION("""COMPUTED_VALUE"""),"whos afraid of virginia woolf?")</f>
        <v>whos afraid of virginia woolf?</v>
      </c>
      <c r="B1461" s="1" t="str">
        <f>IF(A1461&lt;&gt;"", VLOOKUP(A1461, imdb_netflix_v5!A$2:H$7370, 2, FALSE), "")</f>
        <v>Movie</v>
      </c>
      <c r="C1461" s="2" t="str">
        <f>IF(A1461&lt;&gt;"", VLOOKUP(A1461, imdb_netflix_v5!A$2:H$7370, 3, FALSE), "")</f>
        <v>Drama</v>
      </c>
      <c r="D1461" s="2">
        <f>IF(A1461&lt;&gt;"", VLOOKUP(A1461, imdb_netflix_v5!A$2:H$7370, 4, FALSE), "")</f>
        <v>8</v>
      </c>
      <c r="E1461" s="2">
        <f>IF(A1461&lt;&gt;"", VLOOKUP(A1461, imdb_netflix_v5!A$2:H$7370, 5, FALSE), "")</f>
        <v>1966</v>
      </c>
      <c r="F1461" s="2" t="str">
        <f>IF(A1461&lt;&gt;"", VLOOKUP(A1461, imdb_netflix_v5!A$2:H$7370, 7, FALSE), "")</f>
        <v>NA</v>
      </c>
    </row>
    <row r="1462" ht="15.75" customHeight="1">
      <c r="A1462" s="1" t="str">
        <f>IFERROR(__xludf.DUMMYFUNCTION("""COMPUTED_VALUE"""),"marco polo")</f>
        <v>marco polo</v>
      </c>
      <c r="B1462" s="1" t="str">
        <f>IF(A1462&lt;&gt;"", VLOOKUP(A1462, imdb_netflix_v5!A$2:H$7370, 2, FALSE), "")</f>
        <v>TV Show</v>
      </c>
      <c r="C1462" s="2" t="str">
        <f>IF(A1462&lt;&gt;"", VLOOKUP(A1462, imdb_netflix_v5!A$2:H$7370, 3, FALSE), "")</f>
        <v>Action, Adventure, Drama</v>
      </c>
      <c r="D1462" s="2">
        <f>IF(A1462&lt;&gt;"", VLOOKUP(A1462, imdb_netflix_v5!A$2:H$7370, 4, FALSE), "")</f>
        <v>8</v>
      </c>
      <c r="E1462" s="2">
        <f>IF(A1462&lt;&gt;"", VLOOKUP(A1462, imdb_netflix_v5!A$2:H$7370, 5, FALSE), "")</f>
        <v>2014</v>
      </c>
      <c r="F1462" s="2" t="str">
        <f>IF(A1462&lt;&gt;"", VLOOKUP(A1462, imdb_netflix_v5!A$2:H$7370, 7, FALSE), "")</f>
        <v>NA</v>
      </c>
    </row>
    <row r="1463" ht="15.75" customHeight="1">
      <c r="A1463" s="1" t="str">
        <f>IFERROR(__xludf.DUMMYFUNCTION("""COMPUTED_VALUE"""),"la dolce vita")</f>
        <v>la dolce vita</v>
      </c>
      <c r="B1463" s="1" t="str">
        <f>IF(A1463&lt;&gt;"", VLOOKUP(A1463, imdb_netflix_v5!A$2:H$7370, 2, FALSE), "")</f>
        <v>Movie</v>
      </c>
      <c r="C1463" s="2" t="str">
        <f>IF(A1463&lt;&gt;"", VLOOKUP(A1463, imdb_netflix_v5!A$2:H$7370, 3, FALSE), "")</f>
        <v>Comedy, Drama</v>
      </c>
      <c r="D1463" s="2">
        <f>IF(A1463&lt;&gt;"", VLOOKUP(A1463, imdb_netflix_v5!A$2:H$7370, 4, FALSE), "")</f>
        <v>8</v>
      </c>
      <c r="E1463" s="2">
        <f>IF(A1463&lt;&gt;"", VLOOKUP(A1463, imdb_netflix_v5!A$2:H$7370, 5, FALSE), "")</f>
        <v>1960</v>
      </c>
      <c r="F1463" s="2" t="str">
        <f>IF(A1463&lt;&gt;"", VLOOKUP(A1463, imdb_netflix_v5!A$2:H$7370, 7, FALSE), "")</f>
        <v>NA</v>
      </c>
    </row>
    <row r="1464" ht="15.75" customHeight="1">
      <c r="A1464" s="1" t="str">
        <f>IFERROR(__xludf.DUMMYFUNCTION("""COMPUTED_VALUE"""),"burn notice")</f>
        <v>burn notice</v>
      </c>
      <c r="B1464" s="1" t="str">
        <f>IF(A1464&lt;&gt;"", VLOOKUP(A1464, imdb_netflix_v5!A$2:H$7370, 2, FALSE), "")</f>
        <v>TV Show</v>
      </c>
      <c r="C1464" s="2" t="str">
        <f>IF(A1464&lt;&gt;"", VLOOKUP(A1464, imdb_netflix_v5!A$2:H$7370, 3, FALSE), "")</f>
        <v>Action, Crime, Drama</v>
      </c>
      <c r="D1464" s="2">
        <f>IF(A1464&lt;&gt;"", VLOOKUP(A1464, imdb_netflix_v5!A$2:H$7370, 4, FALSE), "")</f>
        <v>8</v>
      </c>
      <c r="E1464" s="2">
        <f>IF(A1464&lt;&gt;"", VLOOKUP(A1464, imdb_netflix_v5!A$2:H$7370, 5, FALSE), "")</f>
        <v>2007</v>
      </c>
      <c r="F1464" s="2" t="str">
        <f>IF(A1464&lt;&gt;"", VLOOKUP(A1464, imdb_netflix_v5!A$2:H$7370, 7, FALSE), "")</f>
        <v>NA</v>
      </c>
    </row>
    <row r="1465" ht="15.75" customHeight="1">
      <c r="A1465" s="1" t="str">
        <f>IFERROR(__xludf.DUMMYFUNCTION("""COMPUTED_VALUE"""),"dilwale dulhania le jayenge")</f>
        <v>dilwale dulhania le jayenge</v>
      </c>
      <c r="B1465" s="1" t="str">
        <f>IF(A1465&lt;&gt;"", VLOOKUP(A1465, imdb_netflix_v5!A$2:H$7370, 2, FALSE), "")</f>
        <v>Movie</v>
      </c>
      <c r="C1465" s="2" t="str">
        <f>IF(A1465&lt;&gt;"", VLOOKUP(A1465, imdb_netflix_v5!A$2:H$7370, 3, FALSE), "")</f>
        <v>Drama, Romance</v>
      </c>
      <c r="D1465" s="2">
        <f>IF(A1465&lt;&gt;"", VLOOKUP(A1465, imdb_netflix_v5!A$2:H$7370, 4, FALSE), "")</f>
        <v>8</v>
      </c>
      <c r="E1465" s="2">
        <f>IF(A1465&lt;&gt;"", VLOOKUP(A1465, imdb_netflix_v5!A$2:H$7370, 5, FALSE), "")</f>
        <v>1995</v>
      </c>
      <c r="F1465" s="2" t="str">
        <f>IF(A1465&lt;&gt;"", VLOOKUP(A1465, imdb_netflix_v5!A$2:H$7370, 7, FALSE), "")</f>
        <v>NA</v>
      </c>
    </row>
    <row r="1466" ht="15.75" customHeight="1">
      <c r="A1466" s="1" t="str">
        <f>IFERROR(__xludf.DUMMYFUNCTION("""COMPUTED_VALUE"""),"sicko")</f>
        <v>sicko</v>
      </c>
      <c r="B1466" s="1" t="str">
        <f>IF(A1466&lt;&gt;"", VLOOKUP(A1466, imdb_netflix_v5!A$2:H$7370, 2, FALSE), "")</f>
        <v>Movie</v>
      </c>
      <c r="C1466" s="2" t="str">
        <f>IF(A1466&lt;&gt;"", VLOOKUP(A1466, imdb_netflix_v5!A$2:H$7370, 3, FALSE), "")</f>
        <v>Documentary, Drama</v>
      </c>
      <c r="D1466" s="2">
        <f>IF(A1466&lt;&gt;"", VLOOKUP(A1466, imdb_netflix_v5!A$2:H$7370, 4, FALSE), "")</f>
        <v>8</v>
      </c>
      <c r="E1466" s="2">
        <f>IF(A1466&lt;&gt;"", VLOOKUP(A1466, imdb_netflix_v5!A$2:H$7370, 5, FALSE), "")</f>
        <v>2007</v>
      </c>
      <c r="F1466" s="2" t="str">
        <f>IF(A1466&lt;&gt;"", VLOOKUP(A1466, imdb_netflix_v5!A$2:H$7370, 7, FALSE), "")</f>
        <v>NA</v>
      </c>
    </row>
    <row r="1467" ht="15.75" customHeight="1">
      <c r="A1467" s="1" t="str">
        <f>IFERROR(__xludf.DUMMYFUNCTION("""COMPUTED_VALUE"""),"paranormal")</f>
        <v>paranormal</v>
      </c>
      <c r="B1467" s="1" t="str">
        <f>IF(A1467&lt;&gt;"", VLOOKUP(A1467, imdb_netflix_v5!A$2:H$7370, 2, FALSE), "")</f>
        <v>TV Show</v>
      </c>
      <c r="C1467" s="2" t="str">
        <f>IF(A1467&lt;&gt;"", VLOOKUP(A1467, imdb_netflix_v5!A$2:H$7370, 3, FALSE), "")</f>
        <v>Drama, Fantasy, Horror</v>
      </c>
      <c r="D1467" s="2">
        <f>IF(A1467&lt;&gt;"", VLOOKUP(A1467, imdb_netflix_v5!A$2:H$7370, 4, FALSE), "")</f>
        <v>8</v>
      </c>
      <c r="E1467" s="2">
        <f>IF(A1467&lt;&gt;"", VLOOKUP(A1467, imdb_netflix_v5!A$2:H$7370, 5, FALSE), "")</f>
        <v>2020</v>
      </c>
      <c r="F1467" s="2" t="str">
        <f>IF(A1467&lt;&gt;"", VLOOKUP(A1467, imdb_netflix_v5!A$2:H$7370, 7, FALSE), "")</f>
        <v>NA</v>
      </c>
    </row>
    <row r="1468" ht="15.75" customHeight="1">
      <c r="A1468" s="1" t="str">
        <f>IFERROR(__xludf.DUMMYFUNCTION("""COMPUTED_VALUE"""),"anatomy of a murder")</f>
        <v>anatomy of a murder</v>
      </c>
      <c r="B1468" s="1" t="str">
        <f>IF(A1468&lt;&gt;"", VLOOKUP(A1468, imdb_netflix_v5!A$2:H$7370, 2, FALSE), "")</f>
        <v>Movie</v>
      </c>
      <c r="C1468" s="2" t="str">
        <f>IF(A1468&lt;&gt;"", VLOOKUP(A1468, imdb_netflix_v5!A$2:H$7370, 3, FALSE), "")</f>
        <v>Drama, Mystery</v>
      </c>
      <c r="D1468" s="2">
        <f>IF(A1468&lt;&gt;"", VLOOKUP(A1468, imdb_netflix_v5!A$2:H$7370, 4, FALSE), "")</f>
        <v>8</v>
      </c>
      <c r="E1468" s="2">
        <f>IF(A1468&lt;&gt;"", VLOOKUP(A1468, imdb_netflix_v5!A$2:H$7370, 5, FALSE), "")</f>
        <v>1959</v>
      </c>
      <c r="F1468" s="2" t="str">
        <f>IF(A1468&lt;&gt;"", VLOOKUP(A1468, imdb_netflix_v5!A$2:H$7370, 7, FALSE), "")</f>
        <v>NA</v>
      </c>
    </row>
    <row r="1469" ht="15.75" customHeight="1">
      <c r="A1469" s="1" t="str">
        <f>IFERROR(__xludf.DUMMYFUNCTION("""COMPUTED_VALUE"""),"the diplomat")</f>
        <v>the diplomat</v>
      </c>
      <c r="B1469" s="1" t="str">
        <f>IF(A1469&lt;&gt;"", VLOOKUP(A1469, imdb_netflix_v5!A$2:H$7370, 2, FALSE), "")</f>
        <v>TV Show</v>
      </c>
      <c r="C1469" s="2" t="str">
        <f>IF(A1469&lt;&gt;"", VLOOKUP(A1469, imdb_netflix_v5!A$2:H$7370, 3, FALSE), "")</f>
        <v>Drama, Thriller</v>
      </c>
      <c r="D1469" s="2">
        <f>IF(A1469&lt;&gt;"", VLOOKUP(A1469, imdb_netflix_v5!A$2:H$7370, 4, FALSE), "")</f>
        <v>8</v>
      </c>
      <c r="E1469" s="2">
        <f>IF(A1469&lt;&gt;"", VLOOKUP(A1469, imdb_netflix_v5!A$2:H$7370, 5, FALSE), "")</f>
        <v>2023</v>
      </c>
      <c r="F1469" s="2">
        <f>IF(A1469&lt;&gt;"", VLOOKUP(A1469, imdb_netflix_v5!A$2:H$7370, 7, FALSE), "")</f>
        <v>18370000</v>
      </c>
    </row>
    <row r="1470" ht="15.75" customHeight="1">
      <c r="A1470" s="1" t="str">
        <f>IFERROR(__xludf.DUMMYFUNCTION("""COMPUTED_VALUE"""),"the cabinet of dr. caligari")</f>
        <v>the cabinet of dr. caligari</v>
      </c>
      <c r="B1470" s="1" t="str">
        <f>IF(A1470&lt;&gt;"", VLOOKUP(A1470, imdb_netflix_v5!A$2:H$7370, 2, FALSE), "")</f>
        <v>Movie</v>
      </c>
      <c r="C1470" s="2" t="str">
        <f>IF(A1470&lt;&gt;"", VLOOKUP(A1470, imdb_netflix_v5!A$2:H$7370, 3, FALSE), "")</f>
        <v>Horror, Mystery, Thriller</v>
      </c>
      <c r="D1470" s="2">
        <f>IF(A1470&lt;&gt;"", VLOOKUP(A1470, imdb_netflix_v5!A$2:H$7370, 4, FALSE), "")</f>
        <v>8</v>
      </c>
      <c r="E1470" s="2">
        <f>IF(A1470&lt;&gt;"", VLOOKUP(A1470, imdb_netflix_v5!A$2:H$7370, 5, FALSE), "")</f>
        <v>1920</v>
      </c>
      <c r="F1470" s="2" t="str">
        <f>IF(A1470&lt;&gt;"", VLOOKUP(A1470, imdb_netflix_v5!A$2:H$7370, 7, FALSE), "")</f>
        <v>NA</v>
      </c>
    </row>
    <row r="1471" ht="15.75" customHeight="1">
      <c r="A1471" s="1" t="str">
        <f>IFERROR(__xludf.DUMMYFUNCTION("""COMPUTED_VALUE"""),"the legend of 1900")</f>
        <v>the legend of 1900</v>
      </c>
      <c r="B1471" s="1" t="str">
        <f>IF(A1471&lt;&gt;"", VLOOKUP(A1471, imdb_netflix_v5!A$2:H$7370, 2, FALSE), "")</f>
        <v>Movie</v>
      </c>
      <c r="C1471" s="2" t="str">
        <f>IF(A1471&lt;&gt;"", VLOOKUP(A1471, imdb_netflix_v5!A$2:H$7370, 3, FALSE), "")</f>
        <v>Drama, Music, Romance</v>
      </c>
      <c r="D1471" s="2">
        <f>IF(A1471&lt;&gt;"", VLOOKUP(A1471, imdb_netflix_v5!A$2:H$7370, 4, FALSE), "")</f>
        <v>8</v>
      </c>
      <c r="E1471" s="2">
        <f>IF(A1471&lt;&gt;"", VLOOKUP(A1471, imdb_netflix_v5!A$2:H$7370, 5, FALSE), "")</f>
        <v>1998</v>
      </c>
      <c r="F1471" s="2" t="str">
        <f>IF(A1471&lt;&gt;"", VLOOKUP(A1471, imdb_netflix_v5!A$2:H$7370, 7, FALSE), "")</f>
        <v>NA</v>
      </c>
    </row>
    <row r="1472" ht="15.75" customHeight="1">
      <c r="A1472" s="1" t="str">
        <f>IFERROR(__xludf.DUMMYFUNCTION("""COMPUTED_VALUE"""),"m.s. dhoni the untold story")</f>
        <v>m.s. dhoni the untold story</v>
      </c>
      <c r="B1472" s="1" t="str">
        <f>IF(A1472&lt;&gt;"", VLOOKUP(A1472, imdb_netflix_v5!A$2:H$7370, 2, FALSE), "")</f>
        <v>Movie</v>
      </c>
      <c r="C1472" s="2" t="str">
        <f>IF(A1472&lt;&gt;"", VLOOKUP(A1472, imdb_netflix_v5!A$2:H$7370, 3, FALSE), "")</f>
        <v>Biography, Drama, Sport</v>
      </c>
      <c r="D1472" s="2">
        <f>IF(A1472&lt;&gt;"", VLOOKUP(A1472, imdb_netflix_v5!A$2:H$7370, 4, FALSE), "")</f>
        <v>8</v>
      </c>
      <c r="E1472" s="2">
        <f>IF(A1472&lt;&gt;"", VLOOKUP(A1472, imdb_netflix_v5!A$2:H$7370, 5, FALSE), "")</f>
        <v>2016</v>
      </c>
      <c r="F1472" s="2" t="str">
        <f>IF(A1472&lt;&gt;"", VLOOKUP(A1472, imdb_netflix_v5!A$2:H$7370, 7, FALSE), "")</f>
        <v>NA</v>
      </c>
    </row>
    <row r="1473" ht="15.75" customHeight="1">
      <c r="A1473" s="1" t="str">
        <f>IFERROR(__xludf.DUMMYFUNCTION("""COMPUTED_VALUE"""),"rio bravo")</f>
        <v>rio bravo</v>
      </c>
      <c r="B1473" s="1" t="str">
        <f>IF(A1473&lt;&gt;"", VLOOKUP(A1473, imdb_netflix_v5!A$2:H$7370, 2, FALSE), "")</f>
        <v>Movie</v>
      </c>
      <c r="C1473" s="2" t="str">
        <f>IF(A1473&lt;&gt;"", VLOOKUP(A1473, imdb_netflix_v5!A$2:H$7370, 3, FALSE), "")</f>
        <v>Western</v>
      </c>
      <c r="D1473" s="2">
        <f>IF(A1473&lt;&gt;"", VLOOKUP(A1473, imdb_netflix_v5!A$2:H$7370, 4, FALSE), "")</f>
        <v>8</v>
      </c>
      <c r="E1473" s="2">
        <f>IF(A1473&lt;&gt;"", VLOOKUP(A1473, imdb_netflix_v5!A$2:H$7370, 5, FALSE), "")</f>
        <v>1959</v>
      </c>
      <c r="F1473" s="2" t="str">
        <f>IF(A1473&lt;&gt;"", VLOOKUP(A1473, imdb_netflix_v5!A$2:H$7370, 7, FALSE), "")</f>
        <v>NA</v>
      </c>
    </row>
    <row r="1474" ht="15.75" customHeight="1">
      <c r="A1474" s="1" t="str">
        <f>IFERROR(__xludf.DUMMYFUNCTION("""COMPUTED_VALUE"""),"g.o.r.a.")</f>
        <v>g.o.r.a.</v>
      </c>
      <c r="B1474" s="1" t="str">
        <f>IF(A1474&lt;&gt;"", VLOOKUP(A1474, imdb_netflix_v5!A$2:H$7370, 2, FALSE), "")</f>
        <v>Movie</v>
      </c>
      <c r="C1474" s="2" t="str">
        <f>IF(A1474&lt;&gt;"", VLOOKUP(A1474, imdb_netflix_v5!A$2:H$7370, 3, FALSE), "")</f>
        <v>Adventure, Comedy, Sci-Fi</v>
      </c>
      <c r="D1474" s="2">
        <f>IF(A1474&lt;&gt;"", VLOOKUP(A1474, imdb_netflix_v5!A$2:H$7370, 4, FALSE), "")</f>
        <v>8</v>
      </c>
      <c r="E1474" s="2">
        <f>IF(A1474&lt;&gt;"", VLOOKUP(A1474, imdb_netflix_v5!A$2:H$7370, 5, FALSE), "")</f>
        <v>2004</v>
      </c>
      <c r="F1474" s="2" t="str">
        <f>IF(A1474&lt;&gt;"", VLOOKUP(A1474, imdb_netflix_v5!A$2:H$7370, 7, FALSE), "")</f>
        <v>NA</v>
      </c>
    </row>
    <row r="1475" ht="15.75" customHeight="1">
      <c r="A1475" s="1" t="str">
        <f>IFERROR(__xludf.DUMMYFUNCTION("""COMPUTED_VALUE"""),"la strada")</f>
        <v>la strada</v>
      </c>
      <c r="B1475" s="1" t="str">
        <f>IF(A1475&lt;&gt;"", VLOOKUP(A1475, imdb_netflix_v5!A$2:H$7370, 2, FALSE), "")</f>
        <v>Movie</v>
      </c>
      <c r="C1475" s="2" t="str">
        <f>IF(A1475&lt;&gt;"", VLOOKUP(A1475, imdb_netflix_v5!A$2:H$7370, 3, FALSE), "")</f>
        <v>Drama</v>
      </c>
      <c r="D1475" s="2">
        <f>IF(A1475&lt;&gt;"", VLOOKUP(A1475, imdb_netflix_v5!A$2:H$7370, 4, FALSE), "")</f>
        <v>8</v>
      </c>
      <c r="E1475" s="2">
        <f>IF(A1475&lt;&gt;"", VLOOKUP(A1475, imdb_netflix_v5!A$2:H$7370, 5, FALSE), "")</f>
        <v>1954</v>
      </c>
      <c r="F1475" s="2" t="str">
        <f>IF(A1475&lt;&gt;"", VLOOKUP(A1475, imdb_netflix_v5!A$2:H$7370, 7, FALSE), "")</f>
        <v>NA</v>
      </c>
    </row>
    <row r="1476" ht="15.75" customHeight="1">
      <c r="A1476" s="1" t="str">
        <f>IFERROR(__xludf.DUMMYFUNCTION("""COMPUTED_VALUE"""),"travelers")</f>
        <v>travelers</v>
      </c>
      <c r="B1476" s="1" t="str">
        <f>IF(A1476&lt;&gt;"", VLOOKUP(A1476, imdb_netflix_v5!A$2:H$7370, 2, FALSE), "")</f>
        <v>TV Show</v>
      </c>
      <c r="C1476" s="2" t="str">
        <f>IF(A1476&lt;&gt;"", VLOOKUP(A1476, imdb_netflix_v5!A$2:H$7370, 3, FALSE), "")</f>
        <v>Drama, Mystery, Sci-Fi</v>
      </c>
      <c r="D1476" s="2">
        <f>IF(A1476&lt;&gt;"", VLOOKUP(A1476, imdb_netflix_v5!A$2:H$7370, 4, FALSE), "")</f>
        <v>8</v>
      </c>
      <c r="E1476" s="2">
        <f>IF(A1476&lt;&gt;"", VLOOKUP(A1476, imdb_netflix_v5!A$2:H$7370, 5, FALSE), "")</f>
        <v>2016</v>
      </c>
      <c r="F1476" s="2" t="str">
        <f>IF(A1476&lt;&gt;"", VLOOKUP(A1476, imdb_netflix_v5!A$2:H$7370, 7, FALSE), "")</f>
        <v>NA</v>
      </c>
    </row>
    <row r="1477" ht="15.75" customHeight="1">
      <c r="A1477" s="1" t="str">
        <f>IFERROR(__xludf.DUMMYFUNCTION("""COMPUTED_VALUE"""),"chicago fire")</f>
        <v>chicago fire</v>
      </c>
      <c r="B1477" s="1" t="str">
        <f>IF(A1477&lt;&gt;"", VLOOKUP(A1477, imdb_netflix_v5!A$2:H$7370, 2, FALSE), "")</f>
        <v>TV Show</v>
      </c>
      <c r="C1477" s="2" t="str">
        <f>IF(A1477&lt;&gt;"", VLOOKUP(A1477, imdb_netflix_v5!A$2:H$7370, 3, FALSE), "")</f>
        <v>Action, Drama</v>
      </c>
      <c r="D1477" s="2">
        <f>IF(A1477&lt;&gt;"", VLOOKUP(A1477, imdb_netflix_v5!A$2:H$7370, 4, FALSE), "")</f>
        <v>8</v>
      </c>
      <c r="E1477" s="2">
        <f>IF(A1477&lt;&gt;"", VLOOKUP(A1477, imdb_netflix_v5!A$2:H$7370, 5, FALSE), "")</f>
        <v>2012</v>
      </c>
      <c r="F1477" s="2" t="str">
        <f>IF(A1477&lt;&gt;"", VLOOKUP(A1477, imdb_netflix_v5!A$2:H$7370, 7, FALSE), "")</f>
        <v>NA</v>
      </c>
    </row>
    <row r="1478" ht="15.75" customHeight="1">
      <c r="A1478" s="1" t="str">
        <f>IFERROR(__xludf.DUMMYFUNCTION("""COMPUTED_VALUE"""),"wicked")</f>
        <v>wicked</v>
      </c>
      <c r="B1478" s="1" t="str">
        <f>IF(A1478&lt;&gt;"", VLOOKUP(A1478, imdb_netflix_v5!A$2:H$7370, 2, FALSE), "")</f>
        <v>Movie</v>
      </c>
      <c r="C1478" s="2" t="str">
        <f>IF(A1478&lt;&gt;"", VLOOKUP(A1478, imdb_netflix_v5!A$2:H$7370, 3, FALSE), "")</f>
        <v>Fantasy, Musical, Romance</v>
      </c>
      <c r="D1478" s="2">
        <f>IF(A1478&lt;&gt;"", VLOOKUP(A1478, imdb_netflix_v5!A$2:H$7370, 4, FALSE), "")</f>
        <v>8</v>
      </c>
      <c r="E1478" s="2">
        <f>IF(A1478&lt;&gt;"", VLOOKUP(A1478, imdb_netflix_v5!A$2:H$7370, 5, FALSE), "")</f>
        <v>2024</v>
      </c>
      <c r="F1478" s="2" t="str">
        <f>IF(A1478&lt;&gt;"", VLOOKUP(A1478, imdb_netflix_v5!A$2:H$7370, 7, FALSE), "")</f>
        <v>NA</v>
      </c>
    </row>
    <row r="1479" ht="15.75" customHeight="1">
      <c r="A1479" s="1" t="str">
        <f>IFERROR(__xludf.DUMMYFUNCTION("""COMPUTED_VALUE"""),"dont f**k with cats hunting an internet killer")</f>
        <v>dont f**k with cats hunting an internet killer</v>
      </c>
      <c r="B1479" s="1" t="str">
        <f>IF(A1479&lt;&gt;"", VLOOKUP(A1479, imdb_netflix_v5!A$2:H$7370, 2, FALSE), "")</f>
        <v>TV Show</v>
      </c>
      <c r="C1479" s="2" t="str">
        <f>IF(A1479&lt;&gt;"", VLOOKUP(A1479, imdb_netflix_v5!A$2:H$7370, 3, FALSE), "")</f>
        <v>Crime, Documentary, Mystery</v>
      </c>
      <c r="D1479" s="2">
        <f>IF(A1479&lt;&gt;"", VLOOKUP(A1479, imdb_netflix_v5!A$2:H$7370, 4, FALSE), "")</f>
        <v>8</v>
      </c>
      <c r="E1479" s="2">
        <f>IF(A1479&lt;&gt;"", VLOOKUP(A1479, imdb_netflix_v5!A$2:H$7370, 5, FALSE), "")</f>
        <v>2019</v>
      </c>
      <c r="F1479" s="2" t="str">
        <f>IF(A1479&lt;&gt;"", VLOOKUP(A1479, imdb_netflix_v5!A$2:H$7370, 7, FALSE), "")</f>
        <v>NA</v>
      </c>
    </row>
    <row r="1480" ht="15.75" customHeight="1">
      <c r="A1480" s="1" t="str">
        <f>IFERROR(__xludf.DUMMYFUNCTION("""COMPUTED_VALUE"""),"song of the sea")</f>
        <v>song of the sea</v>
      </c>
      <c r="B1480" s="1" t="str">
        <f>IF(A1480&lt;&gt;"", VLOOKUP(A1480, imdb_netflix_v5!A$2:H$7370, 2, FALSE), "")</f>
        <v>Movie</v>
      </c>
      <c r="C1480" s="2" t="str">
        <f>IF(A1480&lt;&gt;"", VLOOKUP(A1480, imdb_netflix_v5!A$2:H$7370, 3, FALSE), "")</f>
        <v>Adventure, Animation, Drama</v>
      </c>
      <c r="D1480" s="2">
        <f>IF(A1480&lt;&gt;"", VLOOKUP(A1480, imdb_netflix_v5!A$2:H$7370, 4, FALSE), "")</f>
        <v>8</v>
      </c>
      <c r="E1480" s="2">
        <f>IF(A1480&lt;&gt;"", VLOOKUP(A1480, imdb_netflix_v5!A$2:H$7370, 5, FALSE), "")</f>
        <v>2014</v>
      </c>
      <c r="F1480" s="2" t="str">
        <f>IF(A1480&lt;&gt;"", VLOOKUP(A1480, imdb_netflix_v5!A$2:H$7370, 7, FALSE), "")</f>
        <v>NA</v>
      </c>
    </row>
    <row r="1481" ht="15.75" customHeight="1">
      <c r="A1481" s="1" t="str">
        <f>IFERROR(__xludf.DUMMYFUNCTION("""COMPUTED_VALUE"""),"cheers")</f>
        <v>cheers</v>
      </c>
      <c r="B1481" s="1" t="str">
        <f>IF(A1481&lt;&gt;"", VLOOKUP(A1481, imdb_netflix_v5!A$2:H$7370, 2, FALSE), "")</f>
        <v>TV Show</v>
      </c>
      <c r="C1481" s="2" t="str">
        <f>IF(A1481&lt;&gt;"", VLOOKUP(A1481, imdb_netflix_v5!A$2:H$7370, 3, FALSE), "")</f>
        <v>Comedy, Drama</v>
      </c>
      <c r="D1481" s="2">
        <f>IF(A1481&lt;&gt;"", VLOOKUP(A1481, imdb_netflix_v5!A$2:H$7370, 4, FALSE), "")</f>
        <v>8</v>
      </c>
      <c r="E1481" s="2">
        <f>IF(A1481&lt;&gt;"", VLOOKUP(A1481, imdb_netflix_v5!A$2:H$7370, 5, FALSE), "")</f>
        <v>1982</v>
      </c>
      <c r="F1481" s="2" t="str">
        <f>IF(A1481&lt;&gt;"", VLOOKUP(A1481, imdb_netflix_v5!A$2:H$7370, 7, FALSE), "")</f>
        <v>NA</v>
      </c>
    </row>
    <row r="1482" ht="15.75" customHeight="1">
      <c r="A1482" s="1" t="str">
        <f>IFERROR(__xludf.DUMMYFUNCTION("""COMPUTED_VALUE"""),"what ever happened to baby jane?")</f>
        <v>what ever happened to baby jane?</v>
      </c>
      <c r="B1482" s="1" t="str">
        <f>IF(A1482&lt;&gt;"", VLOOKUP(A1482, imdb_netflix_v5!A$2:H$7370, 2, FALSE), "")</f>
        <v>Movie</v>
      </c>
      <c r="C1482" s="2" t="str">
        <f>IF(A1482&lt;&gt;"", VLOOKUP(A1482, imdb_netflix_v5!A$2:H$7370, 3, FALSE), "")</f>
        <v>Drama, Horror, Thriller</v>
      </c>
      <c r="D1482" s="2">
        <f>IF(A1482&lt;&gt;"", VLOOKUP(A1482, imdb_netflix_v5!A$2:H$7370, 4, FALSE), "")</f>
        <v>8</v>
      </c>
      <c r="E1482" s="2">
        <f>IF(A1482&lt;&gt;"", VLOOKUP(A1482, imdb_netflix_v5!A$2:H$7370, 5, FALSE), "")</f>
        <v>1962</v>
      </c>
      <c r="F1482" s="2" t="str">
        <f>IF(A1482&lt;&gt;"", VLOOKUP(A1482, imdb_netflix_v5!A$2:H$7370, 7, FALSE), "")</f>
        <v>NA</v>
      </c>
    </row>
    <row r="1483" ht="15.75" customHeight="1">
      <c r="A1483" s="1" t="str">
        <f>IFERROR(__xludf.DUMMYFUNCTION("""COMPUTED_VALUE"""),"mommy")</f>
        <v>mommy</v>
      </c>
      <c r="B1483" s="1" t="str">
        <f>IF(A1483&lt;&gt;"", VLOOKUP(A1483, imdb_netflix_v5!A$2:H$7370, 2, FALSE), "")</f>
        <v>Movie</v>
      </c>
      <c r="C1483" s="2" t="str">
        <f>IF(A1483&lt;&gt;"", VLOOKUP(A1483, imdb_netflix_v5!A$2:H$7370, 3, FALSE), "")</f>
        <v>Drama</v>
      </c>
      <c r="D1483" s="2">
        <f>IF(A1483&lt;&gt;"", VLOOKUP(A1483, imdb_netflix_v5!A$2:H$7370, 4, FALSE), "")</f>
        <v>8</v>
      </c>
      <c r="E1483" s="2">
        <f>IF(A1483&lt;&gt;"", VLOOKUP(A1483, imdb_netflix_v5!A$2:H$7370, 5, FALSE), "")</f>
        <v>2014</v>
      </c>
      <c r="F1483" s="2" t="str">
        <f>IF(A1483&lt;&gt;"", VLOOKUP(A1483, imdb_netflix_v5!A$2:H$7370, 7, FALSE), "")</f>
        <v>NA</v>
      </c>
    </row>
    <row r="1484" ht="15.75" customHeight="1">
      <c r="A1484" s="1" t="str">
        <f>IFERROR(__xludf.DUMMYFUNCTION("""COMPUTED_VALUE"""),"underground")</f>
        <v>underground</v>
      </c>
      <c r="B1484" s="1" t="str">
        <f>IF(A1484&lt;&gt;"", VLOOKUP(A1484, imdb_netflix_v5!A$2:H$7370, 2, FALSE), "")</f>
        <v>Movie</v>
      </c>
      <c r="C1484" s="2" t="str">
        <f>IF(A1484&lt;&gt;"", VLOOKUP(A1484, imdb_netflix_v5!A$2:H$7370, 3, FALSE), "")</f>
        <v>Comedy, Drama, Fantasy</v>
      </c>
      <c r="D1484" s="2">
        <f>IF(A1484&lt;&gt;"", VLOOKUP(A1484, imdb_netflix_v5!A$2:H$7370, 4, FALSE), "")</f>
        <v>8</v>
      </c>
      <c r="E1484" s="2">
        <f>IF(A1484&lt;&gt;"", VLOOKUP(A1484, imdb_netflix_v5!A$2:H$7370, 5, FALSE), "")</f>
        <v>1995</v>
      </c>
      <c r="F1484" s="2" t="str">
        <f>IF(A1484&lt;&gt;"", VLOOKUP(A1484, imdb_netflix_v5!A$2:H$7370, 7, FALSE), "")</f>
        <v>NA</v>
      </c>
    </row>
    <row r="1485" ht="15.75" customHeight="1">
      <c r="A1485" s="1" t="str">
        <f>IFERROR(__xludf.DUMMYFUNCTION("""COMPUTED_VALUE"""),"waltz with bashir")</f>
        <v>waltz with bashir</v>
      </c>
      <c r="B1485" s="1" t="str">
        <f>IF(A1485&lt;&gt;"", VLOOKUP(A1485, imdb_netflix_v5!A$2:H$7370, 2, FALSE), "")</f>
        <v>Movie</v>
      </c>
      <c r="C1485" s="2" t="str">
        <f>IF(A1485&lt;&gt;"", VLOOKUP(A1485, imdb_netflix_v5!A$2:H$7370, 3, FALSE), "")</f>
        <v>Animation, Biography, Documentary</v>
      </c>
      <c r="D1485" s="2">
        <f>IF(A1485&lt;&gt;"", VLOOKUP(A1485, imdb_netflix_v5!A$2:H$7370, 4, FALSE), "")</f>
        <v>8</v>
      </c>
      <c r="E1485" s="2">
        <f>IF(A1485&lt;&gt;"", VLOOKUP(A1485, imdb_netflix_v5!A$2:H$7370, 5, FALSE), "")</f>
        <v>2008</v>
      </c>
      <c r="F1485" s="2" t="str">
        <f>IF(A1485&lt;&gt;"", VLOOKUP(A1485, imdb_netflix_v5!A$2:H$7370, 7, FALSE), "")</f>
        <v>NA</v>
      </c>
    </row>
    <row r="1486" ht="15.75" customHeight="1">
      <c r="A1486" s="1" t="str">
        <f>IFERROR(__xludf.DUMMYFUNCTION("""COMPUTED_VALUE"""),"le samouraï")</f>
        <v>le samouraï</v>
      </c>
      <c r="B1486" s="1" t="str">
        <f>IF(A1486&lt;&gt;"", VLOOKUP(A1486, imdb_netflix_v5!A$2:H$7370, 2, FALSE), "")</f>
        <v>Movie</v>
      </c>
      <c r="C1486" s="2" t="str">
        <f>IF(A1486&lt;&gt;"", VLOOKUP(A1486, imdb_netflix_v5!A$2:H$7370, 3, FALSE), "")</f>
        <v>Crime, Drama, Thriller</v>
      </c>
      <c r="D1486" s="2">
        <f>IF(A1486&lt;&gt;"", VLOOKUP(A1486, imdb_netflix_v5!A$2:H$7370, 4, FALSE), "")</f>
        <v>8</v>
      </c>
      <c r="E1486" s="2">
        <f>IF(A1486&lt;&gt;"", VLOOKUP(A1486, imdb_netflix_v5!A$2:H$7370, 5, FALSE), "")</f>
        <v>1967</v>
      </c>
      <c r="F1486" s="2" t="str">
        <f>IF(A1486&lt;&gt;"", VLOOKUP(A1486, imdb_netflix_v5!A$2:H$7370, 7, FALSE), "")</f>
        <v>NA</v>
      </c>
    </row>
    <row r="1487" ht="15.75" customHeight="1">
      <c r="A1487" s="1" t="str">
        <f>IFERROR(__xludf.DUMMYFUNCTION("""COMPUTED_VALUE"""),"special 26")</f>
        <v>special 26</v>
      </c>
      <c r="B1487" s="1" t="str">
        <f>IF(A1487&lt;&gt;"", VLOOKUP(A1487, imdb_netflix_v5!A$2:H$7370, 2, FALSE), "")</f>
        <v>Movie</v>
      </c>
      <c r="C1487" s="2" t="str">
        <f>IF(A1487&lt;&gt;"", VLOOKUP(A1487, imdb_netflix_v5!A$2:H$7370, 3, FALSE), "")</f>
        <v>Crime, Drama, History</v>
      </c>
      <c r="D1487" s="2">
        <f>IF(A1487&lt;&gt;"", VLOOKUP(A1487, imdb_netflix_v5!A$2:H$7370, 4, FALSE), "")</f>
        <v>8</v>
      </c>
      <c r="E1487" s="2">
        <f>IF(A1487&lt;&gt;"", VLOOKUP(A1487, imdb_netflix_v5!A$2:H$7370, 5, FALSE), "")</f>
        <v>2013</v>
      </c>
      <c r="F1487" s="2" t="str">
        <f>IF(A1487&lt;&gt;"", VLOOKUP(A1487, imdb_netflix_v5!A$2:H$7370, 7, FALSE), "")</f>
        <v>NA</v>
      </c>
    </row>
    <row r="1488" ht="15.75" customHeight="1">
      <c r="A1488" s="1" t="str">
        <f>IFERROR(__xludf.DUMMYFUNCTION("""COMPUTED_VALUE"""),"haider")</f>
        <v>haider</v>
      </c>
      <c r="B1488" s="1" t="str">
        <f>IF(A1488&lt;&gt;"", VLOOKUP(A1488, imdb_netflix_v5!A$2:H$7370, 2, FALSE), "")</f>
        <v>Movie</v>
      </c>
      <c r="C1488" s="2" t="str">
        <f>IF(A1488&lt;&gt;"", VLOOKUP(A1488, imdb_netflix_v5!A$2:H$7370, 3, FALSE), "")</f>
        <v>Crime, Drama, Thriller</v>
      </c>
      <c r="D1488" s="2">
        <f>IF(A1488&lt;&gt;"", VLOOKUP(A1488, imdb_netflix_v5!A$2:H$7370, 4, FALSE), "")</f>
        <v>8</v>
      </c>
      <c r="E1488" s="2">
        <f>IF(A1488&lt;&gt;"", VLOOKUP(A1488, imdb_netflix_v5!A$2:H$7370, 5, FALSE), "")</f>
        <v>2014</v>
      </c>
      <c r="F1488" s="2" t="str">
        <f>IF(A1488&lt;&gt;"", VLOOKUP(A1488, imdb_netflix_v5!A$2:H$7370, 7, FALSE), "")</f>
        <v>NA</v>
      </c>
    </row>
    <row r="1489" ht="15.75" customHeight="1">
      <c r="A1489" s="1" t="str">
        <f>IFERROR(__xludf.DUMMYFUNCTION("""COMPUTED_VALUE"""),"citizenfour")</f>
        <v>citizenfour</v>
      </c>
      <c r="B1489" s="1" t="str">
        <f>IF(A1489&lt;&gt;"", VLOOKUP(A1489, imdb_netflix_v5!A$2:H$7370, 2, FALSE), "")</f>
        <v>Movie</v>
      </c>
      <c r="C1489" s="2" t="str">
        <f>IF(A1489&lt;&gt;"", VLOOKUP(A1489, imdb_netflix_v5!A$2:H$7370, 3, FALSE), "")</f>
        <v>Biography, Documentary</v>
      </c>
      <c r="D1489" s="2">
        <f>IF(A1489&lt;&gt;"", VLOOKUP(A1489, imdb_netflix_v5!A$2:H$7370, 4, FALSE), "")</f>
        <v>8</v>
      </c>
      <c r="E1489" s="2">
        <f>IF(A1489&lt;&gt;"", VLOOKUP(A1489, imdb_netflix_v5!A$2:H$7370, 5, FALSE), "")</f>
        <v>2014</v>
      </c>
      <c r="F1489" s="2" t="str">
        <f>IF(A1489&lt;&gt;"", VLOOKUP(A1489, imdb_netflix_v5!A$2:H$7370, 7, FALSE), "")</f>
        <v>NA</v>
      </c>
    </row>
    <row r="1490" ht="15.75" customHeight="1">
      <c r="A1490" s="1" t="str">
        <f>IFERROR(__xludf.DUMMYFUNCTION("""COMPUTED_VALUE"""),"andrei rublev")</f>
        <v>andrei rublev</v>
      </c>
      <c r="B1490" s="1" t="str">
        <f>IF(A1490&lt;&gt;"", VLOOKUP(A1490, imdb_netflix_v5!A$2:H$7370, 2, FALSE), "")</f>
        <v>Movie</v>
      </c>
      <c r="C1490" s="2" t="str">
        <f>IF(A1490&lt;&gt;"", VLOOKUP(A1490, imdb_netflix_v5!A$2:H$7370, 3, FALSE), "")</f>
        <v>Biography, Drama, History</v>
      </c>
      <c r="D1490" s="2">
        <f>IF(A1490&lt;&gt;"", VLOOKUP(A1490, imdb_netflix_v5!A$2:H$7370, 4, FALSE), "")</f>
        <v>8</v>
      </c>
      <c r="E1490" s="2">
        <f>IF(A1490&lt;&gt;"", VLOOKUP(A1490, imdb_netflix_v5!A$2:H$7370, 5, FALSE), "")</f>
        <v>1966</v>
      </c>
      <c r="F1490" s="2" t="str">
        <f>IF(A1490&lt;&gt;"", VLOOKUP(A1490, imdb_netflix_v5!A$2:H$7370, 7, FALSE), "")</f>
        <v>NA</v>
      </c>
    </row>
    <row r="1491" ht="15.75" customHeight="1">
      <c r="A1491" s="1" t="str">
        <f>IFERROR(__xludf.DUMMYFUNCTION("""COMPUTED_VALUE"""),"throne of blood")</f>
        <v>throne of blood</v>
      </c>
      <c r="B1491" s="1" t="str">
        <f>IF(A1491&lt;&gt;"", VLOOKUP(A1491, imdb_netflix_v5!A$2:H$7370, 2, FALSE), "")</f>
        <v>Movie</v>
      </c>
      <c r="C1491" s="2" t="str">
        <f>IF(A1491&lt;&gt;"", VLOOKUP(A1491, imdb_netflix_v5!A$2:H$7370, 3, FALSE), "")</f>
        <v>Drama</v>
      </c>
      <c r="D1491" s="2">
        <f>IF(A1491&lt;&gt;"", VLOOKUP(A1491, imdb_netflix_v5!A$2:H$7370, 4, FALSE), "")</f>
        <v>8</v>
      </c>
      <c r="E1491" s="2">
        <f>IF(A1491&lt;&gt;"", VLOOKUP(A1491, imdb_netflix_v5!A$2:H$7370, 5, FALSE), "")</f>
        <v>1957</v>
      </c>
      <c r="F1491" s="2" t="str">
        <f>IF(A1491&lt;&gt;"", VLOOKUP(A1491, imdb_netflix_v5!A$2:H$7370, 7, FALSE), "")</f>
        <v>NA</v>
      </c>
    </row>
    <row r="1492" ht="15.75" customHeight="1">
      <c r="A1492" s="1" t="str">
        <f>IFERROR(__xludf.DUMMYFUNCTION("""COMPUTED_VALUE"""),"black cat, white cat")</f>
        <v>black cat, white cat</v>
      </c>
      <c r="B1492" s="1" t="str">
        <f>IF(A1492&lt;&gt;"", VLOOKUP(A1492, imdb_netflix_v5!A$2:H$7370, 2, FALSE), "")</f>
        <v>Movie</v>
      </c>
      <c r="C1492" s="2" t="str">
        <f>IF(A1492&lt;&gt;"", VLOOKUP(A1492, imdb_netflix_v5!A$2:H$7370, 3, FALSE), "")</f>
        <v>Comedy, Crime, Romance</v>
      </c>
      <c r="D1492" s="2">
        <f>IF(A1492&lt;&gt;"", VLOOKUP(A1492, imdb_netflix_v5!A$2:H$7370, 4, FALSE), "")</f>
        <v>8</v>
      </c>
      <c r="E1492" s="2">
        <f>IF(A1492&lt;&gt;"", VLOOKUP(A1492, imdb_netflix_v5!A$2:H$7370, 5, FALSE), "")</f>
        <v>1998</v>
      </c>
      <c r="F1492" s="2" t="str">
        <f>IF(A1492&lt;&gt;"", VLOOKUP(A1492, imdb_netflix_v5!A$2:H$7370, 7, FALSE), "")</f>
        <v>NA</v>
      </c>
    </row>
    <row r="1493" ht="15.75" customHeight="1">
      <c r="A1493" s="1" t="str">
        <f>IFERROR(__xludf.DUMMYFUNCTION("""COMPUTED_VALUE"""),"winter sleep")</f>
        <v>winter sleep</v>
      </c>
      <c r="B1493" s="1" t="str">
        <f>IF(A1493&lt;&gt;"", VLOOKUP(A1493, imdb_netflix_v5!A$2:H$7370, 2, FALSE), "")</f>
        <v>Movie</v>
      </c>
      <c r="C1493" s="2" t="str">
        <f>IF(A1493&lt;&gt;"", VLOOKUP(A1493, imdb_netflix_v5!A$2:H$7370, 3, FALSE), "")</f>
        <v>Drama</v>
      </c>
      <c r="D1493" s="2">
        <f>IF(A1493&lt;&gt;"", VLOOKUP(A1493, imdb_netflix_v5!A$2:H$7370, 4, FALSE), "")</f>
        <v>8</v>
      </c>
      <c r="E1493" s="2">
        <f>IF(A1493&lt;&gt;"", VLOOKUP(A1493, imdb_netflix_v5!A$2:H$7370, 5, FALSE), "")</f>
        <v>2014</v>
      </c>
      <c r="F1493" s="2" t="str">
        <f>IF(A1493&lt;&gt;"", VLOOKUP(A1493, imdb_netflix_v5!A$2:H$7370, 7, FALSE), "")</f>
        <v>NA</v>
      </c>
    </row>
    <row r="1494" ht="15.75" customHeight="1">
      <c r="A1494" s="1" t="str">
        <f>IFERROR(__xludf.DUMMYFUNCTION("""COMPUTED_VALUE"""),"the tale of the princess kaguya")</f>
        <v>the tale of the princess kaguya</v>
      </c>
      <c r="B1494" s="1" t="str">
        <f>IF(A1494&lt;&gt;"", VLOOKUP(A1494, imdb_netflix_v5!A$2:H$7370, 2, FALSE), "")</f>
        <v>Movie</v>
      </c>
      <c r="C1494" s="2" t="str">
        <f>IF(A1494&lt;&gt;"", VLOOKUP(A1494, imdb_netflix_v5!A$2:H$7370, 3, FALSE), "")</f>
        <v>Animation, Drama, Family</v>
      </c>
      <c r="D1494" s="2">
        <f>IF(A1494&lt;&gt;"", VLOOKUP(A1494, imdb_netflix_v5!A$2:H$7370, 4, FALSE), "")</f>
        <v>8</v>
      </c>
      <c r="E1494" s="2">
        <f>IF(A1494&lt;&gt;"", VLOOKUP(A1494, imdb_netflix_v5!A$2:H$7370, 5, FALSE), "")</f>
        <v>2013</v>
      </c>
      <c r="F1494" s="2" t="str">
        <f>IF(A1494&lt;&gt;"", VLOOKUP(A1494, imdb_netflix_v5!A$2:H$7370, 7, FALSE), "")</f>
        <v>NA</v>
      </c>
    </row>
    <row r="1495" ht="15.75" customHeight="1">
      <c r="A1495" s="1" t="str">
        <f>IFERROR(__xludf.DUMMYFUNCTION("""COMPUTED_VALUE"""),"andaz apna apna")</f>
        <v>andaz apna apna</v>
      </c>
      <c r="B1495" s="1" t="str">
        <f>IF(A1495&lt;&gt;"", VLOOKUP(A1495, imdb_netflix_v5!A$2:H$7370, 2, FALSE), "")</f>
        <v>Movie</v>
      </c>
      <c r="C1495" s="2" t="str">
        <f>IF(A1495&lt;&gt;"", VLOOKUP(A1495, imdb_netflix_v5!A$2:H$7370, 3, FALSE), "")</f>
        <v>Action, Comedy, Romance</v>
      </c>
      <c r="D1495" s="2">
        <f>IF(A1495&lt;&gt;"", VLOOKUP(A1495, imdb_netflix_v5!A$2:H$7370, 4, FALSE), "")</f>
        <v>8</v>
      </c>
      <c r="E1495" s="2">
        <f>IF(A1495&lt;&gt;"", VLOOKUP(A1495, imdb_netflix_v5!A$2:H$7370, 5, FALSE), "")</f>
        <v>1994</v>
      </c>
      <c r="F1495" s="2" t="str">
        <f>IF(A1495&lt;&gt;"", VLOOKUP(A1495, imdb_netflix_v5!A$2:H$7370, 7, FALSE), "")</f>
        <v>NA</v>
      </c>
    </row>
    <row r="1496" ht="15.75" customHeight="1">
      <c r="A1496" s="1" t="str">
        <f>IFERROR(__xludf.DUMMYFUNCTION("""COMPUTED_VALUE"""),"departures")</f>
        <v>departures</v>
      </c>
      <c r="B1496" s="1" t="str">
        <f>IF(A1496&lt;&gt;"", VLOOKUP(A1496, imdb_netflix_v5!A$2:H$7370, 2, FALSE), "")</f>
        <v>Movie</v>
      </c>
      <c r="C1496" s="2" t="str">
        <f>IF(A1496&lt;&gt;"", VLOOKUP(A1496, imdb_netflix_v5!A$2:H$7370, 3, FALSE), "")</f>
        <v>Drama</v>
      </c>
      <c r="D1496" s="2">
        <f>IF(A1496&lt;&gt;"", VLOOKUP(A1496, imdb_netflix_v5!A$2:H$7370, 4, FALSE), "")</f>
        <v>8</v>
      </c>
      <c r="E1496" s="2">
        <f>IF(A1496&lt;&gt;"", VLOOKUP(A1496, imdb_netflix_v5!A$2:H$7370, 5, FALSE), "")</f>
        <v>2008</v>
      </c>
      <c r="F1496" s="2" t="str">
        <f>IF(A1496&lt;&gt;"", VLOOKUP(A1496, imdb_netflix_v5!A$2:H$7370, 7, FALSE), "")</f>
        <v>NA</v>
      </c>
    </row>
    <row r="1497" ht="15.75" customHeight="1">
      <c r="A1497" s="1" t="str">
        <f>IFERROR(__xludf.DUMMYFUNCTION("""COMPUTED_VALUE"""),"saturday night live")</f>
        <v>saturday night live</v>
      </c>
      <c r="B1497" s="1" t="str">
        <f>IF(A1497&lt;&gt;"", VLOOKUP(A1497, imdb_netflix_v5!A$2:H$7370, 2, FALSE), "")</f>
        <v>TV Show</v>
      </c>
      <c r="C1497" s="2" t="str">
        <f>IF(A1497&lt;&gt;"", VLOOKUP(A1497, imdb_netflix_v5!A$2:H$7370, 3, FALSE), "")</f>
        <v>Comedy, Music</v>
      </c>
      <c r="D1497" s="2">
        <f>IF(A1497&lt;&gt;"", VLOOKUP(A1497, imdb_netflix_v5!A$2:H$7370, 4, FALSE), "")</f>
        <v>8</v>
      </c>
      <c r="E1497" s="2">
        <f>IF(A1497&lt;&gt;"", VLOOKUP(A1497, imdb_netflix_v5!A$2:H$7370, 5, FALSE), "")</f>
        <v>1975</v>
      </c>
      <c r="F1497" s="2" t="str">
        <f>IF(A1497&lt;&gt;"", VLOOKUP(A1497, imdb_netflix_v5!A$2:H$7370, 7, FALSE), "")</f>
        <v>NA</v>
      </c>
    </row>
    <row r="1498" ht="15.75" customHeight="1">
      <c r="A1498" s="1" t="str">
        <f>IFERROR(__xludf.DUMMYFUNCTION("""COMPUTED_VALUE"""),"the last picture show")</f>
        <v>the last picture show</v>
      </c>
      <c r="B1498" s="1" t="str">
        <f>IF(A1498&lt;&gt;"", VLOOKUP(A1498, imdb_netflix_v5!A$2:H$7370, 2, FALSE), "")</f>
        <v>Movie</v>
      </c>
      <c r="C1498" s="2" t="str">
        <f>IF(A1498&lt;&gt;"", VLOOKUP(A1498, imdb_netflix_v5!A$2:H$7370, 3, FALSE), "")</f>
        <v>Drama, Romance</v>
      </c>
      <c r="D1498" s="2">
        <f>IF(A1498&lt;&gt;"", VLOOKUP(A1498, imdb_netflix_v5!A$2:H$7370, 4, FALSE), "")</f>
        <v>8</v>
      </c>
      <c r="E1498" s="2">
        <f>IF(A1498&lt;&gt;"", VLOOKUP(A1498, imdb_netflix_v5!A$2:H$7370, 5, FALSE), "")</f>
        <v>1971</v>
      </c>
      <c r="F1498" s="2" t="str">
        <f>IF(A1498&lt;&gt;"", VLOOKUP(A1498, imdb_netflix_v5!A$2:H$7370, 7, FALSE), "")</f>
        <v>NA</v>
      </c>
    </row>
    <row r="1499" ht="15.75" customHeight="1">
      <c r="A1499" s="1" t="str">
        <f>IFERROR(__xludf.DUMMYFUNCTION("""COMPUTED_VALUE"""),"new amsterdam")</f>
        <v>new amsterdam</v>
      </c>
      <c r="B1499" s="1" t="str">
        <f>IF(A1499&lt;&gt;"", VLOOKUP(A1499, imdb_netflix_v5!A$2:H$7370, 2, FALSE), "")</f>
        <v>TV Show</v>
      </c>
      <c r="C1499" s="2" t="str">
        <f>IF(A1499&lt;&gt;"", VLOOKUP(A1499, imdb_netflix_v5!A$2:H$7370, 3, FALSE), "")</f>
        <v>Drama</v>
      </c>
      <c r="D1499" s="2">
        <f>IF(A1499&lt;&gt;"", VLOOKUP(A1499, imdb_netflix_v5!A$2:H$7370, 4, FALSE), "")</f>
        <v>8</v>
      </c>
      <c r="E1499" s="2">
        <f>IF(A1499&lt;&gt;"", VLOOKUP(A1499, imdb_netflix_v5!A$2:H$7370, 5, FALSE), "")</f>
        <v>2018</v>
      </c>
      <c r="F1499" s="2">
        <f>IF(A1499&lt;&gt;"", VLOOKUP(A1499, imdb_netflix_v5!A$2:H$7370, 7, FALSE), "")</f>
        <v>15410000</v>
      </c>
    </row>
    <row r="1500" ht="15.75" customHeight="1">
      <c r="A1500" s="1" t="str">
        <f>IFERROR(__xludf.DUMMYFUNCTION("""COMPUTED_VALUE"""),"glow")</f>
        <v>glow</v>
      </c>
      <c r="B1500" s="1" t="str">
        <f>IF(A1500&lt;&gt;"", VLOOKUP(A1500, imdb_netflix_v5!A$2:H$7370, 2, FALSE), "")</f>
        <v>TV Show</v>
      </c>
      <c r="C1500" s="2" t="str">
        <f>IF(A1500&lt;&gt;"", VLOOKUP(A1500, imdb_netflix_v5!A$2:H$7370, 3, FALSE), "")</f>
        <v>Comedy, Drama, Sport</v>
      </c>
      <c r="D1500" s="2">
        <f>IF(A1500&lt;&gt;"", VLOOKUP(A1500, imdb_netflix_v5!A$2:H$7370, 4, FALSE), "")</f>
        <v>8</v>
      </c>
      <c r="E1500" s="2">
        <f>IF(A1500&lt;&gt;"", VLOOKUP(A1500, imdb_netflix_v5!A$2:H$7370, 5, FALSE), "")</f>
        <v>2017</v>
      </c>
      <c r="F1500" s="2" t="str">
        <f>IF(A1500&lt;&gt;"", VLOOKUP(A1500, imdb_netflix_v5!A$2:H$7370, 7, FALSE), "")</f>
        <v>NA</v>
      </c>
    </row>
    <row r="1501" ht="15.75" customHeight="1">
      <c r="A1501" s="1" t="str">
        <f>IFERROR(__xludf.DUMMYFUNCTION("""COMPUTED_VALUE"""),"lage raho munna bhai")</f>
        <v>lage raho munna bhai</v>
      </c>
      <c r="B1501" s="1" t="str">
        <f>IF(A1501&lt;&gt;"", VLOOKUP(A1501, imdb_netflix_v5!A$2:H$7370, 2, FALSE), "")</f>
        <v>Movie</v>
      </c>
      <c r="C1501" s="2" t="str">
        <f>IF(A1501&lt;&gt;"", VLOOKUP(A1501, imdb_netflix_v5!A$2:H$7370, 3, FALSE), "")</f>
        <v>Comedy, Drama, Romance</v>
      </c>
      <c r="D1501" s="2">
        <f>IF(A1501&lt;&gt;"", VLOOKUP(A1501, imdb_netflix_v5!A$2:H$7370, 4, FALSE), "")</f>
        <v>8</v>
      </c>
      <c r="E1501" s="2">
        <f>IF(A1501&lt;&gt;"", VLOOKUP(A1501, imdb_netflix_v5!A$2:H$7370, 5, FALSE), "")</f>
        <v>2006</v>
      </c>
      <c r="F1501" s="2" t="str">
        <f>IF(A1501&lt;&gt;"", VLOOKUP(A1501, imdb_netflix_v5!A$2:H$7370, 7, FALSE), "")</f>
        <v>NA</v>
      </c>
    </row>
    <row r="1502" ht="15.75" customHeight="1">
      <c r="A1502" s="1" t="str">
        <f>IFERROR(__xludf.DUMMYFUNCTION("""COMPUTED_VALUE"""),"pink")</f>
        <v>pink</v>
      </c>
      <c r="B1502" s="1" t="str">
        <f>IF(A1502&lt;&gt;"", VLOOKUP(A1502, imdb_netflix_v5!A$2:H$7370, 2, FALSE), "")</f>
        <v>Movie</v>
      </c>
      <c r="C1502" s="2" t="str">
        <f>IF(A1502&lt;&gt;"", VLOOKUP(A1502, imdb_netflix_v5!A$2:H$7370, 3, FALSE), "")</f>
        <v>Crime, Drama, Thriller</v>
      </c>
      <c r="D1502" s="2">
        <f>IF(A1502&lt;&gt;"", VLOOKUP(A1502, imdb_netflix_v5!A$2:H$7370, 4, FALSE), "")</f>
        <v>8</v>
      </c>
      <c r="E1502" s="2">
        <f>IF(A1502&lt;&gt;"", VLOOKUP(A1502, imdb_netflix_v5!A$2:H$7370, 5, FALSE), "")</f>
        <v>2016</v>
      </c>
      <c r="F1502" s="2" t="str">
        <f>IF(A1502&lt;&gt;"", VLOOKUP(A1502, imdb_netflix_v5!A$2:H$7370, 7, FALSE), "")</f>
        <v>NA</v>
      </c>
    </row>
    <row r="1503" ht="15.75" customHeight="1">
      <c r="A1503" s="1" t="str">
        <f>IFERROR(__xludf.DUMMYFUNCTION("""COMPUTED_VALUE"""),"fiddler on the roof")</f>
        <v>fiddler on the roof</v>
      </c>
      <c r="B1503" s="1" t="str">
        <f>IF(A1503&lt;&gt;"", VLOOKUP(A1503, imdb_netflix_v5!A$2:H$7370, 2, FALSE), "")</f>
        <v>Movie</v>
      </c>
      <c r="C1503" s="2" t="str">
        <f>IF(A1503&lt;&gt;"", VLOOKUP(A1503, imdb_netflix_v5!A$2:H$7370, 3, FALSE), "")</f>
        <v>Drama, Family, Musical</v>
      </c>
      <c r="D1503" s="2">
        <f>IF(A1503&lt;&gt;"", VLOOKUP(A1503, imdb_netflix_v5!A$2:H$7370, 4, FALSE), "")</f>
        <v>8</v>
      </c>
      <c r="E1503" s="2">
        <f>IF(A1503&lt;&gt;"", VLOOKUP(A1503, imdb_netflix_v5!A$2:H$7370, 5, FALSE), "")</f>
        <v>1971</v>
      </c>
      <c r="F1503" s="2" t="str">
        <f>IF(A1503&lt;&gt;"", VLOOKUP(A1503, imdb_netflix_v5!A$2:H$7370, 7, FALSE), "")</f>
        <v>NA</v>
      </c>
    </row>
    <row r="1504" ht="15.75" customHeight="1">
      <c r="A1504" s="1" t="str">
        <f>IFERROR(__xludf.DUMMYFUNCTION("""COMPUTED_VALUE"""),"secrets &amp; lies")</f>
        <v>secrets &amp; lies</v>
      </c>
      <c r="B1504" s="1" t="str">
        <f>IF(A1504&lt;&gt;"", VLOOKUP(A1504, imdb_netflix_v5!A$2:H$7370, 2, FALSE), "")</f>
        <v>Movie</v>
      </c>
      <c r="C1504" s="2" t="str">
        <f>IF(A1504&lt;&gt;"", VLOOKUP(A1504, imdb_netflix_v5!A$2:H$7370, 3, FALSE), "")</f>
        <v>Comedy, Drama</v>
      </c>
      <c r="D1504" s="2">
        <f>IF(A1504&lt;&gt;"", VLOOKUP(A1504, imdb_netflix_v5!A$2:H$7370, 4, FALSE), "")</f>
        <v>8</v>
      </c>
      <c r="E1504" s="2">
        <f>IF(A1504&lt;&gt;"", VLOOKUP(A1504, imdb_netflix_v5!A$2:H$7370, 5, FALSE), "")</f>
        <v>1996</v>
      </c>
      <c r="F1504" s="2" t="str">
        <f>IF(A1504&lt;&gt;"", VLOOKUP(A1504, imdb_netflix_v5!A$2:H$7370, 7, FALSE), "")</f>
        <v>NA</v>
      </c>
    </row>
    <row r="1505" ht="15.75" customHeight="1">
      <c r="A1505" s="1" t="str">
        <f>IFERROR(__xludf.DUMMYFUNCTION("""COMPUTED_VALUE"""),"1 nenokkadine")</f>
        <v>1 nenokkadine</v>
      </c>
      <c r="B1505" s="1" t="str">
        <f>IF(A1505&lt;&gt;"", VLOOKUP(A1505, imdb_netflix_v5!A$2:H$7370, 2, FALSE), "")</f>
        <v>Movie</v>
      </c>
      <c r="C1505" s="2" t="str">
        <f>IF(A1505&lt;&gt;"", VLOOKUP(A1505, imdb_netflix_v5!A$2:H$7370, 3, FALSE), "")</f>
        <v>Action, Thriller</v>
      </c>
      <c r="D1505" s="2">
        <f>IF(A1505&lt;&gt;"", VLOOKUP(A1505, imdb_netflix_v5!A$2:H$7370, 4, FALSE), "")</f>
        <v>8</v>
      </c>
      <c r="E1505" s="2">
        <f>IF(A1505&lt;&gt;"", VLOOKUP(A1505, imdb_netflix_v5!A$2:H$7370, 5, FALSE), "")</f>
        <v>2014</v>
      </c>
      <c r="F1505" s="2" t="str">
        <f>IF(A1505&lt;&gt;"", VLOOKUP(A1505, imdb_netflix_v5!A$2:H$7370, 7, FALSE), "")</f>
        <v>NA</v>
      </c>
    </row>
    <row r="1506" ht="15.75" customHeight="1">
      <c r="A1506" s="1" t="str">
        <f>IFERROR(__xludf.DUMMYFUNCTION("""COMPUTED_VALUE"""),"brief encounter")</f>
        <v>brief encounter</v>
      </c>
      <c r="B1506" s="1" t="str">
        <f>IF(A1506&lt;&gt;"", VLOOKUP(A1506, imdb_netflix_v5!A$2:H$7370, 2, FALSE), "")</f>
        <v>Movie</v>
      </c>
      <c r="C1506" s="2" t="str">
        <f>IF(A1506&lt;&gt;"", VLOOKUP(A1506, imdb_netflix_v5!A$2:H$7370, 3, FALSE), "")</f>
        <v>Drama, Romance</v>
      </c>
      <c r="D1506" s="2">
        <f>IF(A1506&lt;&gt;"", VLOOKUP(A1506, imdb_netflix_v5!A$2:H$7370, 4, FALSE), "")</f>
        <v>8</v>
      </c>
      <c r="E1506" s="2">
        <f>IF(A1506&lt;&gt;"", VLOOKUP(A1506, imdb_netflix_v5!A$2:H$7370, 5, FALSE), "")</f>
        <v>1945</v>
      </c>
      <c r="F1506" s="2" t="str">
        <f>IF(A1506&lt;&gt;"", VLOOKUP(A1506, imdb_netflix_v5!A$2:H$7370, 7, FALSE), "")</f>
        <v>NA</v>
      </c>
    </row>
    <row r="1507" ht="15.75" customHeight="1">
      <c r="A1507" s="1" t="str">
        <f>IFERROR(__xludf.DUMMYFUNCTION("""COMPUTED_VALUE"""),"central station")</f>
        <v>central station</v>
      </c>
      <c r="B1507" s="1" t="str">
        <f>IF(A1507&lt;&gt;"", VLOOKUP(A1507, imdb_netflix_v5!A$2:H$7370, 2, FALSE), "")</f>
        <v>Movie</v>
      </c>
      <c r="C1507" s="2" t="str">
        <f>IF(A1507&lt;&gt;"", VLOOKUP(A1507, imdb_netflix_v5!A$2:H$7370, 3, FALSE), "")</f>
        <v>Drama</v>
      </c>
      <c r="D1507" s="2">
        <f>IF(A1507&lt;&gt;"", VLOOKUP(A1507, imdb_netflix_v5!A$2:H$7370, 4, FALSE), "")</f>
        <v>8</v>
      </c>
      <c r="E1507" s="2">
        <f>IF(A1507&lt;&gt;"", VLOOKUP(A1507, imdb_netflix_v5!A$2:H$7370, 5, FALSE), "")</f>
        <v>1998</v>
      </c>
      <c r="F1507" s="2" t="str">
        <f>IF(A1507&lt;&gt;"", VLOOKUP(A1507, imdb_netflix_v5!A$2:H$7370, 7, FALSE), "")</f>
        <v>NA</v>
      </c>
    </row>
    <row r="1508" ht="15.75" customHeight="1">
      <c r="A1508" s="1" t="str">
        <f>IFERROR(__xludf.DUMMYFUNCTION("""COMPUTED_VALUE"""),"gangs of london")</f>
        <v>gangs of london</v>
      </c>
      <c r="B1508" s="1" t="str">
        <f>IF(A1508&lt;&gt;"", VLOOKUP(A1508, imdb_netflix_v5!A$2:H$7370, 2, FALSE), "")</f>
        <v>TV Show</v>
      </c>
      <c r="C1508" s="2" t="str">
        <f>IF(A1508&lt;&gt;"", VLOOKUP(A1508, imdb_netflix_v5!A$2:H$7370, 3, FALSE), "")</f>
        <v>Action, Crime, Drama</v>
      </c>
      <c r="D1508" s="2">
        <f>IF(A1508&lt;&gt;"", VLOOKUP(A1508, imdb_netflix_v5!A$2:H$7370, 4, FALSE), "")</f>
        <v>8</v>
      </c>
      <c r="E1508" s="2">
        <f>IF(A1508&lt;&gt;"", VLOOKUP(A1508, imdb_netflix_v5!A$2:H$7370, 5, FALSE), "")</f>
        <v>2020</v>
      </c>
      <c r="F1508" s="2" t="str">
        <f>IF(A1508&lt;&gt;"", VLOOKUP(A1508, imdb_netflix_v5!A$2:H$7370, 7, FALSE), "")</f>
        <v>NA</v>
      </c>
    </row>
    <row r="1509" ht="15.75" customHeight="1">
      <c r="A1509" s="1" t="str">
        <f>IFERROR(__xludf.DUMMYFUNCTION("""COMPUTED_VALUE"""),"the hidden fortress")</f>
        <v>the hidden fortress</v>
      </c>
      <c r="B1509" s="1" t="str">
        <f>IF(A1509&lt;&gt;"", VLOOKUP(A1509, imdb_netflix_v5!A$2:H$7370, 2, FALSE), "")</f>
        <v>Movie</v>
      </c>
      <c r="C1509" s="2" t="str">
        <f>IF(A1509&lt;&gt;"", VLOOKUP(A1509, imdb_netflix_v5!A$2:H$7370, 3, FALSE), "")</f>
        <v>Adventure, Drama</v>
      </c>
      <c r="D1509" s="2">
        <f>IF(A1509&lt;&gt;"", VLOOKUP(A1509, imdb_netflix_v5!A$2:H$7370, 4, FALSE), "")</f>
        <v>8</v>
      </c>
      <c r="E1509" s="2">
        <f>IF(A1509&lt;&gt;"", VLOOKUP(A1509, imdb_netflix_v5!A$2:H$7370, 5, FALSE), "")</f>
        <v>1958</v>
      </c>
      <c r="F1509" s="2" t="str">
        <f>IF(A1509&lt;&gt;"", VLOOKUP(A1509, imdb_netflix_v5!A$2:H$7370, 7, FALSE), "")</f>
        <v>NA</v>
      </c>
    </row>
    <row r="1510" ht="15.75" customHeight="1">
      <c r="A1510" s="1" t="str">
        <f>IFERROR(__xludf.DUMMYFUNCTION("""COMPUTED_VALUE"""),"f is for family")</f>
        <v>f is for family</v>
      </c>
      <c r="B1510" s="1" t="str">
        <f>IF(A1510&lt;&gt;"", VLOOKUP(A1510, imdb_netflix_v5!A$2:H$7370, 2, FALSE), "")</f>
        <v>TV Show</v>
      </c>
      <c r="C1510" s="2" t="str">
        <f>IF(A1510&lt;&gt;"", VLOOKUP(A1510, imdb_netflix_v5!A$2:H$7370, 3, FALSE), "")</f>
        <v>Animation, Comedy, Drama</v>
      </c>
      <c r="D1510" s="2">
        <f>IF(A1510&lt;&gt;"", VLOOKUP(A1510, imdb_netflix_v5!A$2:H$7370, 4, FALSE), "")</f>
        <v>8</v>
      </c>
      <c r="E1510" s="2">
        <f>IF(A1510&lt;&gt;"", VLOOKUP(A1510, imdb_netflix_v5!A$2:H$7370, 5, FALSE), "")</f>
        <v>2015</v>
      </c>
      <c r="F1510" s="2" t="str">
        <f>IF(A1510&lt;&gt;"", VLOOKUP(A1510, imdb_netflix_v5!A$2:H$7370, 7, FALSE), "")</f>
        <v>NA</v>
      </c>
    </row>
    <row r="1511" ht="15.75" customHeight="1">
      <c r="A1511" s="1" t="str">
        <f>IFERROR(__xludf.DUMMYFUNCTION("""COMPUTED_VALUE"""),"sanjuro")</f>
        <v>sanjuro</v>
      </c>
      <c r="B1511" s="1" t="str">
        <f>IF(A1511&lt;&gt;"", VLOOKUP(A1511, imdb_netflix_v5!A$2:H$7370, 2, FALSE), "")</f>
        <v>Movie</v>
      </c>
      <c r="C1511" s="2" t="str">
        <f>IF(A1511&lt;&gt;"", VLOOKUP(A1511, imdb_netflix_v5!A$2:H$7370, 3, FALSE), "")</f>
        <v>Action, Drama, Thriller</v>
      </c>
      <c r="D1511" s="2">
        <f>IF(A1511&lt;&gt;"", VLOOKUP(A1511, imdb_netflix_v5!A$2:H$7370, 4, FALSE), "")</f>
        <v>8</v>
      </c>
      <c r="E1511" s="2">
        <f>IF(A1511&lt;&gt;"", VLOOKUP(A1511, imdb_netflix_v5!A$2:H$7370, 5, FALSE), "")</f>
        <v>1962</v>
      </c>
      <c r="F1511" s="2" t="str">
        <f>IF(A1511&lt;&gt;"", VLOOKUP(A1511, imdb_netflix_v5!A$2:H$7370, 7, FALSE), "")</f>
        <v>NA</v>
      </c>
    </row>
    <row r="1512" ht="15.75" customHeight="1">
      <c r="A1512" s="1" t="str">
        <f>IFERROR(__xludf.DUMMYFUNCTION("""COMPUTED_VALUE"""),"the goldbergs")</f>
        <v>the goldbergs</v>
      </c>
      <c r="B1512" s="1" t="str">
        <f>IF(A1512&lt;&gt;"", VLOOKUP(A1512, imdb_netflix_v5!A$2:H$7370, 2, FALSE), "")</f>
        <v>TV Show</v>
      </c>
      <c r="C1512" s="2" t="str">
        <f>IF(A1512&lt;&gt;"", VLOOKUP(A1512, imdb_netflix_v5!A$2:H$7370, 3, FALSE), "")</f>
        <v>Comedy</v>
      </c>
      <c r="D1512" s="2">
        <f>IF(A1512&lt;&gt;"", VLOOKUP(A1512, imdb_netflix_v5!A$2:H$7370, 4, FALSE), "")</f>
        <v>8</v>
      </c>
      <c r="E1512" s="2">
        <f>IF(A1512&lt;&gt;"", VLOOKUP(A1512, imdb_netflix_v5!A$2:H$7370, 5, FALSE), "")</f>
        <v>2013</v>
      </c>
      <c r="F1512" s="2" t="str">
        <f>IF(A1512&lt;&gt;"", VLOOKUP(A1512, imdb_netflix_v5!A$2:H$7370, 7, FALSE), "")</f>
        <v>NA</v>
      </c>
    </row>
    <row r="1513" ht="15.75" customHeight="1">
      <c r="A1513" s="1" t="str">
        <f>IFERROR(__xludf.DUMMYFUNCTION("""COMPUTED_VALUE"""),"out of the past")</f>
        <v>out of the past</v>
      </c>
      <c r="B1513" s="1" t="str">
        <f>IF(A1513&lt;&gt;"", VLOOKUP(A1513, imdb_netflix_v5!A$2:H$7370, 2, FALSE), "")</f>
        <v>Movie</v>
      </c>
      <c r="C1513" s="2" t="str">
        <f>IF(A1513&lt;&gt;"", VLOOKUP(A1513, imdb_netflix_v5!A$2:H$7370, 3, FALSE), "")</f>
        <v>Crime, Drama, Film-Noir</v>
      </c>
      <c r="D1513" s="2">
        <f>IF(A1513&lt;&gt;"", VLOOKUP(A1513, imdb_netflix_v5!A$2:H$7370, 4, FALSE), "")</f>
        <v>8</v>
      </c>
      <c r="E1513" s="2">
        <f>IF(A1513&lt;&gt;"", VLOOKUP(A1513, imdb_netflix_v5!A$2:H$7370, 5, FALSE), "")</f>
        <v>1947</v>
      </c>
      <c r="F1513" s="2" t="str">
        <f>IF(A1513&lt;&gt;"", VLOOKUP(A1513, imdb_netflix_v5!A$2:H$7370, 7, FALSE), "")</f>
        <v>NA</v>
      </c>
    </row>
    <row r="1514" ht="15.75" customHeight="1">
      <c r="A1514" s="1" t="str">
        <f>IFERROR(__xludf.DUMMYFUNCTION("""COMPUTED_VALUE"""),"blackadder")</f>
        <v>blackadder</v>
      </c>
      <c r="B1514" s="1" t="str">
        <f>IF(A1514&lt;&gt;"", VLOOKUP(A1514, imdb_netflix_v5!A$2:H$7370, 2, FALSE), "")</f>
        <v>TV Show</v>
      </c>
      <c r="C1514" s="2" t="str">
        <f>IF(A1514&lt;&gt;"", VLOOKUP(A1514, imdb_netflix_v5!A$2:H$7370, 3, FALSE), "")</f>
        <v>Comedy</v>
      </c>
      <c r="D1514" s="2">
        <f>IF(A1514&lt;&gt;"", VLOOKUP(A1514, imdb_netflix_v5!A$2:H$7370, 4, FALSE), "")</f>
        <v>8</v>
      </c>
      <c r="E1514" s="2">
        <f>IF(A1514&lt;&gt;"", VLOOKUP(A1514, imdb_netflix_v5!A$2:H$7370, 5, FALSE), "")</f>
        <v>1982</v>
      </c>
      <c r="F1514" s="2" t="str">
        <f>IF(A1514&lt;&gt;"", VLOOKUP(A1514, imdb_netflix_v5!A$2:H$7370, 7, FALSE), "")</f>
        <v>NA</v>
      </c>
    </row>
    <row r="1515" ht="15.75" customHeight="1">
      <c r="A1515" s="1" t="str">
        <f>IFERROR(__xludf.DUMMYFUNCTION("""COMPUTED_VALUE"""),"sneaky pete")</f>
        <v>sneaky pete</v>
      </c>
      <c r="B1515" s="1" t="str">
        <f>IF(A1515&lt;&gt;"", VLOOKUP(A1515, imdb_netflix_v5!A$2:H$7370, 2, FALSE), "")</f>
        <v>TV Show</v>
      </c>
      <c r="C1515" s="2" t="str">
        <f>IF(A1515&lt;&gt;"", VLOOKUP(A1515, imdb_netflix_v5!A$2:H$7370, 3, FALSE), "")</f>
        <v>Comedy, Crime, Drama</v>
      </c>
      <c r="D1515" s="2">
        <f>IF(A1515&lt;&gt;"", VLOOKUP(A1515, imdb_netflix_v5!A$2:H$7370, 4, FALSE), "")</f>
        <v>8</v>
      </c>
      <c r="E1515" s="2">
        <f>IF(A1515&lt;&gt;"", VLOOKUP(A1515, imdb_netflix_v5!A$2:H$7370, 5, FALSE), "")</f>
        <v>2015</v>
      </c>
      <c r="F1515" s="2" t="str">
        <f>IF(A1515&lt;&gt;"", VLOOKUP(A1515, imdb_netflix_v5!A$2:H$7370, 7, FALSE), "")</f>
        <v>NA</v>
      </c>
    </row>
    <row r="1516" ht="15.75" customHeight="1">
      <c r="A1516" s="1" t="str">
        <f>IFERROR(__xludf.DUMMYFUNCTION("""COMPUTED_VALUE"""),"going clear scientology &amp; the prison of belief")</f>
        <v>going clear scientology &amp; the prison of belief</v>
      </c>
      <c r="B1516" s="1" t="str">
        <f>IF(A1516&lt;&gt;"", VLOOKUP(A1516, imdb_netflix_v5!A$2:H$7370, 2, FALSE), "")</f>
        <v>Movie</v>
      </c>
      <c r="C1516" s="2" t="str">
        <f>IF(A1516&lt;&gt;"", VLOOKUP(A1516, imdb_netflix_v5!A$2:H$7370, 3, FALSE), "")</f>
        <v>Documentary</v>
      </c>
      <c r="D1516" s="2">
        <f>IF(A1516&lt;&gt;"", VLOOKUP(A1516, imdb_netflix_v5!A$2:H$7370, 4, FALSE), "")</f>
        <v>8</v>
      </c>
      <c r="E1516" s="2">
        <f>IF(A1516&lt;&gt;"", VLOOKUP(A1516, imdb_netflix_v5!A$2:H$7370, 5, FALSE), "")</f>
        <v>2015</v>
      </c>
      <c r="F1516" s="2" t="str">
        <f>IF(A1516&lt;&gt;"", VLOOKUP(A1516, imdb_netflix_v5!A$2:H$7370, 7, FALSE), "")</f>
        <v>NA</v>
      </c>
    </row>
    <row r="1517" ht="15.75" customHeight="1">
      <c r="A1517" s="1" t="str">
        <f>IFERROR(__xludf.DUMMYFUNCTION("""COMPUTED_VALUE"""),"tae guk gi the brotherhood of war")</f>
        <v>tae guk gi the brotherhood of war</v>
      </c>
      <c r="B1517" s="1" t="str">
        <f>IF(A1517&lt;&gt;"", VLOOKUP(A1517, imdb_netflix_v5!A$2:H$7370, 2, FALSE), "")</f>
        <v>Movie</v>
      </c>
      <c r="C1517" s="2" t="str">
        <f>IF(A1517&lt;&gt;"", VLOOKUP(A1517, imdb_netflix_v5!A$2:H$7370, 3, FALSE), "")</f>
        <v>Action, Drama, War</v>
      </c>
      <c r="D1517" s="2">
        <f>IF(A1517&lt;&gt;"", VLOOKUP(A1517, imdb_netflix_v5!A$2:H$7370, 4, FALSE), "")</f>
        <v>8</v>
      </c>
      <c r="E1517" s="2">
        <f>IF(A1517&lt;&gt;"", VLOOKUP(A1517, imdb_netflix_v5!A$2:H$7370, 5, FALSE), "")</f>
        <v>2004</v>
      </c>
      <c r="F1517" s="2" t="str">
        <f>IF(A1517&lt;&gt;"", VLOOKUP(A1517, imdb_netflix_v5!A$2:H$7370, 7, FALSE), "")</f>
        <v>NA</v>
      </c>
    </row>
    <row r="1518" ht="15.75" customHeight="1">
      <c r="A1518" s="1" t="str">
        <f>IFERROR(__xludf.DUMMYFUNCTION("""COMPUTED_VALUE"""),"ivans childhood")</f>
        <v>ivans childhood</v>
      </c>
      <c r="B1518" s="1" t="str">
        <f>IF(A1518&lt;&gt;"", VLOOKUP(A1518, imdb_netflix_v5!A$2:H$7370, 2, FALSE), "")</f>
        <v>Movie</v>
      </c>
      <c r="C1518" s="2" t="str">
        <f>IF(A1518&lt;&gt;"", VLOOKUP(A1518, imdb_netflix_v5!A$2:H$7370, 3, FALSE), "")</f>
        <v>Drama, War</v>
      </c>
      <c r="D1518" s="2">
        <f>IF(A1518&lt;&gt;"", VLOOKUP(A1518, imdb_netflix_v5!A$2:H$7370, 4, FALSE), "")</f>
        <v>8</v>
      </c>
      <c r="E1518" s="2">
        <f>IF(A1518&lt;&gt;"", VLOOKUP(A1518, imdb_netflix_v5!A$2:H$7370, 5, FALSE), "")</f>
        <v>1962</v>
      </c>
      <c r="F1518" s="2" t="str">
        <f>IF(A1518&lt;&gt;"", VLOOKUP(A1518, imdb_netflix_v5!A$2:H$7370, 7, FALSE), "")</f>
        <v>NA</v>
      </c>
    </row>
    <row r="1519" ht="15.75" customHeight="1">
      <c r="A1519" s="1" t="str">
        <f>IFERROR(__xludf.DUMMYFUNCTION("""COMPUTED_VALUE"""),"wolfwalkers")</f>
        <v>wolfwalkers</v>
      </c>
      <c r="B1519" s="1" t="str">
        <f>IF(A1519&lt;&gt;"", VLOOKUP(A1519, imdb_netflix_v5!A$2:H$7370, 2, FALSE), "")</f>
        <v>Movie</v>
      </c>
      <c r="C1519" s="2" t="str">
        <f>IF(A1519&lt;&gt;"", VLOOKUP(A1519, imdb_netflix_v5!A$2:H$7370, 3, FALSE), "")</f>
        <v>Action, Adventure, Animation</v>
      </c>
      <c r="D1519" s="2">
        <f>IF(A1519&lt;&gt;"", VLOOKUP(A1519, imdb_netflix_v5!A$2:H$7370, 4, FALSE), "")</f>
        <v>8</v>
      </c>
      <c r="E1519" s="2">
        <f>IF(A1519&lt;&gt;"", VLOOKUP(A1519, imdb_netflix_v5!A$2:H$7370, 5, FALSE), "")</f>
        <v>2020</v>
      </c>
      <c r="F1519" s="2" t="str">
        <f>IF(A1519&lt;&gt;"", VLOOKUP(A1519, imdb_netflix_v5!A$2:H$7370, 7, FALSE), "")</f>
        <v>NA</v>
      </c>
    </row>
    <row r="1520" ht="15.75" customHeight="1">
      <c r="A1520" s="1" t="str">
        <f>IFERROR(__xludf.DUMMYFUNCTION("""COMPUTED_VALUE"""),"the gilded age")</f>
        <v>the gilded age</v>
      </c>
      <c r="B1520" s="1" t="str">
        <f>IF(A1520&lt;&gt;"", VLOOKUP(A1520, imdb_netflix_v5!A$2:H$7370, 2, FALSE), "")</f>
        <v>TV Show</v>
      </c>
      <c r="C1520" s="2" t="str">
        <f>IF(A1520&lt;&gt;"", VLOOKUP(A1520, imdb_netflix_v5!A$2:H$7370, 3, FALSE), "")</f>
        <v>Drama</v>
      </c>
      <c r="D1520" s="2">
        <f>IF(A1520&lt;&gt;"", VLOOKUP(A1520, imdb_netflix_v5!A$2:H$7370, 4, FALSE), "")</f>
        <v>8</v>
      </c>
      <c r="E1520" s="2">
        <f>IF(A1520&lt;&gt;"", VLOOKUP(A1520, imdb_netflix_v5!A$2:H$7370, 5, FALSE), "")</f>
        <v>2022</v>
      </c>
      <c r="F1520" s="2" t="str">
        <f>IF(A1520&lt;&gt;"", VLOOKUP(A1520, imdb_netflix_v5!A$2:H$7370, 7, FALSE), "")</f>
        <v>NA</v>
      </c>
    </row>
    <row r="1521" ht="15.75" customHeight="1">
      <c r="A1521" s="1" t="str">
        <f>IFERROR(__xludf.DUMMYFUNCTION("""COMPUTED_VALUE"""),"kind hearts and coronets")</f>
        <v>kind hearts and coronets</v>
      </c>
      <c r="B1521" s="1" t="str">
        <f>IF(A1521&lt;&gt;"", VLOOKUP(A1521, imdb_netflix_v5!A$2:H$7370, 2, FALSE), "")</f>
        <v>Movie</v>
      </c>
      <c r="C1521" s="2" t="str">
        <f>IF(A1521&lt;&gt;"", VLOOKUP(A1521, imdb_netflix_v5!A$2:H$7370, 3, FALSE), "")</f>
        <v>Comedy, Crime</v>
      </c>
      <c r="D1521" s="2">
        <f>IF(A1521&lt;&gt;"", VLOOKUP(A1521, imdb_netflix_v5!A$2:H$7370, 4, FALSE), "")</f>
        <v>8</v>
      </c>
      <c r="E1521" s="2">
        <f>IF(A1521&lt;&gt;"", VLOOKUP(A1521, imdb_netflix_v5!A$2:H$7370, 5, FALSE), "")</f>
        <v>1949</v>
      </c>
      <c r="F1521" s="2" t="str">
        <f>IF(A1521&lt;&gt;"", VLOOKUP(A1521, imdb_netflix_v5!A$2:H$7370, 7, FALSE), "")</f>
        <v>NA</v>
      </c>
    </row>
    <row r="1522" ht="15.75" customHeight="1">
      <c r="A1522" s="1" t="str">
        <f>IFERROR(__xludf.DUMMYFUNCTION("""COMPUTED_VALUE"""),"the shop around the corner")</f>
        <v>the shop around the corner</v>
      </c>
      <c r="B1522" s="1" t="str">
        <f>IF(A1522&lt;&gt;"", VLOOKUP(A1522, imdb_netflix_v5!A$2:H$7370, 2, FALSE), "")</f>
        <v>Movie</v>
      </c>
      <c r="C1522" s="2" t="str">
        <f>IF(A1522&lt;&gt;"", VLOOKUP(A1522, imdb_netflix_v5!A$2:H$7370, 3, FALSE), "")</f>
        <v>Comedy, Drama, Romance</v>
      </c>
      <c r="D1522" s="2">
        <f>IF(A1522&lt;&gt;"", VLOOKUP(A1522, imdb_netflix_v5!A$2:H$7370, 4, FALSE), "")</f>
        <v>8</v>
      </c>
      <c r="E1522" s="2">
        <f>IF(A1522&lt;&gt;"", VLOOKUP(A1522, imdb_netflix_v5!A$2:H$7370, 5, FALSE), "")</f>
        <v>1940</v>
      </c>
      <c r="F1522" s="2" t="str">
        <f>IF(A1522&lt;&gt;"", VLOOKUP(A1522, imdb_netflix_v5!A$2:H$7370, 7, FALSE), "")</f>
        <v>NA</v>
      </c>
    </row>
    <row r="1523" ht="15.75" customHeight="1">
      <c r="A1523" s="1" t="str">
        <f>IFERROR(__xludf.DUMMYFUNCTION("""COMPUTED_VALUE"""),"fitzcarraldo")</f>
        <v>fitzcarraldo</v>
      </c>
      <c r="B1523" s="1" t="str">
        <f>IF(A1523&lt;&gt;"", VLOOKUP(A1523, imdb_netflix_v5!A$2:H$7370, 2, FALSE), "")</f>
        <v>Movie</v>
      </c>
      <c r="C1523" s="2" t="str">
        <f>IF(A1523&lt;&gt;"", VLOOKUP(A1523, imdb_netflix_v5!A$2:H$7370, 3, FALSE), "")</f>
        <v>Adventure, Drama</v>
      </c>
      <c r="D1523" s="2">
        <f>IF(A1523&lt;&gt;"", VLOOKUP(A1523, imdb_netflix_v5!A$2:H$7370, 4, FALSE), "")</f>
        <v>8</v>
      </c>
      <c r="E1523" s="2">
        <f>IF(A1523&lt;&gt;"", VLOOKUP(A1523, imdb_netflix_v5!A$2:H$7370, 5, FALSE), "")</f>
        <v>1982</v>
      </c>
      <c r="F1523" s="2" t="str">
        <f>IF(A1523&lt;&gt;"", VLOOKUP(A1523, imdb_netflix_v5!A$2:H$7370, 7, FALSE), "")</f>
        <v>NA</v>
      </c>
    </row>
    <row r="1524" ht="15.75" customHeight="1">
      <c r="A1524" s="1" t="str">
        <f>IFERROR(__xludf.DUMMYFUNCTION("""COMPUTED_VALUE"""),"quo vadis, aida?")</f>
        <v>quo vadis, aida?</v>
      </c>
      <c r="B1524" s="1" t="str">
        <f>IF(A1524&lt;&gt;"", VLOOKUP(A1524, imdb_netflix_v5!A$2:H$7370, 2, FALSE), "")</f>
        <v>Movie</v>
      </c>
      <c r="C1524" s="2" t="str">
        <f>IF(A1524&lt;&gt;"", VLOOKUP(A1524, imdb_netflix_v5!A$2:H$7370, 3, FALSE), "")</f>
        <v>Drama, History, War</v>
      </c>
      <c r="D1524" s="2">
        <f>IF(A1524&lt;&gt;"", VLOOKUP(A1524, imdb_netflix_v5!A$2:H$7370, 4, FALSE), "")</f>
        <v>8</v>
      </c>
      <c r="E1524" s="2">
        <f>IF(A1524&lt;&gt;"", VLOOKUP(A1524, imdb_netflix_v5!A$2:H$7370, 5, FALSE), "")</f>
        <v>2020</v>
      </c>
      <c r="F1524" s="2" t="str">
        <f>IF(A1524&lt;&gt;"", VLOOKUP(A1524, imdb_netflix_v5!A$2:H$7370, 7, FALSE), "")</f>
        <v>NA</v>
      </c>
    </row>
    <row r="1525" ht="15.75" customHeight="1">
      <c r="A1525" s="1" t="str">
        <f>IFERROR(__xludf.DUMMYFUNCTION("""COMPUTED_VALUE"""),"vizontele")</f>
        <v>vizontele</v>
      </c>
      <c r="B1525" s="1" t="str">
        <f>IF(A1525&lt;&gt;"", VLOOKUP(A1525, imdb_netflix_v5!A$2:H$7370, 2, FALSE), "")</f>
        <v>Movie</v>
      </c>
      <c r="C1525" s="2" t="str">
        <f>IF(A1525&lt;&gt;"", VLOOKUP(A1525, imdb_netflix_v5!A$2:H$7370, 3, FALSE), "")</f>
        <v>Comedy, Drama, History</v>
      </c>
      <c r="D1525" s="2">
        <f>IF(A1525&lt;&gt;"", VLOOKUP(A1525, imdb_netflix_v5!A$2:H$7370, 4, FALSE), "")</f>
        <v>8</v>
      </c>
      <c r="E1525" s="2">
        <f>IF(A1525&lt;&gt;"", VLOOKUP(A1525, imdb_netflix_v5!A$2:H$7370, 5, FALSE), "")</f>
        <v>2001</v>
      </c>
      <c r="F1525" s="2" t="str">
        <f>IF(A1525&lt;&gt;"", VLOOKUP(A1525, imdb_netflix_v5!A$2:H$7370, 7, FALSE), "")</f>
        <v>NA</v>
      </c>
    </row>
    <row r="1526" ht="15.75" customHeight="1">
      <c r="A1526" s="1" t="str">
        <f>IFERROR(__xludf.DUMMYFUNCTION("""COMPUTED_VALUE"""),"touching the void")</f>
        <v>touching the void</v>
      </c>
      <c r="B1526" s="1" t="str">
        <f>IF(A1526&lt;&gt;"", VLOOKUP(A1526, imdb_netflix_v5!A$2:H$7370, 2, FALSE), "")</f>
        <v>Movie</v>
      </c>
      <c r="C1526" s="2" t="str">
        <f>IF(A1526&lt;&gt;"", VLOOKUP(A1526, imdb_netflix_v5!A$2:H$7370, 3, FALSE), "")</f>
        <v>Adventure, Documentary, Drama</v>
      </c>
      <c r="D1526" s="2">
        <f>IF(A1526&lt;&gt;"", VLOOKUP(A1526, imdb_netflix_v5!A$2:H$7370, 4, FALSE), "")</f>
        <v>8</v>
      </c>
      <c r="E1526" s="2">
        <f>IF(A1526&lt;&gt;"", VLOOKUP(A1526, imdb_netflix_v5!A$2:H$7370, 5, FALSE), "")</f>
        <v>2003</v>
      </c>
      <c r="F1526" s="2" t="str">
        <f>IF(A1526&lt;&gt;"", VLOOKUP(A1526, imdb_netflix_v5!A$2:H$7370, 7, FALSE), "")</f>
        <v>NA</v>
      </c>
    </row>
    <row r="1527" ht="15.75" customHeight="1">
      <c r="A1527" s="1" t="str">
        <f>IFERROR(__xludf.DUMMYFUNCTION("""COMPUTED_VALUE"""),"rise of empires ottoman")</f>
        <v>rise of empires ottoman</v>
      </c>
      <c r="B1527" s="1" t="str">
        <f>IF(A1527&lt;&gt;"", VLOOKUP(A1527, imdb_netflix_v5!A$2:H$7370, 2, FALSE), "")</f>
        <v>TV Show</v>
      </c>
      <c r="C1527" s="2" t="str">
        <f>IF(A1527&lt;&gt;"", VLOOKUP(A1527, imdb_netflix_v5!A$2:H$7370, 3, FALSE), "")</f>
        <v>Documentary, Drama, History</v>
      </c>
      <c r="D1527" s="2">
        <f>IF(A1527&lt;&gt;"", VLOOKUP(A1527, imdb_netflix_v5!A$2:H$7370, 4, FALSE), "")</f>
        <v>8</v>
      </c>
      <c r="E1527" s="2">
        <f>IF(A1527&lt;&gt;"", VLOOKUP(A1527, imdb_netflix_v5!A$2:H$7370, 5, FALSE), "")</f>
        <v>2020</v>
      </c>
      <c r="F1527" s="2" t="str">
        <f>IF(A1527&lt;&gt;"", VLOOKUP(A1527, imdb_netflix_v5!A$2:H$7370, 7, FALSE), "")</f>
        <v>NA</v>
      </c>
    </row>
    <row r="1528" ht="15.75" customHeight="1">
      <c r="A1528" s="1" t="str">
        <f>IFERROR(__xludf.DUMMYFUNCTION("""COMPUTED_VALUE"""),"the king of kong a fistful of quarters")</f>
        <v>the king of kong a fistful of quarters</v>
      </c>
      <c r="B1528" s="1" t="str">
        <f>IF(A1528&lt;&gt;"", VLOOKUP(A1528, imdb_netflix_v5!A$2:H$7370, 2, FALSE), "")</f>
        <v>Movie</v>
      </c>
      <c r="C1528" s="2" t="str">
        <f>IF(A1528&lt;&gt;"", VLOOKUP(A1528, imdb_netflix_v5!A$2:H$7370, 3, FALSE), "")</f>
        <v>Biography, Documentary, Sport</v>
      </c>
      <c r="D1528" s="2">
        <f>IF(A1528&lt;&gt;"", VLOOKUP(A1528, imdb_netflix_v5!A$2:H$7370, 4, FALSE), "")</f>
        <v>8</v>
      </c>
      <c r="E1528" s="2">
        <f>IF(A1528&lt;&gt;"", VLOOKUP(A1528, imdb_netflix_v5!A$2:H$7370, 5, FALSE), "")</f>
        <v>2007</v>
      </c>
      <c r="F1528" s="2" t="str">
        <f>IF(A1528&lt;&gt;"", VLOOKUP(A1528, imdb_netflix_v5!A$2:H$7370, 7, FALSE), "")</f>
        <v>NA</v>
      </c>
    </row>
    <row r="1529" ht="15.75" customHeight="1">
      <c r="A1529" s="1" t="str">
        <f>IFERROR(__xludf.DUMMYFUNCTION("""COMPUTED_VALUE"""),"sweet smell of success")</f>
        <v>sweet smell of success</v>
      </c>
      <c r="B1529" s="1" t="str">
        <f>IF(A1529&lt;&gt;"", VLOOKUP(A1529, imdb_netflix_v5!A$2:H$7370, 2, FALSE), "")</f>
        <v>Movie</v>
      </c>
      <c r="C1529" s="2" t="str">
        <f>IF(A1529&lt;&gt;"", VLOOKUP(A1529, imdb_netflix_v5!A$2:H$7370, 3, FALSE), "")</f>
        <v>Drama, Film-Noir</v>
      </c>
      <c r="D1529" s="2">
        <f>IF(A1529&lt;&gt;"", VLOOKUP(A1529, imdb_netflix_v5!A$2:H$7370, 4, FALSE), "")</f>
        <v>8</v>
      </c>
      <c r="E1529" s="2">
        <f>IF(A1529&lt;&gt;"", VLOOKUP(A1529, imdb_netflix_v5!A$2:H$7370, 5, FALSE), "")</f>
        <v>1957</v>
      </c>
      <c r="F1529" s="2" t="str">
        <f>IF(A1529&lt;&gt;"", VLOOKUP(A1529, imdb_netflix_v5!A$2:H$7370, 7, FALSE), "")</f>
        <v>NA</v>
      </c>
    </row>
    <row r="1530" ht="15.75" customHeight="1">
      <c r="A1530" s="1" t="str">
        <f>IFERROR(__xludf.DUMMYFUNCTION("""COMPUTED_VALUE"""),"au revoir les enfants")</f>
        <v>au revoir les enfants</v>
      </c>
      <c r="B1530" s="1" t="str">
        <f>IF(A1530&lt;&gt;"", VLOOKUP(A1530, imdb_netflix_v5!A$2:H$7370, 2, FALSE), "")</f>
        <v>Movie</v>
      </c>
      <c r="C1530" s="2" t="str">
        <f>IF(A1530&lt;&gt;"", VLOOKUP(A1530, imdb_netflix_v5!A$2:H$7370, 3, FALSE), "")</f>
        <v>Drama, War</v>
      </c>
      <c r="D1530" s="2">
        <f>IF(A1530&lt;&gt;"", VLOOKUP(A1530, imdb_netflix_v5!A$2:H$7370, 4, FALSE), "")</f>
        <v>8</v>
      </c>
      <c r="E1530" s="2">
        <f>IF(A1530&lt;&gt;"", VLOOKUP(A1530, imdb_netflix_v5!A$2:H$7370, 5, FALSE), "")</f>
        <v>1987</v>
      </c>
      <c r="F1530" s="2" t="str">
        <f>IF(A1530&lt;&gt;"", VLOOKUP(A1530, imdb_netflix_v5!A$2:H$7370, 7, FALSE), "")</f>
        <v>NA</v>
      </c>
    </row>
    <row r="1531" ht="15.75" customHeight="1">
      <c r="A1531" s="1" t="str">
        <f>IFERROR(__xludf.DUMMYFUNCTION("""COMPUTED_VALUE"""),"the mechanism")</f>
        <v>the mechanism</v>
      </c>
      <c r="B1531" s="1" t="str">
        <f>IF(A1531&lt;&gt;"", VLOOKUP(A1531, imdb_netflix_v5!A$2:H$7370, 2, FALSE), "")</f>
        <v>TV Show</v>
      </c>
      <c r="C1531" s="2" t="str">
        <f>IF(A1531&lt;&gt;"", VLOOKUP(A1531, imdb_netflix_v5!A$2:H$7370, 3, FALSE), "")</f>
        <v>Crime, Drama, Thriller</v>
      </c>
      <c r="D1531" s="2">
        <f>IF(A1531&lt;&gt;"", VLOOKUP(A1531, imdb_netflix_v5!A$2:H$7370, 4, FALSE), "")</f>
        <v>8</v>
      </c>
      <c r="E1531" s="2">
        <f>IF(A1531&lt;&gt;"", VLOOKUP(A1531, imdb_netflix_v5!A$2:H$7370, 5, FALSE), "")</f>
        <v>2018</v>
      </c>
      <c r="F1531" s="2" t="str">
        <f>IF(A1531&lt;&gt;"", VLOOKUP(A1531, imdb_netflix_v5!A$2:H$7370, 7, FALSE), "")</f>
        <v>NA</v>
      </c>
    </row>
    <row r="1532" ht="15.75" customHeight="1">
      <c r="A1532" s="1" t="str">
        <f>IFERROR(__xludf.DUMMYFUNCTION("""COMPUTED_VALUE"""),"the exterminating angel")</f>
        <v>the exterminating angel</v>
      </c>
      <c r="B1532" s="1" t="str">
        <f>IF(A1532&lt;&gt;"", VLOOKUP(A1532, imdb_netflix_v5!A$2:H$7370, 2, FALSE), "")</f>
        <v>Movie</v>
      </c>
      <c r="C1532" s="2" t="str">
        <f>IF(A1532&lt;&gt;"", VLOOKUP(A1532, imdb_netflix_v5!A$2:H$7370, 3, FALSE), "")</f>
        <v>Drama, Fantasy</v>
      </c>
      <c r="D1532" s="2">
        <f>IF(A1532&lt;&gt;"", VLOOKUP(A1532, imdb_netflix_v5!A$2:H$7370, 4, FALSE), "")</f>
        <v>8</v>
      </c>
      <c r="E1532" s="2">
        <f>IF(A1532&lt;&gt;"", VLOOKUP(A1532, imdb_netflix_v5!A$2:H$7370, 5, FALSE), "")</f>
        <v>1962</v>
      </c>
      <c r="F1532" s="2" t="str">
        <f>IF(A1532&lt;&gt;"", VLOOKUP(A1532, imdb_netflix_v5!A$2:H$7370, 7, FALSE), "")</f>
        <v>NA</v>
      </c>
    </row>
    <row r="1533" ht="15.75" customHeight="1">
      <c r="A1533" s="1" t="str">
        <f>IFERROR(__xludf.DUMMYFUNCTION("""COMPUTED_VALUE"""),"the breath")</f>
        <v>the breath</v>
      </c>
      <c r="B1533" s="1" t="str">
        <f>IF(A1533&lt;&gt;"", VLOOKUP(A1533, imdb_netflix_v5!A$2:H$7370, 2, FALSE), "")</f>
        <v>Movie</v>
      </c>
      <c r="C1533" s="2" t="str">
        <f>IF(A1533&lt;&gt;"", VLOOKUP(A1533, imdb_netflix_v5!A$2:H$7370, 3, FALSE), "")</f>
        <v>Action, Drama, Thriller</v>
      </c>
      <c r="D1533" s="2">
        <f>IF(A1533&lt;&gt;"", VLOOKUP(A1533, imdb_netflix_v5!A$2:H$7370, 4, FALSE), "")</f>
        <v>8</v>
      </c>
      <c r="E1533" s="2">
        <f>IF(A1533&lt;&gt;"", VLOOKUP(A1533, imdb_netflix_v5!A$2:H$7370, 5, FALSE), "")</f>
        <v>2009</v>
      </c>
      <c r="F1533" s="2" t="str">
        <f>IF(A1533&lt;&gt;"", VLOOKUP(A1533, imdb_netflix_v5!A$2:H$7370, 7, FALSE), "")</f>
        <v>NA</v>
      </c>
    </row>
    <row r="1534" ht="15.75" customHeight="1">
      <c r="A1534" s="1" t="str">
        <f>IFERROR(__xludf.DUMMYFUNCTION("""COMPUTED_VALUE"""),"queen of the south")</f>
        <v>queen of the south</v>
      </c>
      <c r="B1534" s="1" t="str">
        <f>IF(A1534&lt;&gt;"", VLOOKUP(A1534, imdb_netflix_v5!A$2:H$7370, 2, FALSE), "")</f>
        <v>TV Show</v>
      </c>
      <c r="C1534" s="2" t="str">
        <f>IF(A1534&lt;&gt;"", VLOOKUP(A1534, imdb_netflix_v5!A$2:H$7370, 3, FALSE), "")</f>
        <v>Action, Crime, Drama</v>
      </c>
      <c r="D1534" s="2">
        <f>IF(A1534&lt;&gt;"", VLOOKUP(A1534, imdb_netflix_v5!A$2:H$7370, 4, FALSE), "")</f>
        <v>8</v>
      </c>
      <c r="E1534" s="2">
        <f>IF(A1534&lt;&gt;"", VLOOKUP(A1534, imdb_netflix_v5!A$2:H$7370, 5, FALSE), "")</f>
        <v>2016</v>
      </c>
      <c r="F1534" s="2">
        <f>IF(A1534&lt;&gt;"", VLOOKUP(A1534, imdb_netflix_v5!A$2:H$7370, 7, FALSE), "")</f>
        <v>13100000</v>
      </c>
    </row>
    <row r="1535" ht="15.75" customHeight="1">
      <c r="A1535" s="1" t="str">
        <f>IFERROR(__xludf.DUMMYFUNCTION("""COMPUTED_VALUE"""),"the pillars of the earth")</f>
        <v>the pillars of the earth</v>
      </c>
      <c r="B1535" s="1" t="str">
        <f>IF(A1535&lt;&gt;"", VLOOKUP(A1535, imdb_netflix_v5!A$2:H$7370, 2, FALSE), "")</f>
        <v>TV Show</v>
      </c>
      <c r="C1535" s="2" t="str">
        <f>IF(A1535&lt;&gt;"", VLOOKUP(A1535, imdb_netflix_v5!A$2:H$7370, 3, FALSE), "")</f>
        <v>Drama, Romance, Thriller</v>
      </c>
      <c r="D1535" s="2">
        <f>IF(A1535&lt;&gt;"", VLOOKUP(A1535, imdb_netflix_v5!A$2:H$7370, 4, FALSE), "")</f>
        <v>8</v>
      </c>
      <c r="E1535" s="2">
        <f>IF(A1535&lt;&gt;"", VLOOKUP(A1535, imdb_netflix_v5!A$2:H$7370, 5, FALSE), "")</f>
        <v>2010</v>
      </c>
      <c r="F1535" s="2" t="str">
        <f>IF(A1535&lt;&gt;"", VLOOKUP(A1535, imdb_netflix_v5!A$2:H$7370, 7, FALSE), "")</f>
        <v>NA</v>
      </c>
    </row>
    <row r="1536" ht="15.75" customHeight="1">
      <c r="A1536" s="1" t="str">
        <f>IFERROR(__xludf.DUMMYFUNCTION("""COMPUTED_VALUE"""),"patrick melrose")</f>
        <v>patrick melrose</v>
      </c>
      <c r="B1536" s="1" t="str">
        <f>IF(A1536&lt;&gt;"", VLOOKUP(A1536, imdb_netflix_v5!A$2:H$7370, 2, FALSE), "")</f>
        <v>TV Show</v>
      </c>
      <c r="C1536" s="2" t="str">
        <f>IF(A1536&lt;&gt;"", VLOOKUP(A1536, imdb_netflix_v5!A$2:H$7370, 3, FALSE), "")</f>
        <v>Drama</v>
      </c>
      <c r="D1536" s="2">
        <f>IF(A1536&lt;&gt;"", VLOOKUP(A1536, imdb_netflix_v5!A$2:H$7370, 4, FALSE), "")</f>
        <v>8</v>
      </c>
      <c r="E1536" s="2">
        <f>IF(A1536&lt;&gt;"", VLOOKUP(A1536, imdb_netflix_v5!A$2:H$7370, 5, FALSE), "")</f>
        <v>2018</v>
      </c>
      <c r="F1536" s="2" t="str">
        <f>IF(A1536&lt;&gt;"", VLOOKUP(A1536, imdb_netflix_v5!A$2:H$7370, 7, FALSE), "")</f>
        <v>NA</v>
      </c>
    </row>
    <row r="1537" ht="15.75" customHeight="1">
      <c r="A1537" s="1" t="str">
        <f>IFERROR(__xludf.DUMMYFUNCTION("""COMPUTED_VALUE"""),"vice principals")</f>
        <v>vice principals</v>
      </c>
      <c r="B1537" s="1" t="str">
        <f>IF(A1537&lt;&gt;"", VLOOKUP(A1537, imdb_netflix_v5!A$2:H$7370, 2, FALSE), "")</f>
        <v>TV Show</v>
      </c>
      <c r="C1537" s="2" t="str">
        <f>IF(A1537&lt;&gt;"", VLOOKUP(A1537, imdb_netflix_v5!A$2:H$7370, 3, FALSE), "")</f>
        <v>Comedy</v>
      </c>
      <c r="D1537" s="2">
        <f>IF(A1537&lt;&gt;"", VLOOKUP(A1537, imdb_netflix_v5!A$2:H$7370, 4, FALSE), "")</f>
        <v>8</v>
      </c>
      <c r="E1537" s="2">
        <f>IF(A1537&lt;&gt;"", VLOOKUP(A1537, imdb_netflix_v5!A$2:H$7370, 5, FALSE), "")</f>
        <v>2016</v>
      </c>
      <c r="F1537" s="2" t="str">
        <f>IF(A1537&lt;&gt;"", VLOOKUP(A1537, imdb_netflix_v5!A$2:H$7370, 7, FALSE), "")</f>
        <v>NA</v>
      </c>
    </row>
    <row r="1538" ht="15.75" customHeight="1">
      <c r="A1538" s="1" t="str">
        <f>IFERROR(__xludf.DUMMYFUNCTION("""COMPUTED_VALUE"""),"nobody knows")</f>
        <v>nobody knows</v>
      </c>
      <c r="B1538" s="1" t="str">
        <f>IF(A1538&lt;&gt;"", VLOOKUP(A1538, imdb_netflix_v5!A$2:H$7370, 2, FALSE), "")</f>
        <v>Movie</v>
      </c>
      <c r="C1538" s="2" t="str">
        <f>IF(A1538&lt;&gt;"", VLOOKUP(A1538, imdb_netflix_v5!A$2:H$7370, 3, FALSE), "")</f>
        <v>Drama</v>
      </c>
      <c r="D1538" s="2">
        <f>IF(A1538&lt;&gt;"", VLOOKUP(A1538, imdb_netflix_v5!A$2:H$7370, 4, FALSE), "")</f>
        <v>8</v>
      </c>
      <c r="E1538" s="2">
        <f>IF(A1538&lt;&gt;"", VLOOKUP(A1538, imdb_netflix_v5!A$2:H$7370, 5, FALSE), "")</f>
        <v>2004</v>
      </c>
      <c r="F1538" s="2" t="str">
        <f>IF(A1538&lt;&gt;"", VLOOKUP(A1538, imdb_netflix_v5!A$2:H$7370, 7, FALSE), "")</f>
        <v>NA</v>
      </c>
    </row>
    <row r="1539" ht="15.75" customHeight="1">
      <c r="A1539" s="1" t="str">
        <f>IFERROR(__xludf.DUMMYFUNCTION("""COMPUTED_VALUE"""),"the virgin spring")</f>
        <v>the virgin spring</v>
      </c>
      <c r="B1539" s="1" t="str">
        <f>IF(A1539&lt;&gt;"", VLOOKUP(A1539, imdb_netflix_v5!A$2:H$7370, 2, FALSE), "")</f>
        <v>Movie</v>
      </c>
      <c r="C1539" s="2" t="str">
        <f>IF(A1539&lt;&gt;"", VLOOKUP(A1539, imdb_netflix_v5!A$2:H$7370, 3, FALSE), "")</f>
        <v>Drama</v>
      </c>
      <c r="D1539" s="2">
        <f>IF(A1539&lt;&gt;"", VLOOKUP(A1539, imdb_netflix_v5!A$2:H$7370, 4, FALSE), "")</f>
        <v>8</v>
      </c>
      <c r="E1539" s="2">
        <f>IF(A1539&lt;&gt;"", VLOOKUP(A1539, imdb_netflix_v5!A$2:H$7370, 5, FALSE), "")</f>
        <v>1960</v>
      </c>
      <c r="F1539" s="2" t="str">
        <f>IF(A1539&lt;&gt;"", VLOOKUP(A1539, imdb_netflix_v5!A$2:H$7370, 7, FALSE), "")</f>
        <v>NA</v>
      </c>
    </row>
    <row r="1540" ht="15.75" customHeight="1">
      <c r="A1540" s="1" t="str">
        <f>IFERROR(__xludf.DUMMYFUNCTION("""COMPUTED_VALUE"""),"counterpart")</f>
        <v>counterpart</v>
      </c>
      <c r="B1540" s="1" t="str">
        <f>IF(A1540&lt;&gt;"", VLOOKUP(A1540, imdb_netflix_v5!A$2:H$7370, 2, FALSE), "")</f>
        <v>TV Show</v>
      </c>
      <c r="C1540" s="2" t="str">
        <f>IF(A1540&lt;&gt;"", VLOOKUP(A1540, imdb_netflix_v5!A$2:H$7370, 3, FALSE), "")</f>
        <v>Drama, Sci-Fi, Thriller</v>
      </c>
      <c r="D1540" s="2">
        <f>IF(A1540&lt;&gt;"", VLOOKUP(A1540, imdb_netflix_v5!A$2:H$7370, 4, FALSE), "")</f>
        <v>8</v>
      </c>
      <c r="E1540" s="2">
        <f>IF(A1540&lt;&gt;"", VLOOKUP(A1540, imdb_netflix_v5!A$2:H$7370, 5, FALSE), "")</f>
        <v>2017</v>
      </c>
      <c r="F1540" s="2" t="str">
        <f>IF(A1540&lt;&gt;"", VLOOKUP(A1540, imdb_netflix_v5!A$2:H$7370, 7, FALSE), "")</f>
        <v>NA</v>
      </c>
    </row>
    <row r="1541" ht="15.75" customHeight="1">
      <c r="A1541" s="1" t="str">
        <f>IFERROR(__xludf.DUMMYFUNCTION("""COMPUTED_VALUE"""),"rome, open city")</f>
        <v>rome, open city</v>
      </c>
      <c r="B1541" s="1" t="str">
        <f>IF(A1541&lt;&gt;"", VLOOKUP(A1541, imdb_netflix_v5!A$2:H$7370, 2, FALSE), "")</f>
        <v>Movie</v>
      </c>
      <c r="C1541" s="2" t="str">
        <f>IF(A1541&lt;&gt;"", VLOOKUP(A1541, imdb_netflix_v5!A$2:H$7370, 3, FALSE), "")</f>
        <v>Drama, Thriller, War</v>
      </c>
      <c r="D1541" s="2">
        <f>IF(A1541&lt;&gt;"", VLOOKUP(A1541, imdb_netflix_v5!A$2:H$7370, 4, FALSE), "")</f>
        <v>8</v>
      </c>
      <c r="E1541" s="2">
        <f>IF(A1541&lt;&gt;"", VLOOKUP(A1541, imdb_netflix_v5!A$2:H$7370, 5, FALSE), "")</f>
        <v>1945</v>
      </c>
      <c r="F1541" s="2" t="str">
        <f>IF(A1541&lt;&gt;"", VLOOKUP(A1541, imdb_netflix_v5!A$2:H$7370, 7, FALSE), "")</f>
        <v>NA</v>
      </c>
    </row>
    <row r="1542" ht="15.75" customHeight="1">
      <c r="A1542" s="1" t="str">
        <f>IFERROR(__xludf.DUMMYFUNCTION("""COMPUTED_VALUE"""),"a woman under the influence")</f>
        <v>a woman under the influence</v>
      </c>
      <c r="B1542" s="1" t="str">
        <f>IF(A1542&lt;&gt;"", VLOOKUP(A1542, imdb_netflix_v5!A$2:H$7370, 2, FALSE), "")</f>
        <v>Movie</v>
      </c>
      <c r="C1542" s="2" t="str">
        <f>IF(A1542&lt;&gt;"", VLOOKUP(A1542, imdb_netflix_v5!A$2:H$7370, 3, FALSE), "")</f>
        <v>Drama, Romance</v>
      </c>
      <c r="D1542" s="2">
        <f>IF(A1542&lt;&gt;"", VLOOKUP(A1542, imdb_netflix_v5!A$2:H$7370, 4, FALSE), "")</f>
        <v>8</v>
      </c>
      <c r="E1542" s="2">
        <f>IF(A1542&lt;&gt;"", VLOOKUP(A1542, imdb_netflix_v5!A$2:H$7370, 5, FALSE), "")</f>
        <v>1974</v>
      </c>
      <c r="F1542" s="2" t="str">
        <f>IF(A1542&lt;&gt;"", VLOOKUP(A1542, imdb_netflix_v5!A$2:H$7370, 7, FALSE), "")</f>
        <v>NA</v>
      </c>
    </row>
    <row r="1543" ht="15.75" customHeight="1">
      <c r="A1543" s="1" t="str">
        <f>IFERROR(__xludf.DUMMYFUNCTION("""COMPUTED_VALUE"""),"the blue elephant")</f>
        <v>the blue elephant</v>
      </c>
      <c r="B1543" s="1" t="str">
        <f>IF(A1543&lt;&gt;"", VLOOKUP(A1543, imdb_netflix_v5!A$2:H$7370, 2, FALSE), "")</f>
        <v>Movie</v>
      </c>
      <c r="C1543" s="2" t="str">
        <f>IF(A1543&lt;&gt;"", VLOOKUP(A1543, imdb_netflix_v5!A$2:H$7370, 3, FALSE), "")</f>
        <v>Crime, Drama, Horror</v>
      </c>
      <c r="D1543" s="2">
        <f>IF(A1543&lt;&gt;"", VLOOKUP(A1543, imdb_netflix_v5!A$2:H$7370, 4, FALSE), "")</f>
        <v>8</v>
      </c>
      <c r="E1543" s="2">
        <f>IF(A1543&lt;&gt;"", VLOOKUP(A1543, imdb_netflix_v5!A$2:H$7370, 5, FALSE), "")</f>
        <v>2014</v>
      </c>
      <c r="F1543" s="2" t="str">
        <f>IF(A1543&lt;&gt;"", VLOOKUP(A1543, imdb_netflix_v5!A$2:H$7370, 7, FALSE), "")</f>
        <v>NA</v>
      </c>
    </row>
    <row r="1544" ht="15.75" customHeight="1">
      <c r="A1544" s="1" t="str">
        <f>IFERROR(__xludf.DUMMYFUNCTION("""COMPUTED_VALUE"""),"sirf ek bandaa kaafi hai")</f>
        <v>sirf ek bandaa kaafi hai</v>
      </c>
      <c r="B1544" s="1" t="str">
        <f>IF(A1544&lt;&gt;"", VLOOKUP(A1544, imdb_netflix_v5!A$2:H$7370, 2, FALSE), "")</f>
        <v>Movie</v>
      </c>
      <c r="C1544" s="2" t="str">
        <f>IF(A1544&lt;&gt;"", VLOOKUP(A1544, imdb_netflix_v5!A$2:H$7370, 3, FALSE), "")</f>
        <v>Crime, Drama, Thriller</v>
      </c>
      <c r="D1544" s="2">
        <f>IF(A1544&lt;&gt;"", VLOOKUP(A1544, imdb_netflix_v5!A$2:H$7370, 4, FALSE), "")</f>
        <v>8</v>
      </c>
      <c r="E1544" s="2">
        <f>IF(A1544&lt;&gt;"", VLOOKUP(A1544, imdb_netflix_v5!A$2:H$7370, 5, FALSE), "")</f>
        <v>2023</v>
      </c>
      <c r="F1544" s="2" t="str">
        <f>IF(A1544&lt;&gt;"", VLOOKUP(A1544, imdb_netflix_v5!A$2:H$7370, 7, FALSE), "")</f>
        <v>NA</v>
      </c>
    </row>
    <row r="1545" ht="15.75" customHeight="1">
      <c r="A1545" s="1" t="str">
        <f>IFERROR(__xludf.DUMMYFUNCTION("""COMPUTED_VALUE"""),"the wild pear tree")</f>
        <v>the wild pear tree</v>
      </c>
      <c r="B1545" s="1" t="str">
        <f>IF(A1545&lt;&gt;"", VLOOKUP(A1545, imdb_netflix_v5!A$2:H$7370, 2, FALSE), "")</f>
        <v>Movie</v>
      </c>
      <c r="C1545" s="2" t="str">
        <f>IF(A1545&lt;&gt;"", VLOOKUP(A1545, imdb_netflix_v5!A$2:H$7370, 3, FALSE), "")</f>
        <v>Drama</v>
      </c>
      <c r="D1545" s="2">
        <f>IF(A1545&lt;&gt;"", VLOOKUP(A1545, imdb_netflix_v5!A$2:H$7370, 4, FALSE), "")</f>
        <v>8</v>
      </c>
      <c r="E1545" s="2">
        <f>IF(A1545&lt;&gt;"", VLOOKUP(A1545, imdb_netflix_v5!A$2:H$7370, 5, FALSE), "")</f>
        <v>2018</v>
      </c>
      <c r="F1545" s="2" t="str">
        <f>IF(A1545&lt;&gt;"", VLOOKUP(A1545, imdb_netflix_v5!A$2:H$7370, 7, FALSE), "")</f>
        <v>NA</v>
      </c>
    </row>
    <row r="1546" ht="15.75" customHeight="1">
      <c r="A1546" s="1" t="str">
        <f>IFERROR(__xludf.DUMMYFUNCTION("""COMPUTED_VALUE"""),"jodorowskys dune")</f>
        <v>jodorowskys dune</v>
      </c>
      <c r="B1546" s="1" t="str">
        <f>IF(A1546&lt;&gt;"", VLOOKUP(A1546, imdb_netflix_v5!A$2:H$7370, 2, FALSE), "")</f>
        <v>Movie</v>
      </c>
      <c r="C1546" s="2" t="str">
        <f>IF(A1546&lt;&gt;"", VLOOKUP(A1546, imdb_netflix_v5!A$2:H$7370, 3, FALSE), "")</f>
        <v>Documentary</v>
      </c>
      <c r="D1546" s="2">
        <f>IF(A1546&lt;&gt;"", VLOOKUP(A1546, imdb_netflix_v5!A$2:H$7370, 4, FALSE), "")</f>
        <v>8</v>
      </c>
      <c r="E1546" s="2">
        <f>IF(A1546&lt;&gt;"", VLOOKUP(A1546, imdb_netflix_v5!A$2:H$7370, 5, FALSE), "")</f>
        <v>2013</v>
      </c>
      <c r="F1546" s="2" t="str">
        <f>IF(A1546&lt;&gt;"", VLOOKUP(A1546, imdb_netflix_v5!A$2:H$7370, 7, FALSE), "")</f>
        <v>NA</v>
      </c>
    </row>
    <row r="1547" ht="15.75" customHeight="1">
      <c r="A1547" s="1" t="str">
        <f>IFERROR(__xludf.DUMMYFUNCTION("""COMPUTED_VALUE"""),"river")</f>
        <v>river</v>
      </c>
      <c r="B1547" s="1" t="str">
        <f>IF(A1547&lt;&gt;"", VLOOKUP(A1547, imdb_netflix_v5!A$2:H$7370, 2, FALSE), "")</f>
        <v>TV Show</v>
      </c>
      <c r="C1547" s="2" t="str">
        <f>IF(A1547&lt;&gt;"", VLOOKUP(A1547, imdb_netflix_v5!A$2:H$7370, 3, FALSE), "")</f>
        <v>Crime, Drama, Mystery</v>
      </c>
      <c r="D1547" s="2">
        <f>IF(A1547&lt;&gt;"", VLOOKUP(A1547, imdb_netflix_v5!A$2:H$7370, 4, FALSE), "")</f>
        <v>8</v>
      </c>
      <c r="E1547" s="2">
        <f>IF(A1547&lt;&gt;"", VLOOKUP(A1547, imdb_netflix_v5!A$2:H$7370, 5, FALSE), "")</f>
        <v>2015</v>
      </c>
      <c r="F1547" s="2" t="str">
        <f>IF(A1547&lt;&gt;"", VLOOKUP(A1547, imdb_netflix_v5!A$2:H$7370, 7, FALSE), "")</f>
        <v>NA</v>
      </c>
    </row>
    <row r="1548" ht="15.75" customHeight="1">
      <c r="A1548" s="1" t="str">
        <f>IFERROR(__xludf.DUMMYFUNCTION("""COMPUTED_VALUE"""),"tales from the crypt")</f>
        <v>tales from the crypt</v>
      </c>
      <c r="B1548" s="1" t="str">
        <f>IF(A1548&lt;&gt;"", VLOOKUP(A1548, imdb_netflix_v5!A$2:H$7370, 2, FALSE), "")</f>
        <v>TV Show</v>
      </c>
      <c r="C1548" s="2" t="str">
        <f>IF(A1548&lt;&gt;"", VLOOKUP(A1548, imdb_netflix_v5!A$2:H$7370, 3, FALSE), "")</f>
        <v>Comedy, Crime, Fantasy</v>
      </c>
      <c r="D1548" s="2">
        <f>IF(A1548&lt;&gt;"", VLOOKUP(A1548, imdb_netflix_v5!A$2:H$7370, 4, FALSE), "")</f>
        <v>8</v>
      </c>
      <c r="E1548" s="2">
        <f>IF(A1548&lt;&gt;"", VLOOKUP(A1548, imdb_netflix_v5!A$2:H$7370, 5, FALSE), "")</f>
        <v>1989</v>
      </c>
      <c r="F1548" s="2" t="str">
        <f>IF(A1548&lt;&gt;"", VLOOKUP(A1548, imdb_netflix_v5!A$2:H$7370, 7, FALSE), "")</f>
        <v>NA</v>
      </c>
    </row>
    <row r="1549" ht="15.75" customHeight="1">
      <c r="A1549" s="1" t="str">
        <f>IFERROR(__xludf.DUMMYFUNCTION("""COMPUTED_VALUE"""),"winter light")</f>
        <v>winter light</v>
      </c>
      <c r="B1549" s="1" t="str">
        <f>IF(A1549&lt;&gt;"", VLOOKUP(A1549, imdb_netflix_v5!A$2:H$7370, 2, FALSE), "")</f>
        <v>Movie</v>
      </c>
      <c r="C1549" s="2" t="str">
        <f>IF(A1549&lt;&gt;"", VLOOKUP(A1549, imdb_netflix_v5!A$2:H$7370, 3, FALSE), "")</f>
        <v>Drama</v>
      </c>
      <c r="D1549" s="2">
        <f>IF(A1549&lt;&gt;"", VLOOKUP(A1549, imdb_netflix_v5!A$2:H$7370, 4, FALSE), "")</f>
        <v>8</v>
      </c>
      <c r="E1549" s="2">
        <f>IF(A1549&lt;&gt;"", VLOOKUP(A1549, imdb_netflix_v5!A$2:H$7370, 5, FALSE), "")</f>
        <v>1963</v>
      </c>
      <c r="F1549" s="2" t="str">
        <f>IF(A1549&lt;&gt;"", VLOOKUP(A1549, imdb_netflix_v5!A$2:H$7370, 7, FALSE), "")</f>
        <v>NA</v>
      </c>
    </row>
    <row r="1550" ht="15.75" customHeight="1">
      <c r="A1550" s="1" t="str">
        <f>IFERROR(__xludf.DUMMYFUNCTION("""COMPUTED_VALUE"""),"a matter of life and death")</f>
        <v>a matter of life and death</v>
      </c>
      <c r="B1550" s="1" t="str">
        <f>IF(A1550&lt;&gt;"", VLOOKUP(A1550, imdb_netflix_v5!A$2:H$7370, 2, FALSE), "")</f>
        <v>Movie</v>
      </c>
      <c r="C1550" s="2" t="str">
        <f>IF(A1550&lt;&gt;"", VLOOKUP(A1550, imdb_netflix_v5!A$2:H$7370, 3, FALSE), "")</f>
        <v>Drama, Fantasy, Romance</v>
      </c>
      <c r="D1550" s="2">
        <f>IF(A1550&lt;&gt;"", VLOOKUP(A1550, imdb_netflix_v5!A$2:H$7370, 4, FALSE), "")</f>
        <v>8</v>
      </c>
      <c r="E1550" s="2">
        <f>IF(A1550&lt;&gt;"", VLOOKUP(A1550, imdb_netflix_v5!A$2:H$7370, 5, FALSE), "")</f>
        <v>1946</v>
      </c>
      <c r="F1550" s="2" t="str">
        <f>IF(A1550&lt;&gt;"", VLOOKUP(A1550, imdb_netflix_v5!A$2:H$7370, 7, FALSE), "")</f>
        <v>NA</v>
      </c>
    </row>
    <row r="1551" ht="15.75" customHeight="1">
      <c r="A1551" s="1" t="str">
        <f>IFERROR(__xludf.DUMMYFUNCTION("""COMPUTED_VALUE"""),"the keepers")</f>
        <v>the keepers</v>
      </c>
      <c r="B1551" s="1" t="str">
        <f>IF(A1551&lt;&gt;"", VLOOKUP(A1551, imdb_netflix_v5!A$2:H$7370, 2, FALSE), "")</f>
        <v>TV Show</v>
      </c>
      <c r="C1551" s="2" t="str">
        <f>IF(A1551&lt;&gt;"", VLOOKUP(A1551, imdb_netflix_v5!A$2:H$7370, 3, FALSE), "")</f>
        <v>Crime, Documentary, Mystery</v>
      </c>
      <c r="D1551" s="2">
        <f>IF(A1551&lt;&gt;"", VLOOKUP(A1551, imdb_netflix_v5!A$2:H$7370, 4, FALSE), "")</f>
        <v>8</v>
      </c>
      <c r="E1551" s="2">
        <f>IF(A1551&lt;&gt;"", VLOOKUP(A1551, imdb_netflix_v5!A$2:H$7370, 5, FALSE), "")</f>
        <v>2017</v>
      </c>
      <c r="F1551" s="2" t="str">
        <f>IF(A1551&lt;&gt;"", VLOOKUP(A1551, imdb_netflix_v5!A$2:H$7370, 7, FALSE), "")</f>
        <v>NA</v>
      </c>
    </row>
    <row r="1552" ht="15.75" customHeight="1">
      <c r="A1552" s="1" t="str">
        <f>IFERROR(__xludf.DUMMYFUNCTION("""COMPUTED_VALUE"""),"united states of tara")</f>
        <v>united states of tara</v>
      </c>
      <c r="B1552" s="1" t="str">
        <f>IF(A1552&lt;&gt;"", VLOOKUP(A1552, imdb_netflix_v5!A$2:H$7370, 2, FALSE), "")</f>
        <v>TV Show</v>
      </c>
      <c r="C1552" s="2" t="str">
        <f>IF(A1552&lt;&gt;"", VLOOKUP(A1552, imdb_netflix_v5!A$2:H$7370, 3, FALSE), "")</f>
        <v>Comedy, Drama, Romance</v>
      </c>
      <c r="D1552" s="2">
        <f>IF(A1552&lt;&gt;"", VLOOKUP(A1552, imdb_netflix_v5!A$2:H$7370, 4, FALSE), "")</f>
        <v>8</v>
      </c>
      <c r="E1552" s="2">
        <f>IF(A1552&lt;&gt;"", VLOOKUP(A1552, imdb_netflix_v5!A$2:H$7370, 5, FALSE), "")</f>
        <v>2009</v>
      </c>
      <c r="F1552" s="2" t="str">
        <f>IF(A1552&lt;&gt;"", VLOOKUP(A1552, imdb_netflix_v5!A$2:H$7370, 7, FALSE), "")</f>
        <v>NA</v>
      </c>
    </row>
    <row r="1553" ht="15.75" customHeight="1">
      <c r="A1553" s="1" t="str">
        <f>IFERROR(__xludf.DUMMYFUNCTION("""COMPUTED_VALUE"""),"trapped")</f>
        <v>trapped</v>
      </c>
      <c r="B1553" s="1" t="str">
        <f>IF(A1553&lt;&gt;"", VLOOKUP(A1553, imdb_netflix_v5!A$2:H$7370, 2, FALSE), "")</f>
        <v>TV Show</v>
      </c>
      <c r="C1553" s="2" t="str">
        <f>IF(A1553&lt;&gt;"", VLOOKUP(A1553, imdb_netflix_v5!A$2:H$7370, 3, FALSE), "")</f>
        <v>Crime, Drama, Mystery</v>
      </c>
      <c r="D1553" s="2">
        <f>IF(A1553&lt;&gt;"", VLOOKUP(A1553, imdb_netflix_v5!A$2:H$7370, 4, FALSE), "")</f>
        <v>8</v>
      </c>
      <c r="E1553" s="2">
        <f>IF(A1553&lt;&gt;"", VLOOKUP(A1553, imdb_netflix_v5!A$2:H$7370, 5, FALSE), "")</f>
        <v>2015</v>
      </c>
      <c r="F1553" s="2" t="str">
        <f>IF(A1553&lt;&gt;"", VLOOKUP(A1553, imdb_netflix_v5!A$2:H$7370, 7, FALSE), "")</f>
        <v>NA</v>
      </c>
    </row>
    <row r="1554" ht="15.75" customHeight="1">
      <c r="A1554" s="1" t="str">
        <f>IFERROR(__xludf.DUMMYFUNCTION("""COMPUTED_VALUE"""),"the ox-bow incident")</f>
        <v>the ox-bow incident</v>
      </c>
      <c r="B1554" s="1" t="str">
        <f>IF(A1554&lt;&gt;"", VLOOKUP(A1554, imdb_netflix_v5!A$2:H$7370, 2, FALSE), "")</f>
        <v>Movie</v>
      </c>
      <c r="C1554" s="2" t="str">
        <f>IF(A1554&lt;&gt;"", VLOOKUP(A1554, imdb_netflix_v5!A$2:H$7370, 3, FALSE), "")</f>
        <v>Drama, Western</v>
      </c>
      <c r="D1554" s="2">
        <f>IF(A1554&lt;&gt;"", VLOOKUP(A1554, imdb_netflix_v5!A$2:H$7370, 4, FALSE), "")</f>
        <v>8</v>
      </c>
      <c r="E1554" s="2">
        <f>IF(A1554&lt;&gt;"", VLOOKUP(A1554, imdb_netflix_v5!A$2:H$7370, 5, FALSE), "")</f>
        <v>1942</v>
      </c>
      <c r="F1554" s="2" t="str">
        <f>IF(A1554&lt;&gt;"", VLOOKUP(A1554, imdb_netflix_v5!A$2:H$7370, 7, FALSE), "")</f>
        <v>NA</v>
      </c>
    </row>
    <row r="1555" ht="15.75" customHeight="1">
      <c r="A1555" s="1" t="str">
        <f>IFERROR(__xludf.DUMMYFUNCTION("""COMPUTED_VALUE"""),"fail safe")</f>
        <v>fail safe</v>
      </c>
      <c r="B1555" s="1" t="str">
        <f>IF(A1555&lt;&gt;"", VLOOKUP(A1555, imdb_netflix_v5!A$2:H$7370, 2, FALSE), "")</f>
        <v>Movie</v>
      </c>
      <c r="C1555" s="2" t="str">
        <f>IF(A1555&lt;&gt;"", VLOOKUP(A1555, imdb_netflix_v5!A$2:H$7370, 3, FALSE), "")</f>
        <v>Drama, Thriller</v>
      </c>
      <c r="D1555" s="2">
        <f>IF(A1555&lt;&gt;"", VLOOKUP(A1555, imdb_netflix_v5!A$2:H$7370, 4, FALSE), "")</f>
        <v>8</v>
      </c>
      <c r="E1555" s="2">
        <f>IF(A1555&lt;&gt;"", VLOOKUP(A1555, imdb_netflix_v5!A$2:H$7370, 5, FALSE), "")</f>
        <v>1964</v>
      </c>
      <c r="F1555" s="2" t="str">
        <f>IF(A1555&lt;&gt;"", VLOOKUP(A1555, imdb_netflix_v5!A$2:H$7370, 7, FALSE), "")</f>
        <v>NA</v>
      </c>
    </row>
    <row r="1556" ht="15.75" customHeight="1">
      <c r="A1556" s="1" t="str">
        <f>IFERROR(__xludf.DUMMYFUNCTION("""COMPUTED_VALUE"""),"day for night")</f>
        <v>day for night</v>
      </c>
      <c r="B1556" s="1" t="str">
        <f>IF(A1556&lt;&gt;"", VLOOKUP(A1556, imdb_netflix_v5!A$2:H$7370, 2, FALSE), "")</f>
        <v>Movie</v>
      </c>
      <c r="C1556" s="2" t="str">
        <f>IF(A1556&lt;&gt;"", VLOOKUP(A1556, imdb_netflix_v5!A$2:H$7370, 3, FALSE), "")</f>
        <v>Comedy, Drama, Romance</v>
      </c>
      <c r="D1556" s="2">
        <f>IF(A1556&lt;&gt;"", VLOOKUP(A1556, imdb_netflix_v5!A$2:H$7370, 4, FALSE), "")</f>
        <v>8</v>
      </c>
      <c r="E1556" s="2">
        <f>IF(A1556&lt;&gt;"", VLOOKUP(A1556, imdb_netflix_v5!A$2:H$7370, 5, FALSE), "")</f>
        <v>1973</v>
      </c>
      <c r="F1556" s="2" t="str">
        <f>IF(A1556&lt;&gt;"", VLOOKUP(A1556, imdb_netflix_v5!A$2:H$7370, 7, FALSE), "")</f>
        <v>NA</v>
      </c>
    </row>
    <row r="1557" ht="15.75" customHeight="1">
      <c r="A1557" s="1" t="str">
        <f>IFERROR(__xludf.DUMMYFUNCTION("""COMPUTED_VALUE"""),"ali fear eats the soul")</f>
        <v>ali fear eats the soul</v>
      </c>
      <c r="B1557" s="1" t="str">
        <f>IF(A1557&lt;&gt;"", VLOOKUP(A1557, imdb_netflix_v5!A$2:H$7370, 2, FALSE), "")</f>
        <v>Movie</v>
      </c>
      <c r="C1557" s="2" t="str">
        <f>IF(A1557&lt;&gt;"", VLOOKUP(A1557, imdb_netflix_v5!A$2:H$7370, 3, FALSE), "")</f>
        <v>Drama, Romance</v>
      </c>
      <c r="D1557" s="2">
        <f>IF(A1557&lt;&gt;"", VLOOKUP(A1557, imdb_netflix_v5!A$2:H$7370, 4, FALSE), "")</f>
        <v>8</v>
      </c>
      <c r="E1557" s="2">
        <f>IF(A1557&lt;&gt;"", VLOOKUP(A1557, imdb_netflix_v5!A$2:H$7370, 5, FALSE), "")</f>
        <v>1974</v>
      </c>
      <c r="F1557" s="2" t="str">
        <f>IF(A1557&lt;&gt;"", VLOOKUP(A1557, imdb_netflix_v5!A$2:H$7370, 7, FALSE), "")</f>
        <v>NA</v>
      </c>
    </row>
    <row r="1558" ht="15.75" customHeight="1">
      <c r="A1558" s="1" t="str">
        <f>IFERROR(__xludf.DUMMYFUNCTION("""COMPUTED_VALUE"""),"manon of the spring")</f>
        <v>manon of the spring</v>
      </c>
      <c r="B1558" s="1" t="str">
        <f>IF(A1558&lt;&gt;"", VLOOKUP(A1558, imdb_netflix_v5!A$2:H$7370, 2, FALSE), "")</f>
        <v>Movie</v>
      </c>
      <c r="C1558" s="2" t="str">
        <f>IF(A1558&lt;&gt;"", VLOOKUP(A1558, imdb_netflix_v5!A$2:H$7370, 3, FALSE), "")</f>
        <v>Drama</v>
      </c>
      <c r="D1558" s="2">
        <f>IF(A1558&lt;&gt;"", VLOOKUP(A1558, imdb_netflix_v5!A$2:H$7370, 4, FALSE), "")</f>
        <v>8</v>
      </c>
      <c r="E1558" s="2">
        <f>IF(A1558&lt;&gt;"", VLOOKUP(A1558, imdb_netflix_v5!A$2:H$7370, 5, FALSE), "")</f>
        <v>1986</v>
      </c>
      <c r="F1558" s="2" t="str">
        <f>IF(A1558&lt;&gt;"", VLOOKUP(A1558, imdb_netflix_v5!A$2:H$7370, 7, FALSE), "")</f>
        <v>NA</v>
      </c>
    </row>
    <row r="1559" ht="15.75" customHeight="1">
      <c r="A1559" s="1" t="str">
        <f>IFERROR(__xludf.DUMMYFUNCTION("""COMPUTED_VALUE"""),"the capture")</f>
        <v>the capture</v>
      </c>
      <c r="B1559" s="1" t="str">
        <f>IF(A1559&lt;&gt;"", VLOOKUP(A1559, imdb_netflix_v5!A$2:H$7370, 2, FALSE), "")</f>
        <v>TV Show</v>
      </c>
      <c r="C1559" s="2" t="str">
        <f>IF(A1559&lt;&gt;"", VLOOKUP(A1559, imdb_netflix_v5!A$2:H$7370, 3, FALSE), "")</f>
        <v>Crime, Mystery, Thriller</v>
      </c>
      <c r="D1559" s="2">
        <f>IF(A1559&lt;&gt;"", VLOOKUP(A1559, imdb_netflix_v5!A$2:H$7370, 4, FALSE), "")</f>
        <v>8</v>
      </c>
      <c r="E1559" s="2">
        <f>IF(A1559&lt;&gt;"", VLOOKUP(A1559, imdb_netflix_v5!A$2:H$7370, 5, FALSE), "")</f>
        <v>2019</v>
      </c>
      <c r="F1559" s="2" t="str">
        <f>IF(A1559&lt;&gt;"", VLOOKUP(A1559, imdb_netflix_v5!A$2:H$7370, 7, FALSE), "")</f>
        <v>NA</v>
      </c>
    </row>
    <row r="1560" ht="15.75" customHeight="1">
      <c r="A1560" s="1" t="str">
        <f>IFERROR(__xludf.DUMMYFUNCTION("""COMPUTED_VALUE"""),"the transformers")</f>
        <v>the transformers</v>
      </c>
      <c r="B1560" s="1" t="str">
        <f>IF(A1560&lt;&gt;"", VLOOKUP(A1560, imdb_netflix_v5!A$2:H$7370, 2, FALSE), "")</f>
        <v>TV Show</v>
      </c>
      <c r="C1560" s="2" t="str">
        <f>IF(A1560&lt;&gt;"", VLOOKUP(A1560, imdb_netflix_v5!A$2:H$7370, 3, FALSE), "")</f>
        <v>Action, Adventure, Animation</v>
      </c>
      <c r="D1560" s="2">
        <f>IF(A1560&lt;&gt;"", VLOOKUP(A1560, imdb_netflix_v5!A$2:H$7370, 4, FALSE), "")</f>
        <v>8</v>
      </c>
      <c r="E1560" s="2">
        <f>IF(A1560&lt;&gt;"", VLOOKUP(A1560, imdb_netflix_v5!A$2:H$7370, 5, FALSE), "")</f>
        <v>1984</v>
      </c>
      <c r="F1560" s="2" t="str">
        <f>IF(A1560&lt;&gt;"", VLOOKUP(A1560, imdb_netflix_v5!A$2:H$7370, 7, FALSE), "")</f>
        <v>NA</v>
      </c>
    </row>
    <row r="1561" ht="15.75" customHeight="1">
      <c r="A1561" s="1" t="str">
        <f>IFERROR(__xludf.DUMMYFUNCTION("""COMPUTED_VALUE"""),"karnan")</f>
        <v>karnan</v>
      </c>
      <c r="B1561" s="1" t="str">
        <f>IF(A1561&lt;&gt;"", VLOOKUP(A1561, imdb_netflix_v5!A$2:H$7370, 2, FALSE), "")</f>
        <v>Movie</v>
      </c>
      <c r="C1561" s="2" t="str">
        <f>IF(A1561&lt;&gt;"", VLOOKUP(A1561, imdb_netflix_v5!A$2:H$7370, 3, FALSE), "")</f>
        <v>Action, Drama</v>
      </c>
      <c r="D1561" s="2">
        <f>IF(A1561&lt;&gt;"", VLOOKUP(A1561, imdb_netflix_v5!A$2:H$7370, 4, FALSE), "")</f>
        <v>8</v>
      </c>
      <c r="E1561" s="2">
        <f>IF(A1561&lt;&gt;"", VLOOKUP(A1561, imdb_netflix_v5!A$2:H$7370, 5, FALSE), "")</f>
        <v>2021</v>
      </c>
      <c r="F1561" s="2" t="str">
        <f>IF(A1561&lt;&gt;"", VLOOKUP(A1561, imdb_netflix_v5!A$2:H$7370, 7, FALSE), "")</f>
        <v>NA</v>
      </c>
    </row>
    <row r="1562" ht="15.75" customHeight="1">
      <c r="A1562" s="1" t="str">
        <f>IFERROR(__xludf.DUMMYFUNCTION("""COMPUTED_VALUE"""),"reno 911!")</f>
        <v>reno 911!</v>
      </c>
      <c r="B1562" s="1" t="str">
        <f>IF(A1562&lt;&gt;"", VLOOKUP(A1562, imdb_netflix_v5!A$2:H$7370, 2, FALSE), "")</f>
        <v>TV Show</v>
      </c>
      <c r="C1562" s="2" t="str">
        <f>IF(A1562&lt;&gt;"", VLOOKUP(A1562, imdb_netflix_v5!A$2:H$7370, 3, FALSE), "")</f>
        <v>Comedy, Crime</v>
      </c>
      <c r="D1562" s="2">
        <f>IF(A1562&lt;&gt;"", VLOOKUP(A1562, imdb_netflix_v5!A$2:H$7370, 4, FALSE), "")</f>
        <v>8</v>
      </c>
      <c r="E1562" s="2">
        <f>IF(A1562&lt;&gt;"", VLOOKUP(A1562, imdb_netflix_v5!A$2:H$7370, 5, FALSE), "")</f>
        <v>2003</v>
      </c>
      <c r="F1562" s="2" t="str">
        <f>IF(A1562&lt;&gt;"", VLOOKUP(A1562, imdb_netflix_v5!A$2:H$7370, 7, FALSE), "")</f>
        <v>NA</v>
      </c>
    </row>
    <row r="1563" ht="15.75" customHeight="1">
      <c r="A1563" s="1" t="str">
        <f>IFERROR(__xludf.DUMMYFUNCTION("""COMPUTED_VALUE"""),"taylor swift the eras tour")</f>
        <v>taylor swift the eras tour</v>
      </c>
      <c r="B1563" s="1" t="str">
        <f>IF(A1563&lt;&gt;"", VLOOKUP(A1563, imdb_netflix_v5!A$2:H$7370, 2, FALSE), "")</f>
        <v>Movie</v>
      </c>
      <c r="C1563" s="2" t="str">
        <f>IF(A1563&lt;&gt;"", VLOOKUP(A1563, imdb_netflix_v5!A$2:H$7370, 3, FALSE), "")</f>
        <v>Documentary, Music, Musical</v>
      </c>
      <c r="D1563" s="2">
        <f>IF(A1563&lt;&gt;"", VLOOKUP(A1563, imdb_netflix_v5!A$2:H$7370, 4, FALSE), "")</f>
        <v>8</v>
      </c>
      <c r="E1563" s="2">
        <f>IF(A1563&lt;&gt;"", VLOOKUP(A1563, imdb_netflix_v5!A$2:H$7370, 5, FALSE), "")</f>
        <v>2023</v>
      </c>
      <c r="F1563" s="2" t="str">
        <f>IF(A1563&lt;&gt;"", VLOOKUP(A1563, imdb_netflix_v5!A$2:H$7370, 7, FALSE), "")</f>
        <v>NA</v>
      </c>
    </row>
    <row r="1564" ht="15.75" customHeight="1">
      <c r="A1564" s="1" t="str">
        <f>IFERROR(__xludf.DUMMYFUNCTION("""COMPUTED_VALUE"""),"silenced")</f>
        <v>silenced</v>
      </c>
      <c r="B1564" s="1" t="str">
        <f>IF(A1564&lt;&gt;"", VLOOKUP(A1564, imdb_netflix_v5!A$2:H$7370, 2, FALSE), "")</f>
        <v>Movie</v>
      </c>
      <c r="C1564" s="2" t="str">
        <f>IF(A1564&lt;&gt;"", VLOOKUP(A1564, imdb_netflix_v5!A$2:H$7370, 3, FALSE), "")</f>
        <v>Crime, Drama, Thriller</v>
      </c>
      <c r="D1564" s="2">
        <f>IF(A1564&lt;&gt;"", VLOOKUP(A1564, imdb_netflix_v5!A$2:H$7370, 4, FALSE), "")</f>
        <v>8</v>
      </c>
      <c r="E1564" s="2">
        <f>IF(A1564&lt;&gt;"", VLOOKUP(A1564, imdb_netflix_v5!A$2:H$7370, 5, FALSE), "")</f>
        <v>2011</v>
      </c>
      <c r="F1564" s="2" t="str">
        <f>IF(A1564&lt;&gt;"", VLOOKUP(A1564, imdb_netflix_v5!A$2:H$7370, 7, FALSE), "")</f>
        <v>NA</v>
      </c>
    </row>
    <row r="1565" ht="15.75" customHeight="1">
      <c r="A1565" s="1" t="str">
        <f>IFERROR(__xludf.DUMMYFUNCTION("""COMPUTED_VALUE"""),"lovesick")</f>
        <v>lovesick</v>
      </c>
      <c r="B1565" s="1" t="str">
        <f>IF(A1565&lt;&gt;"", VLOOKUP(A1565, imdb_netflix_v5!A$2:H$7370, 2, FALSE), "")</f>
        <v>TV Show</v>
      </c>
      <c r="C1565" s="2" t="str">
        <f>IF(A1565&lt;&gt;"", VLOOKUP(A1565, imdb_netflix_v5!A$2:H$7370, 3, FALSE), "")</f>
        <v>Comedy</v>
      </c>
      <c r="D1565" s="2">
        <f>IF(A1565&lt;&gt;"", VLOOKUP(A1565, imdb_netflix_v5!A$2:H$7370, 4, FALSE), "")</f>
        <v>8</v>
      </c>
      <c r="E1565" s="2">
        <f>IF(A1565&lt;&gt;"", VLOOKUP(A1565, imdb_netflix_v5!A$2:H$7370, 5, FALSE), "")</f>
        <v>2014</v>
      </c>
      <c r="F1565" s="2" t="str">
        <f>IF(A1565&lt;&gt;"", VLOOKUP(A1565, imdb_netflix_v5!A$2:H$7370, 7, FALSE), "")</f>
        <v>NA</v>
      </c>
    </row>
    <row r="1566" ht="15.75" customHeight="1">
      <c r="A1566" s="1" t="str">
        <f>IFERROR(__xludf.DUMMYFUNCTION("""COMPUTED_VALUE"""),"a short film about killing")</f>
        <v>a short film about killing</v>
      </c>
      <c r="B1566" s="1" t="str">
        <f>IF(A1566&lt;&gt;"", VLOOKUP(A1566, imdb_netflix_v5!A$2:H$7370, 2, FALSE), "")</f>
        <v>Movie</v>
      </c>
      <c r="C1566" s="2" t="str">
        <f>IF(A1566&lt;&gt;"", VLOOKUP(A1566, imdb_netflix_v5!A$2:H$7370, 3, FALSE), "")</f>
        <v>Crime, Drama</v>
      </c>
      <c r="D1566" s="2">
        <f>IF(A1566&lt;&gt;"", VLOOKUP(A1566, imdb_netflix_v5!A$2:H$7370, 4, FALSE), "")</f>
        <v>8</v>
      </c>
      <c r="E1566" s="2">
        <f>IF(A1566&lt;&gt;"", VLOOKUP(A1566, imdb_netflix_v5!A$2:H$7370, 5, FALSE), "")</f>
        <v>1988</v>
      </c>
      <c r="F1566" s="2" t="str">
        <f>IF(A1566&lt;&gt;"", VLOOKUP(A1566, imdb_netflix_v5!A$2:H$7370, 7, FALSE), "")</f>
        <v>NA</v>
      </c>
    </row>
    <row r="1567" ht="15.75" customHeight="1">
      <c r="A1567" s="1" t="str">
        <f>IFERROR(__xludf.DUMMYFUNCTION("""COMPUTED_VALUE"""),"love, victor")</f>
        <v>love, victor</v>
      </c>
      <c r="B1567" s="1" t="str">
        <f>IF(A1567&lt;&gt;"", VLOOKUP(A1567, imdb_netflix_v5!A$2:H$7370, 2, FALSE), "")</f>
        <v>TV Show</v>
      </c>
      <c r="C1567" s="2" t="str">
        <f>IF(A1567&lt;&gt;"", VLOOKUP(A1567, imdb_netflix_v5!A$2:H$7370, 3, FALSE), "")</f>
        <v>Comedy, Drama, Romance</v>
      </c>
      <c r="D1567" s="2">
        <f>IF(A1567&lt;&gt;"", VLOOKUP(A1567, imdb_netflix_v5!A$2:H$7370, 4, FALSE), "")</f>
        <v>8</v>
      </c>
      <c r="E1567" s="2">
        <f>IF(A1567&lt;&gt;"", VLOOKUP(A1567, imdb_netflix_v5!A$2:H$7370, 5, FALSE), "")</f>
        <v>2020</v>
      </c>
      <c r="F1567" s="2" t="str">
        <f>IF(A1567&lt;&gt;"", VLOOKUP(A1567, imdb_netflix_v5!A$2:H$7370, 7, FALSE), "")</f>
        <v>NA</v>
      </c>
    </row>
    <row r="1568" ht="15.75" customHeight="1">
      <c r="A1568" s="1" t="str">
        <f>IFERROR(__xludf.DUMMYFUNCTION("""COMPUTED_VALUE"""),"arnold")</f>
        <v>arnold</v>
      </c>
      <c r="B1568" s="1" t="str">
        <f>IF(A1568&lt;&gt;"", VLOOKUP(A1568, imdb_netflix_v5!A$2:H$7370, 2, FALSE), "")</f>
        <v>TV Show</v>
      </c>
      <c r="C1568" s="2" t="str">
        <f>IF(A1568&lt;&gt;"", VLOOKUP(A1568, imdb_netflix_v5!A$2:H$7370, 3, FALSE), "")</f>
        <v>Biography, Documentary</v>
      </c>
      <c r="D1568" s="2">
        <f>IF(A1568&lt;&gt;"", VLOOKUP(A1568, imdb_netflix_v5!A$2:H$7370, 4, FALSE), "")</f>
        <v>8</v>
      </c>
      <c r="E1568" s="2">
        <f>IF(A1568&lt;&gt;"", VLOOKUP(A1568, imdb_netflix_v5!A$2:H$7370, 5, FALSE), "")</f>
        <v>2023</v>
      </c>
      <c r="F1568" s="2">
        <f>IF(A1568&lt;&gt;"", VLOOKUP(A1568, imdb_netflix_v5!A$2:H$7370, 7, FALSE), "")</f>
        <v>7800000</v>
      </c>
    </row>
    <row r="1569" ht="15.75" customHeight="1">
      <c r="A1569" s="1" t="str">
        <f>IFERROR(__xludf.DUMMYFUNCTION("""COMPUTED_VALUE"""),"assasination classroom")</f>
        <v>assasination classroom</v>
      </c>
      <c r="B1569" s="1" t="str">
        <f>IF(A1569&lt;&gt;"", VLOOKUP(A1569, imdb_netflix_v5!A$2:H$7370, 2, FALSE), "")</f>
        <v>TV Show</v>
      </c>
      <c r="C1569" s="2" t="str">
        <f>IF(A1569&lt;&gt;"", VLOOKUP(A1569, imdb_netflix_v5!A$2:H$7370, 3, FALSE), "")</f>
        <v>Action, Animation, Comedy</v>
      </c>
      <c r="D1569" s="2">
        <f>IF(A1569&lt;&gt;"", VLOOKUP(A1569, imdb_netflix_v5!A$2:H$7370, 4, FALSE), "")</f>
        <v>8</v>
      </c>
      <c r="E1569" s="2">
        <f>IF(A1569&lt;&gt;"", VLOOKUP(A1569, imdb_netflix_v5!A$2:H$7370, 5, FALSE), "")</f>
        <v>2013</v>
      </c>
      <c r="F1569" s="2" t="str">
        <f>IF(A1569&lt;&gt;"", VLOOKUP(A1569, imdb_netflix_v5!A$2:H$7370, 7, FALSE), "")</f>
        <v>NA</v>
      </c>
    </row>
    <row r="1570" ht="15.75" customHeight="1">
      <c r="A1570" s="1" t="str">
        <f>IFERROR(__xludf.DUMMYFUNCTION("""COMPUTED_VALUE"""),"limelight")</f>
        <v>limelight</v>
      </c>
      <c r="B1570" s="1" t="str">
        <f>IF(A1570&lt;&gt;"", VLOOKUP(A1570, imdb_netflix_v5!A$2:H$7370, 2, FALSE), "")</f>
        <v>Movie</v>
      </c>
      <c r="C1570" s="2" t="str">
        <f>IF(A1570&lt;&gt;"", VLOOKUP(A1570, imdb_netflix_v5!A$2:H$7370, 3, FALSE), "")</f>
        <v>Drama, Music, Romance</v>
      </c>
      <c r="D1570" s="2">
        <f>IF(A1570&lt;&gt;"", VLOOKUP(A1570, imdb_netflix_v5!A$2:H$7370, 4, FALSE), "")</f>
        <v>8</v>
      </c>
      <c r="E1570" s="2">
        <f>IF(A1570&lt;&gt;"", VLOOKUP(A1570, imdb_netflix_v5!A$2:H$7370, 5, FALSE), "")</f>
        <v>1952</v>
      </c>
      <c r="F1570" s="2" t="str">
        <f>IF(A1570&lt;&gt;"", VLOOKUP(A1570, imdb_netflix_v5!A$2:H$7370, 7, FALSE), "")</f>
        <v>NA</v>
      </c>
    </row>
    <row r="1571" ht="15.75" customHeight="1">
      <c r="A1571" s="1" t="str">
        <f>IFERROR(__xludf.DUMMYFUNCTION("""COMPUTED_VALUE"""),"i think you should leave with tim robinson")</f>
        <v>i think you should leave with tim robinson</v>
      </c>
      <c r="B1571" s="1" t="str">
        <f>IF(A1571&lt;&gt;"", VLOOKUP(A1571, imdb_netflix_v5!A$2:H$7370, 2, FALSE), "")</f>
        <v>TV Show</v>
      </c>
      <c r="C1571" s="2" t="str">
        <f>IF(A1571&lt;&gt;"", VLOOKUP(A1571, imdb_netflix_v5!A$2:H$7370, 3, FALSE), "")</f>
        <v>Comedy</v>
      </c>
      <c r="D1571" s="2">
        <f>IF(A1571&lt;&gt;"", VLOOKUP(A1571, imdb_netflix_v5!A$2:H$7370, 4, FALSE), "")</f>
        <v>8</v>
      </c>
      <c r="E1571" s="2">
        <f>IF(A1571&lt;&gt;"", VLOOKUP(A1571, imdb_netflix_v5!A$2:H$7370, 5, FALSE), "")</f>
        <v>2019</v>
      </c>
      <c r="F1571" s="2" t="str">
        <f>IF(A1571&lt;&gt;"", VLOOKUP(A1571, imdb_netflix_v5!A$2:H$7370, 7, FALSE), "")</f>
        <v>NA</v>
      </c>
    </row>
    <row r="1572" ht="15.75" customHeight="1">
      <c r="A1572" s="1" t="str">
        <f>IFERROR(__xludf.DUMMYFUNCTION("""COMPUTED_VALUE"""),"omkara")</f>
        <v>omkara</v>
      </c>
      <c r="B1572" s="1" t="str">
        <f>IF(A1572&lt;&gt;"", VLOOKUP(A1572, imdb_netflix_v5!A$2:H$7370, 2, FALSE), "")</f>
        <v>Movie</v>
      </c>
      <c r="C1572" s="2" t="str">
        <f>IF(A1572&lt;&gt;"", VLOOKUP(A1572, imdb_netflix_v5!A$2:H$7370, 3, FALSE), "")</f>
        <v>Action, Crime, Drama</v>
      </c>
      <c r="D1572" s="2">
        <f>IF(A1572&lt;&gt;"", VLOOKUP(A1572, imdb_netflix_v5!A$2:H$7370, 4, FALSE), "")</f>
        <v>8</v>
      </c>
      <c r="E1572" s="2">
        <f>IF(A1572&lt;&gt;"", VLOOKUP(A1572, imdb_netflix_v5!A$2:H$7370, 5, FALSE), "")</f>
        <v>2006</v>
      </c>
      <c r="F1572" s="2" t="str">
        <f>IF(A1572&lt;&gt;"", VLOOKUP(A1572, imdb_netflix_v5!A$2:H$7370, 7, FALSE), "")</f>
        <v>NA</v>
      </c>
    </row>
    <row r="1573" ht="15.75" customHeight="1">
      <c r="A1573" s="1" t="str">
        <f>IFERROR(__xludf.DUMMYFUNCTION("""COMPUTED_VALUE"""),"the addams family")</f>
        <v>the addams family</v>
      </c>
      <c r="B1573" s="1" t="str">
        <f>IF(A1573&lt;&gt;"", VLOOKUP(A1573, imdb_netflix_v5!A$2:H$7370, 2, FALSE), "")</f>
        <v>TV Show</v>
      </c>
      <c r="C1573" s="2" t="str">
        <f>IF(A1573&lt;&gt;"", VLOOKUP(A1573, imdb_netflix_v5!A$2:H$7370, 3, FALSE), "")</f>
        <v>Comedy, Family, Horror</v>
      </c>
      <c r="D1573" s="2">
        <f>IF(A1573&lt;&gt;"", VLOOKUP(A1573, imdb_netflix_v5!A$2:H$7370, 4, FALSE), "")</f>
        <v>8</v>
      </c>
      <c r="E1573" s="2">
        <f>IF(A1573&lt;&gt;"", VLOOKUP(A1573, imdb_netflix_v5!A$2:H$7370, 5, FALSE), "")</f>
        <v>1964</v>
      </c>
      <c r="F1573" s="2" t="str">
        <f>IF(A1573&lt;&gt;"", VLOOKUP(A1573, imdb_netflix_v5!A$2:H$7370, 7, FALSE), "")</f>
        <v>NA</v>
      </c>
    </row>
    <row r="1574" ht="15.75" customHeight="1">
      <c r="A1574" s="1" t="str">
        <f>IFERROR(__xludf.DUMMYFUNCTION("""COMPUTED_VALUE"""),"crumb")</f>
        <v>crumb</v>
      </c>
      <c r="B1574" s="1" t="str">
        <f>IF(A1574&lt;&gt;"", VLOOKUP(A1574, imdb_netflix_v5!A$2:H$7370, 2, FALSE), "")</f>
        <v>Movie</v>
      </c>
      <c r="C1574" s="2" t="str">
        <f>IF(A1574&lt;&gt;"", VLOOKUP(A1574, imdb_netflix_v5!A$2:H$7370, 3, FALSE), "")</f>
        <v>Biography, Comedy, Documentary</v>
      </c>
      <c r="D1574" s="2">
        <f>IF(A1574&lt;&gt;"", VLOOKUP(A1574, imdb_netflix_v5!A$2:H$7370, 4, FALSE), "")</f>
        <v>8</v>
      </c>
      <c r="E1574" s="2">
        <f>IF(A1574&lt;&gt;"", VLOOKUP(A1574, imdb_netflix_v5!A$2:H$7370, 5, FALSE), "")</f>
        <v>1994</v>
      </c>
      <c r="F1574" s="2" t="str">
        <f>IF(A1574&lt;&gt;"", VLOOKUP(A1574, imdb_netflix_v5!A$2:H$7370, 7, FALSE), "")</f>
        <v>NA</v>
      </c>
    </row>
    <row r="1575" ht="15.75" customHeight="1">
      <c r="A1575" s="1" t="str">
        <f>IFERROR(__xludf.DUMMYFUNCTION("""COMPUTED_VALUE"""),"the corporation")</f>
        <v>the corporation</v>
      </c>
      <c r="B1575" s="1" t="str">
        <f>IF(A1575&lt;&gt;"", VLOOKUP(A1575, imdb_netflix_v5!A$2:H$7370, 2, FALSE), "")</f>
        <v>Movie</v>
      </c>
      <c r="C1575" s="2" t="str">
        <f>IF(A1575&lt;&gt;"", VLOOKUP(A1575, imdb_netflix_v5!A$2:H$7370, 3, FALSE), "")</f>
        <v>Documentary, History</v>
      </c>
      <c r="D1575" s="2">
        <f>IF(A1575&lt;&gt;"", VLOOKUP(A1575, imdb_netflix_v5!A$2:H$7370, 4, FALSE), "")</f>
        <v>8</v>
      </c>
      <c r="E1575" s="2">
        <f>IF(A1575&lt;&gt;"", VLOOKUP(A1575, imdb_netflix_v5!A$2:H$7370, 5, FALSE), "")</f>
        <v>2003</v>
      </c>
      <c r="F1575" s="2" t="str">
        <f>IF(A1575&lt;&gt;"", VLOOKUP(A1575, imdb_netflix_v5!A$2:H$7370, 7, FALSE), "")</f>
        <v>NA</v>
      </c>
    </row>
    <row r="1576" ht="15.75" customHeight="1">
      <c r="A1576" s="1" t="str">
        <f>IFERROR(__xludf.DUMMYFUNCTION("""COMPUTED_VALUE"""),"maidaan")</f>
        <v>maidaan</v>
      </c>
      <c r="B1576" s="1" t="str">
        <f>IF(A1576&lt;&gt;"", VLOOKUP(A1576, imdb_netflix_v5!A$2:H$7370, 2, FALSE), "")</f>
        <v>Movie</v>
      </c>
      <c r="C1576" s="2" t="str">
        <f>IF(A1576&lt;&gt;"", VLOOKUP(A1576, imdb_netflix_v5!A$2:H$7370, 3, FALSE), "")</f>
        <v>Biography, Drama, History</v>
      </c>
      <c r="D1576" s="2">
        <f>IF(A1576&lt;&gt;"", VLOOKUP(A1576, imdb_netflix_v5!A$2:H$7370, 4, FALSE), "")</f>
        <v>8</v>
      </c>
      <c r="E1576" s="2">
        <f>IF(A1576&lt;&gt;"", VLOOKUP(A1576, imdb_netflix_v5!A$2:H$7370, 5, FALSE), "")</f>
        <v>2024</v>
      </c>
      <c r="F1576" s="2" t="str">
        <f>IF(A1576&lt;&gt;"", VLOOKUP(A1576, imdb_netflix_v5!A$2:H$7370, 7, FALSE), "")</f>
        <v>NA</v>
      </c>
    </row>
    <row r="1577" ht="15.75" customHeight="1">
      <c r="A1577" s="1" t="str">
        <f>IFERROR(__xludf.DUMMYFUNCTION("""COMPUTED_VALUE"""),"the returned")</f>
        <v>the returned</v>
      </c>
      <c r="B1577" s="1" t="str">
        <f>IF(A1577&lt;&gt;"", VLOOKUP(A1577, imdb_netflix_v5!A$2:H$7370, 2, FALSE), "")</f>
        <v>TV Show</v>
      </c>
      <c r="C1577" s="2" t="str">
        <f>IF(A1577&lt;&gt;"", VLOOKUP(A1577, imdb_netflix_v5!A$2:H$7370, 3, FALSE), "")</f>
        <v>Drama, Fantasy, Horror</v>
      </c>
      <c r="D1577" s="2">
        <f>IF(A1577&lt;&gt;"", VLOOKUP(A1577, imdb_netflix_v5!A$2:H$7370, 4, FALSE), "")</f>
        <v>8</v>
      </c>
      <c r="E1577" s="2">
        <f>IF(A1577&lt;&gt;"", VLOOKUP(A1577, imdb_netflix_v5!A$2:H$7370, 5, FALSE), "")</f>
        <v>2012</v>
      </c>
      <c r="F1577" s="2" t="str">
        <f>IF(A1577&lt;&gt;"", VLOOKUP(A1577, imdb_netflix_v5!A$2:H$7370, 7, FALSE), "")</f>
        <v>NA</v>
      </c>
    </row>
    <row r="1578" ht="15.75" customHeight="1">
      <c r="A1578" s="1" t="str">
        <f>IFERROR(__xludf.DUMMYFUNCTION("""COMPUTED_VALUE"""),"turtles can fly")</f>
        <v>turtles can fly</v>
      </c>
      <c r="B1578" s="1" t="str">
        <f>IF(A1578&lt;&gt;"", VLOOKUP(A1578, imdb_netflix_v5!A$2:H$7370, 2, FALSE), "")</f>
        <v>Movie</v>
      </c>
      <c r="C1578" s="2" t="str">
        <f>IF(A1578&lt;&gt;"", VLOOKUP(A1578, imdb_netflix_v5!A$2:H$7370, 3, FALSE), "")</f>
        <v>Drama, War</v>
      </c>
      <c r="D1578" s="2">
        <f>IF(A1578&lt;&gt;"", VLOOKUP(A1578, imdb_netflix_v5!A$2:H$7370, 4, FALSE), "")</f>
        <v>8</v>
      </c>
      <c r="E1578" s="2">
        <f>IF(A1578&lt;&gt;"", VLOOKUP(A1578, imdb_netflix_v5!A$2:H$7370, 5, FALSE), "")</f>
        <v>2004</v>
      </c>
      <c r="F1578" s="2" t="str">
        <f>IF(A1578&lt;&gt;"", VLOOKUP(A1578, imdb_netflix_v5!A$2:H$7370, 7, FALSE), "")</f>
        <v>NA</v>
      </c>
    </row>
    <row r="1579" ht="15.75" customHeight="1">
      <c r="A1579" s="1" t="str">
        <f>IFERROR(__xludf.DUMMYFUNCTION("""COMPUTED_VALUE"""),"whats wrong with secretary kim")</f>
        <v>whats wrong with secretary kim</v>
      </c>
      <c r="B1579" s="1" t="str">
        <f>IF(A1579&lt;&gt;"", VLOOKUP(A1579, imdb_netflix_v5!A$2:H$7370, 2, FALSE), "")</f>
        <v>TV Show</v>
      </c>
      <c r="C1579" s="2" t="str">
        <f>IF(A1579&lt;&gt;"", VLOOKUP(A1579, imdb_netflix_v5!A$2:H$7370, 3, FALSE), "")</f>
        <v>Comedy, Mystery, Romance</v>
      </c>
      <c r="D1579" s="2">
        <f>IF(A1579&lt;&gt;"", VLOOKUP(A1579, imdb_netflix_v5!A$2:H$7370, 4, FALSE), "")</f>
        <v>8</v>
      </c>
      <c r="E1579" s="2">
        <f>IF(A1579&lt;&gt;"", VLOOKUP(A1579, imdb_netflix_v5!A$2:H$7370, 5, FALSE), "")</f>
        <v>2018</v>
      </c>
      <c r="F1579" s="2" t="str">
        <f>IF(A1579&lt;&gt;"", VLOOKUP(A1579, imdb_netflix_v5!A$2:H$7370, 7, FALSE), "")</f>
        <v>NA</v>
      </c>
    </row>
    <row r="1580" ht="15.75" customHeight="1">
      <c r="A1580" s="1" t="str">
        <f>IFERROR(__xludf.DUMMYFUNCTION("""COMPUTED_VALUE"""),"kidding")</f>
        <v>kidding</v>
      </c>
      <c r="B1580" s="1" t="str">
        <f>IF(A1580&lt;&gt;"", VLOOKUP(A1580, imdb_netflix_v5!A$2:H$7370, 2, FALSE), "")</f>
        <v>TV Show</v>
      </c>
      <c r="C1580" s="2" t="str">
        <f>IF(A1580&lt;&gt;"", VLOOKUP(A1580, imdb_netflix_v5!A$2:H$7370, 3, FALSE), "")</f>
        <v>Comedy, Drama</v>
      </c>
      <c r="D1580" s="2">
        <f>IF(A1580&lt;&gt;"", VLOOKUP(A1580, imdb_netflix_v5!A$2:H$7370, 4, FALSE), "")</f>
        <v>8</v>
      </c>
      <c r="E1580" s="2">
        <f>IF(A1580&lt;&gt;"", VLOOKUP(A1580, imdb_netflix_v5!A$2:H$7370, 5, FALSE), "")</f>
        <v>2018</v>
      </c>
      <c r="F1580" s="2" t="str">
        <f>IF(A1580&lt;&gt;"", VLOOKUP(A1580, imdb_netflix_v5!A$2:H$7370, 7, FALSE), "")</f>
        <v>NA</v>
      </c>
    </row>
    <row r="1581" ht="15.75" customHeight="1">
      <c r="A1581" s="1" t="str">
        <f>IFERROR(__xludf.DUMMYFUNCTION("""COMPUTED_VALUE"""),"manjhi the mountain man")</f>
        <v>manjhi the mountain man</v>
      </c>
      <c r="B1581" s="1" t="str">
        <f>IF(A1581&lt;&gt;"", VLOOKUP(A1581, imdb_netflix_v5!A$2:H$7370, 2, FALSE), "")</f>
        <v>Movie</v>
      </c>
      <c r="C1581" s="2" t="str">
        <f>IF(A1581&lt;&gt;"", VLOOKUP(A1581, imdb_netflix_v5!A$2:H$7370, 3, FALSE), "")</f>
        <v>Biography, Drama</v>
      </c>
      <c r="D1581" s="2">
        <f>IF(A1581&lt;&gt;"", VLOOKUP(A1581, imdb_netflix_v5!A$2:H$7370, 4, FALSE), "")</f>
        <v>8</v>
      </c>
      <c r="E1581" s="2">
        <f>IF(A1581&lt;&gt;"", VLOOKUP(A1581, imdb_netflix_v5!A$2:H$7370, 5, FALSE), "")</f>
        <v>2015</v>
      </c>
      <c r="F1581" s="2" t="str">
        <f>IF(A1581&lt;&gt;"", VLOOKUP(A1581, imdb_netflix_v5!A$2:H$7370, 7, FALSE), "")</f>
        <v>NA</v>
      </c>
    </row>
    <row r="1582" ht="15.75" customHeight="1">
      <c r="A1582" s="1" t="str">
        <f>IFERROR(__xludf.DUMMYFUNCTION("""COMPUTED_VALUE"""),"castaway on the moon")</f>
        <v>castaway on the moon</v>
      </c>
      <c r="B1582" s="1" t="str">
        <f>IF(A1582&lt;&gt;"", VLOOKUP(A1582, imdb_netflix_v5!A$2:H$7370, 2, FALSE), "")</f>
        <v>Movie</v>
      </c>
      <c r="C1582" s="2" t="str">
        <f>IF(A1582&lt;&gt;"", VLOOKUP(A1582, imdb_netflix_v5!A$2:H$7370, 3, FALSE), "")</f>
        <v>Comedy, Drama, Romance</v>
      </c>
      <c r="D1582" s="2">
        <f>IF(A1582&lt;&gt;"", VLOOKUP(A1582, imdb_netflix_v5!A$2:H$7370, 4, FALSE), "")</f>
        <v>8</v>
      </c>
      <c r="E1582" s="2">
        <f>IF(A1582&lt;&gt;"", VLOOKUP(A1582, imdb_netflix_v5!A$2:H$7370, 5, FALSE), "")</f>
        <v>2009</v>
      </c>
      <c r="F1582" s="2" t="str">
        <f>IF(A1582&lt;&gt;"", VLOOKUP(A1582, imdb_netflix_v5!A$2:H$7370, 7, FALSE), "")</f>
        <v>NA</v>
      </c>
    </row>
    <row r="1583" ht="15.75" customHeight="1">
      <c r="A1583" s="1" t="str">
        <f>IFERROR(__xludf.DUMMYFUNCTION("""COMPUTED_VALUE"""),"honeyland")</f>
        <v>honeyland</v>
      </c>
      <c r="B1583" s="1" t="str">
        <f>IF(A1583&lt;&gt;"", VLOOKUP(A1583, imdb_netflix_v5!A$2:H$7370, 2, FALSE), "")</f>
        <v>Movie</v>
      </c>
      <c r="C1583" s="2" t="str">
        <f>IF(A1583&lt;&gt;"", VLOOKUP(A1583, imdb_netflix_v5!A$2:H$7370, 3, FALSE), "")</f>
        <v>Documentary, Drama</v>
      </c>
      <c r="D1583" s="2">
        <f>IF(A1583&lt;&gt;"", VLOOKUP(A1583, imdb_netflix_v5!A$2:H$7370, 4, FALSE), "")</f>
        <v>8</v>
      </c>
      <c r="E1583" s="2">
        <f>IF(A1583&lt;&gt;"", VLOOKUP(A1583, imdb_netflix_v5!A$2:H$7370, 5, FALSE), "")</f>
        <v>2019</v>
      </c>
      <c r="F1583" s="2" t="str">
        <f>IF(A1583&lt;&gt;"", VLOOKUP(A1583, imdb_netflix_v5!A$2:H$7370, 7, FALSE), "")</f>
        <v>NA</v>
      </c>
    </row>
    <row r="1584" ht="15.75" customHeight="1">
      <c r="A1584" s="1" t="str">
        <f>IFERROR(__xludf.DUMMYFUNCTION("""COMPUTED_VALUE"""),"gargoyles")</f>
        <v>gargoyles</v>
      </c>
      <c r="B1584" s="1" t="str">
        <f>IF(A1584&lt;&gt;"", VLOOKUP(A1584, imdb_netflix_v5!A$2:H$7370, 2, FALSE), "")</f>
        <v>TV Show</v>
      </c>
      <c r="C1584" s="2" t="str">
        <f>IF(A1584&lt;&gt;"", VLOOKUP(A1584, imdb_netflix_v5!A$2:H$7370, 3, FALSE), "")</f>
        <v>Action, Adventure, Animation</v>
      </c>
      <c r="D1584" s="2">
        <f>IF(A1584&lt;&gt;"", VLOOKUP(A1584, imdb_netflix_v5!A$2:H$7370, 4, FALSE), "")</f>
        <v>8</v>
      </c>
      <c r="E1584" s="2">
        <f>IF(A1584&lt;&gt;"", VLOOKUP(A1584, imdb_netflix_v5!A$2:H$7370, 5, FALSE), "")</f>
        <v>1994</v>
      </c>
      <c r="F1584" s="2" t="str">
        <f>IF(A1584&lt;&gt;"", VLOOKUP(A1584, imdb_netflix_v5!A$2:H$7370, 7, FALSE), "")</f>
        <v>NA</v>
      </c>
    </row>
    <row r="1585" ht="15.75" customHeight="1">
      <c r="A1585" s="1" t="str">
        <f>IFERROR(__xludf.DUMMYFUNCTION("""COMPUTED_VALUE"""),"da ali g show")</f>
        <v>da ali g show</v>
      </c>
      <c r="B1585" s="1" t="str">
        <f>IF(A1585&lt;&gt;"", VLOOKUP(A1585, imdb_netflix_v5!A$2:H$7370, 2, FALSE), "")</f>
        <v>TV Show</v>
      </c>
      <c r="C1585" s="2" t="str">
        <f>IF(A1585&lt;&gt;"", VLOOKUP(A1585, imdb_netflix_v5!A$2:H$7370, 3, FALSE), "")</f>
        <v>Comedy</v>
      </c>
      <c r="D1585" s="2">
        <f>IF(A1585&lt;&gt;"", VLOOKUP(A1585, imdb_netflix_v5!A$2:H$7370, 4, FALSE), "")</f>
        <v>8</v>
      </c>
      <c r="E1585" s="2">
        <f>IF(A1585&lt;&gt;"", VLOOKUP(A1585, imdb_netflix_v5!A$2:H$7370, 5, FALSE), "")</f>
        <v>2000</v>
      </c>
      <c r="F1585" s="2" t="str">
        <f>IF(A1585&lt;&gt;"", VLOOKUP(A1585, imdb_netflix_v5!A$2:H$7370, 7, FALSE), "")</f>
        <v>NA</v>
      </c>
    </row>
    <row r="1586" ht="15.75" customHeight="1">
      <c r="A1586" s="1" t="str">
        <f>IFERROR(__xludf.DUMMYFUNCTION("""COMPUTED_VALUE"""),"rascal does not dream of bunny girl senpai")</f>
        <v>rascal does not dream of bunny girl senpai</v>
      </c>
      <c r="B1586" s="1" t="str">
        <f>IF(A1586&lt;&gt;"", VLOOKUP(A1586, imdb_netflix_v5!A$2:H$7370, 2, FALSE), "")</f>
        <v>TV Show</v>
      </c>
      <c r="C1586" s="2" t="str">
        <f>IF(A1586&lt;&gt;"", VLOOKUP(A1586, imdb_netflix_v5!A$2:H$7370, 3, FALSE), "")</f>
        <v>Animation, Drama, Fantasy</v>
      </c>
      <c r="D1586" s="2">
        <f>IF(A1586&lt;&gt;"", VLOOKUP(A1586, imdb_netflix_v5!A$2:H$7370, 4, FALSE), "")</f>
        <v>8</v>
      </c>
      <c r="E1586" s="2">
        <f>IF(A1586&lt;&gt;"", VLOOKUP(A1586, imdb_netflix_v5!A$2:H$7370, 5, FALSE), "")</f>
        <v>2018</v>
      </c>
      <c r="F1586" s="2" t="str">
        <f>IF(A1586&lt;&gt;"", VLOOKUP(A1586, imdb_netflix_v5!A$2:H$7370, 7, FALSE), "")</f>
        <v>NA</v>
      </c>
    </row>
    <row r="1587" ht="15.75" customHeight="1">
      <c r="A1587" s="1" t="str">
        <f>IFERROR(__xludf.DUMMYFUNCTION("""COMPUTED_VALUE"""),"the internets own boy the story of aaron swartz")</f>
        <v>the internets own boy the story of aaron swartz</v>
      </c>
      <c r="B1587" s="1" t="str">
        <f>IF(A1587&lt;&gt;"", VLOOKUP(A1587, imdb_netflix_v5!A$2:H$7370, 2, FALSE), "")</f>
        <v>Movie</v>
      </c>
      <c r="C1587" s="2" t="str">
        <f>IF(A1587&lt;&gt;"", VLOOKUP(A1587, imdb_netflix_v5!A$2:H$7370, 3, FALSE), "")</f>
        <v>Biography, Crime, Documentary</v>
      </c>
      <c r="D1587" s="2">
        <f>IF(A1587&lt;&gt;"", VLOOKUP(A1587, imdb_netflix_v5!A$2:H$7370, 4, FALSE), "")</f>
        <v>8</v>
      </c>
      <c r="E1587" s="2">
        <f>IF(A1587&lt;&gt;"", VLOOKUP(A1587, imdb_netflix_v5!A$2:H$7370, 5, FALSE), "")</f>
        <v>2014</v>
      </c>
      <c r="F1587" s="2" t="str">
        <f>IF(A1587&lt;&gt;"", VLOOKUP(A1587, imdb_netflix_v5!A$2:H$7370, 7, FALSE), "")</f>
        <v>NA</v>
      </c>
    </row>
    <row r="1588" ht="15.75" customHeight="1">
      <c r="A1588" s="1" t="str">
        <f>IFERROR(__xludf.DUMMYFUNCTION("""COMPUTED_VALUE"""),"the looming tower")</f>
        <v>the looming tower</v>
      </c>
      <c r="B1588" s="1" t="str">
        <f>IF(A1588&lt;&gt;"", VLOOKUP(A1588, imdb_netflix_v5!A$2:H$7370, 2, FALSE), "")</f>
        <v>TV Show</v>
      </c>
      <c r="C1588" s="2" t="str">
        <f>IF(A1588&lt;&gt;"", VLOOKUP(A1588, imdb_netflix_v5!A$2:H$7370, 3, FALSE), "")</f>
        <v>Drama, History</v>
      </c>
      <c r="D1588" s="2">
        <f>IF(A1588&lt;&gt;"", VLOOKUP(A1588, imdb_netflix_v5!A$2:H$7370, 4, FALSE), "")</f>
        <v>8</v>
      </c>
      <c r="E1588" s="2">
        <f>IF(A1588&lt;&gt;"", VLOOKUP(A1588, imdb_netflix_v5!A$2:H$7370, 5, FALSE), "")</f>
        <v>2018</v>
      </c>
      <c r="F1588" s="2" t="str">
        <f>IF(A1588&lt;&gt;"", VLOOKUP(A1588, imdb_netflix_v5!A$2:H$7370, 7, FALSE), "")</f>
        <v>NA</v>
      </c>
    </row>
    <row r="1589" ht="15.75" customHeight="1">
      <c r="A1589" s="1" t="str">
        <f>IFERROR(__xludf.DUMMYFUNCTION("""COMPUTED_VALUE"""),"newsradio")</f>
        <v>newsradio</v>
      </c>
      <c r="B1589" s="1" t="str">
        <f>IF(A1589&lt;&gt;"", VLOOKUP(A1589, imdb_netflix_v5!A$2:H$7370, 2, FALSE), "")</f>
        <v>TV Show</v>
      </c>
      <c r="C1589" s="2" t="str">
        <f>IF(A1589&lt;&gt;"", VLOOKUP(A1589, imdb_netflix_v5!A$2:H$7370, 3, FALSE), "")</f>
        <v>Comedy, Romance</v>
      </c>
      <c r="D1589" s="2">
        <f>IF(A1589&lt;&gt;"", VLOOKUP(A1589, imdb_netflix_v5!A$2:H$7370, 4, FALSE), "")</f>
        <v>8</v>
      </c>
      <c r="E1589" s="2">
        <f>IF(A1589&lt;&gt;"", VLOOKUP(A1589, imdb_netflix_v5!A$2:H$7370, 5, FALSE), "")</f>
        <v>1995</v>
      </c>
      <c r="F1589" s="2" t="str">
        <f>IF(A1589&lt;&gt;"", VLOOKUP(A1589, imdb_netflix_v5!A$2:H$7370, 7, FALSE), "")</f>
        <v>NA</v>
      </c>
    </row>
    <row r="1590" ht="15.75" customHeight="1">
      <c r="A1590" s="1" t="str">
        <f>IFERROR(__xludf.DUMMYFUNCTION("""COMPUTED_VALUE"""),"life in pieces")</f>
        <v>life in pieces</v>
      </c>
      <c r="B1590" s="1" t="str">
        <f>IF(A1590&lt;&gt;"", VLOOKUP(A1590, imdb_netflix_v5!A$2:H$7370, 2, FALSE), "")</f>
        <v>TV Show</v>
      </c>
      <c r="C1590" s="2" t="str">
        <f>IF(A1590&lt;&gt;"", VLOOKUP(A1590, imdb_netflix_v5!A$2:H$7370, 3, FALSE), "")</f>
        <v>Comedy</v>
      </c>
      <c r="D1590" s="2">
        <f>IF(A1590&lt;&gt;"", VLOOKUP(A1590, imdb_netflix_v5!A$2:H$7370, 4, FALSE), "")</f>
        <v>8</v>
      </c>
      <c r="E1590" s="2">
        <f>IF(A1590&lt;&gt;"", VLOOKUP(A1590, imdb_netflix_v5!A$2:H$7370, 5, FALSE), "")</f>
        <v>2015</v>
      </c>
      <c r="F1590" s="2" t="str">
        <f>IF(A1590&lt;&gt;"", VLOOKUP(A1590, imdb_netflix_v5!A$2:H$7370, 7, FALSE), "")</f>
        <v>NA</v>
      </c>
    </row>
    <row r="1591" ht="15.75" customHeight="1">
      <c r="A1591" s="1" t="str">
        <f>IFERROR(__xludf.DUMMYFUNCTION("""COMPUTED_VALUE"""),"true beauty")</f>
        <v>true beauty</v>
      </c>
      <c r="B1591" s="1" t="str">
        <f>IF(A1591&lt;&gt;"", VLOOKUP(A1591, imdb_netflix_v5!A$2:H$7370, 2, FALSE), "")</f>
        <v>TV Show</v>
      </c>
      <c r="C1591" s="2" t="str">
        <f>IF(A1591&lt;&gt;"", VLOOKUP(A1591, imdb_netflix_v5!A$2:H$7370, 3, FALSE), "")</f>
        <v>Comedy, Drama, Romance</v>
      </c>
      <c r="D1591" s="2">
        <f>IF(A1591&lt;&gt;"", VLOOKUP(A1591, imdb_netflix_v5!A$2:H$7370, 4, FALSE), "")</f>
        <v>8</v>
      </c>
      <c r="E1591" s="2">
        <f>IF(A1591&lt;&gt;"", VLOOKUP(A1591, imdb_netflix_v5!A$2:H$7370, 5, FALSE), "")</f>
        <v>2020</v>
      </c>
      <c r="F1591" s="2">
        <f>IF(A1591&lt;&gt;"", VLOOKUP(A1591, imdb_netflix_v5!A$2:H$7370, 7, FALSE), "")</f>
        <v>63500000</v>
      </c>
    </row>
    <row r="1592" ht="15.75" customHeight="1">
      <c r="A1592" s="1" t="str">
        <f>IFERROR(__xludf.DUMMYFUNCTION("""COMPUTED_VALUE"""),"horimiya")</f>
        <v>horimiya</v>
      </c>
      <c r="B1592" s="1" t="str">
        <f>IF(A1592&lt;&gt;"", VLOOKUP(A1592, imdb_netflix_v5!A$2:H$7370, 2, FALSE), "")</f>
        <v>TV Show</v>
      </c>
      <c r="C1592" s="2" t="str">
        <f>IF(A1592&lt;&gt;"", VLOOKUP(A1592, imdb_netflix_v5!A$2:H$7370, 3, FALSE), "")</f>
        <v>Animation, Comedy, Drama</v>
      </c>
      <c r="D1592" s="2">
        <f>IF(A1592&lt;&gt;"", VLOOKUP(A1592, imdb_netflix_v5!A$2:H$7370, 4, FALSE), "")</f>
        <v>8</v>
      </c>
      <c r="E1592" s="2">
        <f>IF(A1592&lt;&gt;"", VLOOKUP(A1592, imdb_netflix_v5!A$2:H$7370, 5, FALSE), "")</f>
        <v>2021</v>
      </c>
      <c r="F1592" s="2" t="str">
        <f>IF(A1592&lt;&gt;"", VLOOKUP(A1592, imdb_netflix_v5!A$2:H$7370, 7, FALSE), "")</f>
        <v>NA</v>
      </c>
    </row>
    <row r="1593" ht="15.75" customHeight="1">
      <c r="A1593" s="1" t="str">
        <f>IFERROR(__xludf.DUMMYFUNCTION("""COMPUTED_VALUE"""),"the life and death of colonel blimp")</f>
        <v>the life and death of colonel blimp</v>
      </c>
      <c r="B1593" s="1" t="str">
        <f>IF(A1593&lt;&gt;"", VLOOKUP(A1593, imdb_netflix_v5!A$2:H$7370, 2, FALSE), "")</f>
        <v>Movie</v>
      </c>
      <c r="C1593" s="2" t="str">
        <f>IF(A1593&lt;&gt;"", VLOOKUP(A1593, imdb_netflix_v5!A$2:H$7370, 3, FALSE), "")</f>
        <v>Drama, Romance, War</v>
      </c>
      <c r="D1593" s="2">
        <f>IF(A1593&lt;&gt;"", VLOOKUP(A1593, imdb_netflix_v5!A$2:H$7370, 4, FALSE), "")</f>
        <v>8</v>
      </c>
      <c r="E1593" s="2">
        <f>IF(A1593&lt;&gt;"", VLOOKUP(A1593, imdb_netflix_v5!A$2:H$7370, 5, FALSE), "")</f>
        <v>1943</v>
      </c>
      <c r="F1593" s="2" t="str">
        <f>IF(A1593&lt;&gt;"", VLOOKUP(A1593, imdb_netflix_v5!A$2:H$7370, 7, FALSE), "")</f>
        <v>NA</v>
      </c>
    </row>
    <row r="1594" ht="15.75" customHeight="1">
      <c r="A1594" s="1" t="str">
        <f>IFERROR(__xludf.DUMMYFUNCTION("""COMPUTED_VALUE"""),"the fool")</f>
        <v>the fool</v>
      </c>
      <c r="B1594" s="1" t="str">
        <f>IF(A1594&lt;&gt;"", VLOOKUP(A1594, imdb_netflix_v5!A$2:H$7370, 2, FALSE), "")</f>
        <v>Movie</v>
      </c>
      <c r="C1594" s="2" t="str">
        <f>IF(A1594&lt;&gt;"", VLOOKUP(A1594, imdb_netflix_v5!A$2:H$7370, 3, FALSE), "")</f>
        <v>Crime, Drama, Thriller</v>
      </c>
      <c r="D1594" s="2">
        <f>IF(A1594&lt;&gt;"", VLOOKUP(A1594, imdb_netflix_v5!A$2:H$7370, 4, FALSE), "")</f>
        <v>8</v>
      </c>
      <c r="E1594" s="2">
        <f>IF(A1594&lt;&gt;"", VLOOKUP(A1594, imdb_netflix_v5!A$2:H$7370, 5, FALSE), "")</f>
        <v>2014</v>
      </c>
      <c r="F1594" s="2" t="str">
        <f>IF(A1594&lt;&gt;"", VLOOKUP(A1594, imdb_netflix_v5!A$2:H$7370, 7, FALSE), "")</f>
        <v>NA</v>
      </c>
    </row>
    <row r="1595" ht="15.75" customHeight="1">
      <c r="A1595" s="1" t="str">
        <f>IFERROR(__xludf.DUMMYFUNCTION("""COMPUTED_VALUE"""),"ramy")</f>
        <v>ramy</v>
      </c>
      <c r="B1595" s="1" t="str">
        <f>IF(A1595&lt;&gt;"", VLOOKUP(A1595, imdb_netflix_v5!A$2:H$7370, 2, FALSE), "")</f>
        <v>TV Show</v>
      </c>
      <c r="C1595" s="2" t="str">
        <f>IF(A1595&lt;&gt;"", VLOOKUP(A1595, imdb_netflix_v5!A$2:H$7370, 3, FALSE), "")</f>
        <v>Comedy, Drama, Romance</v>
      </c>
      <c r="D1595" s="2">
        <f>IF(A1595&lt;&gt;"", VLOOKUP(A1595, imdb_netflix_v5!A$2:H$7370, 4, FALSE), "")</f>
        <v>8</v>
      </c>
      <c r="E1595" s="2">
        <f>IF(A1595&lt;&gt;"", VLOOKUP(A1595, imdb_netflix_v5!A$2:H$7370, 5, FALSE), "")</f>
        <v>2019</v>
      </c>
      <c r="F1595" s="2" t="str">
        <f>IF(A1595&lt;&gt;"", VLOOKUP(A1595, imdb_netflix_v5!A$2:H$7370, 7, FALSE), "")</f>
        <v>NA</v>
      </c>
    </row>
    <row r="1596" ht="15.75" customHeight="1">
      <c r="A1596" s="1" t="str">
        <f>IFERROR(__xludf.DUMMYFUNCTION("""COMPUTED_VALUE"""),"my dress-up darling")</f>
        <v>my dress-up darling</v>
      </c>
      <c r="B1596" s="1" t="str">
        <f>IF(A1596&lt;&gt;"", VLOOKUP(A1596, imdb_netflix_v5!A$2:H$7370, 2, FALSE), "")</f>
        <v>TV Show</v>
      </c>
      <c r="C1596" s="2" t="str">
        <f>IF(A1596&lt;&gt;"", VLOOKUP(A1596, imdb_netflix_v5!A$2:H$7370, 3, FALSE), "")</f>
        <v>Animation, Comedy, Romance</v>
      </c>
      <c r="D1596" s="2">
        <f>IF(A1596&lt;&gt;"", VLOOKUP(A1596, imdb_netflix_v5!A$2:H$7370, 4, FALSE), "")</f>
        <v>8</v>
      </c>
      <c r="E1596" s="2">
        <f>IF(A1596&lt;&gt;"", VLOOKUP(A1596, imdb_netflix_v5!A$2:H$7370, 5, FALSE), "")</f>
        <v>2022</v>
      </c>
      <c r="F1596" s="2" t="str">
        <f>IF(A1596&lt;&gt;"", VLOOKUP(A1596, imdb_netflix_v5!A$2:H$7370, 7, FALSE), "")</f>
        <v>NA</v>
      </c>
    </row>
    <row r="1597" ht="15.75" customHeight="1">
      <c r="A1597" s="1" t="str">
        <f>IFERROR(__xludf.DUMMYFUNCTION("""COMPUTED_VALUE"""),"werckmeister harmonies")</f>
        <v>werckmeister harmonies</v>
      </c>
      <c r="B1597" s="1" t="str">
        <f>IF(A1597&lt;&gt;"", VLOOKUP(A1597, imdb_netflix_v5!A$2:H$7370, 2, FALSE), "")</f>
        <v>Movie</v>
      </c>
      <c r="C1597" s="2" t="str">
        <f>IF(A1597&lt;&gt;"", VLOOKUP(A1597, imdb_netflix_v5!A$2:H$7370, 3, FALSE), "")</f>
        <v>Drama, Mystery</v>
      </c>
      <c r="D1597" s="2">
        <f>IF(A1597&lt;&gt;"", VLOOKUP(A1597, imdb_netflix_v5!A$2:H$7370, 4, FALSE), "")</f>
        <v>8</v>
      </c>
      <c r="E1597" s="2">
        <f>IF(A1597&lt;&gt;"", VLOOKUP(A1597, imdb_netflix_v5!A$2:H$7370, 5, FALSE), "")</f>
        <v>2000</v>
      </c>
      <c r="F1597" s="2" t="str">
        <f>IF(A1597&lt;&gt;"", VLOOKUP(A1597, imdb_netflix_v5!A$2:H$7370, 7, FALSE), "")</f>
        <v>NA</v>
      </c>
    </row>
    <row r="1598" ht="15.75" customHeight="1">
      <c r="A1598" s="1" t="str">
        <f>IFERROR(__xludf.DUMMYFUNCTION("""COMPUTED_VALUE"""),"love exposure")</f>
        <v>love exposure</v>
      </c>
      <c r="B1598" s="1" t="str">
        <f>IF(A1598&lt;&gt;"", VLOOKUP(A1598, imdb_netflix_v5!A$2:H$7370, 2, FALSE), "")</f>
        <v>Movie</v>
      </c>
      <c r="C1598" s="2" t="str">
        <f>IF(A1598&lt;&gt;"", VLOOKUP(A1598, imdb_netflix_v5!A$2:H$7370, 3, FALSE), "")</f>
        <v>Action, Comedy, Drama</v>
      </c>
      <c r="D1598" s="2">
        <f>IF(A1598&lt;&gt;"", VLOOKUP(A1598, imdb_netflix_v5!A$2:H$7370, 4, FALSE), "")</f>
        <v>8</v>
      </c>
      <c r="E1598" s="2">
        <f>IF(A1598&lt;&gt;"", VLOOKUP(A1598, imdb_netflix_v5!A$2:H$7370, 5, FALSE), "")</f>
        <v>2008</v>
      </c>
      <c r="F1598" s="2" t="str">
        <f>IF(A1598&lt;&gt;"", VLOOKUP(A1598, imdb_netflix_v5!A$2:H$7370, 7, FALSE), "")</f>
        <v>NA</v>
      </c>
    </row>
    <row r="1599" ht="15.75" customHeight="1">
      <c r="A1599" s="1" t="str">
        <f>IFERROR(__xludf.DUMMYFUNCTION("""COMPUTED_VALUE"""),"company")</f>
        <v>company</v>
      </c>
      <c r="B1599" s="1" t="str">
        <f>IF(A1599&lt;&gt;"", VLOOKUP(A1599, imdb_netflix_v5!A$2:H$7370, 2, FALSE), "")</f>
        <v>Movie</v>
      </c>
      <c r="C1599" s="2" t="str">
        <f>IF(A1599&lt;&gt;"", VLOOKUP(A1599, imdb_netflix_v5!A$2:H$7370, 3, FALSE), "")</f>
        <v>Action, Crime, Drama</v>
      </c>
      <c r="D1599" s="2">
        <f>IF(A1599&lt;&gt;"", VLOOKUP(A1599, imdb_netflix_v5!A$2:H$7370, 4, FALSE), "")</f>
        <v>8</v>
      </c>
      <c r="E1599" s="2">
        <f>IF(A1599&lt;&gt;"", VLOOKUP(A1599, imdb_netflix_v5!A$2:H$7370, 5, FALSE), "")</f>
        <v>2002</v>
      </c>
      <c r="F1599" s="2" t="str">
        <f>IF(A1599&lt;&gt;"", VLOOKUP(A1599, imdb_netflix_v5!A$2:H$7370, 7, FALSE), "")</f>
        <v>NA</v>
      </c>
    </row>
    <row r="1600" ht="15.75" customHeight="1">
      <c r="A1600" s="1" t="str">
        <f>IFERROR(__xludf.DUMMYFUNCTION("""COMPUTED_VALUE"""),"kin")</f>
        <v>kin</v>
      </c>
      <c r="B1600" s="1" t="str">
        <f>IF(A1600&lt;&gt;"", VLOOKUP(A1600, imdb_netflix_v5!A$2:H$7370, 2, FALSE), "")</f>
        <v>TV Show</v>
      </c>
      <c r="C1600" s="2" t="str">
        <f>IF(A1600&lt;&gt;"", VLOOKUP(A1600, imdb_netflix_v5!A$2:H$7370, 3, FALSE), "")</f>
        <v>Crime, Drama</v>
      </c>
      <c r="D1600" s="2">
        <f>IF(A1600&lt;&gt;"", VLOOKUP(A1600, imdb_netflix_v5!A$2:H$7370, 4, FALSE), "")</f>
        <v>8</v>
      </c>
      <c r="E1600" s="2">
        <f>IF(A1600&lt;&gt;"", VLOOKUP(A1600, imdb_netflix_v5!A$2:H$7370, 5, FALSE), "")</f>
        <v>2021</v>
      </c>
      <c r="F1600" s="2" t="str">
        <f>IF(A1600&lt;&gt;"", VLOOKUP(A1600, imdb_netflix_v5!A$2:H$7370, 7, FALSE), "")</f>
        <v>NA</v>
      </c>
    </row>
    <row r="1601" ht="15.75" customHeight="1">
      <c r="A1601" s="1" t="str">
        <f>IFERROR(__xludf.DUMMYFUNCTION("""COMPUTED_VALUE"""),"gulaal")</f>
        <v>gulaal</v>
      </c>
      <c r="B1601" s="1" t="str">
        <f>IF(A1601&lt;&gt;"", VLOOKUP(A1601, imdb_netflix_v5!A$2:H$7370, 2, FALSE), "")</f>
        <v>Movie</v>
      </c>
      <c r="C1601" s="2" t="str">
        <f>IF(A1601&lt;&gt;"", VLOOKUP(A1601, imdb_netflix_v5!A$2:H$7370, 3, FALSE), "")</f>
        <v>Crime, Drama, Thriller</v>
      </c>
      <c r="D1601" s="2">
        <f>IF(A1601&lt;&gt;"", VLOOKUP(A1601, imdb_netflix_v5!A$2:H$7370, 4, FALSE), "")</f>
        <v>8</v>
      </c>
      <c r="E1601" s="2">
        <f>IF(A1601&lt;&gt;"", VLOOKUP(A1601, imdb_netflix_v5!A$2:H$7370, 5, FALSE), "")</f>
        <v>2009</v>
      </c>
      <c r="F1601" s="2" t="str">
        <f>IF(A1601&lt;&gt;"", VLOOKUP(A1601, imdb_netflix_v5!A$2:H$7370, 7, FALSE), "")</f>
        <v>NA</v>
      </c>
    </row>
    <row r="1602" ht="15.75" customHeight="1">
      <c r="A1602" s="1" t="str">
        <f>IFERROR(__xludf.DUMMYFUNCTION("""COMPUTED_VALUE"""),"start-up")</f>
        <v>start-up</v>
      </c>
      <c r="B1602" s="1" t="str">
        <f>IF(A1602&lt;&gt;"", VLOOKUP(A1602, imdb_netflix_v5!A$2:H$7370, 2, FALSE), "")</f>
        <v>TV Show</v>
      </c>
      <c r="C1602" s="2" t="str">
        <f>IF(A1602&lt;&gt;"", VLOOKUP(A1602, imdb_netflix_v5!A$2:H$7370, 3, FALSE), "")</f>
        <v>Comedy, Drama, Romance</v>
      </c>
      <c r="D1602" s="2">
        <f>IF(A1602&lt;&gt;"", VLOOKUP(A1602, imdb_netflix_v5!A$2:H$7370, 4, FALSE), "")</f>
        <v>8</v>
      </c>
      <c r="E1602" s="2">
        <f>IF(A1602&lt;&gt;"", VLOOKUP(A1602, imdb_netflix_v5!A$2:H$7370, 5, FALSE), "")</f>
        <v>2020</v>
      </c>
      <c r="F1602" s="2" t="str">
        <f>IF(A1602&lt;&gt;"", VLOOKUP(A1602, imdb_netflix_v5!A$2:H$7370, 7, FALSE), "")</f>
        <v>NA</v>
      </c>
    </row>
    <row r="1603" ht="15.75" customHeight="1">
      <c r="A1603" s="1" t="str">
        <f>IFERROR(__xludf.DUMMYFUNCTION("""COMPUTED_VALUE"""),"pokiri")</f>
        <v>pokiri</v>
      </c>
      <c r="B1603" s="1" t="str">
        <f>IF(A1603&lt;&gt;"", VLOOKUP(A1603, imdb_netflix_v5!A$2:H$7370, 2, FALSE), "")</f>
        <v>Movie</v>
      </c>
      <c r="C1603" s="2" t="str">
        <f>IF(A1603&lt;&gt;"", VLOOKUP(A1603, imdb_netflix_v5!A$2:H$7370, 3, FALSE), "")</f>
        <v>Action, Crime, Thriller</v>
      </c>
      <c r="D1603" s="2">
        <f>IF(A1603&lt;&gt;"", VLOOKUP(A1603, imdb_netflix_v5!A$2:H$7370, 4, FALSE), "")</f>
        <v>8</v>
      </c>
      <c r="E1603" s="2">
        <f>IF(A1603&lt;&gt;"", VLOOKUP(A1603, imdb_netflix_v5!A$2:H$7370, 5, FALSE), "")</f>
        <v>2006</v>
      </c>
      <c r="F1603" s="2" t="str">
        <f>IF(A1603&lt;&gt;"", VLOOKUP(A1603, imdb_netflix_v5!A$2:H$7370, 7, FALSE), "")</f>
        <v>NA</v>
      </c>
    </row>
    <row r="1604" ht="15.75" customHeight="1">
      <c r="A1604" s="1" t="str">
        <f>IFERROR(__xludf.DUMMYFUNCTION("""COMPUTED_VALUE"""),"love today")</f>
        <v>love today</v>
      </c>
      <c r="B1604" s="1" t="str">
        <f>IF(A1604&lt;&gt;"", VLOOKUP(A1604, imdb_netflix_v5!A$2:H$7370, 2, FALSE), "")</f>
        <v>Movie</v>
      </c>
      <c r="C1604" s="2" t="str">
        <f>IF(A1604&lt;&gt;"", VLOOKUP(A1604, imdb_netflix_v5!A$2:H$7370, 3, FALSE), "")</f>
        <v>Comedy, Drama, Romance</v>
      </c>
      <c r="D1604" s="2">
        <f>IF(A1604&lt;&gt;"", VLOOKUP(A1604, imdb_netflix_v5!A$2:H$7370, 4, FALSE), "")</f>
        <v>8</v>
      </c>
      <c r="E1604" s="2">
        <f>IF(A1604&lt;&gt;"", VLOOKUP(A1604, imdb_netflix_v5!A$2:H$7370, 5, FALSE), "")</f>
        <v>2022</v>
      </c>
      <c r="F1604" s="2" t="str">
        <f>IF(A1604&lt;&gt;"", VLOOKUP(A1604, imdb_netflix_v5!A$2:H$7370, 7, FALSE), "")</f>
        <v>NA</v>
      </c>
    </row>
    <row r="1605" ht="15.75" customHeight="1">
      <c r="A1605" s="1" t="str">
        <f>IFERROR(__xludf.DUMMYFUNCTION("""COMPUTED_VALUE"""),"the vicar of dibley")</f>
        <v>the vicar of dibley</v>
      </c>
      <c r="B1605" s="1" t="str">
        <f>IF(A1605&lt;&gt;"", VLOOKUP(A1605, imdb_netflix_v5!A$2:H$7370, 2, FALSE), "")</f>
        <v>TV Show</v>
      </c>
      <c r="C1605" s="2" t="str">
        <f>IF(A1605&lt;&gt;"", VLOOKUP(A1605, imdb_netflix_v5!A$2:H$7370, 3, FALSE), "")</f>
        <v>Comedy</v>
      </c>
      <c r="D1605" s="2">
        <f>IF(A1605&lt;&gt;"", VLOOKUP(A1605, imdb_netflix_v5!A$2:H$7370, 4, FALSE), "")</f>
        <v>8</v>
      </c>
      <c r="E1605" s="2">
        <f>IF(A1605&lt;&gt;"", VLOOKUP(A1605, imdb_netflix_v5!A$2:H$7370, 5, FALSE), "")</f>
        <v>1994</v>
      </c>
      <c r="F1605" s="2" t="str">
        <f>IF(A1605&lt;&gt;"", VLOOKUP(A1605, imdb_netflix_v5!A$2:H$7370, 7, FALSE), "")</f>
        <v>NA</v>
      </c>
    </row>
    <row r="1606" ht="15.75" customHeight="1">
      <c r="A1606" s="1" t="str">
        <f>IFERROR(__xludf.DUMMYFUNCTION("""COMPUTED_VALUE"""),"claymore")</f>
        <v>claymore</v>
      </c>
      <c r="B1606" s="1" t="str">
        <f>IF(A1606&lt;&gt;"", VLOOKUP(A1606, imdb_netflix_v5!A$2:H$7370, 2, FALSE), "")</f>
        <v>TV Show</v>
      </c>
      <c r="C1606" s="2" t="str">
        <f>IF(A1606&lt;&gt;"", VLOOKUP(A1606, imdb_netflix_v5!A$2:H$7370, 3, FALSE), "")</f>
        <v>Action, Adventure, Animation</v>
      </c>
      <c r="D1606" s="2">
        <f>IF(A1606&lt;&gt;"", VLOOKUP(A1606, imdb_netflix_v5!A$2:H$7370, 4, FALSE), "")</f>
        <v>8</v>
      </c>
      <c r="E1606" s="2">
        <f>IF(A1606&lt;&gt;"", VLOOKUP(A1606, imdb_netflix_v5!A$2:H$7370, 5, FALSE), "")</f>
        <v>2007</v>
      </c>
      <c r="F1606" s="2" t="str">
        <f>IF(A1606&lt;&gt;"", VLOOKUP(A1606, imdb_netflix_v5!A$2:H$7370, 7, FALSE), "")</f>
        <v>NA</v>
      </c>
    </row>
    <row r="1607" ht="15.75" customHeight="1">
      <c r="A1607" s="1" t="str">
        <f>IFERROR(__xludf.DUMMYFUNCTION("""COMPUTED_VALUE"""),"the last laugh")</f>
        <v>the last laugh</v>
      </c>
      <c r="B1607" s="1" t="str">
        <f>IF(A1607&lt;&gt;"", VLOOKUP(A1607, imdb_netflix_v5!A$2:H$7370, 2, FALSE), "")</f>
        <v>Movie</v>
      </c>
      <c r="C1607" s="2" t="str">
        <f>IF(A1607&lt;&gt;"", VLOOKUP(A1607, imdb_netflix_v5!A$2:H$7370, 3, FALSE), "")</f>
        <v>Drama, Horror</v>
      </c>
      <c r="D1607" s="2">
        <f>IF(A1607&lt;&gt;"", VLOOKUP(A1607, imdb_netflix_v5!A$2:H$7370, 4, FALSE), "")</f>
        <v>8</v>
      </c>
      <c r="E1607" s="2">
        <f>IF(A1607&lt;&gt;"", VLOOKUP(A1607, imdb_netflix_v5!A$2:H$7370, 5, FALSE), "")</f>
        <v>1924</v>
      </c>
      <c r="F1607" s="2" t="str">
        <f>IF(A1607&lt;&gt;"", VLOOKUP(A1607, imdb_netflix_v5!A$2:H$7370, 7, FALSE), "")</f>
        <v>NA</v>
      </c>
    </row>
    <row r="1608" ht="15.75" customHeight="1">
      <c r="A1608" s="1" t="str">
        <f>IFERROR(__xludf.DUMMYFUNCTION("""COMPUTED_VALUE"""),"shame")</f>
        <v>shame</v>
      </c>
      <c r="B1608" s="1" t="str">
        <f>IF(A1608&lt;&gt;"", VLOOKUP(A1608, imdb_netflix_v5!A$2:H$7370, 2, FALSE), "")</f>
        <v>Movie</v>
      </c>
      <c r="C1608" s="2" t="str">
        <f>IF(A1608&lt;&gt;"", VLOOKUP(A1608, imdb_netflix_v5!A$2:H$7370, 3, FALSE), "")</f>
        <v>Drama</v>
      </c>
      <c r="D1608" s="2">
        <f>IF(A1608&lt;&gt;"", VLOOKUP(A1608, imdb_netflix_v5!A$2:H$7370, 4, FALSE), "")</f>
        <v>8</v>
      </c>
      <c r="E1608" s="2">
        <f>IF(A1608&lt;&gt;"", VLOOKUP(A1608, imdb_netflix_v5!A$2:H$7370, 5, FALSE), "")</f>
        <v>1968</v>
      </c>
      <c r="F1608" s="2" t="str">
        <f>IF(A1608&lt;&gt;"", VLOOKUP(A1608, imdb_netflix_v5!A$2:H$7370, 7, FALSE), "")</f>
        <v>NA</v>
      </c>
    </row>
    <row r="1609" ht="15.75" customHeight="1">
      <c r="A1609" s="1" t="str">
        <f>IFERROR(__xludf.DUMMYFUNCTION("""COMPUTED_VALUE"""),"deutschland 83")</f>
        <v>deutschland 83</v>
      </c>
      <c r="B1609" s="1" t="str">
        <f>IF(A1609&lt;&gt;"", VLOOKUP(A1609, imdb_netflix_v5!A$2:H$7370, 2, FALSE), "")</f>
        <v>TV Show</v>
      </c>
      <c r="C1609" s="2" t="str">
        <f>IF(A1609&lt;&gt;"", VLOOKUP(A1609, imdb_netflix_v5!A$2:H$7370, 3, FALSE), "")</f>
        <v>Drama, Romance, Thriller</v>
      </c>
      <c r="D1609" s="2">
        <f>IF(A1609&lt;&gt;"", VLOOKUP(A1609, imdb_netflix_v5!A$2:H$7370, 4, FALSE), "")</f>
        <v>8</v>
      </c>
      <c r="E1609" s="2">
        <f>IF(A1609&lt;&gt;"", VLOOKUP(A1609, imdb_netflix_v5!A$2:H$7370, 5, FALSE), "")</f>
        <v>2015</v>
      </c>
      <c r="F1609" s="2" t="str">
        <f>IF(A1609&lt;&gt;"", VLOOKUP(A1609, imdb_netflix_v5!A$2:H$7370, 7, FALSE), "")</f>
        <v>NA</v>
      </c>
    </row>
    <row r="1610" ht="15.75" customHeight="1">
      <c r="A1610" s="1" t="str">
        <f>IFERROR(__xludf.DUMMYFUNCTION("""COMPUTED_VALUE"""),"evangelion 3.0+1.01 thrice upon a time")</f>
        <v>evangelion 3.0+1.01 thrice upon a time</v>
      </c>
      <c r="B1610" s="1" t="str">
        <f>IF(A1610&lt;&gt;"", VLOOKUP(A1610, imdb_netflix_v5!A$2:H$7370, 2, FALSE), "")</f>
        <v>Movie</v>
      </c>
      <c r="C1610" s="2" t="str">
        <f>IF(A1610&lt;&gt;"", VLOOKUP(A1610, imdb_netflix_v5!A$2:H$7370, 3, FALSE), "")</f>
        <v>Action, Animation, Drama</v>
      </c>
      <c r="D1610" s="2">
        <f>IF(A1610&lt;&gt;"", VLOOKUP(A1610, imdb_netflix_v5!A$2:H$7370, 4, FALSE), "")</f>
        <v>8</v>
      </c>
      <c r="E1610" s="2">
        <f>IF(A1610&lt;&gt;"", VLOOKUP(A1610, imdb_netflix_v5!A$2:H$7370, 5, FALSE), "")</f>
        <v>2021</v>
      </c>
      <c r="F1610" s="2" t="str">
        <f>IF(A1610&lt;&gt;"", VLOOKUP(A1610, imdb_netflix_v5!A$2:H$7370, 7, FALSE), "")</f>
        <v>NA</v>
      </c>
    </row>
    <row r="1611" ht="15.75" customHeight="1">
      <c r="A1611" s="1" t="str">
        <f>IFERROR(__xludf.DUMMYFUNCTION("""COMPUTED_VALUE"""),"w")</f>
        <v>w</v>
      </c>
      <c r="B1611" s="1" t="str">
        <f>IF(A1611&lt;&gt;"", VLOOKUP(A1611, imdb_netflix_v5!A$2:H$7370, 2, FALSE), "")</f>
        <v>TV Show</v>
      </c>
      <c r="C1611" s="2" t="str">
        <f>IF(A1611&lt;&gt;"", VLOOKUP(A1611, imdb_netflix_v5!A$2:H$7370, 3, FALSE), "")</f>
        <v>Action, Comedy, Drama</v>
      </c>
      <c r="D1611" s="2">
        <f>IF(A1611&lt;&gt;"", VLOOKUP(A1611, imdb_netflix_v5!A$2:H$7370, 4, FALSE), "")</f>
        <v>8</v>
      </c>
      <c r="E1611" s="2">
        <f>IF(A1611&lt;&gt;"", VLOOKUP(A1611, imdb_netflix_v5!A$2:H$7370, 5, FALSE), "")</f>
        <v>2016</v>
      </c>
      <c r="F1611" s="2" t="str">
        <f>IF(A1611&lt;&gt;"", VLOOKUP(A1611, imdb_netflix_v5!A$2:H$7370, 7, FALSE), "")</f>
        <v>NA</v>
      </c>
    </row>
    <row r="1612" ht="15.75" customHeight="1">
      <c r="A1612" s="1" t="str">
        <f>IFERROR(__xludf.DUMMYFUNCTION("""COMPUTED_VALUE"""),"vaastav the reality")</f>
        <v>vaastav the reality</v>
      </c>
      <c r="B1612" s="1" t="str">
        <f>IF(A1612&lt;&gt;"", VLOOKUP(A1612, imdb_netflix_v5!A$2:H$7370, 2, FALSE), "")</f>
        <v>Movie</v>
      </c>
      <c r="C1612" s="2" t="str">
        <f>IF(A1612&lt;&gt;"", VLOOKUP(A1612, imdb_netflix_v5!A$2:H$7370, 3, FALSE), "")</f>
        <v>Action, Crime, Drama</v>
      </c>
      <c r="D1612" s="2">
        <f>IF(A1612&lt;&gt;"", VLOOKUP(A1612, imdb_netflix_v5!A$2:H$7370, 4, FALSE), "")</f>
        <v>8</v>
      </c>
      <c r="E1612" s="2">
        <f>IF(A1612&lt;&gt;"", VLOOKUP(A1612, imdb_netflix_v5!A$2:H$7370, 5, FALSE), "")</f>
        <v>1999</v>
      </c>
      <c r="F1612" s="2" t="str">
        <f>IF(A1612&lt;&gt;"", VLOOKUP(A1612, imdb_netflix_v5!A$2:H$7370, 7, FALSE), "")</f>
        <v>NA</v>
      </c>
    </row>
    <row r="1613" ht="15.75" customHeight="1">
      <c r="A1613" s="1" t="str">
        <f>IFERROR(__xludf.DUMMYFUNCTION("""COMPUTED_VALUE"""),"looking for alaska")</f>
        <v>looking for alaska</v>
      </c>
      <c r="B1613" s="1" t="str">
        <f>IF(A1613&lt;&gt;"", VLOOKUP(A1613, imdb_netflix_v5!A$2:H$7370, 2, FALSE), "")</f>
        <v>TV Show</v>
      </c>
      <c r="C1613" s="2" t="str">
        <f>IF(A1613&lt;&gt;"", VLOOKUP(A1613, imdb_netflix_v5!A$2:H$7370, 3, FALSE), "")</f>
        <v>Drama, Romance</v>
      </c>
      <c r="D1613" s="2">
        <f>IF(A1613&lt;&gt;"", VLOOKUP(A1613, imdb_netflix_v5!A$2:H$7370, 4, FALSE), "")</f>
        <v>8</v>
      </c>
      <c r="E1613" s="2">
        <f>IF(A1613&lt;&gt;"", VLOOKUP(A1613, imdb_netflix_v5!A$2:H$7370, 5, FALSE), "")</f>
        <v>2019</v>
      </c>
      <c r="F1613" s="2" t="str">
        <f>IF(A1613&lt;&gt;"", VLOOKUP(A1613, imdb_netflix_v5!A$2:H$7370, 7, FALSE), "")</f>
        <v>NA</v>
      </c>
    </row>
    <row r="1614" ht="15.75" customHeight="1">
      <c r="A1614" s="1" t="str">
        <f>IFERROR(__xludf.DUMMYFUNCTION("""COMPUTED_VALUE"""),"paranoia agent")</f>
        <v>paranoia agent</v>
      </c>
      <c r="B1614" s="1" t="str">
        <f>IF(A1614&lt;&gt;"", VLOOKUP(A1614, imdb_netflix_v5!A$2:H$7370, 2, FALSE), "")</f>
        <v>TV Show</v>
      </c>
      <c r="C1614" s="2" t="str">
        <f>IF(A1614&lt;&gt;"", VLOOKUP(A1614, imdb_netflix_v5!A$2:H$7370, 3, FALSE), "")</f>
        <v>Animation, Drama, Horror</v>
      </c>
      <c r="D1614" s="2">
        <f>IF(A1614&lt;&gt;"", VLOOKUP(A1614, imdb_netflix_v5!A$2:H$7370, 4, FALSE), "")</f>
        <v>8</v>
      </c>
      <c r="E1614" s="2">
        <f>IF(A1614&lt;&gt;"", VLOOKUP(A1614, imdb_netflix_v5!A$2:H$7370, 5, FALSE), "")</f>
        <v>2004</v>
      </c>
      <c r="F1614" s="2" t="str">
        <f>IF(A1614&lt;&gt;"", VLOOKUP(A1614, imdb_netflix_v5!A$2:H$7370, 7, FALSE), "")</f>
        <v>NA</v>
      </c>
    </row>
    <row r="1615" ht="15.75" customHeight="1">
      <c r="A1615" s="1" t="str">
        <f>IFERROR(__xludf.DUMMYFUNCTION("""COMPUTED_VALUE"""),"yol")</f>
        <v>yol</v>
      </c>
      <c r="B1615" s="1" t="str">
        <f>IF(A1615&lt;&gt;"", VLOOKUP(A1615, imdb_netflix_v5!A$2:H$7370, 2, FALSE), "")</f>
        <v>Movie</v>
      </c>
      <c r="C1615" s="2" t="str">
        <f>IF(A1615&lt;&gt;"", VLOOKUP(A1615, imdb_netflix_v5!A$2:H$7370, 3, FALSE), "")</f>
        <v>Drama</v>
      </c>
      <c r="D1615" s="2">
        <f>IF(A1615&lt;&gt;"", VLOOKUP(A1615, imdb_netflix_v5!A$2:H$7370, 4, FALSE), "")</f>
        <v>8</v>
      </c>
      <c r="E1615" s="2">
        <f>IF(A1615&lt;&gt;"", VLOOKUP(A1615, imdb_netflix_v5!A$2:H$7370, 5, FALSE), "")</f>
        <v>1982</v>
      </c>
      <c r="F1615" s="2" t="str">
        <f>IF(A1615&lt;&gt;"", VLOOKUP(A1615, imdb_netflix_v5!A$2:H$7370, 7, FALSE), "")</f>
        <v>NA</v>
      </c>
    </row>
    <row r="1616" ht="15.75" customHeight="1">
      <c r="A1616" s="1" t="str">
        <f>IFERROR(__xludf.DUMMYFUNCTION("""COMPUTED_VALUE"""),"moscow does not believe in tears")</f>
        <v>moscow does not believe in tears</v>
      </c>
      <c r="B1616" s="1" t="str">
        <f>IF(A1616&lt;&gt;"", VLOOKUP(A1616, imdb_netflix_v5!A$2:H$7370, 2, FALSE), "")</f>
        <v>Movie</v>
      </c>
      <c r="C1616" s="2" t="str">
        <f>IF(A1616&lt;&gt;"", VLOOKUP(A1616, imdb_netflix_v5!A$2:H$7370, 3, FALSE), "")</f>
        <v>Comedy, Drama, Romance</v>
      </c>
      <c r="D1616" s="2">
        <f>IF(A1616&lt;&gt;"", VLOOKUP(A1616, imdb_netflix_v5!A$2:H$7370, 4, FALSE), "")</f>
        <v>8</v>
      </c>
      <c r="E1616" s="2">
        <f>IF(A1616&lt;&gt;"", VLOOKUP(A1616, imdb_netflix_v5!A$2:H$7370, 5, FALSE), "")</f>
        <v>1980</v>
      </c>
      <c r="F1616" s="2" t="str">
        <f>IF(A1616&lt;&gt;"", VLOOKUP(A1616, imdb_netflix_v5!A$2:H$7370, 7, FALSE), "")</f>
        <v>NA</v>
      </c>
    </row>
    <row r="1617" ht="15.75" customHeight="1">
      <c r="A1617" s="1" t="str">
        <f>IFERROR(__xludf.DUMMYFUNCTION("""COMPUTED_VALUE"""),"quarry")</f>
        <v>quarry</v>
      </c>
      <c r="B1617" s="1" t="str">
        <f>IF(A1617&lt;&gt;"", VLOOKUP(A1617, imdb_netflix_v5!A$2:H$7370, 2, FALSE), "")</f>
        <v>TV Show</v>
      </c>
      <c r="C1617" s="2" t="str">
        <f>IF(A1617&lt;&gt;"", VLOOKUP(A1617, imdb_netflix_v5!A$2:H$7370, 3, FALSE), "")</f>
        <v>Crime, Drama, Thriller</v>
      </c>
      <c r="D1617" s="2">
        <f>IF(A1617&lt;&gt;"", VLOOKUP(A1617, imdb_netflix_v5!A$2:H$7370, 4, FALSE), "")</f>
        <v>8</v>
      </c>
      <c r="E1617" s="2">
        <f>IF(A1617&lt;&gt;"", VLOOKUP(A1617, imdb_netflix_v5!A$2:H$7370, 5, FALSE), "")</f>
        <v>2016</v>
      </c>
      <c r="F1617" s="2" t="str">
        <f>IF(A1617&lt;&gt;"", VLOOKUP(A1617, imdb_netflix_v5!A$2:H$7370, 7, FALSE), "")</f>
        <v>NA</v>
      </c>
    </row>
    <row r="1618" ht="15.75" customHeight="1">
      <c r="A1618" s="1" t="str">
        <f>IFERROR(__xludf.DUMMYFUNCTION("""COMPUTED_VALUE"""),"the phantom carriage")</f>
        <v>the phantom carriage</v>
      </c>
      <c r="B1618" s="1" t="str">
        <f>IF(A1618&lt;&gt;"", VLOOKUP(A1618, imdb_netflix_v5!A$2:H$7370, 2, FALSE), "")</f>
        <v>Movie</v>
      </c>
      <c r="C1618" s="2" t="str">
        <f>IF(A1618&lt;&gt;"", VLOOKUP(A1618, imdb_netflix_v5!A$2:H$7370, 3, FALSE), "")</f>
        <v>Drama, Fantasy, Horror</v>
      </c>
      <c r="D1618" s="2">
        <f>IF(A1618&lt;&gt;"", VLOOKUP(A1618, imdb_netflix_v5!A$2:H$7370, 4, FALSE), "")</f>
        <v>8</v>
      </c>
      <c r="E1618" s="2">
        <f>IF(A1618&lt;&gt;"", VLOOKUP(A1618, imdb_netflix_v5!A$2:H$7370, 5, FALSE), "")</f>
        <v>1921</v>
      </c>
      <c r="F1618" s="2" t="str">
        <f>IF(A1618&lt;&gt;"", VLOOKUP(A1618, imdb_netflix_v5!A$2:H$7370, 7, FALSE), "")</f>
        <v>NA</v>
      </c>
    </row>
    <row r="1619" ht="15.75" customHeight="1">
      <c r="A1619" s="1" t="str">
        <f>IFERROR(__xludf.DUMMYFUNCTION("""COMPUTED_VALUE"""),"the bad sleep well")</f>
        <v>the bad sleep well</v>
      </c>
      <c r="B1619" s="1" t="str">
        <f>IF(A1619&lt;&gt;"", VLOOKUP(A1619, imdb_netflix_v5!A$2:H$7370, 2, FALSE), "")</f>
        <v>Movie</v>
      </c>
      <c r="C1619" s="2" t="str">
        <f>IF(A1619&lt;&gt;"", VLOOKUP(A1619, imdb_netflix_v5!A$2:H$7370, 3, FALSE), "")</f>
        <v>Crime, Drama, Thriller</v>
      </c>
      <c r="D1619" s="2">
        <f>IF(A1619&lt;&gt;"", VLOOKUP(A1619, imdb_netflix_v5!A$2:H$7370, 4, FALSE), "")</f>
        <v>8</v>
      </c>
      <c r="E1619" s="2">
        <f>IF(A1619&lt;&gt;"", VLOOKUP(A1619, imdb_netflix_v5!A$2:H$7370, 5, FALSE), "")</f>
        <v>1960</v>
      </c>
      <c r="F1619" s="2" t="str">
        <f>IF(A1619&lt;&gt;"", VLOOKUP(A1619, imdb_netflix_v5!A$2:H$7370, 7, FALSE), "")</f>
        <v>NA</v>
      </c>
    </row>
    <row r="1620" ht="15.75" customHeight="1">
      <c r="A1620" s="1" t="str">
        <f>IFERROR(__xludf.DUMMYFUNCTION("""COMPUTED_VALUE"""),"malik")</f>
        <v>malik</v>
      </c>
      <c r="B1620" s="1" t="str">
        <f>IF(A1620&lt;&gt;"", VLOOKUP(A1620, imdb_netflix_v5!A$2:H$7370, 2, FALSE), "")</f>
        <v>Movie</v>
      </c>
      <c r="C1620" s="2" t="str">
        <f>IF(A1620&lt;&gt;"", VLOOKUP(A1620, imdb_netflix_v5!A$2:H$7370, 3, FALSE), "")</f>
        <v>Action, Biography, Crime</v>
      </c>
      <c r="D1620" s="2">
        <f>IF(A1620&lt;&gt;"", VLOOKUP(A1620, imdb_netflix_v5!A$2:H$7370, 4, FALSE), "")</f>
        <v>8</v>
      </c>
      <c r="E1620" s="2">
        <f>IF(A1620&lt;&gt;"", VLOOKUP(A1620, imdb_netflix_v5!A$2:H$7370, 5, FALSE), "")</f>
        <v>2021</v>
      </c>
      <c r="F1620" s="2" t="str">
        <f>IF(A1620&lt;&gt;"", VLOOKUP(A1620, imdb_netflix_v5!A$2:H$7370, 7, FALSE), "")</f>
        <v>NA</v>
      </c>
    </row>
    <row r="1621" ht="15.75" customHeight="1">
      <c r="A1621" s="1" t="str">
        <f>IFERROR(__xludf.DUMMYFUNCTION("""COMPUTED_VALUE"""),"summer of soul (...or, when the revolution could not be televised)")</f>
        <v>summer of soul (...or, when the revolution could not be televised)</v>
      </c>
      <c r="B1621" s="1" t="str">
        <f>IF(A1621&lt;&gt;"", VLOOKUP(A1621, imdb_netflix_v5!A$2:H$7370, 2, FALSE), "")</f>
        <v>Movie</v>
      </c>
      <c r="C1621" s="2" t="str">
        <f>IF(A1621&lt;&gt;"", VLOOKUP(A1621, imdb_netflix_v5!A$2:H$7370, 3, FALSE), "")</f>
        <v>Documentary, History, Music</v>
      </c>
      <c r="D1621" s="2">
        <f>IF(A1621&lt;&gt;"", VLOOKUP(A1621, imdb_netflix_v5!A$2:H$7370, 4, FALSE), "")</f>
        <v>8</v>
      </c>
      <c r="E1621" s="2">
        <f>IF(A1621&lt;&gt;"", VLOOKUP(A1621, imdb_netflix_v5!A$2:H$7370, 5, FALSE), "")</f>
        <v>2021</v>
      </c>
      <c r="F1621" s="2" t="str">
        <f>IF(A1621&lt;&gt;"", VLOOKUP(A1621, imdb_netflix_v5!A$2:H$7370, 7, FALSE), "")</f>
        <v>NA</v>
      </c>
    </row>
    <row r="1622" ht="15.75" customHeight="1">
      <c r="A1622" s="1" t="str">
        <f>IFERROR(__xludf.DUMMYFUNCTION("""COMPUTED_VALUE"""),"jonathan strange &amp; mr norrell")</f>
        <v>jonathan strange &amp; mr norrell</v>
      </c>
      <c r="B1622" s="1" t="str">
        <f>IF(A1622&lt;&gt;"", VLOOKUP(A1622, imdb_netflix_v5!A$2:H$7370, 2, FALSE), "")</f>
        <v>TV Show</v>
      </c>
      <c r="C1622" s="2" t="str">
        <f>IF(A1622&lt;&gt;"", VLOOKUP(A1622, imdb_netflix_v5!A$2:H$7370, 3, FALSE), "")</f>
        <v>Fantasy, War</v>
      </c>
      <c r="D1622" s="2">
        <f>IF(A1622&lt;&gt;"", VLOOKUP(A1622, imdb_netflix_v5!A$2:H$7370, 4, FALSE), "")</f>
        <v>8</v>
      </c>
      <c r="E1622" s="2">
        <f>IF(A1622&lt;&gt;"", VLOOKUP(A1622, imdb_netflix_v5!A$2:H$7370, 5, FALSE), "")</f>
        <v>2015</v>
      </c>
      <c r="F1622" s="2" t="str">
        <f>IF(A1622&lt;&gt;"", VLOOKUP(A1622, imdb_netflix_v5!A$2:H$7370, 7, FALSE), "")</f>
        <v>NA</v>
      </c>
    </row>
    <row r="1623" ht="15.75" customHeight="1">
      <c r="A1623" s="1" t="str">
        <f>IFERROR(__xludf.DUMMYFUNCTION("""COMPUTED_VALUE"""),"tomorrow")</f>
        <v>tomorrow</v>
      </c>
      <c r="B1623" s="1" t="str">
        <f>IF(A1623&lt;&gt;"", VLOOKUP(A1623, imdb_netflix_v5!A$2:H$7370, 2, FALSE), "")</f>
        <v>TV Show</v>
      </c>
      <c r="C1623" s="2" t="str">
        <f>IF(A1623&lt;&gt;"", VLOOKUP(A1623, imdb_netflix_v5!A$2:H$7370, 3, FALSE), "")</f>
        <v>Action, Comedy, Drama</v>
      </c>
      <c r="D1623" s="2">
        <f>IF(A1623&lt;&gt;"", VLOOKUP(A1623, imdb_netflix_v5!A$2:H$7370, 4, FALSE), "")</f>
        <v>8</v>
      </c>
      <c r="E1623" s="2">
        <f>IF(A1623&lt;&gt;"", VLOOKUP(A1623, imdb_netflix_v5!A$2:H$7370, 5, FALSE), "")</f>
        <v>2022</v>
      </c>
      <c r="F1623" s="2">
        <f>IF(A1623&lt;&gt;"", VLOOKUP(A1623, imdb_netflix_v5!A$2:H$7370, 7, FALSE), "")</f>
        <v>11120000</v>
      </c>
    </row>
    <row r="1624" ht="15.75" customHeight="1">
      <c r="A1624" s="1" t="str">
        <f>IFERROR(__xludf.DUMMYFUNCTION("""COMPUTED_VALUE"""),"investigation of a citizen above suspicion")</f>
        <v>investigation of a citizen above suspicion</v>
      </c>
      <c r="B1624" s="1" t="str">
        <f>IF(A1624&lt;&gt;"", VLOOKUP(A1624, imdb_netflix_v5!A$2:H$7370, 2, FALSE), "")</f>
        <v>Movie</v>
      </c>
      <c r="C1624" s="2" t="str">
        <f>IF(A1624&lt;&gt;"", VLOOKUP(A1624, imdb_netflix_v5!A$2:H$7370, 3, FALSE), "")</f>
        <v>Crime, Drama</v>
      </c>
      <c r="D1624" s="2">
        <f>IF(A1624&lt;&gt;"", VLOOKUP(A1624, imdb_netflix_v5!A$2:H$7370, 4, FALSE), "")</f>
        <v>8</v>
      </c>
      <c r="E1624" s="2">
        <f>IF(A1624&lt;&gt;"", VLOOKUP(A1624, imdb_netflix_v5!A$2:H$7370, 5, FALSE), "")</f>
        <v>1970</v>
      </c>
      <c r="F1624" s="2" t="str">
        <f>IF(A1624&lt;&gt;"", VLOOKUP(A1624, imdb_netflix_v5!A$2:H$7370, 7, FALSE), "")</f>
        <v>NA</v>
      </c>
    </row>
    <row r="1625" ht="15.75" customHeight="1">
      <c r="A1625" s="1" t="str">
        <f>IFERROR(__xludf.DUMMYFUNCTION("""COMPUTED_VALUE"""),"drops of god")</f>
        <v>drops of god</v>
      </c>
      <c r="B1625" s="1" t="str">
        <f>IF(A1625&lt;&gt;"", VLOOKUP(A1625, imdb_netflix_v5!A$2:H$7370, 2, FALSE), "")</f>
        <v>TV Show</v>
      </c>
      <c r="C1625" s="2" t="str">
        <f>IF(A1625&lt;&gt;"", VLOOKUP(A1625, imdb_netflix_v5!A$2:H$7370, 3, FALSE), "")</f>
        <v>Drama</v>
      </c>
      <c r="D1625" s="2">
        <f>IF(A1625&lt;&gt;"", VLOOKUP(A1625, imdb_netflix_v5!A$2:H$7370, 4, FALSE), "")</f>
        <v>8</v>
      </c>
      <c r="E1625" s="2">
        <f>IF(A1625&lt;&gt;"", VLOOKUP(A1625, imdb_netflix_v5!A$2:H$7370, 5, FALSE), "")</f>
        <v>2023</v>
      </c>
      <c r="F1625" s="2" t="str">
        <f>IF(A1625&lt;&gt;"", VLOOKUP(A1625, imdb_netflix_v5!A$2:H$7370, 7, FALSE), "")</f>
        <v>NA</v>
      </c>
    </row>
    <row r="1626" ht="15.75" customHeight="1">
      <c r="A1626" s="1" t="str">
        <f>IFERROR(__xludf.DUMMYFUNCTION("""COMPUTED_VALUE"""),"comedians in cars getting coffee")</f>
        <v>comedians in cars getting coffee</v>
      </c>
      <c r="B1626" s="1" t="str">
        <f>IF(A1626&lt;&gt;"", VLOOKUP(A1626, imdb_netflix_v5!A$2:H$7370, 2, FALSE), "")</f>
        <v>TV Show</v>
      </c>
      <c r="C1626" s="2" t="str">
        <f>IF(A1626&lt;&gt;"", VLOOKUP(A1626, imdb_netflix_v5!A$2:H$7370, 3, FALSE), "")</f>
        <v>Comedy, Family, Talk-Show</v>
      </c>
      <c r="D1626" s="2">
        <f>IF(A1626&lt;&gt;"", VLOOKUP(A1626, imdb_netflix_v5!A$2:H$7370, 4, FALSE), "")</f>
        <v>8</v>
      </c>
      <c r="E1626" s="2">
        <f>IF(A1626&lt;&gt;"", VLOOKUP(A1626, imdb_netflix_v5!A$2:H$7370, 5, FALSE), "")</f>
        <v>2012</v>
      </c>
      <c r="F1626" s="2" t="str">
        <f>IF(A1626&lt;&gt;"", VLOOKUP(A1626, imdb_netflix_v5!A$2:H$7370, 7, FALSE), "")</f>
        <v>NA</v>
      </c>
    </row>
    <row r="1627" ht="15.75" customHeight="1">
      <c r="A1627" s="1" t="str">
        <f>IFERROR(__xludf.DUMMYFUNCTION("""COMPUTED_VALUE"""),"the artful dodger")</f>
        <v>the artful dodger</v>
      </c>
      <c r="B1627" s="1" t="str">
        <f>IF(A1627&lt;&gt;"", VLOOKUP(A1627, imdb_netflix_v5!A$2:H$7370, 2, FALSE), "")</f>
        <v>TV Show</v>
      </c>
      <c r="C1627" s="2" t="str">
        <f>IF(A1627&lt;&gt;"", VLOOKUP(A1627, imdb_netflix_v5!A$2:H$7370, 3, FALSE), "")</f>
        <v>Crime, Drama, History</v>
      </c>
      <c r="D1627" s="2">
        <f>IF(A1627&lt;&gt;"", VLOOKUP(A1627, imdb_netflix_v5!A$2:H$7370, 4, FALSE), "")</f>
        <v>8</v>
      </c>
      <c r="E1627" s="2">
        <f>IF(A1627&lt;&gt;"", VLOOKUP(A1627, imdb_netflix_v5!A$2:H$7370, 5, FALSE), "")</f>
        <v>2023</v>
      </c>
      <c r="F1627" s="2" t="str">
        <f>IF(A1627&lt;&gt;"", VLOOKUP(A1627, imdb_netflix_v5!A$2:H$7370, 7, FALSE), "")</f>
        <v>NA</v>
      </c>
    </row>
    <row r="1628" ht="15.75" customHeight="1">
      <c r="A1628" s="1" t="str">
        <f>IFERROR(__xludf.DUMMYFUNCTION("""COMPUTED_VALUE"""),"code black")</f>
        <v>code black</v>
      </c>
      <c r="B1628" s="1" t="str">
        <f>IF(A1628&lt;&gt;"", VLOOKUP(A1628, imdb_netflix_v5!A$2:H$7370, 2, FALSE), "")</f>
        <v>TV Show</v>
      </c>
      <c r="C1628" s="2" t="str">
        <f>IF(A1628&lt;&gt;"", VLOOKUP(A1628, imdb_netflix_v5!A$2:H$7370, 3, FALSE), "")</f>
        <v>Drama</v>
      </c>
      <c r="D1628" s="2">
        <f>IF(A1628&lt;&gt;"", VLOOKUP(A1628, imdb_netflix_v5!A$2:H$7370, 4, FALSE), "")</f>
        <v>8</v>
      </c>
      <c r="E1628" s="2">
        <f>IF(A1628&lt;&gt;"", VLOOKUP(A1628, imdb_netflix_v5!A$2:H$7370, 5, FALSE), "")</f>
        <v>2015</v>
      </c>
      <c r="F1628" s="2" t="str">
        <f>IF(A1628&lt;&gt;"", VLOOKUP(A1628, imdb_netflix_v5!A$2:H$7370, 7, FALSE), "")</f>
        <v>NA</v>
      </c>
    </row>
    <row r="1629" ht="15.75" customHeight="1">
      <c r="A1629" s="1" t="str">
        <f>IFERROR(__xludf.DUMMYFUNCTION("""COMPUTED_VALUE"""),"charlie")</f>
        <v>charlie</v>
      </c>
      <c r="B1629" s="1" t="str">
        <f>IF(A1629&lt;&gt;"", VLOOKUP(A1629, imdb_netflix_v5!A$2:H$7370, 2, FALSE), "")</f>
        <v>Movie</v>
      </c>
      <c r="C1629" s="2" t="str">
        <f>IF(A1629&lt;&gt;"", VLOOKUP(A1629, imdb_netflix_v5!A$2:H$7370, 3, FALSE), "")</f>
        <v>Adventure, Drama, Romance</v>
      </c>
      <c r="D1629" s="2">
        <f>IF(A1629&lt;&gt;"", VLOOKUP(A1629, imdb_netflix_v5!A$2:H$7370, 4, FALSE), "")</f>
        <v>8</v>
      </c>
      <c r="E1629" s="2">
        <f>IF(A1629&lt;&gt;"", VLOOKUP(A1629, imdb_netflix_v5!A$2:H$7370, 5, FALSE), "")</f>
        <v>2015</v>
      </c>
      <c r="F1629" s="2" t="str">
        <f>IF(A1629&lt;&gt;"", VLOOKUP(A1629, imdb_netflix_v5!A$2:H$7370, 7, FALSE), "")</f>
        <v>NA</v>
      </c>
    </row>
    <row r="1630" ht="15.75" customHeight="1">
      <c r="A1630" s="1" t="str">
        <f>IFERROR(__xludf.DUMMYFUNCTION("""COMPUTED_VALUE"""),"abhay")</f>
        <v>abhay</v>
      </c>
      <c r="B1630" s="1" t="str">
        <f>IF(A1630&lt;&gt;"", VLOOKUP(A1630, imdb_netflix_v5!A$2:H$7370, 2, FALSE), "")</f>
        <v>TV Show</v>
      </c>
      <c r="C1630" s="2" t="str">
        <f>IF(A1630&lt;&gt;"", VLOOKUP(A1630, imdb_netflix_v5!A$2:H$7370, 3, FALSE), "")</f>
        <v>Crime, Thriller</v>
      </c>
      <c r="D1630" s="2">
        <f>IF(A1630&lt;&gt;"", VLOOKUP(A1630, imdb_netflix_v5!A$2:H$7370, 4, FALSE), "")</f>
        <v>8</v>
      </c>
      <c r="E1630" s="2">
        <f>IF(A1630&lt;&gt;"", VLOOKUP(A1630, imdb_netflix_v5!A$2:H$7370, 5, FALSE), "")</f>
        <v>2019</v>
      </c>
      <c r="F1630" s="2" t="str">
        <f>IF(A1630&lt;&gt;"", VLOOKUP(A1630, imdb_netflix_v5!A$2:H$7370, 7, FALSE), "")</f>
        <v>NA</v>
      </c>
    </row>
    <row r="1631" ht="15.75" customHeight="1">
      <c r="A1631" s="1" t="str">
        <f>IFERROR(__xludf.DUMMYFUNCTION("""COMPUTED_VALUE"""),"trying")</f>
        <v>trying</v>
      </c>
      <c r="B1631" s="1" t="str">
        <f>IF(A1631&lt;&gt;"", VLOOKUP(A1631, imdb_netflix_v5!A$2:H$7370, 2, FALSE), "")</f>
        <v>TV Show</v>
      </c>
      <c r="C1631" s="2" t="str">
        <f>IF(A1631&lt;&gt;"", VLOOKUP(A1631, imdb_netflix_v5!A$2:H$7370, 3, FALSE), "")</f>
        <v>Comedy, Drama, Romance</v>
      </c>
      <c r="D1631" s="2">
        <f>IF(A1631&lt;&gt;"", VLOOKUP(A1631, imdb_netflix_v5!A$2:H$7370, 4, FALSE), "")</f>
        <v>8</v>
      </c>
      <c r="E1631" s="2">
        <f>IF(A1631&lt;&gt;"", VLOOKUP(A1631, imdb_netflix_v5!A$2:H$7370, 5, FALSE), "")</f>
        <v>2020</v>
      </c>
      <c r="F1631" s="2" t="str">
        <f>IF(A1631&lt;&gt;"", VLOOKUP(A1631, imdb_netflix_v5!A$2:H$7370, 7, FALSE), "")</f>
        <v>NA</v>
      </c>
    </row>
    <row r="1632" ht="15.75" customHeight="1">
      <c r="A1632" s="1" t="str">
        <f>IFERROR(__xludf.DUMMYFUNCTION("""COMPUTED_VALUE"""),"the cameraman")</f>
        <v>the cameraman</v>
      </c>
      <c r="B1632" s="1" t="str">
        <f>IF(A1632&lt;&gt;"", VLOOKUP(A1632, imdb_netflix_v5!A$2:H$7370, 2, FALSE), "")</f>
        <v>Movie</v>
      </c>
      <c r="C1632" s="2" t="str">
        <f>IF(A1632&lt;&gt;"", VLOOKUP(A1632, imdb_netflix_v5!A$2:H$7370, 3, FALSE), "")</f>
        <v>Comedy, Drama, Family</v>
      </c>
      <c r="D1632" s="2">
        <f>IF(A1632&lt;&gt;"", VLOOKUP(A1632, imdb_netflix_v5!A$2:H$7370, 4, FALSE), "")</f>
        <v>8</v>
      </c>
      <c r="E1632" s="2">
        <f>IF(A1632&lt;&gt;"", VLOOKUP(A1632, imdb_netflix_v5!A$2:H$7370, 5, FALSE), "")</f>
        <v>1928</v>
      </c>
      <c r="F1632" s="2" t="str">
        <f>IF(A1632&lt;&gt;"", VLOOKUP(A1632, imdb_netflix_v5!A$2:H$7370, 7, FALSE), "")</f>
        <v>NA</v>
      </c>
    </row>
    <row r="1633" ht="15.75" customHeight="1">
      <c r="A1633" s="1" t="str">
        <f>IFERROR(__xludf.DUMMYFUNCTION("""COMPUTED_VALUE"""),"forbidden games")</f>
        <v>forbidden games</v>
      </c>
      <c r="B1633" s="1" t="str">
        <f>IF(A1633&lt;&gt;"", VLOOKUP(A1633, imdb_netflix_v5!A$2:H$7370, 2, FALSE), "")</f>
        <v>Movie</v>
      </c>
      <c r="C1633" s="2" t="str">
        <f>IF(A1633&lt;&gt;"", VLOOKUP(A1633, imdb_netflix_v5!A$2:H$7370, 3, FALSE), "")</f>
        <v>Drama, War</v>
      </c>
      <c r="D1633" s="2">
        <f>IF(A1633&lt;&gt;"", VLOOKUP(A1633, imdb_netflix_v5!A$2:H$7370, 4, FALSE), "")</f>
        <v>8</v>
      </c>
      <c r="E1633" s="2">
        <f>IF(A1633&lt;&gt;"", VLOOKUP(A1633, imdb_netflix_v5!A$2:H$7370, 5, FALSE), "")</f>
        <v>1952</v>
      </c>
      <c r="F1633" s="2" t="str">
        <f>IF(A1633&lt;&gt;"", VLOOKUP(A1633, imdb_netflix_v5!A$2:H$7370, 7, FALSE), "")</f>
        <v>NA</v>
      </c>
    </row>
    <row r="1634" ht="15.75" customHeight="1">
      <c r="A1634" s="1" t="str">
        <f>IFERROR(__xludf.DUMMYFUNCTION("""COMPUTED_VALUE"""),"sense &amp; sensibility")</f>
        <v>sense &amp; sensibility</v>
      </c>
      <c r="B1634" s="1" t="str">
        <f>IF(A1634&lt;&gt;"", VLOOKUP(A1634, imdb_netflix_v5!A$2:H$7370, 2, FALSE), "")</f>
        <v>TV Show</v>
      </c>
      <c r="C1634" s="2" t="str">
        <f>IF(A1634&lt;&gt;"", VLOOKUP(A1634, imdb_netflix_v5!A$2:H$7370, 3, FALSE), "")</f>
        <v>Drama, Romance</v>
      </c>
      <c r="D1634" s="2">
        <f>IF(A1634&lt;&gt;"", VLOOKUP(A1634, imdb_netflix_v5!A$2:H$7370, 4, FALSE), "")</f>
        <v>8</v>
      </c>
      <c r="E1634" s="2">
        <f>IF(A1634&lt;&gt;"", VLOOKUP(A1634, imdb_netflix_v5!A$2:H$7370, 5, FALSE), "")</f>
        <v>2008</v>
      </c>
      <c r="F1634" s="2" t="str">
        <f>IF(A1634&lt;&gt;"", VLOOKUP(A1634, imdb_netflix_v5!A$2:H$7370, 7, FALSE), "")</f>
        <v>NA</v>
      </c>
    </row>
    <row r="1635" ht="15.75" customHeight="1">
      <c r="A1635" s="1" t="str">
        <f>IFERROR(__xludf.DUMMYFUNCTION("""COMPUTED_VALUE"""),"metal a headbangers journey")</f>
        <v>metal a headbangers journey</v>
      </c>
      <c r="B1635" s="1" t="str">
        <f>IF(A1635&lt;&gt;"", VLOOKUP(A1635, imdb_netflix_v5!A$2:H$7370, 2, FALSE), "")</f>
        <v>Movie</v>
      </c>
      <c r="C1635" s="2" t="str">
        <f>IF(A1635&lt;&gt;"", VLOOKUP(A1635, imdb_netflix_v5!A$2:H$7370, 3, FALSE), "")</f>
        <v>Documentary, Music</v>
      </c>
      <c r="D1635" s="2">
        <f>IF(A1635&lt;&gt;"", VLOOKUP(A1635, imdb_netflix_v5!A$2:H$7370, 4, FALSE), "")</f>
        <v>8</v>
      </c>
      <c r="E1635" s="2">
        <f>IF(A1635&lt;&gt;"", VLOOKUP(A1635, imdb_netflix_v5!A$2:H$7370, 5, FALSE), "")</f>
        <v>2005</v>
      </c>
      <c r="F1635" s="2" t="str">
        <f>IF(A1635&lt;&gt;"", VLOOKUP(A1635, imdb_netflix_v5!A$2:H$7370, 7, FALSE), "")</f>
        <v>NA</v>
      </c>
    </row>
    <row r="1636" ht="15.75" customHeight="1">
      <c r="A1636" s="1" t="str">
        <f>IFERROR(__xludf.DUMMYFUNCTION("""COMPUTED_VALUE"""),"the uncanny counter")</f>
        <v>the uncanny counter</v>
      </c>
      <c r="B1636" s="1" t="str">
        <f>IF(A1636&lt;&gt;"", VLOOKUP(A1636, imdb_netflix_v5!A$2:H$7370, 2, FALSE), "")</f>
        <v>TV Show</v>
      </c>
      <c r="C1636" s="2" t="str">
        <f>IF(A1636&lt;&gt;"", VLOOKUP(A1636, imdb_netflix_v5!A$2:H$7370, 3, FALSE), "")</f>
        <v>Action, Fantasy, Horror</v>
      </c>
      <c r="D1636" s="2">
        <f>IF(A1636&lt;&gt;"", VLOOKUP(A1636, imdb_netflix_v5!A$2:H$7370, 4, FALSE), "")</f>
        <v>8</v>
      </c>
      <c r="E1636" s="2">
        <f>IF(A1636&lt;&gt;"", VLOOKUP(A1636, imdb_netflix_v5!A$2:H$7370, 5, FALSE), "")</f>
        <v>2020</v>
      </c>
      <c r="F1636" s="2">
        <f>IF(A1636&lt;&gt;"", VLOOKUP(A1636, imdb_netflix_v5!A$2:H$7370, 7, FALSE), "")</f>
        <v>15200000</v>
      </c>
    </row>
    <row r="1637" ht="15.75" customHeight="1">
      <c r="A1637" s="1" t="str">
        <f>IFERROR(__xludf.DUMMYFUNCTION("""COMPUTED_VALUE"""),"maqbool")</f>
        <v>maqbool</v>
      </c>
      <c r="B1637" s="1" t="str">
        <f>IF(A1637&lt;&gt;"", VLOOKUP(A1637, imdb_netflix_v5!A$2:H$7370, 2, FALSE), "")</f>
        <v>Movie</v>
      </c>
      <c r="C1637" s="2" t="str">
        <f>IF(A1637&lt;&gt;"", VLOOKUP(A1637, imdb_netflix_v5!A$2:H$7370, 3, FALSE), "")</f>
        <v>Crime, Drama, Thriller</v>
      </c>
      <c r="D1637" s="2">
        <f>IF(A1637&lt;&gt;"", VLOOKUP(A1637, imdb_netflix_v5!A$2:H$7370, 4, FALSE), "")</f>
        <v>8</v>
      </c>
      <c r="E1637" s="2">
        <f>IF(A1637&lt;&gt;"", VLOOKUP(A1637, imdb_netflix_v5!A$2:H$7370, 5, FALSE), "")</f>
        <v>2003</v>
      </c>
      <c r="F1637" s="2" t="str">
        <f>IF(A1637&lt;&gt;"", VLOOKUP(A1637, imdb_netflix_v5!A$2:H$7370, 7, FALSE), "")</f>
        <v>NA</v>
      </c>
    </row>
    <row r="1638" ht="15.75" customHeight="1">
      <c r="A1638" s="1" t="str">
        <f>IFERROR(__xludf.DUMMYFUNCTION("""COMPUTED_VALUE"""),"wolverine and the x-men")</f>
        <v>wolverine and the x-men</v>
      </c>
      <c r="B1638" s="1" t="str">
        <f>IF(A1638&lt;&gt;"", VLOOKUP(A1638, imdb_netflix_v5!A$2:H$7370, 2, FALSE), "")</f>
        <v>TV Show</v>
      </c>
      <c r="C1638" s="2" t="str">
        <f>IF(A1638&lt;&gt;"", VLOOKUP(A1638, imdb_netflix_v5!A$2:H$7370, 3, FALSE), "")</f>
        <v>Action, Adventure, Animation</v>
      </c>
      <c r="D1638" s="2">
        <f>IF(A1638&lt;&gt;"", VLOOKUP(A1638, imdb_netflix_v5!A$2:H$7370, 4, FALSE), "")</f>
        <v>8</v>
      </c>
      <c r="E1638" s="2">
        <f>IF(A1638&lt;&gt;"", VLOOKUP(A1638, imdb_netflix_v5!A$2:H$7370, 5, FALSE), "")</f>
        <v>2008</v>
      </c>
      <c r="F1638" s="2" t="str">
        <f>IF(A1638&lt;&gt;"", VLOOKUP(A1638, imdb_netflix_v5!A$2:H$7370, 7, FALSE), "")</f>
        <v>NA</v>
      </c>
    </row>
    <row r="1639" ht="15.75" customHeight="1">
      <c r="A1639" s="1" t="str">
        <f>IFERROR(__xludf.DUMMYFUNCTION("""COMPUTED_VALUE"""),"braindead")</f>
        <v>braindead</v>
      </c>
      <c r="B1639" s="1" t="str">
        <f>IF(A1639&lt;&gt;"", VLOOKUP(A1639, imdb_netflix_v5!A$2:H$7370, 2, FALSE), "")</f>
        <v>TV Show</v>
      </c>
      <c r="C1639" s="2" t="str">
        <f>IF(A1639&lt;&gt;"", VLOOKUP(A1639, imdb_netflix_v5!A$2:H$7370, 3, FALSE), "")</f>
        <v>Comedy, Drama, Horror</v>
      </c>
      <c r="D1639" s="2">
        <f>IF(A1639&lt;&gt;"", VLOOKUP(A1639, imdb_netflix_v5!A$2:H$7370, 4, FALSE), "")</f>
        <v>8</v>
      </c>
      <c r="E1639" s="2">
        <f>IF(A1639&lt;&gt;"", VLOOKUP(A1639, imdb_netflix_v5!A$2:H$7370, 5, FALSE), "")</f>
        <v>2016</v>
      </c>
      <c r="F1639" s="2" t="str">
        <f>IF(A1639&lt;&gt;"", VLOOKUP(A1639, imdb_netflix_v5!A$2:H$7370, 7, FALSE), "")</f>
        <v>NA</v>
      </c>
    </row>
    <row r="1640" ht="15.75" customHeight="1">
      <c r="A1640" s="1" t="str">
        <f>IFERROR(__xludf.DUMMYFUNCTION("""COMPUTED_VALUE"""),"stanley kubrick a life in pictures")</f>
        <v>stanley kubrick a life in pictures</v>
      </c>
      <c r="B1640" s="1" t="str">
        <f>IF(A1640&lt;&gt;"", VLOOKUP(A1640, imdb_netflix_v5!A$2:H$7370, 2, FALSE), "")</f>
        <v>Movie</v>
      </c>
      <c r="C1640" s="2" t="str">
        <f>IF(A1640&lt;&gt;"", VLOOKUP(A1640, imdb_netflix_v5!A$2:H$7370, 3, FALSE), "")</f>
        <v>Biography, Documentary</v>
      </c>
      <c r="D1640" s="2">
        <f>IF(A1640&lt;&gt;"", VLOOKUP(A1640, imdb_netflix_v5!A$2:H$7370, 4, FALSE), "")</f>
        <v>8</v>
      </c>
      <c r="E1640" s="2">
        <f>IF(A1640&lt;&gt;"", VLOOKUP(A1640, imdb_netflix_v5!A$2:H$7370, 5, FALSE), "")</f>
        <v>2001</v>
      </c>
      <c r="F1640" s="2" t="str">
        <f>IF(A1640&lt;&gt;"", VLOOKUP(A1640, imdb_netflix_v5!A$2:H$7370, 7, FALSE), "")</f>
        <v>NA</v>
      </c>
    </row>
    <row r="1641" ht="15.75" customHeight="1">
      <c r="A1641" s="1" t="str">
        <f>IFERROR(__xludf.DUMMYFUNCTION("""COMPUTED_VALUE"""),"harvey birdman, attorney at law")</f>
        <v>harvey birdman, attorney at law</v>
      </c>
      <c r="B1641" s="1" t="str">
        <f>IF(A1641&lt;&gt;"", VLOOKUP(A1641, imdb_netflix_v5!A$2:H$7370, 2, FALSE), "")</f>
        <v>TV Show</v>
      </c>
      <c r="C1641" s="2" t="str">
        <f>IF(A1641&lt;&gt;"", VLOOKUP(A1641, imdb_netflix_v5!A$2:H$7370, 3, FALSE), "")</f>
        <v>Animation, Comedy, Sci-Fi</v>
      </c>
      <c r="D1641" s="2">
        <f>IF(A1641&lt;&gt;"", VLOOKUP(A1641, imdb_netflix_v5!A$2:H$7370, 4, FALSE), "")</f>
        <v>8</v>
      </c>
      <c r="E1641" s="2">
        <f>IF(A1641&lt;&gt;"", VLOOKUP(A1641, imdb_netflix_v5!A$2:H$7370, 5, FALSE), "")</f>
        <v>2000</v>
      </c>
      <c r="F1641" s="2" t="str">
        <f>IF(A1641&lt;&gt;"", VLOOKUP(A1641, imdb_netflix_v5!A$2:H$7370, 7, FALSE), "")</f>
        <v>NA</v>
      </c>
    </row>
    <row r="1642" ht="15.75" customHeight="1">
      <c r="A1642" s="1" t="str">
        <f>IFERROR(__xludf.DUMMYFUNCTION("""COMPUTED_VALUE"""),"the red pill")</f>
        <v>the red pill</v>
      </c>
      <c r="B1642" s="1" t="str">
        <f>IF(A1642&lt;&gt;"", VLOOKUP(A1642, imdb_netflix_v5!A$2:H$7370, 2, FALSE), "")</f>
        <v>Movie</v>
      </c>
      <c r="C1642" s="2" t="str">
        <f>IF(A1642&lt;&gt;"", VLOOKUP(A1642, imdb_netflix_v5!A$2:H$7370, 3, FALSE), "")</f>
        <v>Documentary</v>
      </c>
      <c r="D1642" s="2">
        <f>IF(A1642&lt;&gt;"", VLOOKUP(A1642, imdb_netflix_v5!A$2:H$7370, 4, FALSE), "")</f>
        <v>8</v>
      </c>
      <c r="E1642" s="2">
        <f>IF(A1642&lt;&gt;"", VLOOKUP(A1642, imdb_netflix_v5!A$2:H$7370, 5, FALSE), "")</f>
        <v>2016</v>
      </c>
      <c r="F1642" s="2" t="str">
        <f>IF(A1642&lt;&gt;"", VLOOKUP(A1642, imdb_netflix_v5!A$2:H$7370, 7, FALSE), "")</f>
        <v>NA</v>
      </c>
    </row>
    <row r="1643" ht="15.75" customHeight="1">
      <c r="A1643" s="1" t="str">
        <f>IFERROR(__xludf.DUMMYFUNCTION("""COMPUTED_VALUE"""),"good behavior")</f>
        <v>good behavior</v>
      </c>
      <c r="B1643" s="1" t="str">
        <f>IF(A1643&lt;&gt;"", VLOOKUP(A1643, imdb_netflix_v5!A$2:H$7370, 2, FALSE), "")</f>
        <v>TV Show</v>
      </c>
      <c r="C1643" s="2" t="str">
        <f>IF(A1643&lt;&gt;"", VLOOKUP(A1643, imdb_netflix_v5!A$2:H$7370, 3, FALSE), "")</f>
        <v>Crime, Drama, Mystery</v>
      </c>
      <c r="D1643" s="2">
        <f>IF(A1643&lt;&gt;"", VLOOKUP(A1643, imdb_netflix_v5!A$2:H$7370, 4, FALSE), "")</f>
        <v>8</v>
      </c>
      <c r="E1643" s="2">
        <f>IF(A1643&lt;&gt;"", VLOOKUP(A1643, imdb_netflix_v5!A$2:H$7370, 5, FALSE), "")</f>
        <v>2016</v>
      </c>
      <c r="F1643" s="2" t="str">
        <f>IF(A1643&lt;&gt;"", VLOOKUP(A1643, imdb_netflix_v5!A$2:H$7370, 7, FALSE), "")</f>
        <v>NA</v>
      </c>
    </row>
    <row r="1644" ht="15.75" customHeight="1">
      <c r="A1644" s="1" t="str">
        <f>IFERROR(__xludf.DUMMYFUNCTION("""COMPUTED_VALUE"""),"deewaar")</f>
        <v>deewaar</v>
      </c>
      <c r="B1644" s="1" t="str">
        <f>IF(A1644&lt;&gt;"", VLOOKUP(A1644, imdb_netflix_v5!A$2:H$7370, 2, FALSE), "")</f>
        <v>Movie</v>
      </c>
      <c r="C1644" s="2" t="str">
        <f>IF(A1644&lt;&gt;"", VLOOKUP(A1644, imdb_netflix_v5!A$2:H$7370, 3, FALSE), "")</f>
        <v>Action, Crime, Drama</v>
      </c>
      <c r="D1644" s="2">
        <f>IF(A1644&lt;&gt;"", VLOOKUP(A1644, imdb_netflix_v5!A$2:H$7370, 4, FALSE), "")</f>
        <v>8</v>
      </c>
      <c r="E1644" s="2">
        <f>IF(A1644&lt;&gt;"", VLOOKUP(A1644, imdb_netflix_v5!A$2:H$7370, 5, FALSE), "")</f>
        <v>1975</v>
      </c>
      <c r="F1644" s="2" t="str">
        <f>IF(A1644&lt;&gt;"", VLOOKUP(A1644, imdb_netflix_v5!A$2:H$7370, 7, FALSE), "")</f>
        <v>NA</v>
      </c>
    </row>
    <row r="1645" ht="15.75" customHeight="1">
      <c r="A1645" s="1" t="str">
        <f>IFERROR(__xludf.DUMMYFUNCTION("""COMPUTED_VALUE"""),"the wounds")</f>
        <v>the wounds</v>
      </c>
      <c r="B1645" s="1" t="str">
        <f>IF(A1645&lt;&gt;"", VLOOKUP(A1645, imdb_netflix_v5!A$2:H$7370, 2, FALSE), "")</f>
        <v>Movie</v>
      </c>
      <c r="C1645" s="2" t="str">
        <f>IF(A1645&lt;&gt;"", VLOOKUP(A1645, imdb_netflix_v5!A$2:H$7370, 3, FALSE), "")</f>
        <v>Comedy, Crime, Drama</v>
      </c>
      <c r="D1645" s="2">
        <f>IF(A1645&lt;&gt;"", VLOOKUP(A1645, imdb_netflix_v5!A$2:H$7370, 4, FALSE), "")</f>
        <v>8</v>
      </c>
      <c r="E1645" s="2">
        <f>IF(A1645&lt;&gt;"", VLOOKUP(A1645, imdb_netflix_v5!A$2:H$7370, 5, FALSE), "")</f>
        <v>1998</v>
      </c>
      <c r="F1645" s="2" t="str">
        <f>IF(A1645&lt;&gt;"", VLOOKUP(A1645, imdb_netflix_v5!A$2:H$7370, 7, FALSE), "")</f>
        <v>NA</v>
      </c>
    </row>
    <row r="1646" ht="15.75" customHeight="1">
      <c r="A1646" s="1" t="str">
        <f>IFERROR(__xludf.DUMMYFUNCTION("""COMPUTED_VALUE"""),"the hitch hikers guide to the galaxy")</f>
        <v>the hitch hikers guide to the galaxy</v>
      </c>
      <c r="B1646" s="1" t="str">
        <f>IF(A1646&lt;&gt;"", VLOOKUP(A1646, imdb_netflix_v5!A$2:H$7370, 2, FALSE), "")</f>
        <v>TV Show</v>
      </c>
      <c r="C1646" s="2" t="str">
        <f>IF(A1646&lt;&gt;"", VLOOKUP(A1646, imdb_netflix_v5!A$2:H$7370, 3, FALSE), "")</f>
        <v>Adventure, Comedy, Sci-Fi</v>
      </c>
      <c r="D1646" s="2">
        <f>IF(A1646&lt;&gt;"", VLOOKUP(A1646, imdb_netflix_v5!A$2:H$7370, 4, FALSE), "")</f>
        <v>8</v>
      </c>
      <c r="E1646" s="2">
        <f>IF(A1646&lt;&gt;"", VLOOKUP(A1646, imdb_netflix_v5!A$2:H$7370, 5, FALSE), "")</f>
        <v>1981</v>
      </c>
      <c r="F1646" s="2" t="str">
        <f>IF(A1646&lt;&gt;"", VLOOKUP(A1646, imdb_netflix_v5!A$2:H$7370, 7, FALSE), "")</f>
        <v>NA</v>
      </c>
    </row>
    <row r="1647" ht="15.75" customHeight="1">
      <c r="A1647" s="1" t="str">
        <f>IFERROR(__xludf.DUMMYFUNCTION("""COMPUTED_VALUE"""),"shahrzad")</f>
        <v>shahrzad</v>
      </c>
      <c r="B1647" s="1" t="str">
        <f>IF(A1647&lt;&gt;"", VLOOKUP(A1647, imdb_netflix_v5!A$2:H$7370, 2, FALSE), "")</f>
        <v>TV Show</v>
      </c>
      <c r="C1647" s="2" t="str">
        <f>IF(A1647&lt;&gt;"", VLOOKUP(A1647, imdb_netflix_v5!A$2:H$7370, 3, FALSE), "")</f>
        <v>Drama, History, Romance</v>
      </c>
      <c r="D1647" s="2">
        <f>IF(A1647&lt;&gt;"", VLOOKUP(A1647, imdb_netflix_v5!A$2:H$7370, 4, FALSE), "")</f>
        <v>8</v>
      </c>
      <c r="E1647" s="2">
        <f>IF(A1647&lt;&gt;"", VLOOKUP(A1647, imdb_netflix_v5!A$2:H$7370, 5, FALSE), "")</f>
        <v>2015</v>
      </c>
      <c r="F1647" s="2" t="str">
        <f>IF(A1647&lt;&gt;"", VLOOKUP(A1647, imdb_netflix_v5!A$2:H$7370, 7, FALSE), "")</f>
        <v>NA</v>
      </c>
    </row>
    <row r="1648" ht="15.75" customHeight="1">
      <c r="A1648" s="1" t="str">
        <f>IFERROR(__xludf.DUMMYFUNCTION("""COMPUTED_VALUE"""),"the hour")</f>
        <v>the hour</v>
      </c>
      <c r="B1648" s="1" t="str">
        <f>IF(A1648&lt;&gt;"", VLOOKUP(A1648, imdb_netflix_v5!A$2:H$7370, 2, FALSE), "")</f>
        <v>TV Show</v>
      </c>
      <c r="C1648" s="2" t="str">
        <f>IF(A1648&lt;&gt;"", VLOOKUP(A1648, imdb_netflix_v5!A$2:H$7370, 3, FALSE), "")</f>
        <v>Drama</v>
      </c>
      <c r="D1648" s="2">
        <f>IF(A1648&lt;&gt;"", VLOOKUP(A1648, imdb_netflix_v5!A$2:H$7370, 4, FALSE), "")</f>
        <v>8</v>
      </c>
      <c r="E1648" s="2">
        <f>IF(A1648&lt;&gt;"", VLOOKUP(A1648, imdb_netflix_v5!A$2:H$7370, 5, FALSE), "")</f>
        <v>2011</v>
      </c>
      <c r="F1648" s="2" t="str">
        <f>IF(A1648&lt;&gt;"", VLOOKUP(A1648, imdb_netflix_v5!A$2:H$7370, 7, FALSE), "")</f>
        <v>NA</v>
      </c>
    </row>
    <row r="1649" ht="15.75" customHeight="1">
      <c r="A1649" s="1" t="str">
        <f>IFERROR(__xludf.DUMMYFUNCTION("""COMPUTED_VALUE"""),"the billion dollar code")</f>
        <v>the billion dollar code</v>
      </c>
      <c r="B1649" s="1" t="str">
        <f>IF(A1649&lt;&gt;"", VLOOKUP(A1649, imdb_netflix_v5!A$2:H$7370, 2, FALSE), "")</f>
        <v>TV Show</v>
      </c>
      <c r="C1649" s="2" t="str">
        <f>IF(A1649&lt;&gt;"", VLOOKUP(A1649, imdb_netflix_v5!A$2:H$7370, 3, FALSE), "")</f>
        <v>Biography, Crime, Drama</v>
      </c>
      <c r="D1649" s="2">
        <f>IF(A1649&lt;&gt;"", VLOOKUP(A1649, imdb_netflix_v5!A$2:H$7370, 4, FALSE), "")</f>
        <v>8</v>
      </c>
      <c r="E1649" s="2">
        <f>IF(A1649&lt;&gt;"", VLOOKUP(A1649, imdb_netflix_v5!A$2:H$7370, 5, FALSE), "")</f>
        <v>2021</v>
      </c>
      <c r="F1649" s="2" t="str">
        <f>IF(A1649&lt;&gt;"", VLOOKUP(A1649, imdb_netflix_v5!A$2:H$7370, 7, FALSE), "")</f>
        <v>NA</v>
      </c>
    </row>
    <row r="1650" ht="15.75" customHeight="1">
      <c r="A1650" s="1" t="str">
        <f>IFERROR(__xludf.DUMMYFUNCTION("""COMPUTED_VALUE"""),"third watch")</f>
        <v>third watch</v>
      </c>
      <c r="B1650" s="1" t="str">
        <f>IF(A1650&lt;&gt;"", VLOOKUP(A1650, imdb_netflix_v5!A$2:H$7370, 2, FALSE), "")</f>
        <v>TV Show</v>
      </c>
      <c r="C1650" s="2" t="str">
        <f>IF(A1650&lt;&gt;"", VLOOKUP(A1650, imdb_netflix_v5!A$2:H$7370, 3, FALSE), "")</f>
        <v>Action, Crime, Drama</v>
      </c>
      <c r="D1650" s="2">
        <f>IF(A1650&lt;&gt;"", VLOOKUP(A1650, imdb_netflix_v5!A$2:H$7370, 4, FALSE), "")</f>
        <v>8</v>
      </c>
      <c r="E1650" s="2">
        <f>IF(A1650&lt;&gt;"", VLOOKUP(A1650, imdb_netflix_v5!A$2:H$7370, 5, FALSE), "")</f>
        <v>1999</v>
      </c>
      <c r="F1650" s="2" t="str">
        <f>IF(A1650&lt;&gt;"", VLOOKUP(A1650, imdb_netflix_v5!A$2:H$7370, 7, FALSE), "")</f>
        <v>NA</v>
      </c>
    </row>
    <row r="1651" ht="15.75" customHeight="1">
      <c r="A1651" s="1" t="str">
        <f>IFERROR(__xludf.DUMMYFUNCTION("""COMPUTED_VALUE"""),"wkrp in cincinnati")</f>
        <v>wkrp in cincinnati</v>
      </c>
      <c r="B1651" s="1" t="str">
        <f>IF(A1651&lt;&gt;"", VLOOKUP(A1651, imdb_netflix_v5!A$2:H$7370, 2, FALSE), "")</f>
        <v>TV Show</v>
      </c>
      <c r="C1651" s="2" t="str">
        <f>IF(A1651&lt;&gt;"", VLOOKUP(A1651, imdb_netflix_v5!A$2:H$7370, 3, FALSE), "")</f>
        <v>Comedy</v>
      </c>
      <c r="D1651" s="2">
        <f>IF(A1651&lt;&gt;"", VLOOKUP(A1651, imdb_netflix_v5!A$2:H$7370, 4, FALSE), "")</f>
        <v>8</v>
      </c>
      <c r="E1651" s="2">
        <f>IF(A1651&lt;&gt;"", VLOOKUP(A1651, imdb_netflix_v5!A$2:H$7370, 5, FALSE), "")</f>
        <v>1978</v>
      </c>
      <c r="F1651" s="2" t="str">
        <f>IF(A1651&lt;&gt;"", VLOOKUP(A1651, imdb_netflix_v5!A$2:H$7370, 7, FALSE), "")</f>
        <v>NA</v>
      </c>
    </row>
    <row r="1652" ht="15.75" customHeight="1">
      <c r="A1652" s="1" t="str">
        <f>IFERROR(__xludf.DUMMYFUNCTION("""COMPUTED_VALUE"""),"jeen-yuhs a kanye trilogy")</f>
        <v>jeen-yuhs a kanye trilogy</v>
      </c>
      <c r="B1652" s="1" t="str">
        <f>IF(A1652&lt;&gt;"", VLOOKUP(A1652, imdb_netflix_v5!A$2:H$7370, 2, FALSE), "")</f>
        <v>TV Show</v>
      </c>
      <c r="C1652" s="2" t="str">
        <f>IF(A1652&lt;&gt;"", VLOOKUP(A1652, imdb_netflix_v5!A$2:H$7370, 3, FALSE), "")</f>
        <v>Documentary, Music</v>
      </c>
      <c r="D1652" s="2">
        <f>IF(A1652&lt;&gt;"", VLOOKUP(A1652, imdb_netflix_v5!A$2:H$7370, 4, FALSE), "")</f>
        <v>8</v>
      </c>
      <c r="E1652" s="2">
        <f>IF(A1652&lt;&gt;"", VLOOKUP(A1652, imdb_netflix_v5!A$2:H$7370, 5, FALSE), "")</f>
        <v>2022</v>
      </c>
      <c r="F1652" s="2">
        <f>IF(A1652&lt;&gt;"", VLOOKUP(A1652, imdb_netflix_v5!A$2:H$7370, 7, FALSE), "")</f>
        <v>12200000</v>
      </c>
    </row>
    <row r="1653" ht="15.75" customHeight="1">
      <c r="A1653" s="1" t="str">
        <f>IFERROR(__xludf.DUMMYFUNCTION("""COMPUTED_VALUE"""),"my grandfathers people")</f>
        <v>my grandfathers people</v>
      </c>
      <c r="B1653" s="1" t="str">
        <f>IF(A1653&lt;&gt;"", VLOOKUP(A1653, imdb_netflix_v5!A$2:H$7370, 2, FALSE), "")</f>
        <v>Movie</v>
      </c>
      <c r="C1653" s="2" t="str">
        <f>IF(A1653&lt;&gt;"", VLOOKUP(A1653, imdb_netflix_v5!A$2:H$7370, 3, FALSE), "")</f>
        <v>Comedy, Drama, Family</v>
      </c>
      <c r="D1653" s="2">
        <f>IF(A1653&lt;&gt;"", VLOOKUP(A1653, imdb_netflix_v5!A$2:H$7370, 4, FALSE), "")</f>
        <v>8</v>
      </c>
      <c r="E1653" s="2">
        <f>IF(A1653&lt;&gt;"", VLOOKUP(A1653, imdb_netflix_v5!A$2:H$7370, 5, FALSE), "")</f>
        <v>2011</v>
      </c>
      <c r="F1653" s="2" t="str">
        <f>IF(A1653&lt;&gt;"", VLOOKUP(A1653, imdb_netflix_v5!A$2:H$7370, 7, FALSE), "")</f>
        <v>NA</v>
      </c>
    </row>
    <row r="1654" ht="15.75" customHeight="1">
      <c r="A1654" s="1" t="str">
        <f>IFERROR(__xludf.DUMMYFUNCTION("""COMPUTED_VALUE"""),"scott &amp; bailey")</f>
        <v>scott &amp; bailey</v>
      </c>
      <c r="B1654" s="1" t="str">
        <f>IF(A1654&lt;&gt;"", VLOOKUP(A1654, imdb_netflix_v5!A$2:H$7370, 2, FALSE), "")</f>
        <v>TV Show</v>
      </c>
      <c r="C1654" s="2" t="str">
        <f>IF(A1654&lt;&gt;"", VLOOKUP(A1654, imdb_netflix_v5!A$2:H$7370, 3, FALSE), "")</f>
        <v>Crime, Drama, Mystery</v>
      </c>
      <c r="D1654" s="2">
        <f>IF(A1654&lt;&gt;"", VLOOKUP(A1654, imdb_netflix_v5!A$2:H$7370, 4, FALSE), "")</f>
        <v>8</v>
      </c>
      <c r="E1654" s="2">
        <f>IF(A1654&lt;&gt;"", VLOOKUP(A1654, imdb_netflix_v5!A$2:H$7370, 5, FALSE), "")</f>
        <v>2011</v>
      </c>
      <c r="F1654" s="2" t="str">
        <f>IF(A1654&lt;&gt;"", VLOOKUP(A1654, imdb_netflix_v5!A$2:H$7370, 7, FALSE), "")</f>
        <v>NA</v>
      </c>
    </row>
    <row r="1655" ht="15.75" customHeight="1">
      <c r="A1655" s="1" t="str">
        <f>IFERROR(__xludf.DUMMYFUNCTION("""COMPUTED_VALUE"""),"the cremator")</f>
        <v>the cremator</v>
      </c>
      <c r="B1655" s="1" t="str">
        <f>IF(A1655&lt;&gt;"", VLOOKUP(A1655, imdb_netflix_v5!A$2:H$7370, 2, FALSE), "")</f>
        <v>Movie</v>
      </c>
      <c r="C1655" s="2" t="str">
        <f>IF(A1655&lt;&gt;"", VLOOKUP(A1655, imdb_netflix_v5!A$2:H$7370, 3, FALSE), "")</f>
        <v>Comedy, Crime, Drama</v>
      </c>
      <c r="D1655" s="2">
        <f>IF(A1655&lt;&gt;"", VLOOKUP(A1655, imdb_netflix_v5!A$2:H$7370, 4, FALSE), "")</f>
        <v>8</v>
      </c>
      <c r="E1655" s="2">
        <f>IF(A1655&lt;&gt;"", VLOOKUP(A1655, imdb_netflix_v5!A$2:H$7370, 5, FALSE), "")</f>
        <v>1969</v>
      </c>
      <c r="F1655" s="2" t="str">
        <f>IF(A1655&lt;&gt;"", VLOOKUP(A1655, imdb_netflix_v5!A$2:H$7370, 7, FALSE), "")</f>
        <v>NA</v>
      </c>
    </row>
    <row r="1656" ht="15.75" customHeight="1">
      <c r="A1656" s="1" t="str">
        <f>IFERROR(__xludf.DUMMYFUNCTION("""COMPUTED_VALUE"""),"abbas in flower")</f>
        <v>abbas in flower</v>
      </c>
      <c r="B1656" s="1" t="str">
        <f>IF(A1656&lt;&gt;"", VLOOKUP(A1656, imdb_netflix_v5!A$2:H$7370, 2, FALSE), "")</f>
        <v>Movie</v>
      </c>
      <c r="C1656" s="2" t="str">
        <f>IF(A1656&lt;&gt;"", VLOOKUP(A1656, imdb_netflix_v5!A$2:H$7370, 3, FALSE), "")</f>
        <v>Comedy, Drama, Romance</v>
      </c>
      <c r="D1656" s="2">
        <f>IF(A1656&lt;&gt;"", VLOOKUP(A1656, imdb_netflix_v5!A$2:H$7370, 4, FALSE), "")</f>
        <v>8</v>
      </c>
      <c r="E1656" s="2">
        <f>IF(A1656&lt;&gt;"", VLOOKUP(A1656, imdb_netflix_v5!A$2:H$7370, 5, FALSE), "")</f>
        <v>1982</v>
      </c>
      <c r="F1656" s="2" t="str">
        <f>IF(A1656&lt;&gt;"", VLOOKUP(A1656, imdb_netflix_v5!A$2:H$7370, 7, FALSE), "")</f>
        <v>NA</v>
      </c>
    </row>
    <row r="1657" ht="15.75" customHeight="1">
      <c r="A1657" s="1" t="str">
        <f>IFERROR(__xludf.DUMMYFUNCTION("""COMPUTED_VALUE"""),"the blue elephant 2")</f>
        <v>the blue elephant 2</v>
      </c>
      <c r="B1657" s="1" t="str">
        <f>IF(A1657&lt;&gt;"", VLOOKUP(A1657, imdb_netflix_v5!A$2:H$7370, 2, FALSE), "")</f>
        <v>Movie</v>
      </c>
      <c r="C1657" s="2" t="str">
        <f>IF(A1657&lt;&gt;"", VLOOKUP(A1657, imdb_netflix_v5!A$2:H$7370, 3, FALSE), "")</f>
        <v>Crime, Drama, Horror</v>
      </c>
      <c r="D1657" s="2">
        <f>IF(A1657&lt;&gt;"", VLOOKUP(A1657, imdb_netflix_v5!A$2:H$7370, 4, FALSE), "")</f>
        <v>8</v>
      </c>
      <c r="E1657" s="2">
        <f>IF(A1657&lt;&gt;"", VLOOKUP(A1657, imdb_netflix_v5!A$2:H$7370, 5, FALSE), "")</f>
        <v>2019</v>
      </c>
      <c r="F1657" s="2" t="str">
        <f>IF(A1657&lt;&gt;"", VLOOKUP(A1657, imdb_netflix_v5!A$2:H$7370, 7, FALSE), "")</f>
        <v>NA</v>
      </c>
    </row>
    <row r="1658" ht="15.75" customHeight="1">
      <c r="A1658" s="1" t="str">
        <f>IFERROR(__xludf.DUMMYFUNCTION("""COMPUTED_VALUE"""),"ayyappanum koshiyum")</f>
        <v>ayyappanum koshiyum</v>
      </c>
      <c r="B1658" s="1" t="str">
        <f>IF(A1658&lt;&gt;"", VLOOKUP(A1658, imdb_netflix_v5!A$2:H$7370, 2, FALSE), "")</f>
        <v>Movie</v>
      </c>
      <c r="C1658" s="2" t="str">
        <f>IF(A1658&lt;&gt;"", VLOOKUP(A1658, imdb_netflix_v5!A$2:H$7370, 3, FALSE), "")</f>
        <v>Action, Drama, Thriller</v>
      </c>
      <c r="D1658" s="2">
        <f>IF(A1658&lt;&gt;"", VLOOKUP(A1658, imdb_netflix_v5!A$2:H$7370, 4, FALSE), "")</f>
        <v>8</v>
      </c>
      <c r="E1658" s="2">
        <f>IF(A1658&lt;&gt;"", VLOOKUP(A1658, imdb_netflix_v5!A$2:H$7370, 5, FALSE), "")</f>
        <v>2020</v>
      </c>
      <c r="F1658" s="2" t="str">
        <f>IF(A1658&lt;&gt;"", VLOOKUP(A1658, imdb_netflix_v5!A$2:H$7370, 7, FALSE), "")</f>
        <v>NA</v>
      </c>
    </row>
    <row r="1659" ht="15.75" customHeight="1">
      <c r="A1659" s="1" t="str">
        <f>IFERROR(__xludf.DUMMYFUNCTION("""COMPUTED_VALUE"""),"an autumn afternoon")</f>
        <v>an autumn afternoon</v>
      </c>
      <c r="B1659" s="1" t="str">
        <f>IF(A1659&lt;&gt;"", VLOOKUP(A1659, imdb_netflix_v5!A$2:H$7370, 2, FALSE), "")</f>
        <v>Movie</v>
      </c>
      <c r="C1659" s="2" t="str">
        <f>IF(A1659&lt;&gt;"", VLOOKUP(A1659, imdb_netflix_v5!A$2:H$7370, 3, FALSE), "")</f>
        <v>Drama</v>
      </c>
      <c r="D1659" s="2">
        <f>IF(A1659&lt;&gt;"", VLOOKUP(A1659, imdb_netflix_v5!A$2:H$7370, 4, FALSE), "")</f>
        <v>8</v>
      </c>
      <c r="E1659" s="2">
        <f>IF(A1659&lt;&gt;"", VLOOKUP(A1659, imdb_netflix_v5!A$2:H$7370, 5, FALSE), "")</f>
        <v>1962</v>
      </c>
      <c r="F1659" s="2" t="str">
        <f>IF(A1659&lt;&gt;"", VLOOKUP(A1659, imdb_netflix_v5!A$2:H$7370, 7, FALSE), "")</f>
        <v>NA</v>
      </c>
    </row>
    <row r="1660" ht="15.75" customHeight="1">
      <c r="A1660" s="1" t="str">
        <f>IFERROR(__xludf.DUMMYFUNCTION("""COMPUTED_VALUE"""),"paradise lost 3 purgatory")</f>
        <v>paradise lost 3 purgatory</v>
      </c>
      <c r="B1660" s="1" t="str">
        <f>IF(A1660&lt;&gt;"", VLOOKUP(A1660, imdb_netflix_v5!A$2:H$7370, 2, FALSE), "")</f>
        <v>Movie</v>
      </c>
      <c r="C1660" s="2" t="str">
        <f>IF(A1660&lt;&gt;"", VLOOKUP(A1660, imdb_netflix_v5!A$2:H$7370, 3, FALSE), "")</f>
        <v>Crime, Documentary</v>
      </c>
      <c r="D1660" s="2">
        <f>IF(A1660&lt;&gt;"", VLOOKUP(A1660, imdb_netflix_v5!A$2:H$7370, 4, FALSE), "")</f>
        <v>8</v>
      </c>
      <c r="E1660" s="2">
        <f>IF(A1660&lt;&gt;"", VLOOKUP(A1660, imdb_netflix_v5!A$2:H$7370, 5, FALSE), "")</f>
        <v>2011</v>
      </c>
      <c r="F1660" s="2" t="str">
        <f>IF(A1660&lt;&gt;"", VLOOKUP(A1660, imdb_netflix_v5!A$2:H$7370, 7, FALSE), "")</f>
        <v>NA</v>
      </c>
    </row>
    <row r="1661" ht="15.75" customHeight="1">
      <c r="A1661" s="1" t="str">
        <f>IFERROR(__xludf.DUMMYFUNCTION("""COMPUTED_VALUE"""),"greed")</f>
        <v>greed</v>
      </c>
      <c r="B1661" s="1" t="str">
        <f>IF(A1661&lt;&gt;"", VLOOKUP(A1661, imdb_netflix_v5!A$2:H$7370, 2, FALSE), "")</f>
        <v>Movie</v>
      </c>
      <c r="C1661" s="2" t="str">
        <f>IF(A1661&lt;&gt;"", VLOOKUP(A1661, imdb_netflix_v5!A$2:H$7370, 3, FALSE), "")</f>
        <v>Drama, Thriller, Western</v>
      </c>
      <c r="D1661" s="2">
        <f>IF(A1661&lt;&gt;"", VLOOKUP(A1661, imdb_netflix_v5!A$2:H$7370, 4, FALSE), "")</f>
        <v>8</v>
      </c>
      <c r="E1661" s="2">
        <f>IF(A1661&lt;&gt;"", VLOOKUP(A1661, imdb_netflix_v5!A$2:H$7370, 5, FALSE), "")</f>
        <v>1924</v>
      </c>
      <c r="F1661" s="2" t="str">
        <f>IF(A1661&lt;&gt;"", VLOOKUP(A1661, imdb_netflix_v5!A$2:H$7370, 7, FALSE), "")</f>
        <v>NA</v>
      </c>
    </row>
    <row r="1662" ht="15.75" customHeight="1">
      <c r="A1662" s="1" t="str">
        <f>IFERROR(__xludf.DUMMYFUNCTION("""COMPUTED_VALUE"""),"por thozhil")</f>
        <v>por thozhil</v>
      </c>
      <c r="B1662" s="1" t="str">
        <f>IF(A1662&lt;&gt;"", VLOOKUP(A1662, imdb_netflix_v5!A$2:H$7370, 2, FALSE), "")</f>
        <v>Movie</v>
      </c>
      <c r="C1662" s="2" t="str">
        <f>IF(A1662&lt;&gt;"", VLOOKUP(A1662, imdb_netflix_v5!A$2:H$7370, 3, FALSE), "")</f>
        <v>Action, Crime, Thriller</v>
      </c>
      <c r="D1662" s="2">
        <f>IF(A1662&lt;&gt;"", VLOOKUP(A1662, imdb_netflix_v5!A$2:H$7370, 4, FALSE), "")</f>
        <v>8</v>
      </c>
      <c r="E1662" s="2">
        <f>IF(A1662&lt;&gt;"", VLOOKUP(A1662, imdb_netflix_v5!A$2:H$7370, 5, FALSE), "")</f>
        <v>2023</v>
      </c>
      <c r="F1662" s="2" t="str">
        <f>IF(A1662&lt;&gt;"", VLOOKUP(A1662, imdb_netflix_v5!A$2:H$7370, 7, FALSE), "")</f>
        <v>NA</v>
      </c>
    </row>
    <row r="1663" ht="15.75" customHeight="1">
      <c r="A1663" s="1" t="str">
        <f>IFERROR(__xludf.DUMMYFUNCTION("""COMPUTED_VALUE"""),"okkadu")</f>
        <v>okkadu</v>
      </c>
      <c r="B1663" s="1" t="str">
        <f>IF(A1663&lt;&gt;"", VLOOKUP(A1663, imdb_netflix_v5!A$2:H$7370, 2, FALSE), "")</f>
        <v>Movie</v>
      </c>
      <c r="C1663" s="2" t="str">
        <f>IF(A1663&lt;&gt;"", VLOOKUP(A1663, imdb_netflix_v5!A$2:H$7370, 3, FALSE), "")</f>
        <v>Action, Drama, Romance</v>
      </c>
      <c r="D1663" s="2">
        <f>IF(A1663&lt;&gt;"", VLOOKUP(A1663, imdb_netflix_v5!A$2:H$7370, 4, FALSE), "")</f>
        <v>8</v>
      </c>
      <c r="E1663" s="2">
        <f>IF(A1663&lt;&gt;"", VLOOKUP(A1663, imdb_netflix_v5!A$2:H$7370, 5, FALSE), "")</f>
        <v>2003</v>
      </c>
      <c r="F1663" s="2" t="str">
        <f>IF(A1663&lt;&gt;"", VLOOKUP(A1663, imdb_netflix_v5!A$2:H$7370, 7, FALSE), "")</f>
        <v>NA</v>
      </c>
    </row>
    <row r="1664" ht="15.75" customHeight="1">
      <c r="A1664" s="1" t="str">
        <f>IFERROR(__xludf.DUMMYFUNCTION("""COMPUTED_VALUE"""),"kaala paani")</f>
        <v>kaala paani</v>
      </c>
      <c r="B1664" s="1" t="str">
        <f>IF(A1664&lt;&gt;"", VLOOKUP(A1664, imdb_netflix_v5!A$2:H$7370, 2, FALSE), "")</f>
        <v>TV Show</v>
      </c>
      <c r="C1664" s="2" t="str">
        <f>IF(A1664&lt;&gt;"", VLOOKUP(A1664, imdb_netflix_v5!A$2:H$7370, 3, FALSE), "")</f>
        <v>Drama, Thriller</v>
      </c>
      <c r="D1664" s="2">
        <f>IF(A1664&lt;&gt;"", VLOOKUP(A1664, imdb_netflix_v5!A$2:H$7370, 4, FALSE), "")</f>
        <v>8</v>
      </c>
      <c r="E1664" s="2">
        <f>IF(A1664&lt;&gt;"", VLOOKUP(A1664, imdb_netflix_v5!A$2:H$7370, 5, FALSE), "")</f>
        <v>2023</v>
      </c>
      <c r="F1664" s="2">
        <f>IF(A1664&lt;&gt;"", VLOOKUP(A1664, imdb_netflix_v5!A$2:H$7370, 7, FALSE), "")</f>
        <v>11100000</v>
      </c>
    </row>
    <row r="1665" ht="15.75" customHeight="1">
      <c r="A1665" s="1" t="str">
        <f>IFERROR(__xludf.DUMMYFUNCTION("""COMPUTED_VALUE"""),"the tattooist of auschwitz")</f>
        <v>the tattooist of auschwitz</v>
      </c>
      <c r="B1665" s="1" t="str">
        <f>IF(A1665&lt;&gt;"", VLOOKUP(A1665, imdb_netflix_v5!A$2:H$7370, 2, FALSE), "")</f>
        <v>TV Show</v>
      </c>
      <c r="C1665" s="2" t="str">
        <f>IF(A1665&lt;&gt;"", VLOOKUP(A1665, imdb_netflix_v5!A$2:H$7370, 3, FALSE), "")</f>
        <v>Drama, History, Romance</v>
      </c>
      <c r="D1665" s="2">
        <f>IF(A1665&lt;&gt;"", VLOOKUP(A1665, imdb_netflix_v5!A$2:H$7370, 4, FALSE), "")</f>
        <v>8</v>
      </c>
      <c r="E1665" s="2">
        <f>IF(A1665&lt;&gt;"", VLOOKUP(A1665, imdb_netflix_v5!A$2:H$7370, 5, FALSE), "")</f>
        <v>2024</v>
      </c>
      <c r="F1665" s="2" t="str">
        <f>IF(A1665&lt;&gt;"", VLOOKUP(A1665, imdb_netflix_v5!A$2:H$7370, 7, FALSE), "")</f>
        <v>NA</v>
      </c>
    </row>
    <row r="1666" ht="15.75" customHeight="1">
      <c r="A1666" s="1" t="str">
        <f>IFERROR(__xludf.DUMMYFUNCTION("""COMPUTED_VALUE"""),"pagan peak")</f>
        <v>pagan peak</v>
      </c>
      <c r="B1666" s="1" t="str">
        <f>IF(A1666&lt;&gt;"", VLOOKUP(A1666, imdb_netflix_v5!A$2:H$7370, 2, FALSE), "")</f>
        <v>TV Show</v>
      </c>
      <c r="C1666" s="2" t="str">
        <f>IF(A1666&lt;&gt;"", VLOOKUP(A1666, imdb_netflix_v5!A$2:H$7370, 3, FALSE), "")</f>
        <v>Crime, Drama, Mystery</v>
      </c>
      <c r="D1666" s="2">
        <f>IF(A1666&lt;&gt;"", VLOOKUP(A1666, imdb_netflix_v5!A$2:H$7370, 4, FALSE), "")</f>
        <v>8</v>
      </c>
      <c r="E1666" s="2">
        <f>IF(A1666&lt;&gt;"", VLOOKUP(A1666, imdb_netflix_v5!A$2:H$7370, 5, FALSE), "")</f>
        <v>2018</v>
      </c>
      <c r="F1666" s="2" t="str">
        <f>IF(A1666&lt;&gt;"", VLOOKUP(A1666, imdb_netflix_v5!A$2:H$7370, 7, FALSE), "")</f>
        <v>NA</v>
      </c>
    </row>
    <row r="1667" ht="15.75" customHeight="1">
      <c r="A1667" s="1" t="str">
        <f>IFERROR(__xludf.DUMMYFUNCTION("""COMPUTED_VALUE"""),"minding the gap")</f>
        <v>minding the gap</v>
      </c>
      <c r="B1667" s="1" t="str">
        <f>IF(A1667&lt;&gt;"", VLOOKUP(A1667, imdb_netflix_v5!A$2:H$7370, 2, FALSE), "")</f>
        <v>Movie</v>
      </c>
      <c r="C1667" s="2" t="str">
        <f>IF(A1667&lt;&gt;"", VLOOKUP(A1667, imdb_netflix_v5!A$2:H$7370, 3, FALSE), "")</f>
        <v>Documentary, Sport</v>
      </c>
      <c r="D1667" s="2">
        <f>IF(A1667&lt;&gt;"", VLOOKUP(A1667, imdb_netflix_v5!A$2:H$7370, 4, FALSE), "")</f>
        <v>8</v>
      </c>
      <c r="E1667" s="2">
        <f>IF(A1667&lt;&gt;"", VLOOKUP(A1667, imdb_netflix_v5!A$2:H$7370, 5, FALSE), "")</f>
        <v>2018</v>
      </c>
      <c r="F1667" s="2" t="str">
        <f>IF(A1667&lt;&gt;"", VLOOKUP(A1667, imdb_netflix_v5!A$2:H$7370, 7, FALSE), "")</f>
        <v>NA</v>
      </c>
    </row>
    <row r="1668" ht="15.75" customHeight="1">
      <c r="A1668" s="1" t="str">
        <f>IFERROR(__xludf.DUMMYFUNCTION("""COMPUTED_VALUE"""),"jigarthanda double x")</f>
        <v>jigarthanda double x</v>
      </c>
      <c r="B1668" s="1" t="str">
        <f>IF(A1668&lt;&gt;"", VLOOKUP(A1668, imdb_netflix_v5!A$2:H$7370, 2, FALSE), "")</f>
        <v>Movie</v>
      </c>
      <c r="C1668" s="2" t="str">
        <f>IF(A1668&lt;&gt;"", VLOOKUP(A1668, imdb_netflix_v5!A$2:H$7370, 3, FALSE), "")</f>
        <v>Action, Comedy, Drama</v>
      </c>
      <c r="D1668" s="2">
        <f>IF(A1668&lt;&gt;"", VLOOKUP(A1668, imdb_netflix_v5!A$2:H$7370, 4, FALSE), "")</f>
        <v>8</v>
      </c>
      <c r="E1668" s="2">
        <f>IF(A1668&lt;&gt;"", VLOOKUP(A1668, imdb_netflix_v5!A$2:H$7370, 5, FALSE), "")</f>
        <v>2023</v>
      </c>
      <c r="F1668" s="2" t="str">
        <f>IF(A1668&lt;&gt;"", VLOOKUP(A1668, imdb_netflix_v5!A$2:H$7370, 7, FALSE), "")</f>
        <v>NA</v>
      </c>
    </row>
    <row r="1669" ht="15.75" customHeight="1">
      <c r="A1669" s="1" t="str">
        <f>IFERROR(__xludf.DUMMYFUNCTION("""COMPUTED_VALUE"""),"spawn")</f>
        <v>spawn</v>
      </c>
      <c r="B1669" s="1" t="str">
        <f>IF(A1669&lt;&gt;"", VLOOKUP(A1669, imdb_netflix_v5!A$2:H$7370, 2, FALSE), "")</f>
        <v>TV Show</v>
      </c>
      <c r="C1669" s="2" t="str">
        <f>IF(A1669&lt;&gt;"", VLOOKUP(A1669, imdb_netflix_v5!A$2:H$7370, 3, FALSE), "")</f>
        <v>Action, Adventure, Animation</v>
      </c>
      <c r="D1669" s="2">
        <f>IF(A1669&lt;&gt;"", VLOOKUP(A1669, imdb_netflix_v5!A$2:H$7370, 4, FALSE), "")</f>
        <v>8</v>
      </c>
      <c r="E1669" s="2">
        <f>IF(A1669&lt;&gt;"", VLOOKUP(A1669, imdb_netflix_v5!A$2:H$7370, 5, FALSE), "")</f>
        <v>1997</v>
      </c>
      <c r="F1669" s="2" t="str">
        <f>IF(A1669&lt;&gt;"", VLOOKUP(A1669, imdb_netflix_v5!A$2:H$7370, 7, FALSE), "")</f>
        <v>NA</v>
      </c>
    </row>
    <row r="1670" ht="15.75" customHeight="1">
      <c r="A1670" s="1" t="str">
        <f>IFERROR(__xludf.DUMMYFUNCTION("""COMPUTED_VALUE"""),"heels")</f>
        <v>heels</v>
      </c>
      <c r="B1670" s="1" t="str">
        <f>IF(A1670&lt;&gt;"", VLOOKUP(A1670, imdb_netflix_v5!A$2:H$7370, 2, FALSE), "")</f>
        <v>TV Show</v>
      </c>
      <c r="C1670" s="2" t="str">
        <f>IF(A1670&lt;&gt;"", VLOOKUP(A1670, imdb_netflix_v5!A$2:H$7370, 3, FALSE), "")</f>
        <v>Drama, Sport</v>
      </c>
      <c r="D1670" s="2">
        <f>IF(A1670&lt;&gt;"", VLOOKUP(A1670, imdb_netflix_v5!A$2:H$7370, 4, FALSE), "")</f>
        <v>8</v>
      </c>
      <c r="E1670" s="2">
        <f>IF(A1670&lt;&gt;"", VLOOKUP(A1670, imdb_netflix_v5!A$2:H$7370, 5, FALSE), "")</f>
        <v>2021</v>
      </c>
      <c r="F1670" s="2" t="str">
        <f>IF(A1670&lt;&gt;"", VLOOKUP(A1670, imdb_netflix_v5!A$2:H$7370, 7, FALSE), "")</f>
        <v>NA</v>
      </c>
    </row>
    <row r="1671" ht="15.75" customHeight="1">
      <c r="A1671" s="1" t="str">
        <f>IFERROR(__xludf.DUMMYFUNCTION("""COMPUTED_VALUE"""),"rivals")</f>
        <v>rivals</v>
      </c>
      <c r="B1671" s="1" t="str">
        <f>IF(A1671&lt;&gt;"", VLOOKUP(A1671, imdb_netflix_v5!A$2:H$7370, 2, FALSE), "")</f>
        <v>TV Show</v>
      </c>
      <c r="C1671" s="2" t="str">
        <f>IF(A1671&lt;&gt;"", VLOOKUP(A1671, imdb_netflix_v5!A$2:H$7370, 3, FALSE), "")</f>
        <v>Drama</v>
      </c>
      <c r="D1671" s="2">
        <f>IF(A1671&lt;&gt;"", VLOOKUP(A1671, imdb_netflix_v5!A$2:H$7370, 4, FALSE), "")</f>
        <v>8</v>
      </c>
      <c r="E1671" s="2">
        <f>IF(A1671&lt;&gt;"", VLOOKUP(A1671, imdb_netflix_v5!A$2:H$7370, 5, FALSE), "")</f>
        <v>2024</v>
      </c>
      <c r="F1671" s="2" t="str">
        <f>IF(A1671&lt;&gt;"", VLOOKUP(A1671, imdb_netflix_v5!A$2:H$7370, 7, FALSE), "")</f>
        <v>NA</v>
      </c>
    </row>
    <row r="1672" ht="15.75" customHeight="1">
      <c r="A1672" s="1" t="str">
        <f>IFERROR(__xludf.DUMMYFUNCTION("""COMPUTED_VALUE"""),"why we fight")</f>
        <v>why we fight</v>
      </c>
      <c r="B1672" s="1" t="str">
        <f>IF(A1672&lt;&gt;"", VLOOKUP(A1672, imdb_netflix_v5!A$2:H$7370, 2, FALSE), "")</f>
        <v>Movie</v>
      </c>
      <c r="C1672" s="2" t="str">
        <f>IF(A1672&lt;&gt;"", VLOOKUP(A1672, imdb_netflix_v5!A$2:H$7370, 3, FALSE), "")</f>
        <v>Documentary, History, War</v>
      </c>
      <c r="D1672" s="2">
        <f>IF(A1672&lt;&gt;"", VLOOKUP(A1672, imdb_netflix_v5!A$2:H$7370, 4, FALSE), "")</f>
        <v>8</v>
      </c>
      <c r="E1672" s="2">
        <f>IF(A1672&lt;&gt;"", VLOOKUP(A1672, imdb_netflix_v5!A$2:H$7370, 5, FALSE), "")</f>
        <v>2005</v>
      </c>
      <c r="F1672" s="2" t="str">
        <f>IF(A1672&lt;&gt;"", VLOOKUP(A1672, imdb_netflix_v5!A$2:H$7370, 7, FALSE), "")</f>
        <v>NA</v>
      </c>
    </row>
    <row r="1673" ht="15.75" customHeight="1">
      <c r="A1673" s="1" t="str">
        <f>IFERROR(__xludf.DUMMYFUNCTION("""COMPUTED_VALUE"""),"maamla legal hai")</f>
        <v>maamla legal hai</v>
      </c>
      <c r="B1673" s="1" t="str">
        <f>IF(A1673&lt;&gt;"", VLOOKUP(A1673, imdb_netflix_v5!A$2:H$7370, 2, FALSE), "")</f>
        <v>TV Show</v>
      </c>
      <c r="C1673" s="2" t="str">
        <f>IF(A1673&lt;&gt;"", VLOOKUP(A1673, imdb_netflix_v5!A$2:H$7370, 3, FALSE), "")</f>
        <v>Comedy, Drama</v>
      </c>
      <c r="D1673" s="2">
        <f>IF(A1673&lt;&gt;"", VLOOKUP(A1673, imdb_netflix_v5!A$2:H$7370, 4, FALSE), "")</f>
        <v>8</v>
      </c>
      <c r="E1673" s="2">
        <f>IF(A1673&lt;&gt;"", VLOOKUP(A1673, imdb_netflix_v5!A$2:H$7370, 5, FALSE), "")</f>
        <v>2024</v>
      </c>
      <c r="F1673" s="2" t="str">
        <f>IF(A1673&lt;&gt;"", VLOOKUP(A1673, imdb_netflix_v5!A$2:H$7370, 7, FALSE), "")</f>
        <v>NA</v>
      </c>
    </row>
    <row r="1674" ht="15.75" customHeight="1">
      <c r="A1674" s="1" t="str">
        <f>IFERROR(__xludf.DUMMYFUNCTION("""COMPUTED_VALUE"""),"voltron legendary defender")</f>
        <v>voltron legendary defender</v>
      </c>
      <c r="B1674" s="1" t="str">
        <f>IF(A1674&lt;&gt;"", VLOOKUP(A1674, imdb_netflix_v5!A$2:H$7370, 2, FALSE), "")</f>
        <v>TV Show</v>
      </c>
      <c r="C1674" s="2" t="str">
        <f>IF(A1674&lt;&gt;"", VLOOKUP(A1674, imdb_netflix_v5!A$2:H$7370, 3, FALSE), "")</f>
        <v>Action, Adventure, Animation</v>
      </c>
      <c r="D1674" s="2">
        <f>IF(A1674&lt;&gt;"", VLOOKUP(A1674, imdb_netflix_v5!A$2:H$7370, 4, FALSE), "")</f>
        <v>8</v>
      </c>
      <c r="E1674" s="2">
        <f>IF(A1674&lt;&gt;"", VLOOKUP(A1674, imdb_netflix_v5!A$2:H$7370, 5, FALSE), "")</f>
        <v>2016</v>
      </c>
      <c r="F1674" s="2" t="str">
        <f>IF(A1674&lt;&gt;"", VLOOKUP(A1674, imdb_netflix_v5!A$2:H$7370, 7, FALSE), "")</f>
        <v>NA</v>
      </c>
    </row>
    <row r="1675" ht="15.75" customHeight="1">
      <c r="A1675" s="1" t="str">
        <f>IFERROR(__xludf.DUMMYFUNCTION("""COMPUTED_VALUE"""),"explained")</f>
        <v>explained</v>
      </c>
      <c r="B1675" s="1" t="str">
        <f>IF(A1675&lt;&gt;"", VLOOKUP(A1675, imdb_netflix_v5!A$2:H$7370, 2, FALSE), "")</f>
        <v>TV Show</v>
      </c>
      <c r="C1675" s="2" t="str">
        <f>IF(A1675&lt;&gt;"", VLOOKUP(A1675, imdb_netflix_v5!A$2:H$7370, 3, FALSE), "")</f>
        <v>Documentary</v>
      </c>
      <c r="D1675" s="2">
        <f>IF(A1675&lt;&gt;"", VLOOKUP(A1675, imdb_netflix_v5!A$2:H$7370, 4, FALSE), "")</f>
        <v>8</v>
      </c>
      <c r="E1675" s="2">
        <f>IF(A1675&lt;&gt;"", VLOOKUP(A1675, imdb_netflix_v5!A$2:H$7370, 5, FALSE), "")</f>
        <v>2018</v>
      </c>
      <c r="F1675" s="2" t="str">
        <f>IF(A1675&lt;&gt;"", VLOOKUP(A1675, imdb_netflix_v5!A$2:H$7370, 7, FALSE), "")</f>
        <v>NA</v>
      </c>
    </row>
    <row r="1676" ht="15.75" customHeight="1">
      <c r="A1676" s="1" t="str">
        <f>IFERROR(__xludf.DUMMYFUNCTION("""COMPUTED_VALUE"""),"requiem for the american dream")</f>
        <v>requiem for the american dream</v>
      </c>
      <c r="B1676" s="1" t="str">
        <f>IF(A1676&lt;&gt;"", VLOOKUP(A1676, imdb_netflix_v5!A$2:H$7370, 2, FALSE), "")</f>
        <v>Movie</v>
      </c>
      <c r="C1676" s="2" t="str">
        <f>IF(A1676&lt;&gt;"", VLOOKUP(A1676, imdb_netflix_v5!A$2:H$7370, 3, FALSE), "")</f>
        <v>Biography, Documentary, News</v>
      </c>
      <c r="D1676" s="2">
        <f>IF(A1676&lt;&gt;"", VLOOKUP(A1676, imdb_netflix_v5!A$2:H$7370, 4, FALSE), "")</f>
        <v>8</v>
      </c>
      <c r="E1676" s="2">
        <f>IF(A1676&lt;&gt;"", VLOOKUP(A1676, imdb_netflix_v5!A$2:H$7370, 5, FALSE), "")</f>
        <v>2015</v>
      </c>
      <c r="F1676" s="2" t="str">
        <f>IF(A1676&lt;&gt;"", VLOOKUP(A1676, imdb_netflix_v5!A$2:H$7370, 7, FALSE), "")</f>
        <v>NA</v>
      </c>
    </row>
    <row r="1677" ht="15.75" customHeight="1">
      <c r="A1677" s="1" t="str">
        <f>IFERROR(__xludf.DUMMYFUNCTION("""COMPUTED_VALUE"""),"avatar")</f>
        <v>avatar</v>
      </c>
      <c r="B1677" s="1" t="str">
        <f>IF(A1677&lt;&gt;"", VLOOKUP(A1677, imdb_netflix_v5!A$2:H$7370, 2, FALSE), "")</f>
        <v>Movie</v>
      </c>
      <c r="C1677" s="2" t="str">
        <f>IF(A1677&lt;&gt;"", VLOOKUP(A1677, imdb_netflix_v5!A$2:H$7370, 3, FALSE), "")</f>
        <v>Action, Adventure, Fantasy</v>
      </c>
      <c r="D1677" s="2">
        <f>IF(A1677&lt;&gt;"", VLOOKUP(A1677, imdb_netflix_v5!A$2:H$7370, 4, FALSE), "")</f>
        <v>7.9</v>
      </c>
      <c r="E1677" s="2">
        <f>IF(A1677&lt;&gt;"", VLOOKUP(A1677, imdb_netflix_v5!A$2:H$7370, 5, FALSE), "")</f>
        <v>2009</v>
      </c>
      <c r="F1677" s="2" t="str">
        <f>IF(A1677&lt;&gt;"", VLOOKUP(A1677, imdb_netflix_v5!A$2:H$7370, 7, FALSE), "")</f>
        <v>NA</v>
      </c>
    </row>
    <row r="1678" ht="15.75" customHeight="1">
      <c r="A1678" s="1" t="str">
        <f>IFERROR(__xludf.DUMMYFUNCTION("""COMPUTED_VALUE"""),"titanic")</f>
        <v>titanic</v>
      </c>
      <c r="B1678" s="1" t="str">
        <f>IF(A1678&lt;&gt;"", VLOOKUP(A1678, imdb_netflix_v5!A$2:H$7370, 2, FALSE), "")</f>
        <v>Movie</v>
      </c>
      <c r="C1678" s="2" t="str">
        <f>IF(A1678&lt;&gt;"", VLOOKUP(A1678, imdb_netflix_v5!A$2:H$7370, 3, FALSE), "")</f>
        <v>Drama, Romance</v>
      </c>
      <c r="D1678" s="2">
        <f>IF(A1678&lt;&gt;"", VLOOKUP(A1678, imdb_netflix_v5!A$2:H$7370, 4, FALSE), "")</f>
        <v>7.9</v>
      </c>
      <c r="E1678" s="2">
        <f>IF(A1678&lt;&gt;"", VLOOKUP(A1678, imdb_netflix_v5!A$2:H$7370, 5, FALSE), "")</f>
        <v>1997</v>
      </c>
      <c r="F1678" s="3">
        <f>IF(A1678&lt;&gt;"", VLOOKUP(A1678, imdb_netflix_v5!A$2:H$7370, 7, FALSE), "")</f>
        <v>5000000</v>
      </c>
    </row>
    <row r="1679" ht="15.75" customHeight="1">
      <c r="A1679" s="1" t="str">
        <f>IFERROR(__xludf.DUMMYFUNCTION("""COMPUTED_VALUE"""),"iron man")</f>
        <v>iron man</v>
      </c>
      <c r="B1679" s="1" t="str">
        <f>IF(A1679&lt;&gt;"", VLOOKUP(A1679, imdb_netflix_v5!A$2:H$7370, 2, FALSE), "")</f>
        <v>Movie</v>
      </c>
      <c r="C1679" s="2" t="str">
        <f>IF(A1679&lt;&gt;"", VLOOKUP(A1679, imdb_netflix_v5!A$2:H$7370, 3, FALSE), "")</f>
        <v>Action, Adventure, Sci-Fi</v>
      </c>
      <c r="D1679" s="2">
        <f>IF(A1679&lt;&gt;"", VLOOKUP(A1679, imdb_netflix_v5!A$2:H$7370, 4, FALSE), "")</f>
        <v>7.9</v>
      </c>
      <c r="E1679" s="2">
        <f>IF(A1679&lt;&gt;"", VLOOKUP(A1679, imdb_netflix_v5!A$2:H$7370, 5, FALSE), "")</f>
        <v>2008</v>
      </c>
      <c r="F1679" s="2" t="str">
        <f>IF(A1679&lt;&gt;"", VLOOKUP(A1679, imdb_netflix_v5!A$2:H$7370, 7, FALSE), "")</f>
        <v>NA</v>
      </c>
    </row>
    <row r="1680" ht="15.75" customHeight="1">
      <c r="A1680" s="1" t="str">
        <f>IFERROR(__xludf.DUMMYFUNCTION("""COMPUTED_VALUE"""),"thor ragnarok")</f>
        <v>thor ragnarok</v>
      </c>
      <c r="B1680" s="1" t="str">
        <f>IF(A1680&lt;&gt;"", VLOOKUP(A1680, imdb_netflix_v5!A$2:H$7370, 2, FALSE), "")</f>
        <v>Movie</v>
      </c>
      <c r="C1680" s="2" t="str">
        <f>IF(A1680&lt;&gt;"", VLOOKUP(A1680, imdb_netflix_v5!A$2:H$7370, 3, FALSE), "")</f>
        <v>Action, Adventure, Comedy</v>
      </c>
      <c r="D1680" s="2">
        <f>IF(A1680&lt;&gt;"", VLOOKUP(A1680, imdb_netflix_v5!A$2:H$7370, 4, FALSE), "")</f>
        <v>7.9</v>
      </c>
      <c r="E1680" s="2">
        <f>IF(A1680&lt;&gt;"", VLOOKUP(A1680, imdb_netflix_v5!A$2:H$7370, 5, FALSE), "")</f>
        <v>2017</v>
      </c>
      <c r="F1680" s="2" t="str">
        <f>IF(A1680&lt;&gt;"", VLOOKUP(A1680, imdb_netflix_v5!A$2:H$7370, 7, FALSE), "")</f>
        <v>NA</v>
      </c>
    </row>
    <row r="1681" ht="15.75" customHeight="1">
      <c r="A1681" s="1" t="str">
        <f>IFERROR(__xludf.DUMMYFUNCTION("""COMPUTED_VALUE"""),"knives out")</f>
        <v>knives out</v>
      </c>
      <c r="B1681" s="1" t="str">
        <f>IF(A1681&lt;&gt;"", VLOOKUP(A1681, imdb_netflix_v5!A$2:H$7370, 2, FALSE), "")</f>
        <v>Movie</v>
      </c>
      <c r="C1681" s="2" t="str">
        <f>IF(A1681&lt;&gt;"", VLOOKUP(A1681, imdb_netflix_v5!A$2:H$7370, 3, FALSE), "")</f>
        <v>Comedy, Crime, Drama</v>
      </c>
      <c r="D1681" s="2">
        <f>IF(A1681&lt;&gt;"", VLOOKUP(A1681, imdb_netflix_v5!A$2:H$7370, 4, FALSE), "")</f>
        <v>7.9</v>
      </c>
      <c r="E1681" s="2">
        <f>IF(A1681&lt;&gt;"", VLOOKUP(A1681, imdb_netflix_v5!A$2:H$7370, 5, FALSE), "")</f>
        <v>2019</v>
      </c>
      <c r="F1681" s="2">
        <f>IF(A1681&lt;&gt;"", VLOOKUP(A1681, imdb_netflix_v5!A$2:H$7370, 7, FALSE), "")</f>
        <v>7470000</v>
      </c>
    </row>
    <row r="1682" ht="15.75" customHeight="1">
      <c r="A1682" s="1" t="str">
        <f>IFERROR(__xludf.DUMMYFUNCTION("""COMPUTED_VALUE"""),"arrival")</f>
        <v>arrival</v>
      </c>
      <c r="B1682" s="1" t="str">
        <f>IF(A1682&lt;&gt;"", VLOOKUP(A1682, imdb_netflix_v5!A$2:H$7370, 2, FALSE), "")</f>
        <v>Movie</v>
      </c>
      <c r="C1682" s="2" t="str">
        <f>IF(A1682&lt;&gt;"", VLOOKUP(A1682, imdb_netflix_v5!A$2:H$7370, 3, FALSE), "")</f>
        <v>Drama, Mystery, Sci-Fi</v>
      </c>
      <c r="D1682" s="2">
        <f>IF(A1682&lt;&gt;"", VLOOKUP(A1682, imdb_netflix_v5!A$2:H$7370, 4, FALSE), "")</f>
        <v>7.9</v>
      </c>
      <c r="E1682" s="2">
        <f>IF(A1682&lt;&gt;"", VLOOKUP(A1682, imdb_netflix_v5!A$2:H$7370, 5, FALSE), "")</f>
        <v>2016</v>
      </c>
      <c r="F1682" s="2" t="str">
        <f>IF(A1682&lt;&gt;"", VLOOKUP(A1682, imdb_netflix_v5!A$2:H$7370, 7, FALSE), "")</f>
        <v>NA</v>
      </c>
    </row>
    <row r="1683" ht="15.75" customHeight="1">
      <c r="A1683" s="1" t="str">
        <f>IFERROR(__xludf.DUMMYFUNCTION("""COMPUTED_VALUE"""),"x-men days of future past")</f>
        <v>x-men days of future past</v>
      </c>
      <c r="B1683" s="1" t="str">
        <f>IF(A1683&lt;&gt;"", VLOOKUP(A1683, imdb_netflix_v5!A$2:H$7370, 2, FALSE), "")</f>
        <v>Movie</v>
      </c>
      <c r="C1683" s="2" t="str">
        <f>IF(A1683&lt;&gt;"", VLOOKUP(A1683, imdb_netflix_v5!A$2:H$7370, 3, FALSE), "")</f>
        <v>Action, Adventure, Sci-Fi</v>
      </c>
      <c r="D1683" s="2">
        <f>IF(A1683&lt;&gt;"", VLOOKUP(A1683, imdb_netflix_v5!A$2:H$7370, 4, FALSE), "")</f>
        <v>7.9</v>
      </c>
      <c r="E1683" s="2">
        <f>IF(A1683&lt;&gt;"", VLOOKUP(A1683, imdb_netflix_v5!A$2:H$7370, 5, FALSE), "")</f>
        <v>2014</v>
      </c>
      <c r="F1683" s="2" t="str">
        <f>IF(A1683&lt;&gt;"", VLOOKUP(A1683, imdb_netflix_v5!A$2:H$7370, 7, FALSE), "")</f>
        <v>NA</v>
      </c>
    </row>
    <row r="1684" ht="15.75" customHeight="1">
      <c r="A1684" s="1" t="str">
        <f>IFERROR(__xludf.DUMMYFUNCTION("""COMPUTED_VALUE"""),"edge of tomorrow")</f>
        <v>edge of tomorrow</v>
      </c>
      <c r="B1684" s="1" t="str">
        <f>IF(A1684&lt;&gt;"", VLOOKUP(A1684, imdb_netflix_v5!A$2:H$7370, 2, FALSE), "")</f>
        <v>Movie</v>
      </c>
      <c r="C1684" s="2" t="str">
        <f>IF(A1684&lt;&gt;"", VLOOKUP(A1684, imdb_netflix_v5!A$2:H$7370, 3, FALSE), "")</f>
        <v>Action, Adventure, Sci-Fi</v>
      </c>
      <c r="D1684" s="2">
        <f>IF(A1684&lt;&gt;"", VLOOKUP(A1684, imdb_netflix_v5!A$2:H$7370, 4, FALSE), "")</f>
        <v>7.9</v>
      </c>
      <c r="E1684" s="2">
        <f>IF(A1684&lt;&gt;"", VLOOKUP(A1684, imdb_netflix_v5!A$2:H$7370, 5, FALSE), "")</f>
        <v>2014</v>
      </c>
      <c r="F1684" s="2" t="str">
        <f>IF(A1684&lt;&gt;"", VLOOKUP(A1684, imdb_netflix_v5!A$2:H$7370, 7, FALSE), "")</f>
        <v>NA</v>
      </c>
    </row>
    <row r="1685" ht="15.75" customHeight="1">
      <c r="A1685" s="1" t="str">
        <f>IFERROR(__xludf.DUMMYFUNCTION("""COMPUTED_VALUE"""),"shrek")</f>
        <v>shrek</v>
      </c>
      <c r="B1685" s="1" t="str">
        <f>IF(A1685&lt;&gt;"", VLOOKUP(A1685, imdb_netflix_v5!A$2:H$7370, 2, FALSE), "")</f>
        <v>Movie</v>
      </c>
      <c r="C1685" s="2" t="str">
        <f>IF(A1685&lt;&gt;"", VLOOKUP(A1685, imdb_netflix_v5!A$2:H$7370, 3, FALSE), "")</f>
        <v>Adventure, Animation, Comedy</v>
      </c>
      <c r="D1685" s="2">
        <f>IF(A1685&lt;&gt;"", VLOOKUP(A1685, imdb_netflix_v5!A$2:H$7370, 4, FALSE), "")</f>
        <v>7.9</v>
      </c>
      <c r="E1685" s="2">
        <f>IF(A1685&lt;&gt;"", VLOOKUP(A1685, imdb_netflix_v5!A$2:H$7370, 5, FALSE), "")</f>
        <v>2001</v>
      </c>
      <c r="F1685" s="2">
        <f>IF(A1685&lt;&gt;"", VLOOKUP(A1685, imdb_netflix_v5!A$2:H$7370, 7, FALSE), "")</f>
        <v>4540000</v>
      </c>
    </row>
    <row r="1686" ht="15.75" customHeight="1">
      <c r="A1686" s="1" t="str">
        <f>IFERROR(__xludf.DUMMYFUNCTION("""COMPUTED_VALUE"""),"district 9")</f>
        <v>district 9</v>
      </c>
      <c r="B1686" s="1" t="str">
        <f>IF(A1686&lt;&gt;"", VLOOKUP(A1686, imdb_netflix_v5!A$2:H$7370, 2, FALSE), "")</f>
        <v>Movie</v>
      </c>
      <c r="C1686" s="2" t="str">
        <f>IF(A1686&lt;&gt;"", VLOOKUP(A1686, imdb_netflix_v5!A$2:H$7370, 3, FALSE), "")</f>
        <v>Action, Sci-Fi, Thriller</v>
      </c>
      <c r="D1686" s="2">
        <f>IF(A1686&lt;&gt;"", VLOOKUP(A1686, imdb_netflix_v5!A$2:H$7370, 4, FALSE), "")</f>
        <v>7.9</v>
      </c>
      <c r="E1686" s="2">
        <f>IF(A1686&lt;&gt;"", VLOOKUP(A1686, imdb_netflix_v5!A$2:H$7370, 5, FALSE), "")</f>
        <v>2009</v>
      </c>
      <c r="F1686" s="2" t="str">
        <f>IF(A1686&lt;&gt;"", VLOOKUP(A1686, imdb_netflix_v5!A$2:H$7370, 7, FALSE), "")</f>
        <v>NA</v>
      </c>
    </row>
    <row r="1687" ht="15.75" customHeight="1">
      <c r="A1687" s="1" t="str">
        <f>IFERROR(__xludf.DUMMYFUNCTION("""COMPUTED_VALUE"""),"harry potter and the prisoner of azkaban")</f>
        <v>harry potter and the prisoner of azkaban</v>
      </c>
      <c r="B1687" s="1" t="str">
        <f>IF(A1687&lt;&gt;"", VLOOKUP(A1687, imdb_netflix_v5!A$2:H$7370, 2, FALSE), "")</f>
        <v>Movie</v>
      </c>
      <c r="C1687" s="2" t="str">
        <f>IF(A1687&lt;&gt;"", VLOOKUP(A1687, imdb_netflix_v5!A$2:H$7370, 3, FALSE), "")</f>
        <v>Adventure, Family, Fantasy</v>
      </c>
      <c r="D1687" s="2">
        <f>IF(A1687&lt;&gt;"", VLOOKUP(A1687, imdb_netflix_v5!A$2:H$7370, 4, FALSE), "")</f>
        <v>7.9</v>
      </c>
      <c r="E1687" s="2">
        <f>IF(A1687&lt;&gt;"", VLOOKUP(A1687, imdb_netflix_v5!A$2:H$7370, 5, FALSE), "")</f>
        <v>2004</v>
      </c>
      <c r="F1687" s="2" t="str">
        <f>IF(A1687&lt;&gt;"", VLOOKUP(A1687, imdb_netflix_v5!A$2:H$7370, 7, FALSE), "")</f>
        <v>NA</v>
      </c>
    </row>
    <row r="1688" ht="15.75" customHeight="1">
      <c r="A1688" s="1" t="str">
        <f>IFERROR(__xludf.DUMMYFUNCTION("""COMPUTED_VALUE"""),"life of pi")</f>
        <v>life of pi</v>
      </c>
      <c r="B1688" s="1" t="str">
        <f>IF(A1688&lt;&gt;"", VLOOKUP(A1688, imdb_netflix_v5!A$2:H$7370, 2, FALSE), "")</f>
        <v>Movie</v>
      </c>
      <c r="C1688" s="2" t="str">
        <f>IF(A1688&lt;&gt;"", VLOOKUP(A1688, imdb_netflix_v5!A$2:H$7370, 3, FALSE), "")</f>
        <v>Adventure, Drama, Fantasy</v>
      </c>
      <c r="D1688" s="2">
        <f>IF(A1688&lt;&gt;"", VLOOKUP(A1688, imdb_netflix_v5!A$2:H$7370, 4, FALSE), "")</f>
        <v>7.9</v>
      </c>
      <c r="E1688" s="2">
        <f>IF(A1688&lt;&gt;"", VLOOKUP(A1688, imdb_netflix_v5!A$2:H$7370, 5, FALSE), "")</f>
        <v>2012</v>
      </c>
      <c r="F1688" s="2" t="str">
        <f>IF(A1688&lt;&gt;"", VLOOKUP(A1688, imdb_netflix_v5!A$2:H$7370, 7, FALSE), "")</f>
        <v>NA</v>
      </c>
    </row>
    <row r="1689" ht="15.75" customHeight="1">
      <c r="A1689" s="1" t="str">
        <f>IFERROR(__xludf.DUMMYFUNCTION("""COMPUTED_VALUE"""),"toy story 2")</f>
        <v>toy story 2</v>
      </c>
      <c r="B1689" s="1" t="str">
        <f>IF(A1689&lt;&gt;"", VLOOKUP(A1689, imdb_netflix_v5!A$2:H$7370, 2, FALSE), "")</f>
        <v>Movie</v>
      </c>
      <c r="C1689" s="2" t="str">
        <f>IF(A1689&lt;&gt;"", VLOOKUP(A1689, imdb_netflix_v5!A$2:H$7370, 3, FALSE), "")</f>
        <v>Adventure, Animation, Comedy</v>
      </c>
      <c r="D1689" s="2">
        <f>IF(A1689&lt;&gt;"", VLOOKUP(A1689, imdb_netflix_v5!A$2:H$7370, 4, FALSE), "")</f>
        <v>7.9</v>
      </c>
      <c r="E1689" s="2">
        <f>IF(A1689&lt;&gt;"", VLOOKUP(A1689, imdb_netflix_v5!A$2:H$7370, 5, FALSE), "")</f>
        <v>1999</v>
      </c>
      <c r="F1689" s="2" t="str">
        <f>IF(A1689&lt;&gt;"", VLOOKUP(A1689, imdb_netflix_v5!A$2:H$7370, 7, FALSE), "")</f>
        <v>NA</v>
      </c>
    </row>
    <row r="1690" ht="15.75" customHeight="1">
      <c r="A1690" s="1" t="str">
        <f>IFERROR(__xludf.DUMMYFUNCTION("""COMPUTED_VALUE"""),"bohemian rhapsody")</f>
        <v>bohemian rhapsody</v>
      </c>
      <c r="B1690" s="1" t="str">
        <f>IF(A1690&lt;&gt;"", VLOOKUP(A1690, imdb_netflix_v5!A$2:H$7370, 2, FALSE), "")</f>
        <v>Movie</v>
      </c>
      <c r="C1690" s="2" t="str">
        <f>IF(A1690&lt;&gt;"", VLOOKUP(A1690, imdb_netflix_v5!A$2:H$7370, 3, FALSE), "")</f>
        <v>Biography, Drama, Music</v>
      </c>
      <c r="D1690" s="2">
        <f>IF(A1690&lt;&gt;"", VLOOKUP(A1690, imdb_netflix_v5!A$2:H$7370, 4, FALSE), "")</f>
        <v>7.9</v>
      </c>
      <c r="E1690" s="2">
        <f>IF(A1690&lt;&gt;"", VLOOKUP(A1690, imdb_netflix_v5!A$2:H$7370, 5, FALSE), "")</f>
        <v>2018</v>
      </c>
      <c r="F1690" s="2" t="str">
        <f>IF(A1690&lt;&gt;"", VLOOKUP(A1690, imdb_netflix_v5!A$2:H$7370, 7, FALSE), "")</f>
        <v>NA</v>
      </c>
    </row>
    <row r="1691" ht="15.75" customHeight="1">
      <c r="A1691" s="1" t="str">
        <f>IFERROR(__xludf.DUMMYFUNCTION("""COMPUTED_VALUE"""),"shaun of the dead")</f>
        <v>shaun of the dead</v>
      </c>
      <c r="B1691" s="1" t="str">
        <f>IF(A1691&lt;&gt;"", VLOOKUP(A1691, imdb_netflix_v5!A$2:H$7370, 2, FALSE), "")</f>
        <v>Movie</v>
      </c>
      <c r="C1691" s="2" t="str">
        <f>IF(A1691&lt;&gt;"", VLOOKUP(A1691, imdb_netflix_v5!A$2:H$7370, 3, FALSE), "")</f>
        <v>Comedy, Horror</v>
      </c>
      <c r="D1691" s="2">
        <f>IF(A1691&lt;&gt;"", VLOOKUP(A1691, imdb_netflix_v5!A$2:H$7370, 4, FALSE), "")</f>
        <v>7.9</v>
      </c>
      <c r="E1691" s="2">
        <f>IF(A1691&lt;&gt;"", VLOOKUP(A1691, imdb_netflix_v5!A$2:H$7370, 5, FALSE), "")</f>
        <v>2004</v>
      </c>
      <c r="F1691" s="2" t="str">
        <f>IF(A1691&lt;&gt;"", VLOOKUP(A1691, imdb_netflix_v5!A$2:H$7370, 7, FALSE), "")</f>
        <v>NA</v>
      </c>
    </row>
    <row r="1692" ht="15.75" customHeight="1">
      <c r="A1692" s="1" t="str">
        <f>IFERROR(__xludf.DUMMYFUNCTION("""COMPUTED_VALUE"""),"the perks of being a wallflower")</f>
        <v>the perks of being a wallflower</v>
      </c>
      <c r="B1692" s="1" t="str">
        <f>IF(A1692&lt;&gt;"", VLOOKUP(A1692, imdb_netflix_v5!A$2:H$7370, 2, FALSE), "")</f>
        <v>Movie</v>
      </c>
      <c r="C1692" s="2" t="str">
        <f>IF(A1692&lt;&gt;"", VLOOKUP(A1692, imdb_netflix_v5!A$2:H$7370, 3, FALSE), "")</f>
        <v>Drama</v>
      </c>
      <c r="D1692" s="2">
        <f>IF(A1692&lt;&gt;"", VLOOKUP(A1692, imdb_netflix_v5!A$2:H$7370, 4, FALSE), "")</f>
        <v>7.9</v>
      </c>
      <c r="E1692" s="2">
        <f>IF(A1692&lt;&gt;"", VLOOKUP(A1692, imdb_netflix_v5!A$2:H$7370, 5, FALSE), "")</f>
        <v>2012</v>
      </c>
      <c r="F1692" s="2" t="str">
        <f>IF(A1692&lt;&gt;"", VLOOKUP(A1692, imdb_netflix_v5!A$2:H$7370, 7, FALSE), "")</f>
        <v>NA</v>
      </c>
    </row>
    <row r="1693" ht="15.75" customHeight="1">
      <c r="A1693" s="1" t="str">
        <f>IFERROR(__xludf.DUMMYFUNCTION("""COMPUTED_VALUE"""),"children of men")</f>
        <v>children of men</v>
      </c>
      <c r="B1693" s="1" t="str">
        <f>IF(A1693&lt;&gt;"", VLOOKUP(A1693, imdb_netflix_v5!A$2:H$7370, 2, FALSE), "")</f>
        <v>Movie</v>
      </c>
      <c r="C1693" s="2" t="str">
        <f>IF(A1693&lt;&gt;"", VLOOKUP(A1693, imdb_netflix_v5!A$2:H$7370, 3, FALSE), "")</f>
        <v>Drama, Sci-Fi, Thriller</v>
      </c>
      <c r="D1693" s="2">
        <f>IF(A1693&lt;&gt;"", VLOOKUP(A1693, imdb_netflix_v5!A$2:H$7370, 4, FALSE), "")</f>
        <v>7.9</v>
      </c>
      <c r="E1693" s="2">
        <f>IF(A1693&lt;&gt;"", VLOOKUP(A1693, imdb_netflix_v5!A$2:H$7370, 5, FALSE), "")</f>
        <v>2006</v>
      </c>
      <c r="F1693" s="2" t="str">
        <f>IF(A1693&lt;&gt;"", VLOOKUP(A1693, imdb_netflix_v5!A$2:H$7370, 7, FALSE), "")</f>
        <v>NA</v>
      </c>
    </row>
    <row r="1694" ht="15.75" customHeight="1">
      <c r="A1694" s="1" t="str">
        <f>IFERROR(__xludf.DUMMYFUNCTION("""COMPUTED_VALUE"""),"edward scissorhands")</f>
        <v>edward scissorhands</v>
      </c>
      <c r="B1694" s="1" t="str">
        <f>IF(A1694&lt;&gt;"", VLOOKUP(A1694, imdb_netflix_v5!A$2:H$7370, 2, FALSE), "")</f>
        <v>Movie</v>
      </c>
      <c r="C1694" s="2" t="str">
        <f>IF(A1694&lt;&gt;"", VLOOKUP(A1694, imdb_netflix_v5!A$2:H$7370, 3, FALSE), "")</f>
        <v>Drama, Fantasy, Romance</v>
      </c>
      <c r="D1694" s="2">
        <f>IF(A1694&lt;&gt;"", VLOOKUP(A1694, imdb_netflix_v5!A$2:H$7370, 4, FALSE), "")</f>
        <v>7.9</v>
      </c>
      <c r="E1694" s="2">
        <f>IF(A1694&lt;&gt;"", VLOOKUP(A1694, imdb_netflix_v5!A$2:H$7370, 5, FALSE), "")</f>
        <v>1990</v>
      </c>
      <c r="F1694" s="2" t="str">
        <f>IF(A1694&lt;&gt;"", VLOOKUP(A1694, imdb_netflix_v5!A$2:H$7370, 7, FALSE), "")</f>
        <v>NA</v>
      </c>
    </row>
    <row r="1695" ht="15.75" customHeight="1">
      <c r="A1695" s="1" t="str">
        <f>IFERROR(__xludf.DUMMYFUNCTION("""COMPUTED_VALUE"""),"dallas buyers club")</f>
        <v>dallas buyers club</v>
      </c>
      <c r="B1695" s="1" t="str">
        <f>IF(A1695&lt;&gt;"", VLOOKUP(A1695, imdb_netflix_v5!A$2:H$7370, 2, FALSE), "")</f>
        <v>Movie</v>
      </c>
      <c r="C1695" s="2" t="str">
        <f>IF(A1695&lt;&gt;"", VLOOKUP(A1695, imdb_netflix_v5!A$2:H$7370, 3, FALSE), "")</f>
        <v>Biography, Drama</v>
      </c>
      <c r="D1695" s="2">
        <f>IF(A1695&lt;&gt;"", VLOOKUP(A1695, imdb_netflix_v5!A$2:H$7370, 4, FALSE), "")</f>
        <v>7.9</v>
      </c>
      <c r="E1695" s="2">
        <f>IF(A1695&lt;&gt;"", VLOOKUP(A1695, imdb_netflix_v5!A$2:H$7370, 5, FALSE), "")</f>
        <v>2013</v>
      </c>
      <c r="F1695" s="2" t="str">
        <f>IF(A1695&lt;&gt;"", VLOOKUP(A1695, imdb_netflix_v5!A$2:H$7370, 7, FALSE), "")</f>
        <v>NA</v>
      </c>
    </row>
    <row r="1696" ht="15.75" customHeight="1">
      <c r="A1696" s="1" t="str">
        <f>IFERROR(__xludf.DUMMYFUNCTION("""COMPUTED_VALUE"""),"mystic river")</f>
        <v>mystic river</v>
      </c>
      <c r="B1696" s="1" t="str">
        <f>IF(A1696&lt;&gt;"", VLOOKUP(A1696, imdb_netflix_v5!A$2:H$7370, 2, FALSE), "")</f>
        <v>Movie</v>
      </c>
      <c r="C1696" s="2" t="str">
        <f>IF(A1696&lt;&gt;"", VLOOKUP(A1696, imdb_netflix_v5!A$2:H$7370, 3, FALSE), "")</f>
        <v>Crime, Drama, Mystery</v>
      </c>
      <c r="D1696" s="2">
        <f>IF(A1696&lt;&gt;"", VLOOKUP(A1696, imdb_netflix_v5!A$2:H$7370, 4, FALSE), "")</f>
        <v>7.9</v>
      </c>
      <c r="E1696" s="2">
        <f>IF(A1696&lt;&gt;"", VLOOKUP(A1696, imdb_netflix_v5!A$2:H$7370, 5, FALSE), "")</f>
        <v>2003</v>
      </c>
      <c r="F1696" s="2" t="str">
        <f>IF(A1696&lt;&gt;"", VLOOKUP(A1696, imdb_netflix_v5!A$2:H$7370, 7, FALSE), "")</f>
        <v>NA</v>
      </c>
    </row>
    <row r="1697" ht="15.75" customHeight="1">
      <c r="A1697" s="1" t="str">
        <f>IFERROR(__xludf.DUMMYFUNCTION("""COMPUTED_VALUE"""),"in bruges")</f>
        <v>in bruges</v>
      </c>
      <c r="B1697" s="1" t="str">
        <f>IF(A1697&lt;&gt;"", VLOOKUP(A1697, imdb_netflix_v5!A$2:H$7370, 2, FALSE), "")</f>
        <v>Movie</v>
      </c>
      <c r="C1697" s="2" t="str">
        <f>IF(A1697&lt;&gt;"", VLOOKUP(A1697, imdb_netflix_v5!A$2:H$7370, 3, FALSE), "")</f>
        <v>Comedy, Crime, Drama</v>
      </c>
      <c r="D1697" s="2">
        <f>IF(A1697&lt;&gt;"", VLOOKUP(A1697, imdb_netflix_v5!A$2:H$7370, 4, FALSE), "")</f>
        <v>7.9</v>
      </c>
      <c r="E1697" s="2">
        <f>IF(A1697&lt;&gt;"", VLOOKUP(A1697, imdb_netflix_v5!A$2:H$7370, 5, FALSE), "")</f>
        <v>2008</v>
      </c>
      <c r="F1697" s="2" t="str">
        <f>IF(A1697&lt;&gt;"", VLOOKUP(A1697, imdb_netflix_v5!A$2:H$7370, 7, FALSE), "")</f>
        <v>NA</v>
      </c>
    </row>
    <row r="1698" ht="15.75" customHeight="1">
      <c r="A1698" s="1" t="str">
        <f>IFERROR(__xludf.DUMMYFUNCTION("""COMPUTED_VALUE"""),"jojo rabbit")</f>
        <v>jojo rabbit</v>
      </c>
      <c r="B1698" s="1" t="str">
        <f>IF(A1698&lt;&gt;"", VLOOKUP(A1698, imdb_netflix_v5!A$2:H$7370, 2, FALSE), "")</f>
        <v>Movie</v>
      </c>
      <c r="C1698" s="2" t="str">
        <f>IF(A1698&lt;&gt;"", VLOOKUP(A1698, imdb_netflix_v5!A$2:H$7370, 3, FALSE), "")</f>
        <v>Comedy, Drama, War</v>
      </c>
      <c r="D1698" s="2">
        <f>IF(A1698&lt;&gt;"", VLOOKUP(A1698, imdb_netflix_v5!A$2:H$7370, 4, FALSE), "")</f>
        <v>7.9</v>
      </c>
      <c r="E1698" s="2">
        <f>IF(A1698&lt;&gt;"", VLOOKUP(A1698, imdb_netflix_v5!A$2:H$7370, 5, FALSE), "")</f>
        <v>2019</v>
      </c>
      <c r="F1698" s="2" t="str">
        <f>IF(A1698&lt;&gt;"", VLOOKUP(A1698, imdb_netflix_v5!A$2:H$7370, 7, FALSE), "")</f>
        <v>NA</v>
      </c>
    </row>
    <row r="1699" ht="15.75" customHeight="1">
      <c r="A1699" s="1" t="str">
        <f>IFERROR(__xludf.DUMMYFUNCTION("""COMPUTED_VALUE"""),"zack snyders justice league")</f>
        <v>zack snyders justice league</v>
      </c>
      <c r="B1699" s="1" t="str">
        <f>IF(A1699&lt;&gt;"", VLOOKUP(A1699, imdb_netflix_v5!A$2:H$7370, 2, FALSE), "")</f>
        <v>Movie</v>
      </c>
      <c r="C1699" s="2" t="str">
        <f>IF(A1699&lt;&gt;"", VLOOKUP(A1699, imdb_netflix_v5!A$2:H$7370, 3, FALSE), "")</f>
        <v>Action, Adventure, Fantasy</v>
      </c>
      <c r="D1699" s="2">
        <f>IF(A1699&lt;&gt;"", VLOOKUP(A1699, imdb_netflix_v5!A$2:H$7370, 4, FALSE), "")</f>
        <v>7.9</v>
      </c>
      <c r="E1699" s="2">
        <f>IF(A1699&lt;&gt;"", VLOOKUP(A1699, imdb_netflix_v5!A$2:H$7370, 5, FALSE), "")</f>
        <v>2021</v>
      </c>
      <c r="F1699" s="2" t="str">
        <f>IF(A1699&lt;&gt;"", VLOOKUP(A1699, imdb_netflix_v5!A$2:H$7370, 7, FALSE), "")</f>
        <v>NA</v>
      </c>
    </row>
    <row r="1700" ht="15.75" customHeight="1">
      <c r="A1700" s="1" t="str">
        <f>IFERROR(__xludf.DUMMYFUNCTION("""COMPUTED_VALUE"""),"e.t. the extra-terrestrial")</f>
        <v>e.t. the extra-terrestrial</v>
      </c>
      <c r="B1700" s="1" t="str">
        <f>IF(A1700&lt;&gt;"", VLOOKUP(A1700, imdb_netflix_v5!A$2:H$7370, 2, FALSE), "")</f>
        <v>Movie</v>
      </c>
      <c r="C1700" s="2" t="str">
        <f>IF(A1700&lt;&gt;"", VLOOKUP(A1700, imdb_netflix_v5!A$2:H$7370, 3, FALSE), "")</f>
        <v>Adventure, Family, Sci-Fi</v>
      </c>
      <c r="D1700" s="2">
        <f>IF(A1700&lt;&gt;"", VLOOKUP(A1700, imdb_netflix_v5!A$2:H$7370, 4, FALSE), "")</f>
        <v>7.9</v>
      </c>
      <c r="E1700" s="2">
        <f>IF(A1700&lt;&gt;"", VLOOKUP(A1700, imdb_netflix_v5!A$2:H$7370, 5, FALSE), "")</f>
        <v>1982</v>
      </c>
      <c r="F1700" s="2" t="str">
        <f>IF(A1700&lt;&gt;"", VLOOKUP(A1700, imdb_netflix_v5!A$2:H$7370, 7, FALSE), "")</f>
        <v>NA</v>
      </c>
    </row>
    <row r="1701" ht="15.75" customHeight="1">
      <c r="A1701" s="1" t="str">
        <f>IFERROR(__xludf.DUMMYFUNCTION("""COMPUTED_VALUE"""),"guardians of the galaxy vol. 3")</f>
        <v>guardians of the galaxy vol. 3</v>
      </c>
      <c r="B1701" s="1" t="str">
        <f>IF(A1701&lt;&gt;"", VLOOKUP(A1701, imdb_netflix_v5!A$2:H$7370, 2, FALSE), "")</f>
        <v>Movie</v>
      </c>
      <c r="C1701" s="2" t="str">
        <f>IF(A1701&lt;&gt;"", VLOOKUP(A1701, imdb_netflix_v5!A$2:H$7370, 3, FALSE), "")</f>
        <v>Action, Adventure, Comedy</v>
      </c>
      <c r="D1701" s="2">
        <f>IF(A1701&lt;&gt;"", VLOOKUP(A1701, imdb_netflix_v5!A$2:H$7370, 4, FALSE), "")</f>
        <v>7.9</v>
      </c>
      <c r="E1701" s="2">
        <f>IF(A1701&lt;&gt;"", VLOOKUP(A1701, imdb_netflix_v5!A$2:H$7370, 5, FALSE), "")</f>
        <v>2023</v>
      </c>
      <c r="F1701" s="2" t="str">
        <f>IF(A1701&lt;&gt;"", VLOOKUP(A1701, imdb_netflix_v5!A$2:H$7370, 7, FALSE), "")</f>
        <v>NA</v>
      </c>
    </row>
    <row r="1702" ht="15.75" customHeight="1">
      <c r="A1702" s="1" t="str">
        <f>IFERROR(__xludf.DUMMYFUNCTION("""COMPUTED_VALUE"""),"mulholland drive")</f>
        <v>mulholland drive</v>
      </c>
      <c r="B1702" s="1" t="str">
        <f>IF(A1702&lt;&gt;"", VLOOKUP(A1702, imdb_netflix_v5!A$2:H$7370, 2, FALSE), "")</f>
        <v>Movie</v>
      </c>
      <c r="C1702" s="2" t="str">
        <f>IF(A1702&lt;&gt;"", VLOOKUP(A1702, imdb_netflix_v5!A$2:H$7370, 3, FALSE), "")</f>
        <v>Drama, Mystery, Thriller</v>
      </c>
      <c r="D1702" s="2">
        <f>IF(A1702&lt;&gt;"", VLOOKUP(A1702, imdb_netflix_v5!A$2:H$7370, 4, FALSE), "")</f>
        <v>7.9</v>
      </c>
      <c r="E1702" s="2">
        <f>IF(A1702&lt;&gt;"", VLOOKUP(A1702, imdb_netflix_v5!A$2:H$7370, 5, FALSE), "")</f>
        <v>2001</v>
      </c>
      <c r="F1702" s="2" t="str">
        <f>IF(A1702&lt;&gt;"", VLOOKUP(A1702, imdb_netflix_v5!A$2:H$7370, 7, FALSE), "")</f>
        <v>NA</v>
      </c>
    </row>
    <row r="1703" ht="15.75" customHeight="1">
      <c r="A1703" s="1" t="str">
        <f>IFERROR(__xludf.DUMMYFUNCTION("""COMPUTED_VALUE"""),"the nightmare before christmas")</f>
        <v>the nightmare before christmas</v>
      </c>
      <c r="B1703" s="1" t="str">
        <f>IF(A1703&lt;&gt;"", VLOOKUP(A1703, imdb_netflix_v5!A$2:H$7370, 2, FALSE), "")</f>
        <v>Movie</v>
      </c>
      <c r="C1703" s="2" t="str">
        <f>IF(A1703&lt;&gt;"", VLOOKUP(A1703, imdb_netflix_v5!A$2:H$7370, 3, FALSE), "")</f>
        <v>Animation, Family, Fantasy</v>
      </c>
      <c r="D1703" s="2">
        <f>IF(A1703&lt;&gt;"", VLOOKUP(A1703, imdb_netflix_v5!A$2:H$7370, 4, FALSE), "")</f>
        <v>7.9</v>
      </c>
      <c r="E1703" s="2">
        <f>IF(A1703&lt;&gt;"", VLOOKUP(A1703, imdb_netflix_v5!A$2:H$7370, 5, FALSE), "")</f>
        <v>1993</v>
      </c>
      <c r="F1703" s="2" t="str">
        <f>IF(A1703&lt;&gt;"", VLOOKUP(A1703, imdb_netflix_v5!A$2:H$7370, 7, FALSE), "")</f>
        <v>NA</v>
      </c>
    </row>
    <row r="1704" ht="15.75" customHeight="1">
      <c r="A1704" s="1" t="str">
        <f>IFERROR(__xludf.DUMMYFUNCTION("""COMPUTED_VALUE"""),"wandavision")</f>
        <v>wandavision</v>
      </c>
      <c r="B1704" s="1" t="str">
        <f>IF(A1704&lt;&gt;"", VLOOKUP(A1704, imdb_netflix_v5!A$2:H$7370, 2, FALSE), "")</f>
        <v>TV Show</v>
      </c>
      <c r="C1704" s="2" t="str">
        <f>IF(A1704&lt;&gt;"", VLOOKUP(A1704, imdb_netflix_v5!A$2:H$7370, 3, FALSE), "")</f>
        <v>Action, Comedy, Drama</v>
      </c>
      <c r="D1704" s="2">
        <f>IF(A1704&lt;&gt;"", VLOOKUP(A1704, imdb_netflix_v5!A$2:H$7370, 4, FALSE), "")</f>
        <v>7.9</v>
      </c>
      <c r="E1704" s="2">
        <f>IF(A1704&lt;&gt;"", VLOOKUP(A1704, imdb_netflix_v5!A$2:H$7370, 5, FALSE), "")</f>
        <v>2021</v>
      </c>
      <c r="F1704" s="2" t="str">
        <f>IF(A1704&lt;&gt;"", VLOOKUP(A1704, imdb_netflix_v5!A$2:H$7370, 7, FALSE), "")</f>
        <v>NA</v>
      </c>
    </row>
    <row r="1705" ht="15.75" customHeight="1">
      <c r="A1705" s="1" t="str">
        <f>IFERROR(__xludf.DUMMYFUNCTION("""COMPUTED_VALUE"""),"boyhood")</f>
        <v>boyhood</v>
      </c>
      <c r="B1705" s="1" t="str">
        <f>IF(A1705&lt;&gt;"", VLOOKUP(A1705, imdb_netflix_v5!A$2:H$7370, 2, FALSE), "")</f>
        <v>Movie</v>
      </c>
      <c r="C1705" s="2" t="str">
        <f>IF(A1705&lt;&gt;"", VLOOKUP(A1705, imdb_netflix_v5!A$2:H$7370, 3, FALSE), "")</f>
        <v>Drama</v>
      </c>
      <c r="D1705" s="2">
        <f>IF(A1705&lt;&gt;"", VLOOKUP(A1705, imdb_netflix_v5!A$2:H$7370, 4, FALSE), "")</f>
        <v>7.9</v>
      </c>
      <c r="E1705" s="2">
        <f>IF(A1705&lt;&gt;"", VLOOKUP(A1705, imdb_netflix_v5!A$2:H$7370, 5, FALSE), "")</f>
        <v>2014</v>
      </c>
      <c r="F1705" s="2" t="str">
        <f>IF(A1705&lt;&gt;"", VLOOKUP(A1705, imdb_netflix_v5!A$2:H$7370, 7, FALSE), "")</f>
        <v>NA</v>
      </c>
    </row>
    <row r="1706" ht="15.75" customHeight="1">
      <c r="A1706" s="1" t="str">
        <f>IFERROR(__xludf.DUMMYFUNCTION("""COMPUTED_VALUE"""),"marriage story")</f>
        <v>marriage story</v>
      </c>
      <c r="B1706" s="1" t="str">
        <f>IF(A1706&lt;&gt;"", VLOOKUP(A1706, imdb_netflix_v5!A$2:H$7370, 2, FALSE), "")</f>
        <v>Movie</v>
      </c>
      <c r="C1706" s="2" t="str">
        <f>IF(A1706&lt;&gt;"", VLOOKUP(A1706, imdb_netflix_v5!A$2:H$7370, 3, FALSE), "")</f>
        <v>Drama, Romance</v>
      </c>
      <c r="D1706" s="2">
        <f>IF(A1706&lt;&gt;"", VLOOKUP(A1706, imdb_netflix_v5!A$2:H$7370, 4, FALSE), "")</f>
        <v>7.9</v>
      </c>
      <c r="E1706" s="2">
        <f>IF(A1706&lt;&gt;"", VLOOKUP(A1706, imdb_netflix_v5!A$2:H$7370, 5, FALSE), "")</f>
        <v>2019</v>
      </c>
      <c r="F1706" s="2" t="str">
        <f>IF(A1706&lt;&gt;"", VLOOKUP(A1706, imdb_netflix_v5!A$2:H$7370, 7, FALSE), "")</f>
        <v>NA</v>
      </c>
    </row>
    <row r="1707" ht="15.75" customHeight="1">
      <c r="A1707" s="1" t="str">
        <f>IFERROR(__xludf.DUMMYFUNCTION("""COMPUTED_VALUE"""),"american horror story")</f>
        <v>american horror story</v>
      </c>
      <c r="B1707" s="1" t="str">
        <f>IF(A1707&lt;&gt;"", VLOOKUP(A1707, imdb_netflix_v5!A$2:H$7370, 2, FALSE), "")</f>
        <v>TV Show</v>
      </c>
      <c r="C1707" s="2" t="str">
        <f>IF(A1707&lt;&gt;"", VLOOKUP(A1707, imdb_netflix_v5!A$2:H$7370, 3, FALSE), "")</f>
        <v>Drama, Horror, Sci-Fi</v>
      </c>
      <c r="D1707" s="2">
        <f>IF(A1707&lt;&gt;"", VLOOKUP(A1707, imdb_netflix_v5!A$2:H$7370, 4, FALSE), "")</f>
        <v>7.9</v>
      </c>
      <c r="E1707" s="2">
        <f>IF(A1707&lt;&gt;"", VLOOKUP(A1707, imdb_netflix_v5!A$2:H$7370, 5, FALSE), "")</f>
        <v>2011</v>
      </c>
      <c r="F1707" s="2" t="str">
        <f>IF(A1707&lt;&gt;"", VLOOKUP(A1707, imdb_netflix_v5!A$2:H$7370, 7, FALSE), "")</f>
        <v>NA</v>
      </c>
    </row>
    <row r="1708" ht="15.75" customHeight="1">
      <c r="A1708" s="1" t="str">
        <f>IFERROR(__xludf.DUMMYFUNCTION("""COMPUTED_VALUE"""),"the wrestler")</f>
        <v>the wrestler</v>
      </c>
      <c r="B1708" s="1" t="str">
        <f>IF(A1708&lt;&gt;"", VLOOKUP(A1708, imdb_netflix_v5!A$2:H$7370, 2, FALSE), "")</f>
        <v>Movie</v>
      </c>
      <c r="C1708" s="2" t="str">
        <f>IF(A1708&lt;&gt;"", VLOOKUP(A1708, imdb_netflix_v5!A$2:H$7370, 3, FALSE), "")</f>
        <v>Drama, Sport</v>
      </c>
      <c r="D1708" s="2">
        <f>IF(A1708&lt;&gt;"", VLOOKUP(A1708, imdb_netflix_v5!A$2:H$7370, 4, FALSE), "")</f>
        <v>7.9</v>
      </c>
      <c r="E1708" s="2">
        <f>IF(A1708&lt;&gt;"", VLOOKUP(A1708, imdb_netflix_v5!A$2:H$7370, 5, FALSE), "")</f>
        <v>2008</v>
      </c>
      <c r="F1708" s="2" t="str">
        <f>IF(A1708&lt;&gt;"", VLOOKUP(A1708, imdb_netflix_v5!A$2:H$7370, 7, FALSE), "")</f>
        <v>NA</v>
      </c>
    </row>
    <row r="1709" ht="15.75" customHeight="1">
      <c r="A1709" s="1" t="str">
        <f>IFERROR(__xludf.DUMMYFUNCTION("""COMPUTED_VALUE"""),"almost famous")</f>
        <v>almost famous</v>
      </c>
      <c r="B1709" s="1" t="str">
        <f>IF(A1709&lt;&gt;"", VLOOKUP(A1709, imdb_netflix_v5!A$2:H$7370, 2, FALSE), "")</f>
        <v>Movie</v>
      </c>
      <c r="C1709" s="2" t="str">
        <f>IF(A1709&lt;&gt;"", VLOOKUP(A1709, imdb_netflix_v5!A$2:H$7370, 3, FALSE), "")</f>
        <v>Adventure, Comedy, Drama</v>
      </c>
      <c r="D1709" s="2">
        <f>IF(A1709&lt;&gt;"", VLOOKUP(A1709, imdb_netflix_v5!A$2:H$7370, 4, FALSE), "")</f>
        <v>7.9</v>
      </c>
      <c r="E1709" s="2">
        <f>IF(A1709&lt;&gt;"", VLOOKUP(A1709, imdb_netflix_v5!A$2:H$7370, 5, FALSE), "")</f>
        <v>2000</v>
      </c>
      <c r="F1709" s="2" t="str">
        <f>IF(A1709&lt;&gt;"", VLOOKUP(A1709, imdb_netflix_v5!A$2:H$7370, 7, FALSE), "")</f>
        <v>NA</v>
      </c>
    </row>
    <row r="1710" ht="15.75" customHeight="1">
      <c r="A1710" s="1" t="str">
        <f>IFERROR(__xludf.DUMMYFUNCTION("""COMPUTED_VALUE"""),"boogie nights")</f>
        <v>boogie nights</v>
      </c>
      <c r="B1710" s="1" t="str">
        <f>IF(A1710&lt;&gt;"", VLOOKUP(A1710, imdb_netflix_v5!A$2:H$7370, 2, FALSE), "")</f>
        <v>Movie</v>
      </c>
      <c r="C1710" s="2" t="str">
        <f>IF(A1710&lt;&gt;"", VLOOKUP(A1710, imdb_netflix_v5!A$2:H$7370, 3, FALSE), "")</f>
        <v>Drama</v>
      </c>
      <c r="D1710" s="2">
        <f>IF(A1710&lt;&gt;"", VLOOKUP(A1710, imdb_netflix_v5!A$2:H$7370, 4, FALSE), "")</f>
        <v>7.9</v>
      </c>
      <c r="E1710" s="2">
        <f>IF(A1710&lt;&gt;"", VLOOKUP(A1710, imdb_netflix_v5!A$2:H$7370, 5, FALSE), "")</f>
        <v>1997</v>
      </c>
      <c r="F1710" s="2" t="str">
        <f>IF(A1710&lt;&gt;"", VLOOKUP(A1710, imdb_netflix_v5!A$2:H$7370, 7, FALSE), "")</f>
        <v>NA</v>
      </c>
    </row>
    <row r="1711" ht="15.75" customHeight="1">
      <c r="A1711" s="1" t="str">
        <f>IFERROR(__xludf.DUMMYFUNCTION("""COMPUTED_VALUE"""),"the blacklist")</f>
        <v>the blacklist</v>
      </c>
      <c r="B1711" s="1" t="str">
        <f>IF(A1711&lt;&gt;"", VLOOKUP(A1711, imdb_netflix_v5!A$2:H$7370, 2, FALSE), "")</f>
        <v>TV Show</v>
      </c>
      <c r="C1711" s="2" t="str">
        <f>IF(A1711&lt;&gt;"", VLOOKUP(A1711, imdb_netflix_v5!A$2:H$7370, 3, FALSE), "")</f>
        <v>Crime, Drama, Mystery</v>
      </c>
      <c r="D1711" s="2">
        <f>IF(A1711&lt;&gt;"", VLOOKUP(A1711, imdb_netflix_v5!A$2:H$7370, 4, FALSE), "")</f>
        <v>7.9</v>
      </c>
      <c r="E1711" s="2">
        <f>IF(A1711&lt;&gt;"", VLOOKUP(A1711, imdb_netflix_v5!A$2:H$7370, 5, FALSE), "")</f>
        <v>2013</v>
      </c>
      <c r="F1711" s="2">
        <f>IF(A1711&lt;&gt;"", VLOOKUP(A1711, imdb_netflix_v5!A$2:H$7370, 7, FALSE), "")</f>
        <v>17260000</v>
      </c>
    </row>
    <row r="1712" ht="15.75" customHeight="1">
      <c r="A1712" s="1" t="str">
        <f>IFERROR(__xludf.DUMMYFUNCTION("""COMPUTED_VALUE"""),"crouching tiger, hidden dragon")</f>
        <v>crouching tiger, hidden dragon</v>
      </c>
      <c r="B1712" s="1" t="str">
        <f>IF(A1712&lt;&gt;"", VLOOKUP(A1712, imdb_netflix_v5!A$2:H$7370, 2, FALSE), "")</f>
        <v>Movie</v>
      </c>
      <c r="C1712" s="2" t="str">
        <f>IF(A1712&lt;&gt;"", VLOOKUP(A1712, imdb_netflix_v5!A$2:H$7370, 3, FALSE), "")</f>
        <v>Action, Adventure, Drama</v>
      </c>
      <c r="D1712" s="2">
        <f>IF(A1712&lt;&gt;"", VLOOKUP(A1712, imdb_netflix_v5!A$2:H$7370, 4, FALSE), "")</f>
        <v>7.9</v>
      </c>
      <c r="E1712" s="2">
        <f>IF(A1712&lt;&gt;"", VLOOKUP(A1712, imdb_netflix_v5!A$2:H$7370, 5, FALSE), "")</f>
        <v>2000</v>
      </c>
      <c r="F1712" s="2" t="str">
        <f>IF(A1712&lt;&gt;"", VLOOKUP(A1712, imdb_netflix_v5!A$2:H$7370, 7, FALSE), "")</f>
        <v>NA</v>
      </c>
    </row>
    <row r="1713" ht="15.75" customHeight="1">
      <c r="A1713" s="1" t="str">
        <f>IFERROR(__xludf.DUMMYFUNCTION("""COMPUTED_VALUE"""),"fantastic mr. fox")</f>
        <v>fantastic mr. fox</v>
      </c>
      <c r="B1713" s="1" t="str">
        <f>IF(A1713&lt;&gt;"", VLOOKUP(A1713, imdb_netflix_v5!A$2:H$7370, 2, FALSE), "")</f>
        <v>Movie</v>
      </c>
      <c r="C1713" s="2" t="str">
        <f>IF(A1713&lt;&gt;"", VLOOKUP(A1713, imdb_netflix_v5!A$2:H$7370, 3, FALSE), "")</f>
        <v>Adventure, Animation, Comedy</v>
      </c>
      <c r="D1713" s="2">
        <f>IF(A1713&lt;&gt;"", VLOOKUP(A1713, imdb_netflix_v5!A$2:H$7370, 4, FALSE), "")</f>
        <v>7.9</v>
      </c>
      <c r="E1713" s="2">
        <f>IF(A1713&lt;&gt;"", VLOOKUP(A1713, imdb_netflix_v5!A$2:H$7370, 5, FALSE), "")</f>
        <v>2009</v>
      </c>
      <c r="F1713" s="2" t="str">
        <f>IF(A1713&lt;&gt;"", VLOOKUP(A1713, imdb_netflix_v5!A$2:H$7370, 7, FALSE), "")</f>
        <v>NA</v>
      </c>
    </row>
    <row r="1714" ht="15.75" customHeight="1">
      <c r="A1714" s="1" t="str">
        <f>IFERROR(__xludf.DUMMYFUNCTION("""COMPUTED_VALUE"""),"true blood")</f>
        <v>true blood</v>
      </c>
      <c r="B1714" s="1" t="str">
        <f>IF(A1714&lt;&gt;"", VLOOKUP(A1714, imdb_netflix_v5!A$2:H$7370, 2, FALSE), "")</f>
        <v>TV Show</v>
      </c>
      <c r="C1714" s="2" t="str">
        <f>IF(A1714&lt;&gt;"", VLOOKUP(A1714, imdb_netflix_v5!A$2:H$7370, 3, FALSE), "")</f>
        <v>Drama, Fantasy, Mystery</v>
      </c>
      <c r="D1714" s="2">
        <f>IF(A1714&lt;&gt;"", VLOOKUP(A1714, imdb_netflix_v5!A$2:H$7370, 4, FALSE), "")</f>
        <v>7.9</v>
      </c>
      <c r="E1714" s="2">
        <f>IF(A1714&lt;&gt;"", VLOOKUP(A1714, imdb_netflix_v5!A$2:H$7370, 5, FALSE), "")</f>
        <v>2008</v>
      </c>
      <c r="F1714" s="2" t="str">
        <f>IF(A1714&lt;&gt;"", VLOOKUP(A1714, imdb_netflix_v5!A$2:H$7370, 7, FALSE), "")</f>
        <v>NA</v>
      </c>
    </row>
    <row r="1715" ht="15.75" customHeight="1">
      <c r="A1715" s="1" t="str">
        <f>IFERROR(__xludf.DUMMYFUNCTION("""COMPUTED_VALUE"""),"true romance")</f>
        <v>true romance</v>
      </c>
      <c r="B1715" s="1" t="str">
        <f>IF(A1715&lt;&gt;"", VLOOKUP(A1715, imdb_netflix_v5!A$2:H$7370, 2, FALSE), "")</f>
        <v>Movie</v>
      </c>
      <c r="C1715" s="2" t="str">
        <f>IF(A1715&lt;&gt;"", VLOOKUP(A1715, imdb_netflix_v5!A$2:H$7370, 3, FALSE), "")</f>
        <v>Crime, Drama, Romance</v>
      </c>
      <c r="D1715" s="2">
        <f>IF(A1715&lt;&gt;"", VLOOKUP(A1715, imdb_netflix_v5!A$2:H$7370, 4, FALSE), "")</f>
        <v>7.9</v>
      </c>
      <c r="E1715" s="2">
        <f>IF(A1715&lt;&gt;"", VLOOKUP(A1715, imdb_netflix_v5!A$2:H$7370, 5, FALSE), "")</f>
        <v>1993</v>
      </c>
      <c r="F1715" s="2" t="str">
        <f>IF(A1715&lt;&gt;"", VLOOKUP(A1715, imdb_netflix_v5!A$2:H$7370, 7, FALSE), "")</f>
        <v>NA</v>
      </c>
    </row>
    <row r="1716" ht="15.75" customHeight="1">
      <c r="A1716" s="1" t="str">
        <f>IFERROR(__xludf.DUMMYFUNCTION("""COMPUTED_VALUE"""),"a fistful of dollars")</f>
        <v>a fistful of dollars</v>
      </c>
      <c r="B1716" s="1" t="str">
        <f>IF(A1716&lt;&gt;"", VLOOKUP(A1716, imdb_netflix_v5!A$2:H$7370, 2, FALSE), "")</f>
        <v>Movie</v>
      </c>
      <c r="C1716" s="2" t="str">
        <f>IF(A1716&lt;&gt;"", VLOOKUP(A1716, imdb_netflix_v5!A$2:H$7370, 3, FALSE), "")</f>
        <v>Drama, Western</v>
      </c>
      <c r="D1716" s="2">
        <f>IF(A1716&lt;&gt;"", VLOOKUP(A1716, imdb_netflix_v5!A$2:H$7370, 4, FALSE), "")</f>
        <v>7.9</v>
      </c>
      <c r="E1716" s="2">
        <f>IF(A1716&lt;&gt;"", VLOOKUP(A1716, imdb_netflix_v5!A$2:H$7370, 5, FALSE), "")</f>
        <v>1964</v>
      </c>
      <c r="F1716" s="2" t="str">
        <f>IF(A1716&lt;&gt;"", VLOOKUP(A1716, imdb_netflix_v5!A$2:H$7370, 7, FALSE), "")</f>
        <v>NA</v>
      </c>
    </row>
    <row r="1717" ht="15.75" customHeight="1">
      <c r="A1717" s="1" t="str">
        <f>IFERROR(__xludf.DUMMYFUNCTION("""COMPUTED_VALUE"""),"carlitos way")</f>
        <v>carlitos way</v>
      </c>
      <c r="B1717" s="1" t="str">
        <f>IF(A1717&lt;&gt;"", VLOOKUP(A1717, imdb_netflix_v5!A$2:H$7370, 2, FALSE), "")</f>
        <v>Movie</v>
      </c>
      <c r="C1717" s="2" t="str">
        <f>IF(A1717&lt;&gt;"", VLOOKUP(A1717, imdb_netflix_v5!A$2:H$7370, 3, FALSE), "")</f>
        <v>Crime, Drama, Thriller</v>
      </c>
      <c r="D1717" s="2">
        <f>IF(A1717&lt;&gt;"", VLOOKUP(A1717, imdb_netflix_v5!A$2:H$7370, 4, FALSE), "")</f>
        <v>7.9</v>
      </c>
      <c r="E1717" s="2">
        <f>IF(A1717&lt;&gt;"", VLOOKUP(A1717, imdb_netflix_v5!A$2:H$7370, 5, FALSE), "")</f>
        <v>1993</v>
      </c>
      <c r="F1717" s="2" t="str">
        <f>IF(A1717&lt;&gt;"", VLOOKUP(A1717, imdb_netflix_v5!A$2:H$7370, 7, FALSE), "")</f>
        <v>NA</v>
      </c>
    </row>
    <row r="1718" ht="15.75" customHeight="1">
      <c r="A1718" s="1" t="str">
        <f>IFERROR(__xludf.DUMMYFUNCTION("""COMPUTED_VALUE"""),"the blues brothers")</f>
        <v>the blues brothers</v>
      </c>
      <c r="B1718" s="1" t="str">
        <f>IF(A1718&lt;&gt;"", VLOOKUP(A1718, imdb_netflix_v5!A$2:H$7370, 2, FALSE), "")</f>
        <v>Movie</v>
      </c>
      <c r="C1718" s="2" t="str">
        <f>IF(A1718&lt;&gt;"", VLOOKUP(A1718, imdb_netflix_v5!A$2:H$7370, 3, FALSE), "")</f>
        <v>Adventure, Comedy, Crime</v>
      </c>
      <c r="D1718" s="2">
        <f>IF(A1718&lt;&gt;"", VLOOKUP(A1718, imdb_netflix_v5!A$2:H$7370, 4, FALSE), "")</f>
        <v>7.9</v>
      </c>
      <c r="E1718" s="2">
        <f>IF(A1718&lt;&gt;"", VLOOKUP(A1718, imdb_netflix_v5!A$2:H$7370, 5, FALSE), "")</f>
        <v>1980</v>
      </c>
      <c r="F1718" s="2" t="str">
        <f>IF(A1718&lt;&gt;"", VLOOKUP(A1718, imdb_netflix_v5!A$2:H$7370, 7, FALSE), "")</f>
        <v>NA</v>
      </c>
    </row>
    <row r="1719" ht="15.75" customHeight="1">
      <c r="A1719" s="1" t="str">
        <f>IFERROR(__xludf.DUMMYFUNCTION("""COMPUTED_VALUE"""),"altered carbon")</f>
        <v>altered carbon</v>
      </c>
      <c r="B1719" s="1" t="str">
        <f>IF(A1719&lt;&gt;"", VLOOKUP(A1719, imdb_netflix_v5!A$2:H$7370, 2, FALSE), "")</f>
        <v>TV Show</v>
      </c>
      <c r="C1719" s="2" t="str">
        <f>IF(A1719&lt;&gt;"", VLOOKUP(A1719, imdb_netflix_v5!A$2:H$7370, 3, FALSE), "")</f>
        <v>Action, Adventure, Drama</v>
      </c>
      <c r="D1719" s="2">
        <f>IF(A1719&lt;&gt;"", VLOOKUP(A1719, imdb_netflix_v5!A$2:H$7370, 4, FALSE), "")</f>
        <v>7.9</v>
      </c>
      <c r="E1719" s="2">
        <f>IF(A1719&lt;&gt;"", VLOOKUP(A1719, imdb_netflix_v5!A$2:H$7370, 5, FALSE), "")</f>
        <v>2018</v>
      </c>
      <c r="F1719" s="2" t="str">
        <f>IF(A1719&lt;&gt;"", VLOOKUP(A1719, imdb_netflix_v5!A$2:H$7370, 7, FALSE), "")</f>
        <v>NA</v>
      </c>
    </row>
    <row r="1720" ht="15.75" customHeight="1">
      <c r="A1720" s="1" t="str">
        <f>IFERROR(__xludf.DUMMYFUNCTION("""COMPUTED_VALUE"""),"hero")</f>
        <v>hero</v>
      </c>
      <c r="B1720" s="1" t="str">
        <f>IF(A1720&lt;&gt;"", VLOOKUP(A1720, imdb_netflix_v5!A$2:H$7370, 2, FALSE), "")</f>
        <v>Movie</v>
      </c>
      <c r="C1720" s="2" t="str">
        <f>IF(A1720&lt;&gt;"", VLOOKUP(A1720, imdb_netflix_v5!A$2:H$7370, 3, FALSE), "")</f>
        <v>Action, Adventure, Drama</v>
      </c>
      <c r="D1720" s="2">
        <f>IF(A1720&lt;&gt;"", VLOOKUP(A1720, imdb_netflix_v5!A$2:H$7370, 4, FALSE), "")</f>
        <v>7.9</v>
      </c>
      <c r="E1720" s="2">
        <f>IF(A1720&lt;&gt;"", VLOOKUP(A1720, imdb_netflix_v5!A$2:H$7370, 5, FALSE), "")</f>
        <v>2002</v>
      </c>
      <c r="F1720" s="2" t="str">
        <f>IF(A1720&lt;&gt;"", VLOOKUP(A1720, imdb_netflix_v5!A$2:H$7370, 7, FALSE), "")</f>
        <v>NA</v>
      </c>
    </row>
    <row r="1721" ht="15.75" customHeight="1">
      <c r="A1721" s="1" t="str">
        <f>IFERROR(__xludf.DUMMYFUNCTION("""COMPUTED_VALUE"""),"wonder")</f>
        <v>wonder</v>
      </c>
      <c r="B1721" s="1" t="str">
        <f>IF(A1721&lt;&gt;"", VLOOKUP(A1721, imdb_netflix_v5!A$2:H$7370, 2, FALSE), "")</f>
        <v>Movie</v>
      </c>
      <c r="C1721" s="2" t="str">
        <f>IF(A1721&lt;&gt;"", VLOOKUP(A1721, imdb_netflix_v5!A$2:H$7370, 3, FALSE), "")</f>
        <v>Drama, Family</v>
      </c>
      <c r="D1721" s="2">
        <f>IF(A1721&lt;&gt;"", VLOOKUP(A1721, imdb_netflix_v5!A$2:H$7370, 4, FALSE), "")</f>
        <v>7.9</v>
      </c>
      <c r="E1721" s="2">
        <f>IF(A1721&lt;&gt;"", VLOOKUP(A1721, imdb_netflix_v5!A$2:H$7370, 5, FALSE), "")</f>
        <v>2017</v>
      </c>
      <c r="F1721" s="2" t="str">
        <f>IF(A1721&lt;&gt;"", VLOOKUP(A1721, imdb_netflix_v5!A$2:H$7370, 7, FALSE), "")</f>
        <v>NA</v>
      </c>
    </row>
    <row r="1722" ht="15.75" customHeight="1">
      <c r="A1722" s="1" t="str">
        <f>IFERROR(__xludf.DUMMYFUNCTION("""COMPUTED_VALUE"""),"the holdovers")</f>
        <v>the holdovers</v>
      </c>
      <c r="B1722" s="1" t="str">
        <f>IF(A1722&lt;&gt;"", VLOOKUP(A1722, imdb_netflix_v5!A$2:H$7370, 2, FALSE), "")</f>
        <v>Movie</v>
      </c>
      <c r="C1722" s="2" t="str">
        <f>IF(A1722&lt;&gt;"", VLOOKUP(A1722, imdb_netflix_v5!A$2:H$7370, 3, FALSE), "")</f>
        <v>Comedy, Drama</v>
      </c>
      <c r="D1722" s="2">
        <f>IF(A1722&lt;&gt;"", VLOOKUP(A1722, imdb_netflix_v5!A$2:H$7370, 4, FALSE), "")</f>
        <v>7.9</v>
      </c>
      <c r="E1722" s="2">
        <f>IF(A1722&lt;&gt;"", VLOOKUP(A1722, imdb_netflix_v5!A$2:H$7370, 5, FALSE), "")</f>
        <v>2023</v>
      </c>
      <c r="F1722" s="2" t="str">
        <f>IF(A1722&lt;&gt;"", VLOOKUP(A1722, imdb_netflix_v5!A$2:H$7370, 7, FALSE), "")</f>
        <v>NA</v>
      </c>
    </row>
    <row r="1723" ht="15.75" customHeight="1">
      <c r="A1723" s="1" t="str">
        <f>IFERROR(__xludf.DUMMYFUNCTION("""COMPUTED_VALUE"""),"before midnight")</f>
        <v>before midnight</v>
      </c>
      <c r="B1723" s="1" t="str">
        <f>IF(A1723&lt;&gt;"", VLOOKUP(A1723, imdb_netflix_v5!A$2:H$7370, 2, FALSE), "")</f>
        <v>Movie</v>
      </c>
      <c r="C1723" s="2" t="str">
        <f>IF(A1723&lt;&gt;"", VLOOKUP(A1723, imdb_netflix_v5!A$2:H$7370, 3, FALSE), "")</f>
        <v>Drama, Romance</v>
      </c>
      <c r="D1723" s="2">
        <f>IF(A1723&lt;&gt;"", VLOOKUP(A1723, imdb_netflix_v5!A$2:H$7370, 4, FALSE), "")</f>
        <v>7.9</v>
      </c>
      <c r="E1723" s="2">
        <f>IF(A1723&lt;&gt;"", VLOOKUP(A1723, imdb_netflix_v5!A$2:H$7370, 5, FALSE), "")</f>
        <v>2013</v>
      </c>
      <c r="F1723" s="2" t="str">
        <f>IF(A1723&lt;&gt;"", VLOOKUP(A1723, imdb_netflix_v5!A$2:H$7370, 7, FALSE), "")</f>
        <v>NA</v>
      </c>
    </row>
    <row r="1724" ht="15.75" customHeight="1">
      <c r="A1724" s="1" t="str">
        <f>IFERROR(__xludf.DUMMYFUNCTION("""COMPUTED_VALUE"""),"a christmas story")</f>
        <v>a christmas story</v>
      </c>
      <c r="B1724" s="1" t="str">
        <f>IF(A1724&lt;&gt;"", VLOOKUP(A1724, imdb_netflix_v5!A$2:H$7370, 2, FALSE), "")</f>
        <v>Movie</v>
      </c>
      <c r="C1724" s="2" t="str">
        <f>IF(A1724&lt;&gt;"", VLOOKUP(A1724, imdb_netflix_v5!A$2:H$7370, 3, FALSE), "")</f>
        <v>Comedy, Family</v>
      </c>
      <c r="D1724" s="2">
        <f>IF(A1724&lt;&gt;"", VLOOKUP(A1724, imdb_netflix_v5!A$2:H$7370, 4, FALSE), "")</f>
        <v>7.9</v>
      </c>
      <c r="E1724" s="2">
        <f>IF(A1724&lt;&gt;"", VLOOKUP(A1724, imdb_netflix_v5!A$2:H$7370, 5, FALSE), "")</f>
        <v>1983</v>
      </c>
      <c r="F1724" s="2" t="str">
        <f>IF(A1724&lt;&gt;"", VLOOKUP(A1724, imdb_netflix_v5!A$2:H$7370, 7, FALSE), "")</f>
        <v>NA</v>
      </c>
    </row>
    <row r="1725" ht="15.75" customHeight="1">
      <c r="A1725" s="1" t="str">
        <f>IFERROR(__xludf.DUMMYFUNCTION("""COMPUTED_VALUE"""),"the maltese falcon")</f>
        <v>the maltese falcon</v>
      </c>
      <c r="B1725" s="1" t="str">
        <f>IF(A1725&lt;&gt;"", VLOOKUP(A1725, imdb_netflix_v5!A$2:H$7370, 2, FALSE), "")</f>
        <v>Movie</v>
      </c>
      <c r="C1725" s="2" t="str">
        <f>IF(A1725&lt;&gt;"", VLOOKUP(A1725, imdb_netflix_v5!A$2:H$7370, 3, FALSE), "")</f>
        <v>Crime, Film-Noir, Mystery</v>
      </c>
      <c r="D1725" s="2">
        <f>IF(A1725&lt;&gt;"", VLOOKUP(A1725, imdb_netflix_v5!A$2:H$7370, 4, FALSE), "")</f>
        <v>7.9</v>
      </c>
      <c r="E1725" s="2">
        <f>IF(A1725&lt;&gt;"", VLOOKUP(A1725, imdb_netflix_v5!A$2:H$7370, 5, FALSE), "")</f>
        <v>1941</v>
      </c>
      <c r="F1725" s="2" t="str">
        <f>IF(A1725&lt;&gt;"", VLOOKUP(A1725, imdb_netflix_v5!A$2:H$7370, 7, FALSE), "")</f>
        <v>NA</v>
      </c>
    </row>
    <row r="1726" ht="15.75" customHeight="1">
      <c r="A1726" s="1" t="str">
        <f>IFERROR(__xludf.DUMMYFUNCTION("""COMPUTED_VALUE"""),"ghost in the shell")</f>
        <v>ghost in the shell</v>
      </c>
      <c r="B1726" s="1" t="str">
        <f>IF(A1726&lt;&gt;"", VLOOKUP(A1726, imdb_netflix_v5!A$2:H$7370, 2, FALSE), "")</f>
        <v>Movie</v>
      </c>
      <c r="C1726" s="2" t="str">
        <f>IF(A1726&lt;&gt;"", VLOOKUP(A1726, imdb_netflix_v5!A$2:H$7370, 3, FALSE), "")</f>
        <v>Action, Animation, Crime</v>
      </c>
      <c r="D1726" s="2">
        <f>IF(A1726&lt;&gt;"", VLOOKUP(A1726, imdb_netflix_v5!A$2:H$7370, 4, FALSE), "")</f>
        <v>7.9</v>
      </c>
      <c r="E1726" s="2">
        <f>IF(A1726&lt;&gt;"", VLOOKUP(A1726, imdb_netflix_v5!A$2:H$7370, 5, FALSE), "")</f>
        <v>1995</v>
      </c>
      <c r="F1726" s="2" t="str">
        <f>IF(A1726&lt;&gt;"", VLOOKUP(A1726, imdb_netflix_v5!A$2:H$7370, 7, FALSE), "")</f>
        <v>NA</v>
      </c>
    </row>
    <row r="1727" ht="15.75" customHeight="1">
      <c r="A1727" s="1" t="str">
        <f>IFERROR(__xludf.DUMMYFUNCTION("""COMPUTED_VALUE"""),"rope")</f>
        <v>rope</v>
      </c>
      <c r="B1727" s="1" t="str">
        <f>IF(A1727&lt;&gt;"", VLOOKUP(A1727, imdb_netflix_v5!A$2:H$7370, 2, FALSE), "")</f>
        <v>Movie</v>
      </c>
      <c r="C1727" s="2" t="str">
        <f>IF(A1727&lt;&gt;"", VLOOKUP(A1727, imdb_netflix_v5!A$2:H$7370, 3, FALSE), "")</f>
        <v>Crime, Drama, Mystery</v>
      </c>
      <c r="D1727" s="2">
        <f>IF(A1727&lt;&gt;"", VLOOKUP(A1727, imdb_netflix_v5!A$2:H$7370, 4, FALSE), "")</f>
        <v>7.9</v>
      </c>
      <c r="E1727" s="2">
        <f>IF(A1727&lt;&gt;"", VLOOKUP(A1727, imdb_netflix_v5!A$2:H$7370, 5, FALSE), "")</f>
        <v>1948</v>
      </c>
      <c r="F1727" s="2" t="str">
        <f>IF(A1727&lt;&gt;"", VLOOKUP(A1727, imdb_netflix_v5!A$2:H$7370, 7, FALSE), "")</f>
        <v>NA</v>
      </c>
    </row>
    <row r="1728" ht="15.75" customHeight="1">
      <c r="A1728" s="1" t="str">
        <f>IFERROR(__xludf.DUMMYFUNCTION("""COMPUTED_VALUE"""),"this is spinal tap")</f>
        <v>this is spinal tap</v>
      </c>
      <c r="B1728" s="1" t="str">
        <f>IF(A1728&lt;&gt;"", VLOOKUP(A1728, imdb_netflix_v5!A$2:H$7370, 2, FALSE), "")</f>
        <v>Movie</v>
      </c>
      <c r="C1728" s="2" t="str">
        <f>IF(A1728&lt;&gt;"", VLOOKUP(A1728, imdb_netflix_v5!A$2:H$7370, 3, FALSE), "")</f>
        <v>Comedy, Music</v>
      </c>
      <c r="D1728" s="2">
        <f>IF(A1728&lt;&gt;"", VLOOKUP(A1728, imdb_netflix_v5!A$2:H$7370, 4, FALSE), "")</f>
        <v>7.9</v>
      </c>
      <c r="E1728" s="2">
        <f>IF(A1728&lt;&gt;"", VLOOKUP(A1728, imdb_netflix_v5!A$2:H$7370, 5, FALSE), "")</f>
        <v>1984</v>
      </c>
      <c r="F1728" s="2" t="str">
        <f>IF(A1728&lt;&gt;"", VLOOKUP(A1728, imdb_netflix_v5!A$2:H$7370, 7, FALSE), "")</f>
        <v>NA</v>
      </c>
    </row>
    <row r="1729" ht="15.75" customHeight="1">
      <c r="A1729" s="1" t="str">
        <f>IFERROR(__xludf.DUMMYFUNCTION("""COMPUTED_VALUE"""),"the fresh prince of bel-air")</f>
        <v>the fresh prince of bel-air</v>
      </c>
      <c r="B1729" s="1" t="str">
        <f>IF(A1729&lt;&gt;"", VLOOKUP(A1729, imdb_netflix_v5!A$2:H$7370, 2, FALSE), "")</f>
        <v>TV Show</v>
      </c>
      <c r="C1729" s="2" t="str">
        <f>IF(A1729&lt;&gt;"", VLOOKUP(A1729, imdb_netflix_v5!A$2:H$7370, 3, FALSE), "")</f>
        <v>Comedy</v>
      </c>
      <c r="D1729" s="2">
        <f>IF(A1729&lt;&gt;"", VLOOKUP(A1729, imdb_netflix_v5!A$2:H$7370, 4, FALSE), "")</f>
        <v>7.9</v>
      </c>
      <c r="E1729" s="2">
        <f>IF(A1729&lt;&gt;"", VLOOKUP(A1729, imdb_netflix_v5!A$2:H$7370, 5, FALSE), "")</f>
        <v>1990</v>
      </c>
      <c r="F1729" s="2" t="str">
        <f>IF(A1729&lt;&gt;"", VLOOKUP(A1729, imdb_netflix_v5!A$2:H$7370, 7, FALSE), "")</f>
        <v>NA</v>
      </c>
    </row>
    <row r="1730" ht="15.75" customHeight="1">
      <c r="A1730" s="1" t="str">
        <f>IFERROR(__xludf.DUMMYFUNCTION("""COMPUTED_VALUE"""),"strangers on a train")</f>
        <v>strangers on a train</v>
      </c>
      <c r="B1730" s="1" t="str">
        <f>IF(A1730&lt;&gt;"", VLOOKUP(A1730, imdb_netflix_v5!A$2:H$7370, 2, FALSE), "")</f>
        <v>Movie</v>
      </c>
      <c r="C1730" s="2" t="str">
        <f>IF(A1730&lt;&gt;"", VLOOKUP(A1730, imdb_netflix_v5!A$2:H$7370, 3, FALSE), "")</f>
        <v>Crime, Drama, Film-Noir</v>
      </c>
      <c r="D1730" s="2">
        <f>IF(A1730&lt;&gt;"", VLOOKUP(A1730, imdb_netflix_v5!A$2:H$7370, 4, FALSE), "")</f>
        <v>7.9</v>
      </c>
      <c r="E1730" s="2">
        <f>IF(A1730&lt;&gt;"", VLOOKUP(A1730, imdb_netflix_v5!A$2:H$7370, 5, FALSE), "")</f>
        <v>1951</v>
      </c>
      <c r="F1730" s="2" t="str">
        <f>IF(A1730&lt;&gt;"", VLOOKUP(A1730, imdb_netflix_v5!A$2:H$7370, 7, FALSE), "")</f>
        <v>NA</v>
      </c>
    </row>
    <row r="1731" ht="15.75" customHeight="1">
      <c r="A1731" s="1" t="str">
        <f>IFERROR(__xludf.DUMMYFUNCTION("""COMPUTED_VALUE"""),"grimm")</f>
        <v>grimm</v>
      </c>
      <c r="B1731" s="1" t="str">
        <f>IF(A1731&lt;&gt;"", VLOOKUP(A1731, imdb_netflix_v5!A$2:H$7370, 2, FALSE), "")</f>
        <v>TV Show</v>
      </c>
      <c r="C1731" s="2" t="str">
        <f>IF(A1731&lt;&gt;"", VLOOKUP(A1731, imdb_netflix_v5!A$2:H$7370, 3, FALSE), "")</f>
        <v>Crime, Drama, Fantasy</v>
      </c>
      <c r="D1731" s="2">
        <f>IF(A1731&lt;&gt;"", VLOOKUP(A1731, imdb_netflix_v5!A$2:H$7370, 4, FALSE), "")</f>
        <v>7.9</v>
      </c>
      <c r="E1731" s="2">
        <f>IF(A1731&lt;&gt;"", VLOOKUP(A1731, imdb_netflix_v5!A$2:H$7370, 5, FALSE), "")</f>
        <v>2011</v>
      </c>
      <c r="F1731" s="2" t="str">
        <f>IF(A1731&lt;&gt;"", VLOOKUP(A1731, imdb_netflix_v5!A$2:H$7370, 7, FALSE), "")</f>
        <v>NA</v>
      </c>
    </row>
    <row r="1732" ht="15.75" customHeight="1">
      <c r="A1732" s="1" t="str">
        <f>IFERROR(__xludf.DUMMYFUNCTION("""COMPUTED_VALUE"""),"the raid 2")</f>
        <v>the raid 2</v>
      </c>
      <c r="B1732" s="1" t="str">
        <f>IF(A1732&lt;&gt;"", VLOOKUP(A1732, imdb_netflix_v5!A$2:H$7370, 2, FALSE), "")</f>
        <v>Movie</v>
      </c>
      <c r="C1732" s="2" t="str">
        <f>IF(A1732&lt;&gt;"", VLOOKUP(A1732, imdb_netflix_v5!A$2:H$7370, 3, FALSE), "")</f>
        <v>Action, Crime, Thriller</v>
      </c>
      <c r="D1732" s="2">
        <f>IF(A1732&lt;&gt;"", VLOOKUP(A1732, imdb_netflix_v5!A$2:H$7370, 4, FALSE), "")</f>
        <v>7.9</v>
      </c>
      <c r="E1732" s="2">
        <f>IF(A1732&lt;&gt;"", VLOOKUP(A1732, imdb_netflix_v5!A$2:H$7370, 5, FALSE), "")</f>
        <v>2014</v>
      </c>
      <c r="F1732" s="2">
        <f>IF(A1732&lt;&gt;"", VLOOKUP(A1732, imdb_netflix_v5!A$2:H$7370, 7, FALSE), "")</f>
        <v>3840000</v>
      </c>
    </row>
    <row r="1733" ht="15.75" customHeight="1">
      <c r="A1733" s="1" t="str">
        <f>IFERROR(__xludf.DUMMYFUNCTION("""COMPUTED_VALUE"""),"all the presidents men")</f>
        <v>all the presidents men</v>
      </c>
      <c r="B1733" s="1" t="str">
        <f>IF(A1733&lt;&gt;"", VLOOKUP(A1733, imdb_netflix_v5!A$2:H$7370, 2, FALSE), "")</f>
        <v>Movie</v>
      </c>
      <c r="C1733" s="2" t="str">
        <f>IF(A1733&lt;&gt;"", VLOOKUP(A1733, imdb_netflix_v5!A$2:H$7370, 3, FALSE), "")</f>
        <v>Drama, History, Thriller</v>
      </c>
      <c r="D1733" s="2">
        <f>IF(A1733&lt;&gt;"", VLOOKUP(A1733, imdb_netflix_v5!A$2:H$7370, 4, FALSE), "")</f>
        <v>7.9</v>
      </c>
      <c r="E1733" s="2">
        <f>IF(A1733&lt;&gt;"", VLOOKUP(A1733, imdb_netflix_v5!A$2:H$7370, 5, FALSE), "")</f>
        <v>1976</v>
      </c>
      <c r="F1733" s="2" t="str">
        <f>IF(A1733&lt;&gt;"", VLOOKUP(A1733, imdb_netflix_v5!A$2:H$7370, 7, FALSE), "")</f>
        <v>NA</v>
      </c>
    </row>
    <row r="1734" ht="15.75" customHeight="1">
      <c r="A1734" s="1" t="str">
        <f>IFERROR(__xludf.DUMMYFUNCTION("""COMPUTED_VALUE"""),"elementary")</f>
        <v>elementary</v>
      </c>
      <c r="B1734" s="1" t="str">
        <f>IF(A1734&lt;&gt;"", VLOOKUP(A1734, imdb_netflix_v5!A$2:H$7370, 2, FALSE), "")</f>
        <v>TV Show</v>
      </c>
      <c r="C1734" s="2" t="str">
        <f>IF(A1734&lt;&gt;"", VLOOKUP(A1734, imdb_netflix_v5!A$2:H$7370, 3, FALSE), "")</f>
        <v>Crime, Drama, Mystery</v>
      </c>
      <c r="D1734" s="2">
        <f>IF(A1734&lt;&gt;"", VLOOKUP(A1734, imdb_netflix_v5!A$2:H$7370, 4, FALSE), "")</f>
        <v>7.9</v>
      </c>
      <c r="E1734" s="2">
        <f>IF(A1734&lt;&gt;"", VLOOKUP(A1734, imdb_netflix_v5!A$2:H$7370, 5, FALSE), "")</f>
        <v>2012</v>
      </c>
      <c r="F1734" s="2" t="str">
        <f>IF(A1734&lt;&gt;"", VLOOKUP(A1734, imdb_netflix_v5!A$2:H$7370, 7, FALSE), "")</f>
        <v>NA</v>
      </c>
    </row>
    <row r="1735" ht="15.75" customHeight="1">
      <c r="A1735" s="1" t="str">
        <f>IFERROR(__xludf.DUMMYFUNCTION("""COMPUTED_VALUE"""),"the fall of the house of usher")</f>
        <v>the fall of the house of usher</v>
      </c>
      <c r="B1735" s="1" t="str">
        <f>IF(A1735&lt;&gt;"", VLOOKUP(A1735, imdb_netflix_v5!A$2:H$7370, 2, FALSE), "")</f>
        <v>TV Show</v>
      </c>
      <c r="C1735" s="2" t="str">
        <f>IF(A1735&lt;&gt;"", VLOOKUP(A1735, imdb_netflix_v5!A$2:H$7370, 3, FALSE), "")</f>
        <v>Drama, Horror, Mystery</v>
      </c>
      <c r="D1735" s="2">
        <f>IF(A1735&lt;&gt;"", VLOOKUP(A1735, imdb_netflix_v5!A$2:H$7370, 4, FALSE), "")</f>
        <v>7.9</v>
      </c>
      <c r="E1735" s="2">
        <f>IF(A1735&lt;&gt;"", VLOOKUP(A1735, imdb_netflix_v5!A$2:H$7370, 5, FALSE), "")</f>
        <v>2023</v>
      </c>
      <c r="F1735" s="2">
        <f>IF(A1735&lt;&gt;"", VLOOKUP(A1735, imdb_netflix_v5!A$2:H$7370, 7, FALSE), "")</f>
        <v>23400000</v>
      </c>
    </row>
    <row r="1736" ht="15.75" customHeight="1">
      <c r="A1736" s="1" t="str">
        <f>IFERROR(__xludf.DUMMYFUNCTION("""COMPUTED_VALUE"""),"dancer in the dark")</f>
        <v>dancer in the dark</v>
      </c>
      <c r="B1736" s="1" t="str">
        <f>IF(A1736&lt;&gt;"", VLOOKUP(A1736, imdb_netflix_v5!A$2:H$7370, 2, FALSE), "")</f>
        <v>Movie</v>
      </c>
      <c r="C1736" s="2" t="str">
        <f>IF(A1736&lt;&gt;"", VLOOKUP(A1736, imdb_netflix_v5!A$2:H$7370, 3, FALSE), "")</f>
        <v>Crime, Drama, Musical</v>
      </c>
      <c r="D1736" s="2">
        <f>IF(A1736&lt;&gt;"", VLOOKUP(A1736, imdb_netflix_v5!A$2:H$7370, 4, FALSE), "")</f>
        <v>7.9</v>
      </c>
      <c r="E1736" s="2">
        <f>IF(A1736&lt;&gt;"", VLOOKUP(A1736, imdb_netflix_v5!A$2:H$7370, 5, FALSE), "")</f>
        <v>2000</v>
      </c>
      <c r="F1736" s="2" t="str">
        <f>IF(A1736&lt;&gt;"", VLOOKUP(A1736, imdb_netflix_v5!A$2:H$7370, 7, FALSE), "")</f>
        <v>NA</v>
      </c>
    </row>
    <row r="1737" ht="15.75" customHeight="1">
      <c r="A1737" s="1" t="str">
        <f>IFERROR(__xludf.DUMMYFUNCTION("""COMPUTED_VALUE"""),"talk to her")</f>
        <v>talk to her</v>
      </c>
      <c r="B1737" s="1" t="str">
        <f>IF(A1737&lt;&gt;"", VLOOKUP(A1737, imdb_netflix_v5!A$2:H$7370, 2, FALSE), "")</f>
        <v>Movie</v>
      </c>
      <c r="C1737" s="2" t="str">
        <f>IF(A1737&lt;&gt;"", VLOOKUP(A1737, imdb_netflix_v5!A$2:H$7370, 3, FALSE), "")</f>
        <v>Drama, Mystery, Romance</v>
      </c>
      <c r="D1737" s="2">
        <f>IF(A1737&lt;&gt;"", VLOOKUP(A1737, imdb_netflix_v5!A$2:H$7370, 4, FALSE), "")</f>
        <v>7.9</v>
      </c>
      <c r="E1737" s="2">
        <f>IF(A1737&lt;&gt;"", VLOOKUP(A1737, imdb_netflix_v5!A$2:H$7370, 5, FALSE), "")</f>
        <v>2002</v>
      </c>
      <c r="F1737" s="2" t="str">
        <f>IF(A1737&lt;&gt;"", VLOOKUP(A1737, imdb_netflix_v5!A$2:H$7370, 7, FALSE), "")</f>
        <v>NA</v>
      </c>
    </row>
    <row r="1738" ht="15.75" customHeight="1">
      <c r="A1738" s="1" t="str">
        <f>IFERROR(__xludf.DUMMYFUNCTION("""COMPUTED_VALUE"""),"weeds")</f>
        <v>weeds</v>
      </c>
      <c r="B1738" s="1" t="str">
        <f>IF(A1738&lt;&gt;"", VLOOKUP(A1738, imdb_netflix_v5!A$2:H$7370, 2, FALSE), "")</f>
        <v>TV Show</v>
      </c>
      <c r="C1738" s="2" t="str">
        <f>IF(A1738&lt;&gt;"", VLOOKUP(A1738, imdb_netflix_v5!A$2:H$7370, 3, FALSE), "")</f>
        <v>Comedy, Crime, Drama</v>
      </c>
      <c r="D1738" s="2">
        <f>IF(A1738&lt;&gt;"", VLOOKUP(A1738, imdb_netflix_v5!A$2:H$7370, 4, FALSE), "")</f>
        <v>7.9</v>
      </c>
      <c r="E1738" s="2">
        <f>IF(A1738&lt;&gt;"", VLOOKUP(A1738, imdb_netflix_v5!A$2:H$7370, 5, FALSE), "")</f>
        <v>2005</v>
      </c>
      <c r="F1738" s="2" t="str">
        <f>IF(A1738&lt;&gt;"", VLOOKUP(A1738, imdb_netflix_v5!A$2:H$7370, 7, FALSE), "")</f>
        <v>NA</v>
      </c>
    </row>
    <row r="1739" ht="15.75" customHeight="1">
      <c r="A1739" s="1" t="str">
        <f>IFERROR(__xludf.DUMMYFUNCTION("""COMPUTED_VALUE"""),"my name is khan")</f>
        <v>my name is khan</v>
      </c>
      <c r="B1739" s="1" t="str">
        <f>IF(A1739&lt;&gt;"", VLOOKUP(A1739, imdb_netflix_v5!A$2:H$7370, 2, FALSE), "")</f>
        <v>Movie</v>
      </c>
      <c r="C1739" s="2" t="str">
        <f>IF(A1739&lt;&gt;"", VLOOKUP(A1739, imdb_netflix_v5!A$2:H$7370, 3, FALSE), "")</f>
        <v>Drama, Romance</v>
      </c>
      <c r="D1739" s="2">
        <f>IF(A1739&lt;&gt;"", VLOOKUP(A1739, imdb_netflix_v5!A$2:H$7370, 4, FALSE), "")</f>
        <v>7.9</v>
      </c>
      <c r="E1739" s="2">
        <f>IF(A1739&lt;&gt;"", VLOOKUP(A1739, imdb_netflix_v5!A$2:H$7370, 5, FALSE), "")</f>
        <v>2010</v>
      </c>
      <c r="F1739" s="2" t="str">
        <f>IF(A1739&lt;&gt;"", VLOOKUP(A1739, imdb_netflix_v5!A$2:H$7370, 7, FALSE), "")</f>
        <v>NA</v>
      </c>
    </row>
    <row r="1740" ht="15.75" customHeight="1">
      <c r="A1740" s="1" t="str">
        <f>IFERROR(__xludf.DUMMYFUNCTION("""COMPUTED_VALUE"""),"a streetcar named desire")</f>
        <v>a streetcar named desire</v>
      </c>
      <c r="B1740" s="1" t="str">
        <f>IF(A1740&lt;&gt;"", VLOOKUP(A1740, imdb_netflix_v5!A$2:H$7370, 2, FALSE), "")</f>
        <v>Movie</v>
      </c>
      <c r="C1740" s="2" t="str">
        <f>IF(A1740&lt;&gt;"", VLOOKUP(A1740, imdb_netflix_v5!A$2:H$7370, 3, FALSE), "")</f>
        <v>Drama</v>
      </c>
      <c r="D1740" s="2">
        <f>IF(A1740&lt;&gt;"", VLOOKUP(A1740, imdb_netflix_v5!A$2:H$7370, 4, FALSE), "")</f>
        <v>7.9</v>
      </c>
      <c r="E1740" s="2">
        <f>IF(A1740&lt;&gt;"", VLOOKUP(A1740, imdb_netflix_v5!A$2:H$7370, 5, FALSE), "")</f>
        <v>1951</v>
      </c>
      <c r="F1740" s="2" t="str">
        <f>IF(A1740&lt;&gt;"", VLOOKUP(A1740, imdb_netflix_v5!A$2:H$7370, 7, FALSE), "")</f>
        <v>NA</v>
      </c>
    </row>
    <row r="1741" ht="15.75" customHeight="1">
      <c r="A1741" s="1" t="str">
        <f>IFERROR(__xludf.DUMMYFUNCTION("""COMPUTED_VALUE"""),"do the right thing")</f>
        <v>do the right thing</v>
      </c>
      <c r="B1741" s="1" t="str">
        <f>IF(A1741&lt;&gt;"", VLOOKUP(A1741, imdb_netflix_v5!A$2:H$7370, 2, FALSE), "")</f>
        <v>Movie</v>
      </c>
      <c r="C1741" s="2" t="str">
        <f>IF(A1741&lt;&gt;"", VLOOKUP(A1741, imdb_netflix_v5!A$2:H$7370, 3, FALSE), "")</f>
        <v>Comedy, Drama</v>
      </c>
      <c r="D1741" s="2">
        <f>IF(A1741&lt;&gt;"", VLOOKUP(A1741, imdb_netflix_v5!A$2:H$7370, 4, FALSE), "")</f>
        <v>7.9</v>
      </c>
      <c r="E1741" s="2">
        <f>IF(A1741&lt;&gt;"", VLOOKUP(A1741, imdb_netflix_v5!A$2:H$7370, 5, FALSE), "")</f>
        <v>1989</v>
      </c>
      <c r="F1741" s="2" t="str">
        <f>IF(A1741&lt;&gt;"", VLOOKUP(A1741, imdb_netflix_v5!A$2:H$7370, 7, FALSE), "")</f>
        <v>NA</v>
      </c>
    </row>
    <row r="1742" ht="15.75" customHeight="1">
      <c r="A1742" s="1" t="str">
        <f>IFERROR(__xludf.DUMMYFUNCTION("""COMPUTED_VALUE"""),"the man in the high castle")</f>
        <v>the man in the high castle</v>
      </c>
      <c r="B1742" s="1" t="str">
        <f>IF(A1742&lt;&gt;"", VLOOKUP(A1742, imdb_netflix_v5!A$2:H$7370, 2, FALSE), "")</f>
        <v>TV Show</v>
      </c>
      <c r="C1742" s="2" t="str">
        <f>IF(A1742&lt;&gt;"", VLOOKUP(A1742, imdb_netflix_v5!A$2:H$7370, 3, FALSE), "")</f>
        <v>Drama, Sci-Fi, Thriller</v>
      </c>
      <c r="D1742" s="2">
        <f>IF(A1742&lt;&gt;"", VLOOKUP(A1742, imdb_netflix_v5!A$2:H$7370, 4, FALSE), "")</f>
        <v>7.9</v>
      </c>
      <c r="E1742" s="2">
        <f>IF(A1742&lt;&gt;"", VLOOKUP(A1742, imdb_netflix_v5!A$2:H$7370, 5, FALSE), "")</f>
        <v>2015</v>
      </c>
      <c r="F1742" s="2" t="str">
        <f>IF(A1742&lt;&gt;"", VLOOKUP(A1742, imdb_netflix_v5!A$2:H$7370, 7, FALSE), "")</f>
        <v>NA</v>
      </c>
    </row>
    <row r="1743" ht="15.75" customHeight="1">
      <c r="A1743" s="1" t="str">
        <f>IFERROR(__xludf.DUMMYFUNCTION("""COMPUTED_VALUE"""),"high noon")</f>
        <v>high noon</v>
      </c>
      <c r="B1743" s="1" t="str">
        <f>IF(A1743&lt;&gt;"", VLOOKUP(A1743, imdb_netflix_v5!A$2:H$7370, 2, FALSE), "")</f>
        <v>Movie</v>
      </c>
      <c r="C1743" s="2" t="str">
        <f>IF(A1743&lt;&gt;"", VLOOKUP(A1743, imdb_netflix_v5!A$2:H$7370, 3, FALSE), "")</f>
        <v>Drama, Thriller, Western</v>
      </c>
      <c r="D1743" s="2">
        <f>IF(A1743&lt;&gt;"", VLOOKUP(A1743, imdb_netflix_v5!A$2:H$7370, 4, FALSE), "")</f>
        <v>7.9</v>
      </c>
      <c r="E1743" s="2">
        <f>IF(A1743&lt;&gt;"", VLOOKUP(A1743, imdb_netflix_v5!A$2:H$7370, 5, FALSE), "")</f>
        <v>1952</v>
      </c>
      <c r="F1743" s="2" t="str">
        <f>IF(A1743&lt;&gt;"", VLOOKUP(A1743, imdb_netflix_v5!A$2:H$7370, 7, FALSE), "")</f>
        <v>NA</v>
      </c>
    </row>
    <row r="1744" ht="15.75" customHeight="1">
      <c r="A1744" s="1" t="str">
        <f>IFERROR(__xludf.DUMMYFUNCTION("""COMPUTED_VALUE"""),"the terminal list")</f>
        <v>the terminal list</v>
      </c>
      <c r="B1744" s="1" t="str">
        <f>IF(A1744&lt;&gt;"", VLOOKUP(A1744, imdb_netflix_v5!A$2:H$7370, 2, FALSE), "")</f>
        <v>TV Show</v>
      </c>
      <c r="C1744" s="2" t="str">
        <f>IF(A1744&lt;&gt;"", VLOOKUP(A1744, imdb_netflix_v5!A$2:H$7370, 3, FALSE), "")</f>
        <v>Action, Drama, Thriller</v>
      </c>
      <c r="D1744" s="2">
        <f>IF(A1744&lt;&gt;"", VLOOKUP(A1744, imdb_netflix_v5!A$2:H$7370, 4, FALSE), "")</f>
        <v>7.9</v>
      </c>
      <c r="E1744" s="2">
        <f>IF(A1744&lt;&gt;"", VLOOKUP(A1744, imdb_netflix_v5!A$2:H$7370, 5, FALSE), "")</f>
        <v>2022</v>
      </c>
      <c r="F1744" s="2" t="str">
        <f>IF(A1744&lt;&gt;"", VLOOKUP(A1744, imdb_netflix_v5!A$2:H$7370, 7, FALSE), "")</f>
        <v>NA</v>
      </c>
    </row>
    <row r="1745" ht="15.75" customHeight="1">
      <c r="A1745" s="1" t="str">
        <f>IFERROR(__xludf.DUMMYFUNCTION("""COMPUTED_VALUE"""),"patton")</f>
        <v>patton</v>
      </c>
      <c r="B1745" s="1" t="str">
        <f>IF(A1745&lt;&gt;"", VLOOKUP(A1745, imdb_netflix_v5!A$2:H$7370, 2, FALSE), "")</f>
        <v>Movie</v>
      </c>
      <c r="C1745" s="2" t="str">
        <f>IF(A1745&lt;&gt;"", VLOOKUP(A1745, imdb_netflix_v5!A$2:H$7370, 3, FALSE), "")</f>
        <v>Biography, Drama, War</v>
      </c>
      <c r="D1745" s="2">
        <f>IF(A1745&lt;&gt;"", VLOOKUP(A1745, imdb_netflix_v5!A$2:H$7370, 4, FALSE), "")</f>
        <v>7.9</v>
      </c>
      <c r="E1745" s="2">
        <f>IF(A1745&lt;&gt;"", VLOOKUP(A1745, imdb_netflix_v5!A$2:H$7370, 5, FALSE), "")</f>
        <v>1970</v>
      </c>
      <c r="F1745" s="2" t="str">
        <f>IF(A1745&lt;&gt;"", VLOOKUP(A1745, imdb_netflix_v5!A$2:H$7370, 7, FALSE), "")</f>
        <v>NA</v>
      </c>
    </row>
    <row r="1746" ht="15.75" customHeight="1">
      <c r="A1746" s="1" t="str">
        <f>IFERROR(__xludf.DUMMYFUNCTION("""COMPUTED_VALUE"""),"notorious")</f>
        <v>notorious</v>
      </c>
      <c r="B1746" s="1" t="str">
        <f>IF(A1746&lt;&gt;"", VLOOKUP(A1746, imdb_netflix_v5!A$2:H$7370, 2, FALSE), "")</f>
        <v>Movie</v>
      </c>
      <c r="C1746" s="2" t="str">
        <f>IF(A1746&lt;&gt;"", VLOOKUP(A1746, imdb_netflix_v5!A$2:H$7370, 3, FALSE), "")</f>
        <v>Drama, Film-Noir, Romance</v>
      </c>
      <c r="D1746" s="2">
        <f>IF(A1746&lt;&gt;"", VLOOKUP(A1746, imdb_netflix_v5!A$2:H$7370, 4, FALSE), "")</f>
        <v>7.9</v>
      </c>
      <c r="E1746" s="2">
        <f>IF(A1746&lt;&gt;"", VLOOKUP(A1746, imdb_netflix_v5!A$2:H$7370, 5, FALSE), "")</f>
        <v>1946</v>
      </c>
      <c r="F1746" s="2" t="str">
        <f>IF(A1746&lt;&gt;"", VLOOKUP(A1746, imdb_netflix_v5!A$2:H$7370, 7, FALSE), "")</f>
        <v>NA</v>
      </c>
    </row>
    <row r="1747" ht="15.75" customHeight="1">
      <c r="A1747" s="1" t="str">
        <f>IFERROR(__xludf.DUMMYFUNCTION("""COMPUTED_VALUE"""),"amour")</f>
        <v>amour</v>
      </c>
      <c r="B1747" s="1" t="str">
        <f>IF(A1747&lt;&gt;"", VLOOKUP(A1747, imdb_netflix_v5!A$2:H$7370, 2, FALSE), "")</f>
        <v>Movie</v>
      </c>
      <c r="C1747" s="2" t="str">
        <f>IF(A1747&lt;&gt;"", VLOOKUP(A1747, imdb_netflix_v5!A$2:H$7370, 3, FALSE), "")</f>
        <v>Drama</v>
      </c>
      <c r="D1747" s="2">
        <f>IF(A1747&lt;&gt;"", VLOOKUP(A1747, imdb_netflix_v5!A$2:H$7370, 4, FALSE), "")</f>
        <v>7.9</v>
      </c>
      <c r="E1747" s="2">
        <f>IF(A1747&lt;&gt;"", VLOOKUP(A1747, imdb_netflix_v5!A$2:H$7370, 5, FALSE), "")</f>
        <v>2012</v>
      </c>
      <c r="F1747" s="2" t="str">
        <f>IF(A1747&lt;&gt;"", VLOOKUP(A1747, imdb_netflix_v5!A$2:H$7370, 7, FALSE), "")</f>
        <v>NA</v>
      </c>
    </row>
    <row r="1748" ht="15.75" customHeight="1">
      <c r="A1748" s="1" t="str">
        <f>IFERROR(__xludf.DUMMYFUNCTION("""COMPUTED_VALUE"""),"dead to me")</f>
        <v>dead to me</v>
      </c>
      <c r="B1748" s="1" t="str">
        <f>IF(A1748&lt;&gt;"", VLOOKUP(A1748, imdb_netflix_v5!A$2:H$7370, 2, FALSE), "")</f>
        <v>TV Show</v>
      </c>
      <c r="C1748" s="2" t="str">
        <f>IF(A1748&lt;&gt;"", VLOOKUP(A1748, imdb_netflix_v5!A$2:H$7370, 3, FALSE), "")</f>
        <v>Comedy, Crime, Drama</v>
      </c>
      <c r="D1748" s="2">
        <f>IF(A1748&lt;&gt;"", VLOOKUP(A1748, imdb_netflix_v5!A$2:H$7370, 4, FALSE), "")</f>
        <v>7.9</v>
      </c>
      <c r="E1748" s="2">
        <f>IF(A1748&lt;&gt;"", VLOOKUP(A1748, imdb_netflix_v5!A$2:H$7370, 5, FALSE), "")</f>
        <v>2019</v>
      </c>
      <c r="F1748" s="2">
        <f>IF(A1748&lt;&gt;"", VLOOKUP(A1748, imdb_netflix_v5!A$2:H$7370, 7, FALSE), "")</f>
        <v>11900000</v>
      </c>
    </row>
    <row r="1749" ht="15.75" customHeight="1">
      <c r="A1749" s="1" t="str">
        <f>IFERROR(__xludf.DUMMYFUNCTION("""COMPUTED_VALUE"""),"sing street")</f>
        <v>sing street</v>
      </c>
      <c r="B1749" s="1" t="str">
        <f>IF(A1749&lt;&gt;"", VLOOKUP(A1749, imdb_netflix_v5!A$2:H$7370, 2, FALSE), "")</f>
        <v>Movie</v>
      </c>
      <c r="C1749" s="2" t="str">
        <f>IF(A1749&lt;&gt;"", VLOOKUP(A1749, imdb_netflix_v5!A$2:H$7370, 3, FALSE), "")</f>
        <v>Comedy, Drama, Music</v>
      </c>
      <c r="D1749" s="2">
        <f>IF(A1749&lt;&gt;"", VLOOKUP(A1749, imdb_netflix_v5!A$2:H$7370, 4, FALSE), "")</f>
        <v>7.9</v>
      </c>
      <c r="E1749" s="2">
        <f>IF(A1749&lt;&gt;"", VLOOKUP(A1749, imdb_netflix_v5!A$2:H$7370, 5, FALSE), "")</f>
        <v>2016</v>
      </c>
      <c r="F1749" s="2" t="str">
        <f>IF(A1749&lt;&gt;"", VLOOKUP(A1749, imdb_netflix_v5!A$2:H$7370, 7, FALSE), "")</f>
        <v>NA</v>
      </c>
    </row>
    <row r="1750" ht="15.75" customHeight="1">
      <c r="A1750" s="1" t="str">
        <f>IFERROR(__xludf.DUMMYFUNCTION("""COMPUTED_VALUE"""),"solaris")</f>
        <v>solaris</v>
      </c>
      <c r="B1750" s="1" t="str">
        <f>IF(A1750&lt;&gt;"", VLOOKUP(A1750, imdb_netflix_v5!A$2:H$7370, 2, FALSE), "")</f>
        <v>Movie</v>
      </c>
      <c r="C1750" s="2" t="str">
        <f>IF(A1750&lt;&gt;"", VLOOKUP(A1750, imdb_netflix_v5!A$2:H$7370, 3, FALSE), "")</f>
        <v>Drama, Mystery, Sci-Fi</v>
      </c>
      <c r="D1750" s="2">
        <f>IF(A1750&lt;&gt;"", VLOOKUP(A1750, imdb_netflix_v5!A$2:H$7370, 4, FALSE), "")</f>
        <v>7.9</v>
      </c>
      <c r="E1750" s="2">
        <f>IF(A1750&lt;&gt;"", VLOOKUP(A1750, imdb_netflix_v5!A$2:H$7370, 5, FALSE), "")</f>
        <v>1972</v>
      </c>
      <c r="F1750" s="2" t="str">
        <f>IF(A1750&lt;&gt;"", VLOOKUP(A1750, imdb_netflix_v5!A$2:H$7370, 7, FALSE), "")</f>
        <v>NA</v>
      </c>
    </row>
    <row r="1751" ht="15.75" customHeight="1">
      <c r="A1751" s="1" t="str">
        <f>IFERROR(__xludf.DUMMYFUNCTION("""COMPUTED_VALUE"""),"short term 12")</f>
        <v>short term 12</v>
      </c>
      <c r="B1751" s="1" t="str">
        <f>IF(A1751&lt;&gt;"", VLOOKUP(A1751, imdb_netflix_v5!A$2:H$7370, 2, FALSE), "")</f>
        <v>Movie</v>
      </c>
      <c r="C1751" s="2" t="str">
        <f>IF(A1751&lt;&gt;"", VLOOKUP(A1751, imdb_netflix_v5!A$2:H$7370, 3, FALSE), "")</f>
        <v>Drama</v>
      </c>
      <c r="D1751" s="2">
        <f>IF(A1751&lt;&gt;"", VLOOKUP(A1751, imdb_netflix_v5!A$2:H$7370, 4, FALSE), "")</f>
        <v>7.9</v>
      </c>
      <c r="E1751" s="2">
        <f>IF(A1751&lt;&gt;"", VLOOKUP(A1751, imdb_netflix_v5!A$2:H$7370, 5, FALSE), "")</f>
        <v>2013</v>
      </c>
      <c r="F1751" s="2" t="str">
        <f>IF(A1751&lt;&gt;"", VLOOKUP(A1751, imdb_netflix_v5!A$2:H$7370, 7, FALSE), "")</f>
        <v>NA</v>
      </c>
    </row>
    <row r="1752" ht="15.75" customHeight="1">
      <c r="A1752" s="1" t="str">
        <f>IFERROR(__xludf.DUMMYFUNCTION("""COMPUTED_VALUE"""),"king kong")</f>
        <v>king kong</v>
      </c>
      <c r="B1752" s="1" t="str">
        <f>IF(A1752&lt;&gt;"", VLOOKUP(A1752, imdb_netflix_v5!A$2:H$7370, 2, FALSE), "")</f>
        <v>Movie</v>
      </c>
      <c r="C1752" s="2" t="str">
        <f>IF(A1752&lt;&gt;"", VLOOKUP(A1752, imdb_netflix_v5!A$2:H$7370, 3, FALSE), "")</f>
        <v>Adventure, Horror</v>
      </c>
      <c r="D1752" s="2">
        <f>IF(A1752&lt;&gt;"", VLOOKUP(A1752, imdb_netflix_v5!A$2:H$7370, 4, FALSE), "")</f>
        <v>7.9</v>
      </c>
      <c r="E1752" s="2">
        <f>IF(A1752&lt;&gt;"", VLOOKUP(A1752, imdb_netflix_v5!A$2:H$7370, 5, FALSE), "")</f>
        <v>1933</v>
      </c>
      <c r="F1752" s="2" t="str">
        <f>IF(A1752&lt;&gt;"", VLOOKUP(A1752, imdb_netflix_v5!A$2:H$7370, 7, FALSE), "")</f>
        <v>NA</v>
      </c>
    </row>
    <row r="1753" ht="15.75" customHeight="1">
      <c r="A1753" s="1" t="str">
        <f>IFERROR(__xludf.DUMMYFUNCTION("""COMPUTED_VALUE"""),"the big sleep")</f>
        <v>the big sleep</v>
      </c>
      <c r="B1753" s="1" t="str">
        <f>IF(A1753&lt;&gt;"", VLOOKUP(A1753, imdb_netflix_v5!A$2:H$7370, 2, FALSE), "")</f>
        <v>Movie</v>
      </c>
      <c r="C1753" s="2" t="str">
        <f>IF(A1753&lt;&gt;"", VLOOKUP(A1753, imdb_netflix_v5!A$2:H$7370, 3, FALSE), "")</f>
        <v>Crime, Drama, Film-Noir</v>
      </c>
      <c r="D1753" s="2">
        <f>IF(A1753&lt;&gt;"", VLOOKUP(A1753, imdb_netflix_v5!A$2:H$7370, 4, FALSE), "")</f>
        <v>7.9</v>
      </c>
      <c r="E1753" s="2">
        <f>IF(A1753&lt;&gt;"", VLOOKUP(A1753, imdb_netflix_v5!A$2:H$7370, 5, FALSE), "")</f>
        <v>1946</v>
      </c>
      <c r="F1753" s="2" t="str">
        <f>IF(A1753&lt;&gt;"", VLOOKUP(A1753, imdb_netflix_v5!A$2:H$7370, 7, FALSE), "")</f>
        <v>NA</v>
      </c>
    </row>
    <row r="1754" ht="15.75" customHeight="1">
      <c r="A1754" s="1" t="str">
        <f>IFERROR(__xludf.DUMMYFUNCTION("""COMPUTED_VALUE"""),"the wild bunch")</f>
        <v>the wild bunch</v>
      </c>
      <c r="B1754" s="1" t="str">
        <f>IF(A1754&lt;&gt;"", VLOOKUP(A1754, imdb_netflix_v5!A$2:H$7370, 2, FALSE), "")</f>
        <v>Movie</v>
      </c>
      <c r="C1754" s="2" t="str">
        <f>IF(A1754&lt;&gt;"", VLOOKUP(A1754, imdb_netflix_v5!A$2:H$7370, 3, FALSE), "")</f>
        <v>Action, Adventure, Drama</v>
      </c>
      <c r="D1754" s="2">
        <f>IF(A1754&lt;&gt;"", VLOOKUP(A1754, imdb_netflix_v5!A$2:H$7370, 4, FALSE), "")</f>
        <v>7.9</v>
      </c>
      <c r="E1754" s="2">
        <f>IF(A1754&lt;&gt;"", VLOOKUP(A1754, imdb_netflix_v5!A$2:H$7370, 5, FALSE), "")</f>
        <v>1969</v>
      </c>
      <c r="F1754" s="2" t="str">
        <f>IF(A1754&lt;&gt;"", VLOOKUP(A1754, imdb_netflix_v5!A$2:H$7370, 7, FALSE), "")</f>
        <v>NA</v>
      </c>
    </row>
    <row r="1755" ht="15.75" customHeight="1">
      <c r="A1755" s="1" t="str">
        <f>IFERROR(__xludf.DUMMYFUNCTION("""COMPUTED_VALUE"""),"shoplifters")</f>
        <v>shoplifters</v>
      </c>
      <c r="B1755" s="1" t="str">
        <f>IF(A1755&lt;&gt;"", VLOOKUP(A1755, imdb_netflix_v5!A$2:H$7370, 2, FALSE), "")</f>
        <v>Movie</v>
      </c>
      <c r="C1755" s="2" t="str">
        <f>IF(A1755&lt;&gt;"", VLOOKUP(A1755, imdb_netflix_v5!A$2:H$7370, 3, FALSE), "")</f>
        <v>Crime, Drama, Thriller</v>
      </c>
      <c r="D1755" s="2">
        <f>IF(A1755&lt;&gt;"", VLOOKUP(A1755, imdb_netflix_v5!A$2:H$7370, 4, FALSE), "")</f>
        <v>7.9</v>
      </c>
      <c r="E1755" s="2">
        <f>IF(A1755&lt;&gt;"", VLOOKUP(A1755, imdb_netflix_v5!A$2:H$7370, 5, FALSE), "")</f>
        <v>2018</v>
      </c>
      <c r="F1755" s="2" t="str">
        <f>IF(A1755&lt;&gt;"", VLOOKUP(A1755, imdb_netflix_v5!A$2:H$7370, 7, FALSE), "")</f>
        <v>NA</v>
      </c>
    </row>
    <row r="1756" ht="15.75" customHeight="1">
      <c r="A1756" s="1" t="str">
        <f>IFERROR(__xludf.DUMMYFUNCTION("""COMPUTED_VALUE"""),"merlin")</f>
        <v>merlin</v>
      </c>
      <c r="B1756" s="1" t="str">
        <f>IF(A1756&lt;&gt;"", VLOOKUP(A1756, imdb_netflix_v5!A$2:H$7370, 2, FALSE), "")</f>
        <v>TV Show</v>
      </c>
      <c r="C1756" s="2" t="str">
        <f>IF(A1756&lt;&gt;"", VLOOKUP(A1756, imdb_netflix_v5!A$2:H$7370, 3, FALSE), "")</f>
        <v>Adventure, Drama, Fantasy</v>
      </c>
      <c r="D1756" s="2">
        <f>IF(A1756&lt;&gt;"", VLOOKUP(A1756, imdb_netflix_v5!A$2:H$7370, 4, FALSE), "")</f>
        <v>7.9</v>
      </c>
      <c r="E1756" s="2">
        <f>IF(A1756&lt;&gt;"", VLOOKUP(A1756, imdb_netflix_v5!A$2:H$7370, 5, FALSE), "")</f>
        <v>2008</v>
      </c>
      <c r="F1756" s="2" t="str">
        <f>IF(A1756&lt;&gt;"", VLOOKUP(A1756, imdb_netflix_v5!A$2:H$7370, 7, FALSE), "")</f>
        <v>NA</v>
      </c>
    </row>
    <row r="1757" ht="15.75" customHeight="1">
      <c r="A1757" s="1" t="str">
        <f>IFERROR(__xludf.DUMMYFUNCTION("""COMPUTED_VALUE"""),"the hustler")</f>
        <v>the hustler</v>
      </c>
      <c r="B1757" s="1" t="str">
        <f>IF(A1757&lt;&gt;"", VLOOKUP(A1757, imdb_netflix_v5!A$2:H$7370, 2, FALSE), "")</f>
        <v>Movie</v>
      </c>
      <c r="C1757" s="2" t="str">
        <f>IF(A1757&lt;&gt;"", VLOOKUP(A1757, imdb_netflix_v5!A$2:H$7370, 3, FALSE), "")</f>
        <v>Drama, Sport</v>
      </c>
      <c r="D1757" s="2">
        <f>IF(A1757&lt;&gt;"", VLOOKUP(A1757, imdb_netflix_v5!A$2:H$7370, 4, FALSE), "")</f>
        <v>7.9</v>
      </c>
      <c r="E1757" s="2">
        <f>IF(A1757&lt;&gt;"", VLOOKUP(A1757, imdb_netflix_v5!A$2:H$7370, 5, FALSE), "")</f>
        <v>1961</v>
      </c>
      <c r="F1757" s="2" t="str">
        <f>IF(A1757&lt;&gt;"", VLOOKUP(A1757, imdb_netflix_v5!A$2:H$7370, 7, FALSE), "")</f>
        <v>NA</v>
      </c>
    </row>
    <row r="1758" ht="15.75" customHeight="1">
      <c r="A1758" s="1" t="str">
        <f>IFERROR(__xludf.DUMMYFUNCTION("""COMPUTED_VALUE"""),"in the heat of the night")</f>
        <v>in the heat of the night</v>
      </c>
      <c r="B1758" s="1" t="str">
        <f>IF(A1758&lt;&gt;"", VLOOKUP(A1758, imdb_netflix_v5!A$2:H$7370, 2, FALSE), "")</f>
        <v>Movie</v>
      </c>
      <c r="C1758" s="2" t="str">
        <f>IF(A1758&lt;&gt;"", VLOOKUP(A1758, imdb_netflix_v5!A$2:H$7370, 3, FALSE), "")</f>
        <v>Drama, Mystery, Thriller</v>
      </c>
      <c r="D1758" s="2">
        <f>IF(A1758&lt;&gt;"", VLOOKUP(A1758, imdb_netflix_v5!A$2:H$7370, 4, FALSE), "")</f>
        <v>7.9</v>
      </c>
      <c r="E1758" s="2">
        <f>IF(A1758&lt;&gt;"", VLOOKUP(A1758, imdb_netflix_v5!A$2:H$7370, 5, FALSE), "")</f>
        <v>1967</v>
      </c>
      <c r="F1758" s="2" t="str">
        <f>IF(A1758&lt;&gt;"", VLOOKUP(A1758, imdb_netflix_v5!A$2:H$7370, 7, FALSE), "")</f>
        <v>NA</v>
      </c>
    </row>
    <row r="1759" ht="15.75" customHeight="1">
      <c r="A1759" s="1" t="str">
        <f>IFERROR(__xludf.DUMMYFUNCTION("""COMPUTED_VALUE"""),"preacher")</f>
        <v>preacher</v>
      </c>
      <c r="B1759" s="1" t="str">
        <f>IF(A1759&lt;&gt;"", VLOOKUP(A1759, imdb_netflix_v5!A$2:H$7370, 2, FALSE), "")</f>
        <v>TV Show</v>
      </c>
      <c r="C1759" s="2" t="str">
        <f>IF(A1759&lt;&gt;"", VLOOKUP(A1759, imdb_netflix_v5!A$2:H$7370, 3, FALSE), "")</f>
        <v>Action, Adventure, Comedy</v>
      </c>
      <c r="D1759" s="2">
        <f>IF(A1759&lt;&gt;"", VLOOKUP(A1759, imdb_netflix_v5!A$2:H$7370, 4, FALSE), "")</f>
        <v>7.9</v>
      </c>
      <c r="E1759" s="2">
        <f>IF(A1759&lt;&gt;"", VLOOKUP(A1759, imdb_netflix_v5!A$2:H$7370, 5, FALSE), "")</f>
        <v>2016</v>
      </c>
      <c r="F1759" s="2" t="str">
        <f>IF(A1759&lt;&gt;"", VLOOKUP(A1759, imdb_netflix_v5!A$2:H$7370, 7, FALSE), "")</f>
        <v>NA</v>
      </c>
    </row>
    <row r="1760" ht="15.75" customHeight="1">
      <c r="A1760" s="1" t="str">
        <f>IFERROR(__xludf.DUMMYFUNCTION("""COMPUTED_VALUE"""),"doctor zhivago")</f>
        <v>doctor zhivago</v>
      </c>
      <c r="B1760" s="1" t="str">
        <f>IF(A1760&lt;&gt;"", VLOOKUP(A1760, imdb_netflix_v5!A$2:H$7370, 2, FALSE), "")</f>
        <v>Movie</v>
      </c>
      <c r="C1760" s="2" t="str">
        <f>IF(A1760&lt;&gt;"", VLOOKUP(A1760, imdb_netflix_v5!A$2:H$7370, 3, FALSE), "")</f>
        <v>Drama, Romance, War</v>
      </c>
      <c r="D1760" s="2">
        <f>IF(A1760&lt;&gt;"", VLOOKUP(A1760, imdb_netflix_v5!A$2:H$7370, 4, FALSE), "")</f>
        <v>7.9</v>
      </c>
      <c r="E1760" s="2">
        <f>IF(A1760&lt;&gt;"", VLOOKUP(A1760, imdb_netflix_v5!A$2:H$7370, 5, FALSE), "")</f>
        <v>1965</v>
      </c>
      <c r="F1760" s="2" t="str">
        <f>IF(A1760&lt;&gt;"", VLOOKUP(A1760, imdb_netflix_v5!A$2:H$7370, 7, FALSE), "")</f>
        <v>NA</v>
      </c>
    </row>
    <row r="1761" ht="15.75" customHeight="1">
      <c r="A1761" s="1" t="str">
        <f>IFERROR(__xludf.DUMMYFUNCTION("""COMPUTED_VALUE"""),"harold and maude")</f>
        <v>harold and maude</v>
      </c>
      <c r="B1761" s="1" t="str">
        <f>IF(A1761&lt;&gt;"", VLOOKUP(A1761, imdb_netflix_v5!A$2:H$7370, 2, FALSE), "")</f>
        <v>Movie</v>
      </c>
      <c r="C1761" s="2" t="str">
        <f>IF(A1761&lt;&gt;"", VLOOKUP(A1761, imdb_netflix_v5!A$2:H$7370, 3, FALSE), "")</f>
        <v>Comedy, Drama, Romance</v>
      </c>
      <c r="D1761" s="2">
        <f>IF(A1761&lt;&gt;"", VLOOKUP(A1761, imdb_netflix_v5!A$2:H$7370, 4, FALSE), "")</f>
        <v>7.9</v>
      </c>
      <c r="E1761" s="2">
        <f>IF(A1761&lt;&gt;"", VLOOKUP(A1761, imdb_netflix_v5!A$2:H$7370, 5, FALSE), "")</f>
        <v>1971</v>
      </c>
      <c r="F1761" s="2" t="str">
        <f>IF(A1761&lt;&gt;"", VLOOKUP(A1761, imdb_netflix_v5!A$2:H$7370, 7, FALSE), "")</f>
        <v>NA</v>
      </c>
    </row>
    <row r="1762" ht="15.75" customHeight="1">
      <c r="A1762" s="1" t="str">
        <f>IFERROR(__xludf.DUMMYFUNCTION("""COMPUTED_VALUE"""),"the manchurian candidate")</f>
        <v>the manchurian candidate</v>
      </c>
      <c r="B1762" s="1" t="str">
        <f>IF(A1762&lt;&gt;"", VLOOKUP(A1762, imdb_netflix_v5!A$2:H$7370, 2, FALSE), "")</f>
        <v>Movie</v>
      </c>
      <c r="C1762" s="2" t="str">
        <f>IF(A1762&lt;&gt;"", VLOOKUP(A1762, imdb_netflix_v5!A$2:H$7370, 3, FALSE), "")</f>
        <v>Drama, Thriller</v>
      </c>
      <c r="D1762" s="2">
        <f>IF(A1762&lt;&gt;"", VLOOKUP(A1762, imdb_netflix_v5!A$2:H$7370, 4, FALSE), "")</f>
        <v>7.9</v>
      </c>
      <c r="E1762" s="2">
        <f>IF(A1762&lt;&gt;"", VLOOKUP(A1762, imdb_netflix_v5!A$2:H$7370, 5, FALSE), "")</f>
        <v>1962</v>
      </c>
      <c r="F1762" s="2" t="str">
        <f>IF(A1762&lt;&gt;"", VLOOKUP(A1762, imdb_netflix_v5!A$2:H$7370, 7, FALSE), "")</f>
        <v>NA</v>
      </c>
    </row>
    <row r="1763" ht="15.75" customHeight="1">
      <c r="A1763" s="1" t="str">
        <f>IFERROR(__xludf.DUMMYFUNCTION("""COMPUTED_VALUE"""),"da vincis demons")</f>
        <v>da vincis demons</v>
      </c>
      <c r="B1763" s="1" t="str">
        <f>IF(A1763&lt;&gt;"", VLOOKUP(A1763, imdb_netflix_v5!A$2:H$7370, 2, FALSE), "")</f>
        <v>TV Show</v>
      </c>
      <c r="C1763" s="2" t="str">
        <f>IF(A1763&lt;&gt;"", VLOOKUP(A1763, imdb_netflix_v5!A$2:H$7370, 3, FALSE), "")</f>
        <v>Adventure, Biography, Drama</v>
      </c>
      <c r="D1763" s="2">
        <f>IF(A1763&lt;&gt;"", VLOOKUP(A1763, imdb_netflix_v5!A$2:H$7370, 4, FALSE), "")</f>
        <v>7.9</v>
      </c>
      <c r="E1763" s="2">
        <f>IF(A1763&lt;&gt;"", VLOOKUP(A1763, imdb_netflix_v5!A$2:H$7370, 5, FALSE), "")</f>
        <v>2013</v>
      </c>
      <c r="F1763" s="2" t="str">
        <f>IF(A1763&lt;&gt;"", VLOOKUP(A1763, imdb_netflix_v5!A$2:H$7370, 7, FALSE), "")</f>
        <v>NA</v>
      </c>
    </row>
    <row r="1764" ht="15.75" customHeight="1">
      <c r="A1764" s="1" t="str">
        <f>IFERROR(__xludf.DUMMYFUNCTION("""COMPUTED_VALUE"""),"star trek voyager")</f>
        <v>star trek voyager</v>
      </c>
      <c r="B1764" s="1" t="str">
        <f>IF(A1764&lt;&gt;"", VLOOKUP(A1764, imdb_netflix_v5!A$2:H$7370, 2, FALSE), "")</f>
        <v>TV Show</v>
      </c>
      <c r="C1764" s="2" t="str">
        <f>IF(A1764&lt;&gt;"", VLOOKUP(A1764, imdb_netflix_v5!A$2:H$7370, 3, FALSE), "")</f>
        <v>Action, Adventure, Drama</v>
      </c>
      <c r="D1764" s="2">
        <f>IF(A1764&lt;&gt;"", VLOOKUP(A1764, imdb_netflix_v5!A$2:H$7370, 4, FALSE), "")</f>
        <v>7.9</v>
      </c>
      <c r="E1764" s="2">
        <f>IF(A1764&lt;&gt;"", VLOOKUP(A1764, imdb_netflix_v5!A$2:H$7370, 5, FALSE), "")</f>
        <v>1995</v>
      </c>
      <c r="F1764" s="2" t="str">
        <f>IF(A1764&lt;&gt;"", VLOOKUP(A1764, imdb_netflix_v5!A$2:H$7370, 7, FALSE), "")</f>
        <v>NA</v>
      </c>
    </row>
    <row r="1765" ht="15.75" customHeight="1">
      <c r="A1765" s="1" t="str">
        <f>IFERROR(__xludf.DUMMYFUNCTION("""COMPUTED_VALUE"""),"wings of desire")</f>
        <v>wings of desire</v>
      </c>
      <c r="B1765" s="1" t="str">
        <f>IF(A1765&lt;&gt;"", VLOOKUP(A1765, imdb_netflix_v5!A$2:H$7370, 2, FALSE), "")</f>
        <v>Movie</v>
      </c>
      <c r="C1765" s="2" t="str">
        <f>IF(A1765&lt;&gt;"", VLOOKUP(A1765, imdb_netflix_v5!A$2:H$7370, 3, FALSE), "")</f>
        <v>Drama, Fantasy, Romance</v>
      </c>
      <c r="D1765" s="2">
        <f>IF(A1765&lt;&gt;"", VLOOKUP(A1765, imdb_netflix_v5!A$2:H$7370, 4, FALSE), "")</f>
        <v>7.9</v>
      </c>
      <c r="E1765" s="2">
        <f>IF(A1765&lt;&gt;"", VLOOKUP(A1765, imdb_netflix_v5!A$2:H$7370, 5, FALSE), "")</f>
        <v>1987</v>
      </c>
      <c r="F1765" s="2" t="str">
        <f>IF(A1765&lt;&gt;"", VLOOKUP(A1765, imdb_netflix_v5!A$2:H$7370, 7, FALSE), "")</f>
        <v>NA</v>
      </c>
    </row>
    <row r="1766" ht="15.75" customHeight="1">
      <c r="A1766" s="1" t="str">
        <f>IFERROR(__xludf.DUMMYFUNCTION("""COMPUTED_VALUE"""),"being there")</f>
        <v>being there</v>
      </c>
      <c r="B1766" s="1" t="str">
        <f>IF(A1766&lt;&gt;"", VLOOKUP(A1766, imdb_netflix_v5!A$2:H$7370, 2, FALSE), "")</f>
        <v>Movie</v>
      </c>
      <c r="C1766" s="2" t="str">
        <f>IF(A1766&lt;&gt;"", VLOOKUP(A1766, imdb_netflix_v5!A$2:H$7370, 3, FALSE), "")</f>
        <v>Comedy, Drama</v>
      </c>
      <c r="D1766" s="2">
        <f>IF(A1766&lt;&gt;"", VLOOKUP(A1766, imdb_netflix_v5!A$2:H$7370, 4, FALSE), "")</f>
        <v>7.9</v>
      </c>
      <c r="E1766" s="2">
        <f>IF(A1766&lt;&gt;"", VLOOKUP(A1766, imdb_netflix_v5!A$2:H$7370, 5, FALSE), "")</f>
        <v>1979</v>
      </c>
      <c r="F1766" s="2" t="str">
        <f>IF(A1766&lt;&gt;"", VLOOKUP(A1766, imdb_netflix_v5!A$2:H$7370, 7, FALSE), "")</f>
        <v>NA</v>
      </c>
    </row>
    <row r="1767" ht="15.75" customHeight="1">
      <c r="A1767" s="1" t="str">
        <f>IFERROR(__xludf.DUMMYFUNCTION("""COMPUTED_VALUE"""),"the ten commandments")</f>
        <v>the ten commandments</v>
      </c>
      <c r="B1767" s="1" t="str">
        <f>IF(A1767&lt;&gt;"", VLOOKUP(A1767, imdb_netflix_v5!A$2:H$7370, 2, FALSE), "")</f>
        <v>Movie</v>
      </c>
      <c r="C1767" s="2" t="str">
        <f>IF(A1767&lt;&gt;"", VLOOKUP(A1767, imdb_netflix_v5!A$2:H$7370, 3, FALSE), "")</f>
        <v>Adventure, Drama, Family</v>
      </c>
      <c r="D1767" s="2">
        <f>IF(A1767&lt;&gt;"", VLOOKUP(A1767, imdb_netflix_v5!A$2:H$7370, 4, FALSE), "")</f>
        <v>7.9</v>
      </c>
      <c r="E1767" s="2">
        <f>IF(A1767&lt;&gt;"", VLOOKUP(A1767, imdb_netflix_v5!A$2:H$7370, 5, FALSE), "")</f>
        <v>1956</v>
      </c>
      <c r="F1767" s="2" t="str">
        <f>IF(A1767&lt;&gt;"", VLOOKUP(A1767, imdb_netflix_v5!A$2:H$7370, 7, FALSE), "")</f>
        <v>NA</v>
      </c>
    </row>
    <row r="1768" ht="15.75" customHeight="1">
      <c r="A1768" s="1" t="str">
        <f>IFERROR(__xludf.DUMMYFUNCTION("""COMPUTED_VALUE"""),"kal ho naa ho")</f>
        <v>kal ho naa ho</v>
      </c>
      <c r="B1768" s="1" t="str">
        <f>IF(A1768&lt;&gt;"", VLOOKUP(A1768, imdb_netflix_v5!A$2:H$7370, 2, FALSE), "")</f>
        <v>Movie</v>
      </c>
      <c r="C1768" s="2" t="str">
        <f>IF(A1768&lt;&gt;"", VLOOKUP(A1768, imdb_netflix_v5!A$2:H$7370, 3, FALSE), "")</f>
        <v>Comedy, Drama, Musical</v>
      </c>
      <c r="D1768" s="2">
        <f>IF(A1768&lt;&gt;"", VLOOKUP(A1768, imdb_netflix_v5!A$2:H$7370, 4, FALSE), "")</f>
        <v>7.9</v>
      </c>
      <c r="E1768" s="2">
        <f>IF(A1768&lt;&gt;"", VLOOKUP(A1768, imdb_netflix_v5!A$2:H$7370, 5, FALSE), "")</f>
        <v>2003</v>
      </c>
      <c r="F1768" s="2" t="str">
        <f>IF(A1768&lt;&gt;"", VLOOKUP(A1768, imdb_netflix_v5!A$2:H$7370, 7, FALSE), "")</f>
        <v>NA</v>
      </c>
    </row>
    <row r="1769" ht="15.75" customHeight="1">
      <c r="A1769" s="1" t="str">
        <f>IFERROR(__xludf.DUMMYFUNCTION("""COMPUTED_VALUE"""),"angel")</f>
        <v>angel</v>
      </c>
      <c r="B1769" s="1" t="str">
        <f>IF(A1769&lt;&gt;"", VLOOKUP(A1769, imdb_netflix_v5!A$2:H$7370, 2, FALSE), "")</f>
        <v>TV Show</v>
      </c>
      <c r="C1769" s="2" t="str">
        <f>IF(A1769&lt;&gt;"", VLOOKUP(A1769, imdb_netflix_v5!A$2:H$7370, 3, FALSE), "")</f>
        <v>Action, Adventure, Drama</v>
      </c>
      <c r="D1769" s="2">
        <f>IF(A1769&lt;&gt;"", VLOOKUP(A1769, imdb_netflix_v5!A$2:H$7370, 4, FALSE), "")</f>
        <v>7.9</v>
      </c>
      <c r="E1769" s="2">
        <f>IF(A1769&lt;&gt;"", VLOOKUP(A1769, imdb_netflix_v5!A$2:H$7370, 5, FALSE), "")</f>
        <v>1999</v>
      </c>
      <c r="F1769" s="2" t="str">
        <f>IF(A1769&lt;&gt;"", VLOOKUP(A1769, imdb_netflix_v5!A$2:H$7370, 7, FALSE), "")</f>
        <v>NA</v>
      </c>
    </row>
    <row r="1770" ht="15.75" customHeight="1">
      <c r="A1770" s="1" t="str">
        <f>IFERROR(__xludf.DUMMYFUNCTION("""COMPUTED_VALUE"""),"arsenic and old lace")</f>
        <v>arsenic and old lace</v>
      </c>
      <c r="B1770" s="1" t="str">
        <f>IF(A1770&lt;&gt;"", VLOOKUP(A1770, imdb_netflix_v5!A$2:H$7370, 2, FALSE), "")</f>
        <v>Movie</v>
      </c>
      <c r="C1770" s="2" t="str">
        <f>IF(A1770&lt;&gt;"", VLOOKUP(A1770, imdb_netflix_v5!A$2:H$7370, 3, FALSE), "")</f>
        <v>Comedy, Crime, Thriller</v>
      </c>
      <c r="D1770" s="2">
        <f>IF(A1770&lt;&gt;"", VLOOKUP(A1770, imdb_netflix_v5!A$2:H$7370, 4, FALSE), "")</f>
        <v>7.9</v>
      </c>
      <c r="E1770" s="2">
        <f>IF(A1770&lt;&gt;"", VLOOKUP(A1770, imdb_netflix_v5!A$2:H$7370, 5, FALSE), "")</f>
        <v>1944</v>
      </c>
      <c r="F1770" s="2" t="str">
        <f>IF(A1770&lt;&gt;"", VLOOKUP(A1770, imdb_netflix_v5!A$2:H$7370, 7, FALSE), "")</f>
        <v>NA</v>
      </c>
    </row>
    <row r="1771" ht="15.75" customHeight="1">
      <c r="A1771" s="1" t="str">
        <f>IFERROR(__xludf.DUMMYFUNCTION("""COMPUTED_VALUE"""),"superstore")</f>
        <v>superstore</v>
      </c>
      <c r="B1771" s="1" t="str">
        <f>IF(A1771&lt;&gt;"", VLOOKUP(A1771, imdb_netflix_v5!A$2:H$7370, 2, FALSE), "")</f>
        <v>TV Show</v>
      </c>
      <c r="C1771" s="2" t="str">
        <f>IF(A1771&lt;&gt;"", VLOOKUP(A1771, imdb_netflix_v5!A$2:H$7370, 3, FALSE), "")</f>
        <v>Comedy</v>
      </c>
      <c r="D1771" s="2">
        <f>IF(A1771&lt;&gt;"", VLOOKUP(A1771, imdb_netflix_v5!A$2:H$7370, 4, FALSE), "")</f>
        <v>7.9</v>
      </c>
      <c r="E1771" s="2">
        <f>IF(A1771&lt;&gt;"", VLOOKUP(A1771, imdb_netflix_v5!A$2:H$7370, 5, FALSE), "")</f>
        <v>2015</v>
      </c>
      <c r="F1771" s="2" t="str">
        <f>IF(A1771&lt;&gt;"", VLOOKUP(A1771, imdb_netflix_v5!A$2:H$7370, 7, FALSE), "")</f>
        <v>NA</v>
      </c>
    </row>
    <row r="1772" ht="15.75" customHeight="1">
      <c r="A1772" s="1" t="str">
        <f>IFERROR(__xludf.DUMMYFUNCTION("""COMPUTED_VALUE"""),"er")</f>
        <v>er</v>
      </c>
      <c r="B1772" s="1" t="str">
        <f>IF(A1772&lt;&gt;"", VLOOKUP(A1772, imdb_netflix_v5!A$2:H$7370, 2, FALSE), "")</f>
        <v>TV Show</v>
      </c>
      <c r="C1772" s="2" t="str">
        <f>IF(A1772&lt;&gt;"", VLOOKUP(A1772, imdb_netflix_v5!A$2:H$7370, 3, FALSE), "")</f>
        <v>Drama, Romance</v>
      </c>
      <c r="D1772" s="2">
        <f>IF(A1772&lt;&gt;"", VLOOKUP(A1772, imdb_netflix_v5!A$2:H$7370, 4, FALSE), "")</f>
        <v>7.9</v>
      </c>
      <c r="E1772" s="2">
        <f>IF(A1772&lt;&gt;"", VLOOKUP(A1772, imdb_netflix_v5!A$2:H$7370, 5, FALSE), "")</f>
        <v>1994</v>
      </c>
      <c r="F1772" s="2" t="str">
        <f>IF(A1772&lt;&gt;"", VLOOKUP(A1772, imdb_netflix_v5!A$2:H$7370, 7, FALSE), "")</f>
        <v>NA</v>
      </c>
    </row>
    <row r="1773" ht="15.75" customHeight="1">
      <c r="A1773" s="1" t="str">
        <f>IFERROR(__xludf.DUMMYFUNCTION("""COMPUTED_VALUE"""),"exit through the gift shop")</f>
        <v>exit through the gift shop</v>
      </c>
      <c r="B1773" s="1" t="str">
        <f>IF(A1773&lt;&gt;"", VLOOKUP(A1773, imdb_netflix_v5!A$2:H$7370, 2, FALSE), "")</f>
        <v>Movie</v>
      </c>
      <c r="C1773" s="2" t="str">
        <f>IF(A1773&lt;&gt;"", VLOOKUP(A1773, imdb_netflix_v5!A$2:H$7370, 3, FALSE), "")</f>
        <v>Comedy, Crime, Documentary</v>
      </c>
      <c r="D1773" s="2">
        <f>IF(A1773&lt;&gt;"", VLOOKUP(A1773, imdb_netflix_v5!A$2:H$7370, 4, FALSE), "")</f>
        <v>7.9</v>
      </c>
      <c r="E1773" s="2">
        <f>IF(A1773&lt;&gt;"", VLOOKUP(A1773, imdb_netflix_v5!A$2:H$7370, 5, FALSE), "")</f>
        <v>2010</v>
      </c>
      <c r="F1773" s="2" t="str">
        <f>IF(A1773&lt;&gt;"", VLOOKUP(A1773, imdb_netflix_v5!A$2:H$7370, 7, FALSE), "")</f>
        <v>NA</v>
      </c>
    </row>
    <row r="1774" ht="15.75" customHeight="1">
      <c r="A1774" s="1" t="str">
        <f>IFERROR(__xludf.DUMMYFUNCTION("""COMPUTED_VALUE"""),"perfect days")</f>
        <v>perfect days</v>
      </c>
      <c r="B1774" s="1" t="str">
        <f>IF(A1774&lt;&gt;"", VLOOKUP(A1774, imdb_netflix_v5!A$2:H$7370, 2, FALSE), "")</f>
        <v>Movie</v>
      </c>
      <c r="C1774" s="2" t="str">
        <f>IF(A1774&lt;&gt;"", VLOOKUP(A1774, imdb_netflix_v5!A$2:H$7370, 3, FALSE), "")</f>
        <v>Drama</v>
      </c>
      <c r="D1774" s="2">
        <f>IF(A1774&lt;&gt;"", VLOOKUP(A1774, imdb_netflix_v5!A$2:H$7370, 4, FALSE), "")</f>
        <v>7.9</v>
      </c>
      <c r="E1774" s="2">
        <f>IF(A1774&lt;&gt;"", VLOOKUP(A1774, imdb_netflix_v5!A$2:H$7370, 5, FALSE), "")</f>
        <v>2023</v>
      </c>
      <c r="F1774" s="2" t="str">
        <f>IF(A1774&lt;&gt;"", VLOOKUP(A1774, imdb_netflix_v5!A$2:H$7370, 7, FALSE), "")</f>
        <v>NA</v>
      </c>
    </row>
    <row r="1775" ht="15.75" customHeight="1">
      <c r="A1775" s="1" t="str">
        <f>IFERROR(__xludf.DUMMYFUNCTION("""COMPUTED_VALUE"""),"karthikeya 2")</f>
        <v>karthikeya 2</v>
      </c>
      <c r="B1775" s="1" t="str">
        <f>IF(A1775&lt;&gt;"", VLOOKUP(A1775, imdb_netflix_v5!A$2:H$7370, 2, FALSE), "")</f>
        <v>Movie</v>
      </c>
      <c r="C1775" s="2" t="str">
        <f>IF(A1775&lt;&gt;"", VLOOKUP(A1775, imdb_netflix_v5!A$2:H$7370, 3, FALSE), "")</f>
        <v>Action, Adventure, Fantasy</v>
      </c>
      <c r="D1775" s="2">
        <f>IF(A1775&lt;&gt;"", VLOOKUP(A1775, imdb_netflix_v5!A$2:H$7370, 4, FALSE), "")</f>
        <v>7.9</v>
      </c>
      <c r="E1775" s="2">
        <f>IF(A1775&lt;&gt;"", VLOOKUP(A1775, imdb_netflix_v5!A$2:H$7370, 5, FALSE), "")</f>
        <v>2022</v>
      </c>
      <c r="F1775" s="2" t="str">
        <f>IF(A1775&lt;&gt;"", VLOOKUP(A1775, imdb_netflix_v5!A$2:H$7370, 7, FALSE), "")</f>
        <v>NA</v>
      </c>
    </row>
    <row r="1776" ht="15.75" customHeight="1">
      <c r="A1776" s="1" t="str">
        <f>IFERROR(__xludf.DUMMYFUNCTION("""COMPUTED_VALUE"""),"4 months, 3 weeks and 2 days")</f>
        <v>4 months, 3 weeks and 2 days</v>
      </c>
      <c r="B1776" s="1" t="str">
        <f>IF(A1776&lt;&gt;"", VLOOKUP(A1776, imdb_netflix_v5!A$2:H$7370, 2, FALSE), "")</f>
        <v>Movie</v>
      </c>
      <c r="C1776" s="2" t="str">
        <f>IF(A1776&lt;&gt;"", VLOOKUP(A1776, imdb_netflix_v5!A$2:H$7370, 3, FALSE), "")</f>
        <v>Drama</v>
      </c>
      <c r="D1776" s="2">
        <f>IF(A1776&lt;&gt;"", VLOOKUP(A1776, imdb_netflix_v5!A$2:H$7370, 4, FALSE), "")</f>
        <v>7.9</v>
      </c>
      <c r="E1776" s="2">
        <f>IF(A1776&lt;&gt;"", VLOOKUP(A1776, imdb_netflix_v5!A$2:H$7370, 5, FALSE), "")</f>
        <v>2007</v>
      </c>
      <c r="F1776" s="2" t="str">
        <f>IF(A1776&lt;&gt;"", VLOOKUP(A1776, imdb_netflix_v5!A$2:H$7370, 7, FALSE), "")</f>
        <v>NA</v>
      </c>
    </row>
    <row r="1777" ht="15.75" customHeight="1">
      <c r="A1777" s="1" t="str">
        <f>IFERROR(__xludf.DUMMYFUNCTION("""COMPUTED_VALUE"""),"battleship potemkin")</f>
        <v>battleship potemkin</v>
      </c>
      <c r="B1777" s="1" t="str">
        <f>IF(A1777&lt;&gt;"", VLOOKUP(A1777, imdb_netflix_v5!A$2:H$7370, 2, FALSE), "")</f>
        <v>Movie</v>
      </c>
      <c r="C1777" s="2" t="str">
        <f>IF(A1777&lt;&gt;"", VLOOKUP(A1777, imdb_netflix_v5!A$2:H$7370, 3, FALSE), "")</f>
        <v>Drama, History, Thriller</v>
      </c>
      <c r="D1777" s="2">
        <f>IF(A1777&lt;&gt;"", VLOOKUP(A1777, imdb_netflix_v5!A$2:H$7370, 4, FALSE), "")</f>
        <v>7.9</v>
      </c>
      <c r="E1777" s="2">
        <f>IF(A1777&lt;&gt;"", VLOOKUP(A1777, imdb_netflix_v5!A$2:H$7370, 5, FALSE), "")</f>
        <v>1925</v>
      </c>
      <c r="F1777" s="2" t="str">
        <f>IF(A1777&lt;&gt;"", VLOOKUP(A1777, imdb_netflix_v5!A$2:H$7370, 7, FALSE), "")</f>
        <v>NA</v>
      </c>
    </row>
    <row r="1778" ht="15.75" customHeight="1">
      <c r="A1778" s="1" t="str">
        <f>IFERROR(__xludf.DUMMYFUNCTION("""COMPUTED_VALUE"""),"baby")</f>
        <v>baby</v>
      </c>
      <c r="B1778" s="1" t="str">
        <f>IF(A1778&lt;&gt;"", VLOOKUP(A1778, imdb_netflix_v5!A$2:H$7370, 2, FALSE), "")</f>
        <v>Movie</v>
      </c>
      <c r="C1778" s="2" t="str">
        <f>IF(A1778&lt;&gt;"", VLOOKUP(A1778, imdb_netflix_v5!A$2:H$7370, 3, FALSE), "")</f>
        <v>Action, Thriller</v>
      </c>
      <c r="D1778" s="2">
        <f>IF(A1778&lt;&gt;"", VLOOKUP(A1778, imdb_netflix_v5!A$2:H$7370, 4, FALSE), "")</f>
        <v>7.9</v>
      </c>
      <c r="E1778" s="2">
        <f>IF(A1778&lt;&gt;"", VLOOKUP(A1778, imdb_netflix_v5!A$2:H$7370, 5, FALSE), "")</f>
        <v>2015</v>
      </c>
      <c r="F1778" s="2" t="str">
        <f>IF(A1778&lt;&gt;"", VLOOKUP(A1778, imdb_netflix_v5!A$2:H$7370, 7, FALSE), "")</f>
        <v>NA</v>
      </c>
    </row>
    <row r="1779" ht="15.75" customHeight="1">
      <c r="A1779" s="1" t="str">
        <f>IFERROR(__xludf.DUMMYFUNCTION("""COMPUTED_VALUE"""),"jane the virgin")</f>
        <v>jane the virgin</v>
      </c>
      <c r="B1779" s="1" t="str">
        <f>IF(A1779&lt;&gt;"", VLOOKUP(A1779, imdb_netflix_v5!A$2:H$7370, 2, FALSE), "")</f>
        <v>TV Show</v>
      </c>
      <c r="C1779" s="2" t="str">
        <f>IF(A1779&lt;&gt;"", VLOOKUP(A1779, imdb_netflix_v5!A$2:H$7370, 3, FALSE), "")</f>
        <v>Comedy</v>
      </c>
      <c r="D1779" s="2">
        <f>IF(A1779&lt;&gt;"", VLOOKUP(A1779, imdb_netflix_v5!A$2:H$7370, 4, FALSE), "")</f>
        <v>7.9</v>
      </c>
      <c r="E1779" s="2">
        <f>IF(A1779&lt;&gt;"", VLOOKUP(A1779, imdb_netflix_v5!A$2:H$7370, 5, FALSE), "")</f>
        <v>2014</v>
      </c>
      <c r="F1779" s="2" t="str">
        <f>IF(A1779&lt;&gt;"", VLOOKUP(A1779, imdb_netflix_v5!A$2:H$7370, 7, FALSE), "")</f>
        <v>NA</v>
      </c>
    </row>
    <row r="1780" ht="15.75" customHeight="1">
      <c r="A1780" s="1" t="str">
        <f>IFERROR(__xludf.DUMMYFUNCTION("""COMPUTED_VALUE"""),"jab we met")</f>
        <v>jab we met</v>
      </c>
      <c r="B1780" s="1" t="str">
        <f>IF(A1780&lt;&gt;"", VLOOKUP(A1780, imdb_netflix_v5!A$2:H$7370, 2, FALSE), "")</f>
        <v>Movie</v>
      </c>
      <c r="C1780" s="2" t="str">
        <f>IF(A1780&lt;&gt;"", VLOOKUP(A1780, imdb_netflix_v5!A$2:H$7370, 3, FALSE), "")</f>
        <v>Comedy, Drama, Romance</v>
      </c>
      <c r="D1780" s="2">
        <f>IF(A1780&lt;&gt;"", VLOOKUP(A1780, imdb_netflix_v5!A$2:H$7370, 4, FALSE), "")</f>
        <v>7.9</v>
      </c>
      <c r="E1780" s="2">
        <f>IF(A1780&lt;&gt;"", VLOOKUP(A1780, imdb_netflix_v5!A$2:H$7370, 5, FALSE), "")</f>
        <v>2007</v>
      </c>
      <c r="F1780" s="2" t="str">
        <f>IF(A1780&lt;&gt;"", VLOOKUP(A1780, imdb_netflix_v5!A$2:H$7370, 7, FALSE), "")</f>
        <v>NA</v>
      </c>
    </row>
    <row r="1781" ht="15.75" customHeight="1">
      <c r="A1781" s="1" t="str">
        <f>IFERROR(__xludf.DUMMYFUNCTION("""COMPUTED_VALUE"""),"stalag 17")</f>
        <v>stalag 17</v>
      </c>
      <c r="B1781" s="1" t="str">
        <f>IF(A1781&lt;&gt;"", VLOOKUP(A1781, imdb_netflix_v5!A$2:H$7370, 2, FALSE), "")</f>
        <v>Movie</v>
      </c>
      <c r="C1781" s="2" t="str">
        <f>IF(A1781&lt;&gt;"", VLOOKUP(A1781, imdb_netflix_v5!A$2:H$7370, 3, FALSE), "")</f>
        <v>Comedy, Drama, War</v>
      </c>
      <c r="D1781" s="2">
        <f>IF(A1781&lt;&gt;"", VLOOKUP(A1781, imdb_netflix_v5!A$2:H$7370, 4, FALSE), "")</f>
        <v>7.9</v>
      </c>
      <c r="E1781" s="2">
        <f>IF(A1781&lt;&gt;"", VLOOKUP(A1781, imdb_netflix_v5!A$2:H$7370, 5, FALSE), "")</f>
        <v>1953</v>
      </c>
      <c r="F1781" s="2" t="str">
        <f>IF(A1781&lt;&gt;"", VLOOKUP(A1781, imdb_netflix_v5!A$2:H$7370, 7, FALSE), "")</f>
        <v>NA</v>
      </c>
    </row>
    <row r="1782" ht="15.75" customHeight="1">
      <c r="A1782" s="1" t="str">
        <f>IFERROR(__xludf.DUMMYFUNCTION("""COMPUTED_VALUE"""),"eureka")</f>
        <v>eureka</v>
      </c>
      <c r="B1782" s="1" t="str">
        <f>IF(A1782&lt;&gt;"", VLOOKUP(A1782, imdb_netflix_v5!A$2:H$7370, 2, FALSE), "")</f>
        <v>TV Show</v>
      </c>
      <c r="C1782" s="2" t="str">
        <f>IF(A1782&lt;&gt;"", VLOOKUP(A1782, imdb_netflix_v5!A$2:H$7370, 3, FALSE), "")</f>
        <v>Adventure, Comedy, Drama</v>
      </c>
      <c r="D1782" s="2">
        <f>IF(A1782&lt;&gt;"", VLOOKUP(A1782, imdb_netflix_v5!A$2:H$7370, 4, FALSE), "")</f>
        <v>7.9</v>
      </c>
      <c r="E1782" s="2">
        <f>IF(A1782&lt;&gt;"", VLOOKUP(A1782, imdb_netflix_v5!A$2:H$7370, 5, FALSE), "")</f>
        <v>2006</v>
      </c>
      <c r="F1782" s="2" t="str">
        <f>IF(A1782&lt;&gt;"", VLOOKUP(A1782, imdb_netflix_v5!A$2:H$7370, 7, FALSE), "")</f>
        <v>NA</v>
      </c>
    </row>
    <row r="1783" ht="15.75" customHeight="1">
      <c r="A1783" s="1" t="str">
        <f>IFERROR(__xludf.DUMMYFUNCTION("""COMPUTED_VALUE"""),"jericho")</f>
        <v>jericho</v>
      </c>
      <c r="B1783" s="1" t="str">
        <f>IF(A1783&lt;&gt;"", VLOOKUP(A1783, imdb_netflix_v5!A$2:H$7370, 2, FALSE), "")</f>
        <v>TV Show</v>
      </c>
      <c r="C1783" s="2" t="str">
        <f>IF(A1783&lt;&gt;"", VLOOKUP(A1783, imdb_netflix_v5!A$2:H$7370, 3, FALSE), "")</f>
        <v>Action, Drama, Mystery</v>
      </c>
      <c r="D1783" s="2">
        <f>IF(A1783&lt;&gt;"", VLOOKUP(A1783, imdb_netflix_v5!A$2:H$7370, 4, FALSE), "")</f>
        <v>7.9</v>
      </c>
      <c r="E1783" s="2">
        <f>IF(A1783&lt;&gt;"", VLOOKUP(A1783, imdb_netflix_v5!A$2:H$7370, 5, FALSE), "")</f>
        <v>2006</v>
      </c>
      <c r="F1783" s="2" t="str">
        <f>IF(A1783&lt;&gt;"", VLOOKUP(A1783, imdb_netflix_v5!A$2:H$7370, 7, FALSE), "")</f>
        <v>NA</v>
      </c>
    </row>
    <row r="1784" ht="15.75" customHeight="1">
      <c r="A1784" s="1" t="str">
        <f>IFERROR(__xludf.DUMMYFUNCTION("""COMPUTED_VALUE"""),"airlift")</f>
        <v>airlift</v>
      </c>
      <c r="B1784" s="1" t="str">
        <f>IF(A1784&lt;&gt;"", VLOOKUP(A1784, imdb_netflix_v5!A$2:H$7370, 2, FALSE), "")</f>
        <v>Movie</v>
      </c>
      <c r="C1784" s="2" t="str">
        <f>IF(A1784&lt;&gt;"", VLOOKUP(A1784, imdb_netflix_v5!A$2:H$7370, 3, FALSE), "")</f>
        <v>Drama, History</v>
      </c>
      <c r="D1784" s="2">
        <f>IF(A1784&lt;&gt;"", VLOOKUP(A1784, imdb_netflix_v5!A$2:H$7370, 4, FALSE), "")</f>
        <v>7.9</v>
      </c>
      <c r="E1784" s="2">
        <f>IF(A1784&lt;&gt;"", VLOOKUP(A1784, imdb_netflix_v5!A$2:H$7370, 5, FALSE), "")</f>
        <v>2016</v>
      </c>
      <c r="F1784" s="2" t="str">
        <f>IF(A1784&lt;&gt;"", VLOOKUP(A1784, imdb_netflix_v5!A$2:H$7370, 7, FALSE), "")</f>
        <v>NA</v>
      </c>
    </row>
    <row r="1785" ht="15.75" customHeight="1">
      <c r="A1785" s="1" t="str">
        <f>IFERROR(__xludf.DUMMYFUNCTION("""COMPUTED_VALUE"""),"3-iron")</f>
        <v>3-iron</v>
      </c>
      <c r="B1785" s="1" t="str">
        <f>IF(A1785&lt;&gt;"", VLOOKUP(A1785, imdb_netflix_v5!A$2:H$7370, 2, FALSE), "")</f>
        <v>Movie</v>
      </c>
      <c r="C1785" s="2" t="str">
        <f>IF(A1785&lt;&gt;"", VLOOKUP(A1785, imdb_netflix_v5!A$2:H$7370, 3, FALSE), "")</f>
        <v>Crime, Drama, Romance</v>
      </c>
      <c r="D1785" s="2">
        <f>IF(A1785&lt;&gt;"", VLOOKUP(A1785, imdb_netflix_v5!A$2:H$7370, 4, FALSE), "")</f>
        <v>7.9</v>
      </c>
      <c r="E1785" s="2">
        <f>IF(A1785&lt;&gt;"", VLOOKUP(A1785, imdb_netflix_v5!A$2:H$7370, 5, FALSE), "")</f>
        <v>2004</v>
      </c>
      <c r="F1785" s="2" t="str">
        <f>IF(A1785&lt;&gt;"", VLOOKUP(A1785, imdb_netflix_v5!A$2:H$7370, 7, FALSE), "")</f>
        <v>NA</v>
      </c>
    </row>
    <row r="1786" ht="15.75" customHeight="1">
      <c r="A1786" s="1" t="str">
        <f>IFERROR(__xludf.DUMMYFUNCTION("""COMPUTED_VALUE"""),"harvey")</f>
        <v>harvey</v>
      </c>
      <c r="B1786" s="1" t="str">
        <f>IF(A1786&lt;&gt;"", VLOOKUP(A1786, imdb_netflix_v5!A$2:H$7370, 2, FALSE), "")</f>
        <v>Movie</v>
      </c>
      <c r="C1786" s="2" t="str">
        <f>IF(A1786&lt;&gt;"", VLOOKUP(A1786, imdb_netflix_v5!A$2:H$7370, 3, FALSE), "")</f>
        <v>Comedy, Drama, Fantasy</v>
      </c>
      <c r="D1786" s="2">
        <f>IF(A1786&lt;&gt;"", VLOOKUP(A1786, imdb_netflix_v5!A$2:H$7370, 4, FALSE), "")</f>
        <v>7.9</v>
      </c>
      <c r="E1786" s="2">
        <f>IF(A1786&lt;&gt;"", VLOOKUP(A1786, imdb_netflix_v5!A$2:H$7370, 5, FALSE), "")</f>
        <v>1950</v>
      </c>
      <c r="F1786" s="2" t="str">
        <f>IF(A1786&lt;&gt;"", VLOOKUP(A1786, imdb_netflix_v5!A$2:H$7370, 7, FALSE), "")</f>
        <v>NA</v>
      </c>
    </row>
    <row r="1787" ht="15.75" customHeight="1">
      <c r="A1787" s="1" t="str">
        <f>IFERROR(__xludf.DUMMYFUNCTION("""COMPUTED_VALUE"""),"head-on")</f>
        <v>head-on</v>
      </c>
      <c r="B1787" s="1" t="str">
        <f>IF(A1787&lt;&gt;"", VLOOKUP(A1787, imdb_netflix_v5!A$2:H$7370, 2, FALSE), "")</f>
        <v>Movie</v>
      </c>
      <c r="C1787" s="2" t="str">
        <f>IF(A1787&lt;&gt;"", VLOOKUP(A1787, imdb_netflix_v5!A$2:H$7370, 3, FALSE), "")</f>
        <v>Drama, Romance</v>
      </c>
      <c r="D1787" s="2">
        <f>IF(A1787&lt;&gt;"", VLOOKUP(A1787, imdb_netflix_v5!A$2:H$7370, 4, FALSE), "")</f>
        <v>7.9</v>
      </c>
      <c r="E1787" s="2">
        <f>IF(A1787&lt;&gt;"", VLOOKUP(A1787, imdb_netflix_v5!A$2:H$7370, 5, FALSE), "")</f>
        <v>2004</v>
      </c>
      <c r="F1787" s="2" t="str">
        <f>IF(A1787&lt;&gt;"", VLOOKUP(A1787, imdb_netflix_v5!A$2:H$7370, 7, FALSE), "")</f>
        <v>NA</v>
      </c>
    </row>
    <row r="1788" ht="15.75" customHeight="1">
      <c r="A1788" s="1" t="str">
        <f>IFERROR(__xludf.DUMMYFUNCTION("""COMPUTED_VALUE"""),"about elly")</f>
        <v>about elly</v>
      </c>
      <c r="B1788" s="1" t="str">
        <f>IF(A1788&lt;&gt;"", VLOOKUP(A1788, imdb_netflix_v5!A$2:H$7370, 2, FALSE), "")</f>
        <v>Movie</v>
      </c>
      <c r="C1788" s="2" t="str">
        <f>IF(A1788&lt;&gt;"", VLOOKUP(A1788, imdb_netflix_v5!A$2:H$7370, 3, FALSE), "")</f>
        <v>Drama, Mystery</v>
      </c>
      <c r="D1788" s="2">
        <f>IF(A1788&lt;&gt;"", VLOOKUP(A1788, imdb_netflix_v5!A$2:H$7370, 4, FALSE), "")</f>
        <v>7.9</v>
      </c>
      <c r="E1788" s="2">
        <f>IF(A1788&lt;&gt;"", VLOOKUP(A1788, imdb_netflix_v5!A$2:H$7370, 5, FALSE), "")</f>
        <v>2009</v>
      </c>
      <c r="F1788" s="2" t="str">
        <f>IF(A1788&lt;&gt;"", VLOOKUP(A1788, imdb_netflix_v5!A$2:H$7370, 7, FALSE), "")</f>
        <v>NA</v>
      </c>
    </row>
    <row r="1789" ht="15.75" customHeight="1">
      <c r="A1789" s="1" t="str">
        <f>IFERROR(__xludf.DUMMYFUNCTION("""COMPUTED_VALUE"""),"nine queens")</f>
        <v>nine queens</v>
      </c>
      <c r="B1789" s="1" t="str">
        <f>IF(A1789&lt;&gt;"", VLOOKUP(A1789, imdb_netflix_v5!A$2:H$7370, 2, FALSE), "")</f>
        <v>Movie</v>
      </c>
      <c r="C1789" s="2" t="str">
        <f>IF(A1789&lt;&gt;"", VLOOKUP(A1789, imdb_netflix_v5!A$2:H$7370, 3, FALSE), "")</f>
        <v>Crime, Drama, Thriller</v>
      </c>
      <c r="D1789" s="2">
        <f>IF(A1789&lt;&gt;"", VLOOKUP(A1789, imdb_netflix_v5!A$2:H$7370, 4, FALSE), "")</f>
        <v>7.9</v>
      </c>
      <c r="E1789" s="2">
        <f>IF(A1789&lt;&gt;"", VLOOKUP(A1789, imdb_netflix_v5!A$2:H$7370, 5, FALSE), "")</f>
        <v>2000</v>
      </c>
      <c r="F1789" s="2" t="str">
        <f>IF(A1789&lt;&gt;"", VLOOKUP(A1789, imdb_netflix_v5!A$2:H$7370, 7, FALSE), "")</f>
        <v>NA</v>
      </c>
    </row>
    <row r="1790" ht="15.75" customHeight="1">
      <c r="A1790" s="1" t="str">
        <f>IFERROR(__xludf.DUMMYFUNCTION("""COMPUTED_VALUE"""),"togo")</f>
        <v>togo</v>
      </c>
      <c r="B1790" s="1" t="str">
        <f>IF(A1790&lt;&gt;"", VLOOKUP(A1790, imdb_netflix_v5!A$2:H$7370, 2, FALSE), "")</f>
        <v>Movie</v>
      </c>
      <c r="C1790" s="2" t="str">
        <f>IF(A1790&lt;&gt;"", VLOOKUP(A1790, imdb_netflix_v5!A$2:H$7370, 3, FALSE), "")</f>
        <v>Adventure, Biography, Drama</v>
      </c>
      <c r="D1790" s="2">
        <f>IF(A1790&lt;&gt;"", VLOOKUP(A1790, imdb_netflix_v5!A$2:H$7370, 4, FALSE), "")</f>
        <v>7.9</v>
      </c>
      <c r="E1790" s="2">
        <f>IF(A1790&lt;&gt;"", VLOOKUP(A1790, imdb_netflix_v5!A$2:H$7370, 5, FALSE), "")</f>
        <v>2019</v>
      </c>
      <c r="F1790" s="2">
        <f>IF(A1790&lt;&gt;"", VLOOKUP(A1790, imdb_netflix_v5!A$2:H$7370, 7, FALSE), "")</f>
        <v>6790000</v>
      </c>
    </row>
    <row r="1791" ht="15.75" customHeight="1">
      <c r="A1791" s="1" t="str">
        <f>IFERROR(__xludf.DUMMYFUNCTION("""COMPUTED_VALUE"""),"miracle on 34th street")</f>
        <v>miracle on 34th street</v>
      </c>
      <c r="B1791" s="1" t="str">
        <f>IF(A1791&lt;&gt;"", VLOOKUP(A1791, imdb_netflix_v5!A$2:H$7370, 2, FALSE), "")</f>
        <v>Movie</v>
      </c>
      <c r="C1791" s="2" t="str">
        <f>IF(A1791&lt;&gt;"", VLOOKUP(A1791, imdb_netflix_v5!A$2:H$7370, 3, FALSE), "")</f>
        <v>Comedy, Drama, Family</v>
      </c>
      <c r="D1791" s="2">
        <f>IF(A1791&lt;&gt;"", VLOOKUP(A1791, imdb_netflix_v5!A$2:H$7370, 4, FALSE), "")</f>
        <v>7.9</v>
      </c>
      <c r="E1791" s="2">
        <f>IF(A1791&lt;&gt;"", VLOOKUP(A1791, imdb_netflix_v5!A$2:H$7370, 5, FALSE), "")</f>
        <v>1947</v>
      </c>
      <c r="F1791" s="2" t="str">
        <f>IF(A1791&lt;&gt;"", VLOOKUP(A1791, imdb_netflix_v5!A$2:H$7370, 7, FALSE), "")</f>
        <v>NA</v>
      </c>
    </row>
    <row r="1792" ht="15.75" customHeight="1">
      <c r="A1792" s="1" t="str">
        <f>IFERROR(__xludf.DUMMYFUNCTION("""COMPUTED_VALUE"""),"the terror")</f>
        <v>the terror</v>
      </c>
      <c r="B1792" s="1" t="str">
        <f>IF(A1792&lt;&gt;"", VLOOKUP(A1792, imdb_netflix_v5!A$2:H$7370, 2, FALSE), "")</f>
        <v>TV Show</v>
      </c>
      <c r="C1792" s="2" t="str">
        <f>IF(A1792&lt;&gt;"", VLOOKUP(A1792, imdb_netflix_v5!A$2:H$7370, 3, FALSE), "")</f>
        <v>Adventure, Drama, Horror</v>
      </c>
      <c r="D1792" s="2">
        <f>IF(A1792&lt;&gt;"", VLOOKUP(A1792, imdb_netflix_v5!A$2:H$7370, 4, FALSE), "")</f>
        <v>7.9</v>
      </c>
      <c r="E1792" s="2">
        <f>IF(A1792&lt;&gt;"", VLOOKUP(A1792, imdb_netflix_v5!A$2:H$7370, 5, FALSE), "")</f>
        <v>2018</v>
      </c>
      <c r="F1792" s="2" t="str">
        <f>IF(A1792&lt;&gt;"", VLOOKUP(A1792, imdb_netflix_v5!A$2:H$7370, 7, FALSE), "")</f>
        <v>NA</v>
      </c>
    </row>
    <row r="1793" ht="15.75" customHeight="1">
      <c r="A1793" s="1" t="str">
        <f>IFERROR(__xludf.DUMMYFUNCTION("""COMPUTED_VALUE"""),"icarus")</f>
        <v>icarus</v>
      </c>
      <c r="B1793" s="1" t="str">
        <f>IF(A1793&lt;&gt;"", VLOOKUP(A1793, imdb_netflix_v5!A$2:H$7370, 2, FALSE), "")</f>
        <v>Movie</v>
      </c>
      <c r="C1793" s="2" t="str">
        <f>IF(A1793&lt;&gt;"", VLOOKUP(A1793, imdb_netflix_v5!A$2:H$7370, 3, FALSE), "")</f>
        <v>Documentary, Sport</v>
      </c>
      <c r="D1793" s="2">
        <f>IF(A1793&lt;&gt;"", VLOOKUP(A1793, imdb_netflix_v5!A$2:H$7370, 4, FALSE), "")</f>
        <v>7.9</v>
      </c>
      <c r="E1793" s="2">
        <f>IF(A1793&lt;&gt;"", VLOOKUP(A1793, imdb_netflix_v5!A$2:H$7370, 5, FALSE), "")</f>
        <v>2017</v>
      </c>
      <c r="F1793" s="2" t="str">
        <f>IF(A1793&lt;&gt;"", VLOOKUP(A1793, imdb_netflix_v5!A$2:H$7370, 7, FALSE), "")</f>
        <v>NA</v>
      </c>
    </row>
    <row r="1794" ht="15.75" customHeight="1">
      <c r="A1794" s="1" t="str">
        <f>IFERROR(__xludf.DUMMYFUNCTION("""COMPUTED_VALUE"""),"the adventures of robin hood")</f>
        <v>the adventures of robin hood</v>
      </c>
      <c r="B1794" s="1" t="str">
        <f>IF(A1794&lt;&gt;"", VLOOKUP(A1794, imdb_netflix_v5!A$2:H$7370, 2, FALSE), "")</f>
        <v>Movie</v>
      </c>
      <c r="C1794" s="2" t="str">
        <f>IF(A1794&lt;&gt;"", VLOOKUP(A1794, imdb_netflix_v5!A$2:H$7370, 3, FALSE), "")</f>
        <v>Action, Adventure, Romance</v>
      </c>
      <c r="D1794" s="2">
        <f>IF(A1794&lt;&gt;"", VLOOKUP(A1794, imdb_netflix_v5!A$2:H$7370, 4, FALSE), "")</f>
        <v>7.9</v>
      </c>
      <c r="E1794" s="2">
        <f>IF(A1794&lt;&gt;"", VLOOKUP(A1794, imdb_netflix_v5!A$2:H$7370, 5, FALSE), "")</f>
        <v>1938</v>
      </c>
      <c r="F1794" s="2" t="str">
        <f>IF(A1794&lt;&gt;"", VLOOKUP(A1794, imdb_netflix_v5!A$2:H$7370, 7, FALSE), "")</f>
        <v>NA</v>
      </c>
    </row>
    <row r="1795" ht="15.75" customHeight="1">
      <c r="A1795" s="1" t="str">
        <f>IFERROR(__xludf.DUMMYFUNCTION("""COMPUTED_VALUE"""),"dexters laboratory")</f>
        <v>dexters laboratory</v>
      </c>
      <c r="B1795" s="1" t="str">
        <f>IF(A1795&lt;&gt;"", VLOOKUP(A1795, imdb_netflix_v5!A$2:H$7370, 2, FALSE), "")</f>
        <v>TV Show</v>
      </c>
      <c r="C1795" s="2" t="str">
        <f>IF(A1795&lt;&gt;"", VLOOKUP(A1795, imdb_netflix_v5!A$2:H$7370, 3, FALSE), "")</f>
        <v>Adventure, Animation, Comedy</v>
      </c>
      <c r="D1795" s="2">
        <f>IF(A1795&lt;&gt;"", VLOOKUP(A1795, imdb_netflix_v5!A$2:H$7370, 4, FALSE), "")</f>
        <v>7.9</v>
      </c>
      <c r="E1795" s="2">
        <f>IF(A1795&lt;&gt;"", VLOOKUP(A1795, imdb_netflix_v5!A$2:H$7370, 5, FALSE), "")</f>
        <v>1996</v>
      </c>
      <c r="F1795" s="2" t="str">
        <f>IF(A1795&lt;&gt;"", VLOOKUP(A1795, imdb_netflix_v5!A$2:H$7370, 7, FALSE), "")</f>
        <v>NA</v>
      </c>
    </row>
    <row r="1796" ht="15.75" customHeight="1">
      <c r="A1796" s="1" t="str">
        <f>IFERROR(__xludf.DUMMYFUNCTION("""COMPUTED_VALUE"""),"leverage")</f>
        <v>leverage</v>
      </c>
      <c r="B1796" s="1" t="str">
        <f>IF(A1796&lt;&gt;"", VLOOKUP(A1796, imdb_netflix_v5!A$2:H$7370, 2, FALSE), "")</f>
        <v>TV Show</v>
      </c>
      <c r="C1796" s="2" t="str">
        <f>IF(A1796&lt;&gt;"", VLOOKUP(A1796, imdb_netflix_v5!A$2:H$7370, 3, FALSE), "")</f>
        <v>Crime, Mystery, Thriller</v>
      </c>
      <c r="D1796" s="2">
        <f>IF(A1796&lt;&gt;"", VLOOKUP(A1796, imdb_netflix_v5!A$2:H$7370, 4, FALSE), "")</f>
        <v>7.9</v>
      </c>
      <c r="E1796" s="2">
        <f>IF(A1796&lt;&gt;"", VLOOKUP(A1796, imdb_netflix_v5!A$2:H$7370, 5, FALSE), "")</f>
        <v>2008</v>
      </c>
      <c r="F1796" s="2" t="str">
        <f>IF(A1796&lt;&gt;"", VLOOKUP(A1796, imdb_netflix_v5!A$2:H$7370, 7, FALSE), "")</f>
        <v>NA</v>
      </c>
    </row>
    <row r="1797" ht="15.75" customHeight="1">
      <c r="A1797" s="1" t="str">
        <f>IFERROR(__xludf.DUMMYFUNCTION("""COMPUTED_VALUE"""),"the borgias")</f>
        <v>the borgias</v>
      </c>
      <c r="B1797" s="1" t="str">
        <f>IF(A1797&lt;&gt;"", VLOOKUP(A1797, imdb_netflix_v5!A$2:H$7370, 2, FALSE), "")</f>
        <v>TV Show</v>
      </c>
      <c r="C1797" s="2" t="str">
        <f>IF(A1797&lt;&gt;"", VLOOKUP(A1797, imdb_netflix_v5!A$2:H$7370, 3, FALSE), "")</f>
        <v>Crime, Drama, History</v>
      </c>
      <c r="D1797" s="2">
        <f>IF(A1797&lt;&gt;"", VLOOKUP(A1797, imdb_netflix_v5!A$2:H$7370, 4, FALSE), "")</f>
        <v>7.9</v>
      </c>
      <c r="E1797" s="2">
        <f>IF(A1797&lt;&gt;"", VLOOKUP(A1797, imdb_netflix_v5!A$2:H$7370, 5, FALSE), "")</f>
        <v>2011</v>
      </c>
      <c r="F1797" s="2" t="str">
        <f>IF(A1797&lt;&gt;"", VLOOKUP(A1797, imdb_netflix_v5!A$2:H$7370, 7, FALSE), "")</f>
        <v>NA</v>
      </c>
    </row>
    <row r="1798" ht="15.75" customHeight="1">
      <c r="A1798" s="1" t="str">
        <f>IFERROR(__xludf.DUMMYFUNCTION("""COMPUTED_VALUE"""),"cat on a hot tin roof")</f>
        <v>cat on a hot tin roof</v>
      </c>
      <c r="B1798" s="1" t="str">
        <f>IF(A1798&lt;&gt;"", VLOOKUP(A1798, imdb_netflix_v5!A$2:H$7370, 2, FALSE), "")</f>
        <v>Movie</v>
      </c>
      <c r="C1798" s="2" t="str">
        <f>IF(A1798&lt;&gt;"", VLOOKUP(A1798, imdb_netflix_v5!A$2:H$7370, 3, FALSE), "")</f>
        <v>Drama</v>
      </c>
      <c r="D1798" s="2">
        <f>IF(A1798&lt;&gt;"", VLOOKUP(A1798, imdb_netflix_v5!A$2:H$7370, 4, FALSE), "")</f>
        <v>7.9</v>
      </c>
      <c r="E1798" s="2">
        <f>IF(A1798&lt;&gt;"", VLOOKUP(A1798, imdb_netflix_v5!A$2:H$7370, 5, FALSE), "")</f>
        <v>1958</v>
      </c>
      <c r="F1798" s="2" t="str">
        <f>IF(A1798&lt;&gt;"", VLOOKUP(A1798, imdb_netflix_v5!A$2:H$7370, 7, FALSE), "")</f>
        <v>NA</v>
      </c>
    </row>
    <row r="1799" ht="15.75" customHeight="1">
      <c r="A1799" s="1" t="str">
        <f>IFERROR(__xludf.DUMMYFUNCTION("""COMPUTED_VALUE"""),"mirror")</f>
        <v>mirror</v>
      </c>
      <c r="B1799" s="1" t="str">
        <f>IF(A1799&lt;&gt;"", VLOOKUP(A1799, imdb_netflix_v5!A$2:H$7370, 2, FALSE), "")</f>
        <v>Movie</v>
      </c>
      <c r="C1799" s="2" t="str">
        <f>IF(A1799&lt;&gt;"", VLOOKUP(A1799, imdb_netflix_v5!A$2:H$7370, 3, FALSE), "")</f>
        <v>Biography, Drama</v>
      </c>
      <c r="D1799" s="2">
        <f>IF(A1799&lt;&gt;"", VLOOKUP(A1799, imdb_netflix_v5!A$2:H$7370, 4, FALSE), "")</f>
        <v>7.9</v>
      </c>
      <c r="E1799" s="2">
        <f>IF(A1799&lt;&gt;"", VLOOKUP(A1799, imdb_netflix_v5!A$2:H$7370, 5, FALSE), "")</f>
        <v>1975</v>
      </c>
      <c r="F1799" s="2" t="str">
        <f>IF(A1799&lt;&gt;"", VLOOKUP(A1799, imdb_netflix_v5!A$2:H$7370, 7, FALSE), "")</f>
        <v>NA</v>
      </c>
    </row>
    <row r="1800" ht="15.75" customHeight="1">
      <c r="A1800" s="1" t="str">
        <f>IFERROR(__xludf.DUMMYFUNCTION("""COMPUTED_VALUE"""),"laura")</f>
        <v>laura</v>
      </c>
      <c r="B1800" s="1" t="str">
        <f>IF(A1800&lt;&gt;"", VLOOKUP(A1800, imdb_netflix_v5!A$2:H$7370, 2, FALSE), "")</f>
        <v>Movie</v>
      </c>
      <c r="C1800" s="2" t="str">
        <f>IF(A1800&lt;&gt;"", VLOOKUP(A1800, imdb_netflix_v5!A$2:H$7370, 3, FALSE), "")</f>
        <v>Drama, Film-Noir, Mystery</v>
      </c>
      <c r="D1800" s="2">
        <f>IF(A1800&lt;&gt;"", VLOOKUP(A1800, imdb_netflix_v5!A$2:H$7370, 4, FALSE), "")</f>
        <v>7.9</v>
      </c>
      <c r="E1800" s="2">
        <f>IF(A1800&lt;&gt;"", VLOOKUP(A1800, imdb_netflix_v5!A$2:H$7370, 5, FALSE), "")</f>
        <v>1944</v>
      </c>
      <c r="F1800" s="2" t="str">
        <f>IF(A1800&lt;&gt;"", VLOOKUP(A1800, imdb_netflix_v5!A$2:H$7370, 7, FALSE), "")</f>
        <v>NA</v>
      </c>
    </row>
    <row r="1801" ht="15.75" customHeight="1">
      <c r="A1801" s="1" t="str">
        <f>IFERROR(__xludf.DUMMYFUNCTION("""COMPUTED_VALUE"""),"almost human")</f>
        <v>almost human</v>
      </c>
      <c r="B1801" s="1" t="str">
        <f>IF(A1801&lt;&gt;"", VLOOKUP(A1801, imdb_netflix_v5!A$2:H$7370, 2, FALSE), "")</f>
        <v>TV Show</v>
      </c>
      <c r="C1801" s="2" t="str">
        <f>IF(A1801&lt;&gt;"", VLOOKUP(A1801, imdb_netflix_v5!A$2:H$7370, 3, FALSE), "")</f>
        <v>Action, Crime, Drama</v>
      </c>
      <c r="D1801" s="2">
        <f>IF(A1801&lt;&gt;"", VLOOKUP(A1801, imdb_netflix_v5!A$2:H$7370, 4, FALSE), "")</f>
        <v>7.9</v>
      </c>
      <c r="E1801" s="2">
        <f>IF(A1801&lt;&gt;"", VLOOKUP(A1801, imdb_netflix_v5!A$2:H$7370, 5, FALSE), "")</f>
        <v>2013</v>
      </c>
      <c r="F1801" s="2" t="str">
        <f>IF(A1801&lt;&gt;"", VLOOKUP(A1801, imdb_netflix_v5!A$2:H$7370, 7, FALSE), "")</f>
        <v>NA</v>
      </c>
    </row>
    <row r="1802" ht="15.75" customHeight="1">
      <c r="A1802" s="1">
        <f>IFERROR(__xludf.DUMMYFUNCTION("""COMPUTED_VALUE"""),39814.0)</f>
        <v>39814</v>
      </c>
      <c r="B1802" s="1" t="str">
        <f>IF(A1802&lt;&gt;"", VLOOKUP(A1802, imdb_netflix_v5!A$2:H$7370, 2, FALSE), "")</f>
        <v>TV Show</v>
      </c>
      <c r="C1802" s="2" t="str">
        <f>IF(A1802&lt;&gt;"", VLOOKUP(A1802, imdb_netflix_v5!A$2:H$7370, 3, FALSE), "")</f>
        <v>Action, Drama, Thriller</v>
      </c>
      <c r="D1802" s="2">
        <f>IF(A1802&lt;&gt;"", VLOOKUP(A1802, imdb_netflix_v5!A$2:H$7370, 4, FALSE), "")</f>
        <v>7.9</v>
      </c>
      <c r="E1802" s="2">
        <f>IF(A1802&lt;&gt;"", VLOOKUP(A1802, imdb_netflix_v5!A$2:H$7370, 5, FALSE), "")</f>
        <v>2018</v>
      </c>
      <c r="F1802" s="2" t="str">
        <f>IF(A1802&lt;&gt;"", VLOOKUP(A1802, imdb_netflix_v5!A$2:H$7370, 7, FALSE), "")</f>
        <v>NA</v>
      </c>
    </row>
    <row r="1803" ht="15.75" customHeight="1">
      <c r="A1803" s="1" t="str">
        <f>IFERROR(__xludf.DUMMYFUNCTION("""COMPUTED_VALUE"""),"the spy")</f>
        <v>the spy</v>
      </c>
      <c r="B1803" s="1" t="str">
        <f>IF(A1803&lt;&gt;"", VLOOKUP(A1803, imdb_netflix_v5!A$2:H$7370, 2, FALSE), "")</f>
        <v>TV Show</v>
      </c>
      <c r="C1803" s="2" t="str">
        <f>IF(A1803&lt;&gt;"", VLOOKUP(A1803, imdb_netflix_v5!A$2:H$7370, 3, FALSE), "")</f>
        <v>Biography, Drama, History</v>
      </c>
      <c r="D1803" s="2">
        <f>IF(A1803&lt;&gt;"", VLOOKUP(A1803, imdb_netflix_v5!A$2:H$7370, 4, FALSE), "")</f>
        <v>7.9</v>
      </c>
      <c r="E1803" s="2">
        <f>IF(A1803&lt;&gt;"", VLOOKUP(A1803, imdb_netflix_v5!A$2:H$7370, 5, FALSE), "")</f>
        <v>2019</v>
      </c>
      <c r="F1803" s="2" t="str">
        <f>IF(A1803&lt;&gt;"", VLOOKUP(A1803, imdb_netflix_v5!A$2:H$7370, 7, FALSE), "")</f>
        <v>NA</v>
      </c>
    </row>
    <row r="1804" ht="15.75" customHeight="1">
      <c r="A1804" s="1" t="str">
        <f>IFERROR(__xludf.DUMMYFUNCTION("""COMPUTED_VALUE"""),"my sassy girl")</f>
        <v>my sassy girl</v>
      </c>
      <c r="B1804" s="1" t="str">
        <f>IF(A1804&lt;&gt;"", VLOOKUP(A1804, imdb_netflix_v5!A$2:H$7370, 2, FALSE), "")</f>
        <v>Movie</v>
      </c>
      <c r="C1804" s="2" t="str">
        <f>IF(A1804&lt;&gt;"", VLOOKUP(A1804, imdb_netflix_v5!A$2:H$7370, 3, FALSE), "")</f>
        <v>Comedy, Drama, Romance</v>
      </c>
      <c r="D1804" s="2">
        <f>IF(A1804&lt;&gt;"", VLOOKUP(A1804, imdb_netflix_v5!A$2:H$7370, 4, FALSE), "")</f>
        <v>7.9</v>
      </c>
      <c r="E1804" s="2">
        <f>IF(A1804&lt;&gt;"", VLOOKUP(A1804, imdb_netflix_v5!A$2:H$7370, 5, FALSE), "")</f>
        <v>2001</v>
      </c>
      <c r="F1804" s="2" t="str">
        <f>IF(A1804&lt;&gt;"", VLOOKUP(A1804, imdb_netflix_v5!A$2:H$7370, 7, FALSE), "")</f>
        <v>NA</v>
      </c>
    </row>
    <row r="1805" ht="15.75" customHeight="1">
      <c r="A1805" s="1" t="str">
        <f>IFERROR(__xludf.DUMMYFUNCTION("""COMPUTED_VALUE"""),"sleuth")</f>
        <v>sleuth</v>
      </c>
      <c r="B1805" s="1" t="str">
        <f>IF(A1805&lt;&gt;"", VLOOKUP(A1805, imdb_netflix_v5!A$2:H$7370, 2, FALSE), "")</f>
        <v>Movie</v>
      </c>
      <c r="C1805" s="2" t="str">
        <f>IF(A1805&lt;&gt;"", VLOOKUP(A1805, imdb_netflix_v5!A$2:H$7370, 3, FALSE), "")</f>
        <v>Mystery, Thriller</v>
      </c>
      <c r="D1805" s="2">
        <f>IF(A1805&lt;&gt;"", VLOOKUP(A1805, imdb_netflix_v5!A$2:H$7370, 4, FALSE), "")</f>
        <v>7.9</v>
      </c>
      <c r="E1805" s="2">
        <f>IF(A1805&lt;&gt;"", VLOOKUP(A1805, imdb_netflix_v5!A$2:H$7370, 5, FALSE), "")</f>
        <v>1972</v>
      </c>
      <c r="F1805" s="2" t="str">
        <f>IF(A1805&lt;&gt;"", VLOOKUP(A1805, imdb_netflix_v5!A$2:H$7370, 7, FALSE), "")</f>
        <v>NA</v>
      </c>
    </row>
    <row r="1806" ht="15.75" customHeight="1">
      <c r="A1806" s="1" t="str">
        <f>IFERROR(__xludf.DUMMYFUNCTION("""COMPUTED_VALUE"""),"into the badlands")</f>
        <v>into the badlands</v>
      </c>
      <c r="B1806" s="1" t="str">
        <f>IF(A1806&lt;&gt;"", VLOOKUP(A1806, imdb_netflix_v5!A$2:H$7370, 2, FALSE), "")</f>
        <v>TV Show</v>
      </c>
      <c r="C1806" s="2" t="str">
        <f>IF(A1806&lt;&gt;"", VLOOKUP(A1806, imdb_netflix_v5!A$2:H$7370, 3, FALSE), "")</f>
        <v>Action, Adventure, Drama</v>
      </c>
      <c r="D1806" s="2">
        <f>IF(A1806&lt;&gt;"", VLOOKUP(A1806, imdb_netflix_v5!A$2:H$7370, 4, FALSE), "")</f>
        <v>7.9</v>
      </c>
      <c r="E1806" s="2">
        <f>IF(A1806&lt;&gt;"", VLOOKUP(A1806, imdb_netflix_v5!A$2:H$7370, 5, FALSE), "")</f>
        <v>2015</v>
      </c>
      <c r="F1806" s="2" t="str">
        <f>IF(A1806&lt;&gt;"", VLOOKUP(A1806, imdb_netflix_v5!A$2:H$7370, 7, FALSE), "")</f>
        <v>NA</v>
      </c>
    </row>
    <row r="1807" ht="15.75" customHeight="1">
      <c r="A1807" s="1" t="str">
        <f>IFERROR(__xludf.DUMMYFUNCTION("""COMPUTED_VALUE"""),"the affair")</f>
        <v>the affair</v>
      </c>
      <c r="B1807" s="1" t="str">
        <f>IF(A1807&lt;&gt;"", VLOOKUP(A1807, imdb_netflix_v5!A$2:H$7370, 2, FALSE), "")</f>
        <v>TV Show</v>
      </c>
      <c r="C1807" s="2" t="str">
        <f>IF(A1807&lt;&gt;"", VLOOKUP(A1807, imdb_netflix_v5!A$2:H$7370, 3, FALSE), "")</f>
        <v>Drama</v>
      </c>
      <c r="D1807" s="2">
        <f>IF(A1807&lt;&gt;"", VLOOKUP(A1807, imdb_netflix_v5!A$2:H$7370, 4, FALSE), "")</f>
        <v>7.9</v>
      </c>
      <c r="E1807" s="2">
        <f>IF(A1807&lt;&gt;"", VLOOKUP(A1807, imdb_netflix_v5!A$2:H$7370, 5, FALSE), "")</f>
        <v>2014</v>
      </c>
      <c r="F1807" s="2" t="str">
        <f>IF(A1807&lt;&gt;"", VLOOKUP(A1807, imdb_netflix_v5!A$2:H$7370, 7, FALSE), "")</f>
        <v>NA</v>
      </c>
    </row>
    <row r="1808" ht="15.75" customHeight="1">
      <c r="A1808" s="1" t="str">
        <f>IFERROR(__xludf.DUMMYFUNCTION("""COMPUTED_VALUE"""),"no mans land")</f>
        <v>no mans land</v>
      </c>
      <c r="B1808" s="1" t="str">
        <f>IF(A1808&lt;&gt;"", VLOOKUP(A1808, imdb_netflix_v5!A$2:H$7370, 2, FALSE), "")</f>
        <v>Movie</v>
      </c>
      <c r="C1808" s="2" t="str">
        <f>IF(A1808&lt;&gt;"", VLOOKUP(A1808, imdb_netflix_v5!A$2:H$7370, 3, FALSE), "")</f>
        <v>Comedy, Drama, War</v>
      </c>
      <c r="D1808" s="2">
        <f>IF(A1808&lt;&gt;"", VLOOKUP(A1808, imdb_netflix_v5!A$2:H$7370, 4, FALSE), "")</f>
        <v>7.9</v>
      </c>
      <c r="E1808" s="2">
        <f>IF(A1808&lt;&gt;"", VLOOKUP(A1808, imdb_netflix_v5!A$2:H$7370, 5, FALSE), "")</f>
        <v>2001</v>
      </c>
      <c r="F1808" s="2" t="str">
        <f>IF(A1808&lt;&gt;"", VLOOKUP(A1808, imdb_netflix_v5!A$2:H$7370, 7, FALSE), "")</f>
        <v>NA</v>
      </c>
    </row>
    <row r="1809" ht="15.75" customHeight="1">
      <c r="A1809" s="1" t="str">
        <f>IFERROR(__xludf.DUMMYFUNCTION("""COMPUTED_VALUE"""),"the return")</f>
        <v>the return</v>
      </c>
      <c r="B1809" s="1" t="str">
        <f>IF(A1809&lt;&gt;"", VLOOKUP(A1809, imdb_netflix_v5!A$2:H$7370, 2, FALSE), "")</f>
        <v>Movie</v>
      </c>
      <c r="C1809" s="2" t="str">
        <f>IF(A1809&lt;&gt;"", VLOOKUP(A1809, imdb_netflix_v5!A$2:H$7370, 3, FALSE), "")</f>
        <v>Drama</v>
      </c>
      <c r="D1809" s="2">
        <f>IF(A1809&lt;&gt;"", VLOOKUP(A1809, imdb_netflix_v5!A$2:H$7370, 4, FALSE), "")</f>
        <v>7.9</v>
      </c>
      <c r="E1809" s="2">
        <f>IF(A1809&lt;&gt;"", VLOOKUP(A1809, imdb_netflix_v5!A$2:H$7370, 5, FALSE), "")</f>
        <v>2003</v>
      </c>
      <c r="F1809" s="2" t="str">
        <f>IF(A1809&lt;&gt;"", VLOOKUP(A1809, imdb_netflix_v5!A$2:H$7370, 7, FALSE), "")</f>
        <v>NA</v>
      </c>
    </row>
    <row r="1810" ht="15.75" customHeight="1">
      <c r="A1810" s="1" t="str">
        <f>IFERROR(__xludf.DUMMYFUNCTION("""COMPUTED_VALUE"""),"nobody wants this")</f>
        <v>nobody wants this</v>
      </c>
      <c r="B1810" s="1" t="str">
        <f>IF(A1810&lt;&gt;"", VLOOKUP(A1810, imdb_netflix_v5!A$2:H$7370, 2, FALSE), "")</f>
        <v>TV Show</v>
      </c>
      <c r="C1810" s="2" t="str">
        <f>IF(A1810&lt;&gt;"", VLOOKUP(A1810, imdb_netflix_v5!A$2:H$7370, 3, FALSE), "")</f>
        <v>Comedy, Romance</v>
      </c>
      <c r="D1810" s="2">
        <f>IF(A1810&lt;&gt;"", VLOOKUP(A1810, imdb_netflix_v5!A$2:H$7370, 4, FALSE), "")</f>
        <v>7.9</v>
      </c>
      <c r="E1810" s="2">
        <f>IF(A1810&lt;&gt;"", VLOOKUP(A1810, imdb_netflix_v5!A$2:H$7370, 5, FALSE), "")</f>
        <v>2024</v>
      </c>
      <c r="F1810" s="2" t="str">
        <f>IF(A1810&lt;&gt;"", VLOOKUP(A1810, imdb_netflix_v5!A$2:H$7370, 7, FALSE), "")</f>
        <v>NA</v>
      </c>
    </row>
    <row r="1811" ht="15.75" customHeight="1">
      <c r="A1811" s="1" t="str">
        <f>IFERROR(__xludf.DUMMYFUNCTION("""COMPUTED_VALUE"""),"gully boy")</f>
        <v>gully boy</v>
      </c>
      <c r="B1811" s="1" t="str">
        <f>IF(A1811&lt;&gt;"", VLOOKUP(A1811, imdb_netflix_v5!A$2:H$7370, 2, FALSE), "")</f>
        <v>Movie</v>
      </c>
      <c r="C1811" s="2" t="str">
        <f>IF(A1811&lt;&gt;"", VLOOKUP(A1811, imdb_netflix_v5!A$2:H$7370, 3, FALSE), "")</f>
        <v>Drama, Music, Romance</v>
      </c>
      <c r="D1811" s="2">
        <f>IF(A1811&lt;&gt;"", VLOOKUP(A1811, imdb_netflix_v5!A$2:H$7370, 4, FALSE), "")</f>
        <v>7.9</v>
      </c>
      <c r="E1811" s="2">
        <f>IF(A1811&lt;&gt;"", VLOOKUP(A1811, imdb_netflix_v5!A$2:H$7370, 5, FALSE), "")</f>
        <v>2019</v>
      </c>
      <c r="F1811" s="2" t="str">
        <f>IF(A1811&lt;&gt;"", VLOOKUP(A1811, imdb_netflix_v5!A$2:H$7370, 7, FALSE), "")</f>
        <v>NA</v>
      </c>
    </row>
    <row r="1812" ht="15.75" customHeight="1">
      <c r="A1812" s="1" t="str">
        <f>IFERROR(__xludf.DUMMYFUNCTION("""COMPUTED_VALUE"""),"humans")</f>
        <v>humans</v>
      </c>
      <c r="B1812" s="1" t="str">
        <f>IF(A1812&lt;&gt;"", VLOOKUP(A1812, imdb_netflix_v5!A$2:H$7370, 2, FALSE), "")</f>
        <v>TV Show</v>
      </c>
      <c r="C1812" s="2" t="str">
        <f>IF(A1812&lt;&gt;"", VLOOKUP(A1812, imdb_netflix_v5!A$2:H$7370, 3, FALSE), "")</f>
        <v>Drama, Sci-Fi</v>
      </c>
      <c r="D1812" s="2">
        <f>IF(A1812&lt;&gt;"", VLOOKUP(A1812, imdb_netflix_v5!A$2:H$7370, 4, FALSE), "")</f>
        <v>7.9</v>
      </c>
      <c r="E1812" s="2">
        <f>IF(A1812&lt;&gt;"", VLOOKUP(A1812, imdb_netflix_v5!A$2:H$7370, 5, FALSE), "")</f>
        <v>2015</v>
      </c>
      <c r="F1812" s="2" t="str">
        <f>IF(A1812&lt;&gt;"", VLOOKUP(A1812, imdb_netflix_v5!A$2:H$7370, 7, FALSE), "")</f>
        <v>NA</v>
      </c>
    </row>
    <row r="1813" ht="15.75" customHeight="1">
      <c r="A1813" s="1" t="str">
        <f>IFERROR(__xludf.DUMMYFUNCTION("""COMPUTED_VALUE"""),"scooby doo, where are you!")</f>
        <v>scooby doo, where are you!</v>
      </c>
      <c r="B1813" s="1" t="str">
        <f>IF(A1813&lt;&gt;"", VLOOKUP(A1813, imdb_netflix_v5!A$2:H$7370, 2, FALSE), "")</f>
        <v>TV Show</v>
      </c>
      <c r="C1813" s="2" t="str">
        <f>IF(A1813&lt;&gt;"", VLOOKUP(A1813, imdb_netflix_v5!A$2:H$7370, 3, FALSE), "")</f>
        <v>Adventure, Animation, Comedy</v>
      </c>
      <c r="D1813" s="2">
        <f>IF(A1813&lt;&gt;"", VLOOKUP(A1813, imdb_netflix_v5!A$2:H$7370, 4, FALSE), "")</f>
        <v>7.9</v>
      </c>
      <c r="E1813" s="2">
        <f>IF(A1813&lt;&gt;"", VLOOKUP(A1813, imdb_netflix_v5!A$2:H$7370, 5, FALSE), "")</f>
        <v>1969</v>
      </c>
      <c r="F1813" s="2" t="str">
        <f>IF(A1813&lt;&gt;"", VLOOKUP(A1813, imdb_netflix_v5!A$2:H$7370, 7, FALSE), "")</f>
        <v>NA</v>
      </c>
    </row>
    <row r="1814" ht="15.75" customHeight="1">
      <c r="A1814" s="1" t="str">
        <f>IFERROR(__xludf.DUMMYFUNCTION("""COMPUTED_VALUE"""),"vishwaroopam")</f>
        <v>vishwaroopam</v>
      </c>
      <c r="B1814" s="1" t="str">
        <f>IF(A1814&lt;&gt;"", VLOOKUP(A1814, imdb_netflix_v5!A$2:H$7370, 2, FALSE), "")</f>
        <v>Movie</v>
      </c>
      <c r="C1814" s="2" t="str">
        <f>IF(A1814&lt;&gt;"", VLOOKUP(A1814, imdb_netflix_v5!A$2:H$7370, 3, FALSE), "")</f>
        <v>Action, Thriller</v>
      </c>
      <c r="D1814" s="2">
        <f>IF(A1814&lt;&gt;"", VLOOKUP(A1814, imdb_netflix_v5!A$2:H$7370, 4, FALSE), "")</f>
        <v>7.9</v>
      </c>
      <c r="E1814" s="2">
        <f>IF(A1814&lt;&gt;"", VLOOKUP(A1814, imdb_netflix_v5!A$2:H$7370, 5, FALSE), "")</f>
        <v>2013</v>
      </c>
      <c r="F1814" s="2" t="str">
        <f>IF(A1814&lt;&gt;"", VLOOKUP(A1814, imdb_netflix_v5!A$2:H$7370, 7, FALSE), "")</f>
        <v>NA</v>
      </c>
    </row>
    <row r="1815" ht="15.75" customHeight="1">
      <c r="A1815" s="1" t="str">
        <f>IFERROR(__xludf.DUMMYFUNCTION("""COMPUTED_VALUE"""),"midsomer murders")</f>
        <v>midsomer murders</v>
      </c>
      <c r="B1815" s="1" t="str">
        <f>IF(A1815&lt;&gt;"", VLOOKUP(A1815, imdb_netflix_v5!A$2:H$7370, 2, FALSE), "")</f>
        <v>TV Show</v>
      </c>
      <c r="C1815" s="2" t="str">
        <f>IF(A1815&lt;&gt;"", VLOOKUP(A1815, imdb_netflix_v5!A$2:H$7370, 3, FALSE), "")</f>
        <v>Crime, Drama, Mystery</v>
      </c>
      <c r="D1815" s="2">
        <f>IF(A1815&lt;&gt;"", VLOOKUP(A1815, imdb_netflix_v5!A$2:H$7370, 4, FALSE), "")</f>
        <v>7.9</v>
      </c>
      <c r="E1815" s="2">
        <f>IF(A1815&lt;&gt;"", VLOOKUP(A1815, imdb_netflix_v5!A$2:H$7370, 5, FALSE), "")</f>
        <v>1997</v>
      </c>
      <c r="F1815" s="2" t="str">
        <f>IF(A1815&lt;&gt;"", VLOOKUP(A1815, imdb_netflix_v5!A$2:H$7370, 7, FALSE), "")</f>
        <v>NA</v>
      </c>
    </row>
    <row r="1816" ht="15.75" customHeight="1">
      <c r="A1816" s="1" t="str">
        <f>IFERROR(__xludf.DUMMYFUNCTION("""COMPUTED_VALUE"""),"the lost weekend")</f>
        <v>the lost weekend</v>
      </c>
      <c r="B1816" s="1" t="str">
        <f>IF(A1816&lt;&gt;"", VLOOKUP(A1816, imdb_netflix_v5!A$2:H$7370, 2, FALSE), "")</f>
        <v>Movie</v>
      </c>
      <c r="C1816" s="2" t="str">
        <f>IF(A1816&lt;&gt;"", VLOOKUP(A1816, imdb_netflix_v5!A$2:H$7370, 3, FALSE), "")</f>
        <v>Drama, Film-Noir</v>
      </c>
      <c r="D1816" s="2">
        <f>IF(A1816&lt;&gt;"", VLOOKUP(A1816, imdb_netflix_v5!A$2:H$7370, 4, FALSE), "")</f>
        <v>7.9</v>
      </c>
      <c r="E1816" s="2">
        <f>IF(A1816&lt;&gt;"", VLOOKUP(A1816, imdb_netflix_v5!A$2:H$7370, 5, FALSE), "")</f>
        <v>1945</v>
      </c>
      <c r="F1816" s="2" t="str">
        <f>IF(A1816&lt;&gt;"", VLOOKUP(A1816, imdb_netflix_v5!A$2:H$7370, 7, FALSE), "")</f>
        <v>NA</v>
      </c>
    </row>
    <row r="1817" ht="15.75" customHeight="1">
      <c r="A1817" s="1" t="str">
        <f>IFERROR(__xludf.DUMMYFUNCTION("""COMPUTED_VALUE"""),"resurrection ertugrul")</f>
        <v>resurrection ertugrul</v>
      </c>
      <c r="B1817" s="1" t="str">
        <f>IF(A1817&lt;&gt;"", VLOOKUP(A1817, imdb_netflix_v5!A$2:H$7370, 2, FALSE), "")</f>
        <v>TV Show</v>
      </c>
      <c r="C1817" s="2" t="str">
        <f>IF(A1817&lt;&gt;"", VLOOKUP(A1817, imdb_netflix_v5!A$2:H$7370, 3, FALSE), "")</f>
        <v>Action, Adventure, Drama</v>
      </c>
      <c r="D1817" s="2">
        <f>IF(A1817&lt;&gt;"", VLOOKUP(A1817, imdb_netflix_v5!A$2:H$7370, 4, FALSE), "")</f>
        <v>7.9</v>
      </c>
      <c r="E1817" s="2">
        <f>IF(A1817&lt;&gt;"", VLOOKUP(A1817, imdb_netflix_v5!A$2:H$7370, 5, FALSE), "")</f>
        <v>2014</v>
      </c>
      <c r="F1817" s="2" t="str">
        <f>IF(A1817&lt;&gt;"", VLOOKUP(A1817, imdb_netflix_v5!A$2:H$7370, 7, FALSE), "")</f>
        <v>NA</v>
      </c>
    </row>
    <row r="1818" ht="15.75" customHeight="1">
      <c r="A1818" s="1" t="str">
        <f>IFERROR(__xludf.DUMMYFUNCTION("""COMPUTED_VALUE"""),"teen titans")</f>
        <v>teen titans</v>
      </c>
      <c r="B1818" s="1" t="str">
        <f>IF(A1818&lt;&gt;"", VLOOKUP(A1818, imdb_netflix_v5!A$2:H$7370, 2, FALSE), "")</f>
        <v>TV Show</v>
      </c>
      <c r="C1818" s="2" t="str">
        <f>IF(A1818&lt;&gt;"", VLOOKUP(A1818, imdb_netflix_v5!A$2:H$7370, 3, FALSE), "")</f>
        <v>Action, Adventure, Animation</v>
      </c>
      <c r="D1818" s="2">
        <f>IF(A1818&lt;&gt;"", VLOOKUP(A1818, imdb_netflix_v5!A$2:H$7370, 4, FALSE), "")</f>
        <v>7.9</v>
      </c>
      <c r="E1818" s="2">
        <f>IF(A1818&lt;&gt;"", VLOOKUP(A1818, imdb_netflix_v5!A$2:H$7370, 5, FALSE), "")</f>
        <v>2003</v>
      </c>
      <c r="F1818" s="2" t="str">
        <f>IF(A1818&lt;&gt;"", VLOOKUP(A1818, imdb_netflix_v5!A$2:H$7370, 7, FALSE), "")</f>
        <v>NA</v>
      </c>
    </row>
    <row r="1819" ht="15.75" customHeight="1">
      <c r="A1819" s="1" t="str">
        <f>IFERROR(__xludf.DUMMYFUNCTION("""COMPUTED_VALUE"""),"kagemusha the shadow warrior")</f>
        <v>kagemusha the shadow warrior</v>
      </c>
      <c r="B1819" s="1" t="str">
        <f>IF(A1819&lt;&gt;"", VLOOKUP(A1819, imdb_netflix_v5!A$2:H$7370, 2, FALSE), "")</f>
        <v>Movie</v>
      </c>
      <c r="C1819" s="2" t="str">
        <f>IF(A1819&lt;&gt;"", VLOOKUP(A1819, imdb_netflix_v5!A$2:H$7370, 3, FALSE), "")</f>
        <v>Drama, History, War</v>
      </c>
      <c r="D1819" s="2">
        <f>IF(A1819&lt;&gt;"", VLOOKUP(A1819, imdb_netflix_v5!A$2:H$7370, 4, FALSE), "")</f>
        <v>7.9</v>
      </c>
      <c r="E1819" s="2">
        <f>IF(A1819&lt;&gt;"", VLOOKUP(A1819, imdb_netflix_v5!A$2:H$7370, 5, FALSE), "")</f>
        <v>1980</v>
      </c>
      <c r="F1819" s="2" t="str">
        <f>IF(A1819&lt;&gt;"", VLOOKUP(A1819, imdb_netflix_v5!A$2:H$7370, 7, FALSE), "")</f>
        <v>NA</v>
      </c>
    </row>
    <row r="1820" ht="15.75" customHeight="1">
      <c r="A1820" s="1" t="str">
        <f>IFERROR(__xludf.DUMMYFUNCTION("""COMPUTED_VALUE"""),"masters of sex")</f>
        <v>masters of sex</v>
      </c>
      <c r="B1820" s="1" t="str">
        <f>IF(A1820&lt;&gt;"", VLOOKUP(A1820, imdb_netflix_v5!A$2:H$7370, 2, FALSE), "")</f>
        <v>TV Show</v>
      </c>
      <c r="C1820" s="2" t="str">
        <f>IF(A1820&lt;&gt;"", VLOOKUP(A1820, imdb_netflix_v5!A$2:H$7370, 3, FALSE), "")</f>
        <v>Drama, Romance</v>
      </c>
      <c r="D1820" s="2">
        <f>IF(A1820&lt;&gt;"", VLOOKUP(A1820, imdb_netflix_v5!A$2:H$7370, 4, FALSE), "")</f>
        <v>7.9</v>
      </c>
      <c r="E1820" s="2">
        <f>IF(A1820&lt;&gt;"", VLOOKUP(A1820, imdb_netflix_v5!A$2:H$7370, 5, FALSE), "")</f>
        <v>2013</v>
      </c>
      <c r="F1820" s="2" t="str">
        <f>IF(A1820&lt;&gt;"", VLOOKUP(A1820, imdb_netflix_v5!A$2:H$7370, 7, FALSE), "")</f>
        <v>NA</v>
      </c>
    </row>
    <row r="1821" ht="15.75" customHeight="1">
      <c r="A1821" s="1" t="str">
        <f>IFERROR(__xludf.DUMMYFUNCTION("""COMPUTED_VALUE"""),"badhaai ho")</f>
        <v>badhaai ho</v>
      </c>
      <c r="B1821" s="1" t="str">
        <f>IF(A1821&lt;&gt;"", VLOOKUP(A1821, imdb_netflix_v5!A$2:H$7370, 2, FALSE), "")</f>
        <v>Movie</v>
      </c>
      <c r="C1821" s="2" t="str">
        <f>IF(A1821&lt;&gt;"", VLOOKUP(A1821, imdb_netflix_v5!A$2:H$7370, 3, FALSE), "")</f>
        <v>Comedy, Drama</v>
      </c>
      <c r="D1821" s="2">
        <f>IF(A1821&lt;&gt;"", VLOOKUP(A1821, imdb_netflix_v5!A$2:H$7370, 4, FALSE), "")</f>
        <v>7.9</v>
      </c>
      <c r="E1821" s="2">
        <f>IF(A1821&lt;&gt;"", VLOOKUP(A1821, imdb_netflix_v5!A$2:H$7370, 5, FALSE), "")</f>
        <v>2018</v>
      </c>
      <c r="F1821" s="2" t="str">
        <f>IF(A1821&lt;&gt;"", VLOOKUP(A1821, imdb_netflix_v5!A$2:H$7370, 7, FALSE), "")</f>
        <v>NA</v>
      </c>
    </row>
    <row r="1822" ht="15.75" customHeight="1">
      <c r="A1822" s="1" t="str">
        <f>IFERROR(__xludf.DUMMYFUNCTION("""COMPUTED_VALUE"""),"teenage mutant ninja turtles")</f>
        <v>teenage mutant ninja turtles</v>
      </c>
      <c r="B1822" s="1" t="str">
        <f>IF(A1822&lt;&gt;"", VLOOKUP(A1822, imdb_netflix_v5!A$2:H$7370, 2, FALSE), "")</f>
        <v>TV Show</v>
      </c>
      <c r="C1822" s="2" t="str">
        <f>IF(A1822&lt;&gt;"", VLOOKUP(A1822, imdb_netflix_v5!A$2:H$7370, 3, FALSE), "")</f>
        <v>Action, Adventure, Animation</v>
      </c>
      <c r="D1822" s="2">
        <f>IF(A1822&lt;&gt;"", VLOOKUP(A1822, imdb_netflix_v5!A$2:H$7370, 4, FALSE), "")</f>
        <v>7.9</v>
      </c>
      <c r="E1822" s="2">
        <f>IF(A1822&lt;&gt;"", VLOOKUP(A1822, imdb_netflix_v5!A$2:H$7370, 5, FALSE), "")</f>
        <v>1987</v>
      </c>
      <c r="F1822" s="2" t="str">
        <f>IF(A1822&lt;&gt;"", VLOOKUP(A1822, imdb_netflix_v5!A$2:H$7370, 7, FALSE), "")</f>
        <v>NA</v>
      </c>
    </row>
    <row r="1823" ht="15.75" customHeight="1">
      <c r="A1823" s="1" t="str">
        <f>IFERROR(__xludf.DUMMYFUNCTION("""COMPUTED_VALUE"""),"super 30")</f>
        <v>super 30</v>
      </c>
      <c r="B1823" s="1" t="str">
        <f>IF(A1823&lt;&gt;"", VLOOKUP(A1823, imdb_netflix_v5!A$2:H$7370, 2, FALSE), "")</f>
        <v>Movie</v>
      </c>
      <c r="C1823" s="2" t="str">
        <f>IF(A1823&lt;&gt;"", VLOOKUP(A1823, imdb_netflix_v5!A$2:H$7370, 3, FALSE), "")</f>
        <v>Biography, Drama</v>
      </c>
      <c r="D1823" s="2">
        <f>IF(A1823&lt;&gt;"", VLOOKUP(A1823, imdb_netflix_v5!A$2:H$7370, 4, FALSE), "")</f>
        <v>7.9</v>
      </c>
      <c r="E1823" s="2">
        <f>IF(A1823&lt;&gt;"", VLOOKUP(A1823, imdb_netflix_v5!A$2:H$7370, 5, FALSE), "")</f>
        <v>2019</v>
      </c>
      <c r="F1823" s="2" t="str">
        <f>IF(A1823&lt;&gt;"", VLOOKUP(A1823, imdb_netflix_v5!A$2:H$7370, 7, FALSE), "")</f>
        <v>NA</v>
      </c>
    </row>
    <row r="1824" ht="15.75" customHeight="1">
      <c r="A1824" s="1" t="str">
        <f>IFERROR(__xludf.DUMMYFUNCTION("""COMPUTED_VALUE"""),"elfen lied")</f>
        <v>elfen lied</v>
      </c>
      <c r="B1824" s="1" t="str">
        <f>IF(A1824&lt;&gt;"", VLOOKUP(A1824, imdb_netflix_v5!A$2:H$7370, 2, FALSE), "")</f>
        <v>TV Show</v>
      </c>
      <c r="C1824" s="2" t="str">
        <f>IF(A1824&lt;&gt;"", VLOOKUP(A1824, imdb_netflix_v5!A$2:H$7370, 3, FALSE), "")</f>
        <v>Action, Animation, Drama</v>
      </c>
      <c r="D1824" s="2">
        <f>IF(A1824&lt;&gt;"", VLOOKUP(A1824, imdb_netflix_v5!A$2:H$7370, 4, FALSE), "")</f>
        <v>7.9</v>
      </c>
      <c r="E1824" s="2">
        <f>IF(A1824&lt;&gt;"", VLOOKUP(A1824, imdb_netflix_v5!A$2:H$7370, 5, FALSE), "")</f>
        <v>2004</v>
      </c>
      <c r="F1824" s="2" t="str">
        <f>IF(A1824&lt;&gt;"", VLOOKUP(A1824, imdb_netflix_v5!A$2:H$7370, 7, FALSE), "")</f>
        <v>NA</v>
      </c>
    </row>
    <row r="1825" ht="15.75" customHeight="1">
      <c r="A1825" s="1" t="str">
        <f>IFERROR(__xludf.DUMMYFUNCTION("""COMPUTED_VALUE"""),"cries &amp; whispers")</f>
        <v>cries &amp; whispers</v>
      </c>
      <c r="B1825" s="1" t="str">
        <f>IF(A1825&lt;&gt;"", VLOOKUP(A1825, imdb_netflix_v5!A$2:H$7370, 2, FALSE), "")</f>
        <v>Movie</v>
      </c>
      <c r="C1825" s="2" t="str">
        <f>IF(A1825&lt;&gt;"", VLOOKUP(A1825, imdb_netflix_v5!A$2:H$7370, 3, FALSE), "")</f>
        <v>Drama</v>
      </c>
      <c r="D1825" s="2">
        <f>IF(A1825&lt;&gt;"", VLOOKUP(A1825, imdb_netflix_v5!A$2:H$7370, 4, FALSE), "")</f>
        <v>7.9</v>
      </c>
      <c r="E1825" s="2">
        <f>IF(A1825&lt;&gt;"", VLOOKUP(A1825, imdb_netflix_v5!A$2:H$7370, 5, FALSE), "")</f>
        <v>1972</v>
      </c>
      <c r="F1825" s="2" t="str">
        <f>IF(A1825&lt;&gt;"", VLOOKUP(A1825, imdb_netflix_v5!A$2:H$7370, 7, FALSE), "")</f>
        <v>NA</v>
      </c>
    </row>
    <row r="1826" ht="15.75" customHeight="1">
      <c r="A1826" s="1" t="str">
        <f>IFERROR(__xludf.DUMMYFUNCTION("""COMPUTED_VALUE"""),"modern love")</f>
        <v>modern love</v>
      </c>
      <c r="B1826" s="1" t="str">
        <f>IF(A1826&lt;&gt;"", VLOOKUP(A1826, imdb_netflix_v5!A$2:H$7370, 2, FALSE), "")</f>
        <v>TV Show</v>
      </c>
      <c r="C1826" s="2" t="str">
        <f>IF(A1826&lt;&gt;"", VLOOKUP(A1826, imdb_netflix_v5!A$2:H$7370, 3, FALSE), "")</f>
        <v>Comedy, Drama, Romance</v>
      </c>
      <c r="D1826" s="2">
        <f>IF(A1826&lt;&gt;"", VLOOKUP(A1826, imdb_netflix_v5!A$2:H$7370, 4, FALSE), "")</f>
        <v>7.9</v>
      </c>
      <c r="E1826" s="2">
        <f>IF(A1826&lt;&gt;"", VLOOKUP(A1826, imdb_netflix_v5!A$2:H$7370, 5, FALSE), "")</f>
        <v>2019</v>
      </c>
      <c r="F1826" s="2" t="str">
        <f>IF(A1826&lt;&gt;"", VLOOKUP(A1826, imdb_netflix_v5!A$2:H$7370, 7, FALSE), "")</f>
        <v>NA</v>
      </c>
    </row>
    <row r="1827" ht="15.75" customHeight="1">
      <c r="A1827" s="1" t="str">
        <f>IFERROR(__xludf.DUMMYFUNCTION("""COMPUTED_VALUE"""),"once were warriors")</f>
        <v>once were warriors</v>
      </c>
      <c r="B1827" s="1" t="str">
        <f>IF(A1827&lt;&gt;"", VLOOKUP(A1827, imdb_netflix_v5!A$2:H$7370, 2, FALSE), "")</f>
        <v>Movie</v>
      </c>
      <c r="C1827" s="2" t="str">
        <f>IF(A1827&lt;&gt;"", VLOOKUP(A1827, imdb_netflix_v5!A$2:H$7370, 3, FALSE), "")</f>
        <v>Crime, Drama</v>
      </c>
      <c r="D1827" s="2">
        <f>IF(A1827&lt;&gt;"", VLOOKUP(A1827, imdb_netflix_v5!A$2:H$7370, 4, FALSE), "")</f>
        <v>7.9</v>
      </c>
      <c r="E1827" s="2">
        <f>IF(A1827&lt;&gt;"", VLOOKUP(A1827, imdb_netflix_v5!A$2:H$7370, 5, FALSE), "")</f>
        <v>1994</v>
      </c>
      <c r="F1827" s="2" t="str">
        <f>IF(A1827&lt;&gt;"", VLOOKUP(A1827, imdb_netflix_v5!A$2:H$7370, 7, FALSE), "")</f>
        <v>NA</v>
      </c>
    </row>
    <row r="1828" ht="15.75" customHeight="1">
      <c r="A1828" s="1" t="str">
        <f>IFERROR(__xludf.DUMMYFUNCTION("""COMPUTED_VALUE"""),"in a lonely place")</f>
        <v>in a lonely place</v>
      </c>
      <c r="B1828" s="1" t="str">
        <f>IF(A1828&lt;&gt;"", VLOOKUP(A1828, imdb_netflix_v5!A$2:H$7370, 2, FALSE), "")</f>
        <v>Movie</v>
      </c>
      <c r="C1828" s="2" t="str">
        <f>IF(A1828&lt;&gt;"", VLOOKUP(A1828, imdb_netflix_v5!A$2:H$7370, 3, FALSE), "")</f>
        <v>Drama, Film-Noir, Mystery</v>
      </c>
      <c r="D1828" s="2">
        <f>IF(A1828&lt;&gt;"", VLOOKUP(A1828, imdb_netflix_v5!A$2:H$7370, 4, FALSE), "")</f>
        <v>7.9</v>
      </c>
      <c r="E1828" s="2">
        <f>IF(A1828&lt;&gt;"", VLOOKUP(A1828, imdb_netflix_v5!A$2:H$7370, 5, FALSE), "")</f>
        <v>1950</v>
      </c>
      <c r="F1828" s="2" t="str">
        <f>IF(A1828&lt;&gt;"", VLOOKUP(A1828, imdb_netflix_v5!A$2:H$7370, 7, FALSE), "")</f>
        <v>NA</v>
      </c>
    </row>
    <row r="1829" ht="15.75" customHeight="1">
      <c r="A1829" s="1" t="str">
        <f>IFERROR(__xludf.DUMMYFUNCTION("""COMPUTED_VALUE"""),"blood in, blood out")</f>
        <v>blood in, blood out</v>
      </c>
      <c r="B1829" s="1" t="str">
        <f>IF(A1829&lt;&gt;"", VLOOKUP(A1829, imdb_netflix_v5!A$2:H$7370, 2, FALSE), "")</f>
        <v>Movie</v>
      </c>
      <c r="C1829" s="2" t="str">
        <f>IF(A1829&lt;&gt;"", VLOOKUP(A1829, imdb_netflix_v5!A$2:H$7370, 3, FALSE), "")</f>
        <v>Biography, Crime, Drama</v>
      </c>
      <c r="D1829" s="2">
        <f>IF(A1829&lt;&gt;"", VLOOKUP(A1829, imdb_netflix_v5!A$2:H$7370, 4, FALSE), "")</f>
        <v>7.9</v>
      </c>
      <c r="E1829" s="2">
        <f>IF(A1829&lt;&gt;"", VLOOKUP(A1829, imdb_netflix_v5!A$2:H$7370, 5, FALSE), "")</f>
        <v>1993</v>
      </c>
      <c r="F1829" s="2" t="str">
        <f>IF(A1829&lt;&gt;"", VLOOKUP(A1829, imdb_netflix_v5!A$2:H$7370, 7, FALSE), "")</f>
        <v>NA</v>
      </c>
    </row>
    <row r="1830" ht="15.75" customHeight="1">
      <c r="A1830" s="1" t="str">
        <f>IFERROR(__xludf.DUMMYFUNCTION("""COMPUTED_VALUE"""),"the conformist")</f>
        <v>the conformist</v>
      </c>
      <c r="B1830" s="1" t="str">
        <f>IF(A1830&lt;&gt;"", VLOOKUP(A1830, imdb_netflix_v5!A$2:H$7370, 2, FALSE), "")</f>
        <v>Movie</v>
      </c>
      <c r="C1830" s="2" t="str">
        <f>IF(A1830&lt;&gt;"", VLOOKUP(A1830, imdb_netflix_v5!A$2:H$7370, 3, FALSE), "")</f>
        <v>Drama</v>
      </c>
      <c r="D1830" s="2">
        <f>IF(A1830&lt;&gt;"", VLOOKUP(A1830, imdb_netflix_v5!A$2:H$7370, 4, FALSE), "")</f>
        <v>7.9</v>
      </c>
      <c r="E1830" s="2">
        <f>IF(A1830&lt;&gt;"", VLOOKUP(A1830, imdb_netflix_v5!A$2:H$7370, 5, FALSE), "")</f>
        <v>1970</v>
      </c>
      <c r="F1830" s="2" t="str">
        <f>IF(A1830&lt;&gt;"", VLOOKUP(A1830, imdb_netflix_v5!A$2:H$7370, 7, FALSE), "")</f>
        <v>NA</v>
      </c>
    </row>
    <row r="1831" ht="15.75" customHeight="1">
      <c r="A1831" s="1" t="str">
        <f>IFERROR(__xludf.DUMMYFUNCTION("""COMPUTED_VALUE"""),"bored to death")</f>
        <v>bored to death</v>
      </c>
      <c r="B1831" s="1" t="str">
        <f>IF(A1831&lt;&gt;"", VLOOKUP(A1831, imdb_netflix_v5!A$2:H$7370, 2, FALSE), "")</f>
        <v>TV Show</v>
      </c>
      <c r="C1831" s="2" t="str">
        <f>IF(A1831&lt;&gt;"", VLOOKUP(A1831, imdb_netflix_v5!A$2:H$7370, 3, FALSE), "")</f>
        <v>Comedy, Crime, Drama</v>
      </c>
      <c r="D1831" s="2">
        <f>IF(A1831&lt;&gt;"", VLOOKUP(A1831, imdb_netflix_v5!A$2:H$7370, 4, FALSE), "")</f>
        <v>7.9</v>
      </c>
      <c r="E1831" s="2">
        <f>IF(A1831&lt;&gt;"", VLOOKUP(A1831, imdb_netflix_v5!A$2:H$7370, 5, FALSE), "")</f>
        <v>2009</v>
      </c>
      <c r="F1831" s="2" t="str">
        <f>IF(A1831&lt;&gt;"", VLOOKUP(A1831, imdb_netflix_v5!A$2:H$7370, 7, FALSE), "")</f>
        <v>NA</v>
      </c>
    </row>
    <row r="1832" ht="15.75" customHeight="1">
      <c r="A1832" s="1" t="str">
        <f>IFERROR(__xludf.DUMMYFUNCTION("""COMPUTED_VALUE"""),"the lion in winter")</f>
        <v>the lion in winter</v>
      </c>
      <c r="B1832" s="1" t="str">
        <f>IF(A1832&lt;&gt;"", VLOOKUP(A1832, imdb_netflix_v5!A$2:H$7370, 2, FALSE), "")</f>
        <v>Movie</v>
      </c>
      <c r="C1832" s="2" t="str">
        <f>IF(A1832&lt;&gt;"", VLOOKUP(A1832, imdb_netflix_v5!A$2:H$7370, 3, FALSE), "")</f>
        <v>Biography, Drama, History</v>
      </c>
      <c r="D1832" s="2">
        <f>IF(A1832&lt;&gt;"", VLOOKUP(A1832, imdb_netflix_v5!A$2:H$7370, 4, FALSE), "")</f>
        <v>7.9</v>
      </c>
      <c r="E1832" s="2">
        <f>IF(A1832&lt;&gt;"", VLOOKUP(A1832, imdb_netflix_v5!A$2:H$7370, 5, FALSE), "")</f>
        <v>1968</v>
      </c>
      <c r="F1832" s="2" t="str">
        <f>IF(A1832&lt;&gt;"", VLOOKUP(A1832, imdb_netflix_v5!A$2:H$7370, 7, FALSE), "")</f>
        <v>NA</v>
      </c>
    </row>
    <row r="1833" ht="15.75" customHeight="1">
      <c r="A1833" s="1" t="str">
        <f>IFERROR(__xludf.DUMMYFUNCTION("""COMPUTED_VALUE"""),"black hawk down")</f>
        <v>black hawk down</v>
      </c>
      <c r="B1833" s="1" t="str">
        <f>IF(A1833&lt;&gt;"", VLOOKUP(A1833, imdb_netflix_v5!A$2:H$7370, 2, FALSE), "")</f>
        <v>Movie</v>
      </c>
      <c r="C1833" s="2" t="str">
        <f>IF(A1833&lt;&gt;"", VLOOKUP(A1833, imdb_netflix_v5!A$2:H$7370, 3, FALSE), "")</f>
        <v>Documentary</v>
      </c>
      <c r="D1833" s="2">
        <f>IF(A1833&lt;&gt;"", VLOOKUP(A1833, imdb_netflix_v5!A$2:H$7370, 4, FALSE), "")</f>
        <v>7.9</v>
      </c>
      <c r="E1833" s="2">
        <f>IF(A1833&lt;&gt;"", VLOOKUP(A1833, imdb_netflix_v5!A$2:H$7370, 5, FALSE), "")</f>
        <v>1997</v>
      </c>
      <c r="F1833" s="2" t="str">
        <f>IF(A1833&lt;&gt;"", VLOOKUP(A1833, imdb_netflix_v5!A$2:H$7370, 7, FALSE), "")</f>
        <v>NA</v>
      </c>
    </row>
    <row r="1834" ht="15.75" customHeight="1">
      <c r="A1834" s="1" t="str">
        <f>IFERROR(__xludf.DUMMYFUNCTION("""COMPUTED_VALUE"""),"a taxi driver")</f>
        <v>a taxi driver</v>
      </c>
      <c r="B1834" s="1" t="str">
        <f>IF(A1834&lt;&gt;"", VLOOKUP(A1834, imdb_netflix_v5!A$2:H$7370, 2, FALSE), "")</f>
        <v>Movie</v>
      </c>
      <c r="C1834" s="2" t="str">
        <f>IF(A1834&lt;&gt;"", VLOOKUP(A1834, imdb_netflix_v5!A$2:H$7370, 3, FALSE), "")</f>
        <v>Action, Drama, History</v>
      </c>
      <c r="D1834" s="2">
        <f>IF(A1834&lt;&gt;"", VLOOKUP(A1834, imdb_netflix_v5!A$2:H$7370, 4, FALSE), "")</f>
        <v>7.9</v>
      </c>
      <c r="E1834" s="2">
        <f>IF(A1834&lt;&gt;"", VLOOKUP(A1834, imdb_netflix_v5!A$2:H$7370, 5, FALSE), "")</f>
        <v>2017</v>
      </c>
      <c r="F1834" s="2" t="str">
        <f>IF(A1834&lt;&gt;"", VLOOKUP(A1834, imdb_netflix_v5!A$2:H$7370, 7, FALSE), "")</f>
        <v>NA</v>
      </c>
    </row>
    <row r="1835" ht="15.75" customHeight="1">
      <c r="A1835" s="1" t="str">
        <f>IFERROR(__xludf.DUMMYFUNCTION("""COMPUTED_VALUE"""),"the thin man")</f>
        <v>the thin man</v>
      </c>
      <c r="B1835" s="1" t="str">
        <f>IF(A1835&lt;&gt;"", VLOOKUP(A1835, imdb_netflix_v5!A$2:H$7370, 2, FALSE), "")</f>
        <v>Movie</v>
      </c>
      <c r="C1835" s="2" t="str">
        <f>IF(A1835&lt;&gt;"", VLOOKUP(A1835, imdb_netflix_v5!A$2:H$7370, 3, FALSE), "")</f>
        <v>Comedy, Crime, Mystery</v>
      </c>
      <c r="D1835" s="2">
        <f>IF(A1835&lt;&gt;"", VLOOKUP(A1835, imdb_netflix_v5!A$2:H$7370, 4, FALSE), "")</f>
        <v>7.9</v>
      </c>
      <c r="E1835" s="2">
        <f>IF(A1835&lt;&gt;"", VLOOKUP(A1835, imdb_netflix_v5!A$2:H$7370, 5, FALSE), "")</f>
        <v>1934</v>
      </c>
      <c r="F1835" s="2" t="str">
        <f>IF(A1835&lt;&gt;"", VLOOKUP(A1835, imdb_netflix_v5!A$2:H$7370, 7, FALSE), "")</f>
        <v>NA</v>
      </c>
    </row>
    <row r="1836" ht="15.75" customHeight="1">
      <c r="A1836" s="1" t="str">
        <f>IFERROR(__xludf.DUMMYFUNCTION("""COMPUTED_VALUE"""),"lilyhammer")</f>
        <v>lilyhammer</v>
      </c>
      <c r="B1836" s="1" t="str">
        <f>IF(A1836&lt;&gt;"", VLOOKUP(A1836, imdb_netflix_v5!A$2:H$7370, 2, FALSE), "")</f>
        <v>TV Show</v>
      </c>
      <c r="C1836" s="2" t="str">
        <f>IF(A1836&lt;&gt;"", VLOOKUP(A1836, imdb_netflix_v5!A$2:H$7370, 3, FALSE), "")</f>
        <v>Comedy, Crime, Drama</v>
      </c>
      <c r="D1836" s="2">
        <f>IF(A1836&lt;&gt;"", VLOOKUP(A1836, imdb_netflix_v5!A$2:H$7370, 4, FALSE), "")</f>
        <v>7.9</v>
      </c>
      <c r="E1836" s="2">
        <f>IF(A1836&lt;&gt;"", VLOOKUP(A1836, imdb_netflix_v5!A$2:H$7370, 5, FALSE), "")</f>
        <v>2012</v>
      </c>
      <c r="F1836" s="2" t="str">
        <f>IF(A1836&lt;&gt;"", VLOOKUP(A1836, imdb_netflix_v5!A$2:H$7370, 7, FALSE), "")</f>
        <v>NA</v>
      </c>
    </row>
    <row r="1837" ht="15.75" customHeight="1">
      <c r="A1837" s="1" t="str">
        <f>IFERROR(__xludf.DUMMYFUNCTION("""COMPUTED_VALUE"""),"dev.d")</f>
        <v>dev.d</v>
      </c>
      <c r="B1837" s="1" t="str">
        <f>IF(A1837&lt;&gt;"", VLOOKUP(A1837, imdb_netflix_v5!A$2:H$7370, 2, FALSE), "")</f>
        <v>Movie</v>
      </c>
      <c r="C1837" s="2" t="str">
        <f>IF(A1837&lt;&gt;"", VLOOKUP(A1837, imdb_netflix_v5!A$2:H$7370, 3, FALSE), "")</f>
        <v>Comedy, Drama, Romance</v>
      </c>
      <c r="D1837" s="2">
        <f>IF(A1837&lt;&gt;"", VLOOKUP(A1837, imdb_netflix_v5!A$2:H$7370, 4, FALSE), "")</f>
        <v>7.9</v>
      </c>
      <c r="E1837" s="2">
        <f>IF(A1837&lt;&gt;"", VLOOKUP(A1837, imdb_netflix_v5!A$2:H$7370, 5, FALSE), "")</f>
        <v>2009</v>
      </c>
      <c r="F1837" s="2" t="str">
        <f>IF(A1837&lt;&gt;"", VLOOKUP(A1837, imdb_netflix_v5!A$2:H$7370, 7, FALSE), "")</f>
        <v>NA</v>
      </c>
    </row>
    <row r="1838" ht="15.75" customHeight="1">
      <c r="A1838" s="1" t="str">
        <f>IFERROR(__xludf.DUMMYFUNCTION("""COMPUTED_VALUE"""),"solar opposites")</f>
        <v>solar opposites</v>
      </c>
      <c r="B1838" s="1" t="str">
        <f>IF(A1838&lt;&gt;"", VLOOKUP(A1838, imdb_netflix_v5!A$2:H$7370, 2, FALSE), "")</f>
        <v>TV Show</v>
      </c>
      <c r="C1838" s="2" t="str">
        <f>IF(A1838&lt;&gt;"", VLOOKUP(A1838, imdb_netflix_v5!A$2:H$7370, 3, FALSE), "")</f>
        <v>Adventure, Animation, Comedy</v>
      </c>
      <c r="D1838" s="2">
        <f>IF(A1838&lt;&gt;"", VLOOKUP(A1838, imdb_netflix_v5!A$2:H$7370, 4, FALSE), "")</f>
        <v>7.9</v>
      </c>
      <c r="E1838" s="2">
        <f>IF(A1838&lt;&gt;"", VLOOKUP(A1838, imdb_netflix_v5!A$2:H$7370, 5, FALSE), "")</f>
        <v>2020</v>
      </c>
      <c r="F1838" s="2" t="str">
        <f>IF(A1838&lt;&gt;"", VLOOKUP(A1838, imdb_netflix_v5!A$2:H$7370, 7, FALSE), "")</f>
        <v>NA</v>
      </c>
    </row>
    <row r="1839" ht="15.75" customHeight="1">
      <c r="A1839" s="1" t="str">
        <f>IFERROR(__xludf.DUMMYFUNCTION("""COMPUTED_VALUE"""),"ted")</f>
        <v>ted</v>
      </c>
      <c r="B1839" s="1" t="str">
        <f>IF(A1839&lt;&gt;"", VLOOKUP(A1839, imdb_netflix_v5!A$2:H$7370, 2, FALSE), "")</f>
        <v>TV Show</v>
      </c>
      <c r="C1839" s="2" t="str">
        <f>IF(A1839&lt;&gt;"", VLOOKUP(A1839, imdb_netflix_v5!A$2:H$7370, 3, FALSE), "")</f>
        <v>Comedy</v>
      </c>
      <c r="D1839" s="2">
        <f>IF(A1839&lt;&gt;"", VLOOKUP(A1839, imdb_netflix_v5!A$2:H$7370, 4, FALSE), "")</f>
        <v>7.9</v>
      </c>
      <c r="E1839" s="2">
        <f>IF(A1839&lt;&gt;"", VLOOKUP(A1839, imdb_netflix_v5!A$2:H$7370, 5, FALSE), "")</f>
        <v>2024</v>
      </c>
      <c r="F1839" s="2">
        <f>IF(A1839&lt;&gt;"", VLOOKUP(A1839, imdb_netflix_v5!A$2:H$7370, 7, FALSE), "")</f>
        <v>5750000</v>
      </c>
    </row>
    <row r="1840" ht="15.75" customHeight="1">
      <c r="A1840" s="1" t="str">
        <f>IFERROR(__xludf.DUMMYFUNCTION("""COMPUTED_VALUE"""),"the sacrifice")</f>
        <v>the sacrifice</v>
      </c>
      <c r="B1840" s="1" t="str">
        <f>IF(A1840&lt;&gt;"", VLOOKUP(A1840, imdb_netflix_v5!A$2:H$7370, 2, FALSE), "")</f>
        <v>Movie</v>
      </c>
      <c r="C1840" s="2" t="str">
        <f>IF(A1840&lt;&gt;"", VLOOKUP(A1840, imdb_netflix_v5!A$2:H$7370, 3, FALSE), "")</f>
        <v>Drama</v>
      </c>
      <c r="D1840" s="2">
        <f>IF(A1840&lt;&gt;"", VLOOKUP(A1840, imdb_netflix_v5!A$2:H$7370, 4, FALSE), "")</f>
        <v>7.9</v>
      </c>
      <c r="E1840" s="2">
        <f>IF(A1840&lt;&gt;"", VLOOKUP(A1840, imdb_netflix_v5!A$2:H$7370, 5, FALSE), "")</f>
        <v>1986</v>
      </c>
      <c r="F1840" s="2" t="str">
        <f>IF(A1840&lt;&gt;"", VLOOKUP(A1840, imdb_netflix_v5!A$2:H$7370, 7, FALSE), "")</f>
        <v>NA</v>
      </c>
    </row>
    <row r="1841" ht="15.75" customHeight="1">
      <c r="A1841" s="1" t="str">
        <f>IFERROR(__xludf.DUMMYFUNCTION("""COMPUTED_VALUE"""),"the rules of the game")</f>
        <v>the rules of the game</v>
      </c>
      <c r="B1841" s="1" t="str">
        <f>IF(A1841&lt;&gt;"", VLOOKUP(A1841, imdb_netflix_v5!A$2:H$7370, 2, FALSE), "")</f>
        <v>Movie</v>
      </c>
      <c r="C1841" s="2" t="str">
        <f>IF(A1841&lt;&gt;"", VLOOKUP(A1841, imdb_netflix_v5!A$2:H$7370, 3, FALSE), "")</f>
        <v>Comedy, Drama</v>
      </c>
      <c r="D1841" s="2">
        <f>IF(A1841&lt;&gt;"", VLOOKUP(A1841, imdb_netflix_v5!A$2:H$7370, 4, FALSE), "")</f>
        <v>7.9</v>
      </c>
      <c r="E1841" s="2">
        <f>IF(A1841&lt;&gt;"", VLOOKUP(A1841, imdb_netflix_v5!A$2:H$7370, 5, FALSE), "")</f>
        <v>1939</v>
      </c>
      <c r="F1841" s="2" t="str">
        <f>IF(A1841&lt;&gt;"", VLOOKUP(A1841, imdb_netflix_v5!A$2:H$7370, 7, FALSE), "")</f>
        <v>NA</v>
      </c>
    </row>
    <row r="1842" ht="15.75" customHeight="1">
      <c r="A1842" s="1" t="str">
        <f>IFERROR(__xludf.DUMMYFUNCTION("""COMPUTED_VALUE"""),"the fosters")</f>
        <v>the fosters</v>
      </c>
      <c r="B1842" s="1" t="str">
        <f>IF(A1842&lt;&gt;"", VLOOKUP(A1842, imdb_netflix_v5!A$2:H$7370, 2, FALSE), "")</f>
        <v>TV Show</v>
      </c>
      <c r="C1842" s="2" t="str">
        <f>IF(A1842&lt;&gt;"", VLOOKUP(A1842, imdb_netflix_v5!A$2:H$7370, 3, FALSE), "")</f>
        <v>Drama, Romance</v>
      </c>
      <c r="D1842" s="2">
        <f>IF(A1842&lt;&gt;"", VLOOKUP(A1842, imdb_netflix_v5!A$2:H$7370, 4, FALSE), "")</f>
        <v>7.9</v>
      </c>
      <c r="E1842" s="2">
        <f>IF(A1842&lt;&gt;"", VLOOKUP(A1842, imdb_netflix_v5!A$2:H$7370, 5, FALSE), "")</f>
        <v>2013</v>
      </c>
      <c r="F1842" s="2" t="str">
        <f>IF(A1842&lt;&gt;"", VLOOKUP(A1842, imdb_netflix_v5!A$2:H$7370, 7, FALSE), "")</f>
        <v>NA</v>
      </c>
    </row>
    <row r="1843" ht="15.75" customHeight="1">
      <c r="A1843" s="1" t="str">
        <f>IFERROR(__xludf.DUMMYFUNCTION("""COMPUTED_VALUE"""),"nostalghia")</f>
        <v>nostalghia</v>
      </c>
      <c r="B1843" s="1" t="str">
        <f>IF(A1843&lt;&gt;"", VLOOKUP(A1843, imdb_netflix_v5!A$2:H$7370, 2, FALSE), "")</f>
        <v>Movie</v>
      </c>
      <c r="C1843" s="2" t="str">
        <f>IF(A1843&lt;&gt;"", VLOOKUP(A1843, imdb_netflix_v5!A$2:H$7370, 3, FALSE), "")</f>
        <v>Drama</v>
      </c>
      <c r="D1843" s="2">
        <f>IF(A1843&lt;&gt;"", VLOOKUP(A1843, imdb_netflix_v5!A$2:H$7370, 4, FALSE), "")</f>
        <v>7.9</v>
      </c>
      <c r="E1843" s="2">
        <f>IF(A1843&lt;&gt;"", VLOOKUP(A1843, imdb_netflix_v5!A$2:H$7370, 5, FALSE), "")</f>
        <v>1983</v>
      </c>
      <c r="F1843" s="2" t="str">
        <f>IF(A1843&lt;&gt;"", VLOOKUP(A1843, imdb_netflix_v5!A$2:H$7370, 7, FALSE), "")</f>
        <v>NA</v>
      </c>
    </row>
    <row r="1844" ht="15.75" customHeight="1">
      <c r="A1844" s="1" t="str">
        <f>IFERROR(__xludf.DUMMYFUNCTION("""COMPUTED_VALUE"""),"the leopard")</f>
        <v>the leopard</v>
      </c>
      <c r="B1844" s="1" t="str">
        <f>IF(A1844&lt;&gt;"", VLOOKUP(A1844, imdb_netflix_v5!A$2:H$7370, 2, FALSE), "")</f>
        <v>Movie</v>
      </c>
      <c r="C1844" s="2" t="str">
        <f>IF(A1844&lt;&gt;"", VLOOKUP(A1844, imdb_netflix_v5!A$2:H$7370, 3, FALSE), "")</f>
        <v>Drama, History</v>
      </c>
      <c r="D1844" s="2">
        <f>IF(A1844&lt;&gt;"", VLOOKUP(A1844, imdb_netflix_v5!A$2:H$7370, 4, FALSE), "")</f>
        <v>7.9</v>
      </c>
      <c r="E1844" s="2">
        <f>IF(A1844&lt;&gt;"", VLOOKUP(A1844, imdb_netflix_v5!A$2:H$7370, 5, FALSE), "")</f>
        <v>1963</v>
      </c>
      <c r="F1844" s="2" t="str">
        <f>IF(A1844&lt;&gt;"", VLOOKUP(A1844, imdb_netflix_v5!A$2:H$7370, 7, FALSE), "")</f>
        <v>NA</v>
      </c>
    </row>
    <row r="1845" ht="15.75" customHeight="1">
      <c r="A1845" s="1" t="str">
        <f>IFERROR(__xludf.DUMMYFUNCTION("""COMPUTED_VALUE"""),"the big heat")</f>
        <v>the big heat</v>
      </c>
      <c r="B1845" s="1" t="str">
        <f>IF(A1845&lt;&gt;"", VLOOKUP(A1845, imdb_netflix_v5!A$2:H$7370, 2, FALSE), "")</f>
        <v>Movie</v>
      </c>
      <c r="C1845" s="2" t="str">
        <f>IF(A1845&lt;&gt;"", VLOOKUP(A1845, imdb_netflix_v5!A$2:H$7370, 3, FALSE), "")</f>
        <v>Crime, Film-Noir, Thriller</v>
      </c>
      <c r="D1845" s="2">
        <f>IF(A1845&lt;&gt;"", VLOOKUP(A1845, imdb_netflix_v5!A$2:H$7370, 4, FALSE), "")</f>
        <v>7.9</v>
      </c>
      <c r="E1845" s="2">
        <f>IF(A1845&lt;&gt;"", VLOOKUP(A1845, imdb_netflix_v5!A$2:H$7370, 5, FALSE), "")</f>
        <v>1953</v>
      </c>
      <c r="F1845" s="2" t="str">
        <f>IF(A1845&lt;&gt;"", VLOOKUP(A1845, imdb_netflix_v5!A$2:H$7370, 7, FALSE), "")</f>
        <v>NA</v>
      </c>
    </row>
    <row r="1846" ht="15.75" customHeight="1">
      <c r="A1846" s="1" t="str">
        <f>IFERROR(__xludf.DUMMYFUNCTION("""COMPUTED_VALUE"""),"in cold blood")</f>
        <v>in cold blood</v>
      </c>
      <c r="B1846" s="1" t="str">
        <f>IF(A1846&lt;&gt;"", VLOOKUP(A1846, imdb_netflix_v5!A$2:H$7370, 2, FALSE), "")</f>
        <v>Movie</v>
      </c>
      <c r="C1846" s="2" t="str">
        <f>IF(A1846&lt;&gt;"", VLOOKUP(A1846, imdb_netflix_v5!A$2:H$7370, 3, FALSE), "")</f>
        <v>Biography, Crime, Drama</v>
      </c>
      <c r="D1846" s="2">
        <f>IF(A1846&lt;&gt;"", VLOOKUP(A1846, imdb_netflix_v5!A$2:H$7370, 4, FALSE), "")</f>
        <v>7.9</v>
      </c>
      <c r="E1846" s="2">
        <f>IF(A1846&lt;&gt;"", VLOOKUP(A1846, imdb_netflix_v5!A$2:H$7370, 5, FALSE), "")</f>
        <v>1967</v>
      </c>
      <c r="F1846" s="2" t="str">
        <f>IF(A1846&lt;&gt;"", VLOOKUP(A1846, imdb_netflix_v5!A$2:H$7370, 7, FALSE), "")</f>
        <v>NA</v>
      </c>
    </row>
    <row r="1847" ht="15.75" customHeight="1">
      <c r="A1847" s="1" t="str">
        <f>IFERROR(__xludf.DUMMYFUNCTION("""COMPUTED_VALUE"""),"escape at dannemora")</f>
        <v>escape at dannemora</v>
      </c>
      <c r="B1847" s="1" t="str">
        <f>IF(A1847&lt;&gt;"", VLOOKUP(A1847, imdb_netflix_v5!A$2:H$7370, 2, FALSE), "")</f>
        <v>TV Show</v>
      </c>
      <c r="C1847" s="2" t="str">
        <f>IF(A1847&lt;&gt;"", VLOOKUP(A1847, imdb_netflix_v5!A$2:H$7370, 3, FALSE), "")</f>
        <v>Biography, Crime, Drama</v>
      </c>
      <c r="D1847" s="2">
        <f>IF(A1847&lt;&gt;"", VLOOKUP(A1847, imdb_netflix_v5!A$2:H$7370, 4, FALSE), "")</f>
        <v>7.9</v>
      </c>
      <c r="E1847" s="2">
        <f>IF(A1847&lt;&gt;"", VLOOKUP(A1847, imdb_netflix_v5!A$2:H$7370, 5, FALSE), "")</f>
        <v>2018</v>
      </c>
      <c r="F1847" s="2" t="str">
        <f>IF(A1847&lt;&gt;"", VLOOKUP(A1847, imdb_netflix_v5!A$2:H$7370, 7, FALSE), "")</f>
        <v>NA</v>
      </c>
    </row>
    <row r="1848" ht="15.75" customHeight="1">
      <c r="A1848" s="1" t="str">
        <f>IFERROR(__xludf.DUMMYFUNCTION("""COMPUTED_VALUE"""),"hatfields &amp; mccoys")</f>
        <v>hatfields &amp; mccoys</v>
      </c>
      <c r="B1848" s="1" t="str">
        <f>IF(A1848&lt;&gt;"", VLOOKUP(A1848, imdb_netflix_v5!A$2:H$7370, 2, FALSE), "")</f>
        <v>TV Show</v>
      </c>
      <c r="C1848" s="2" t="str">
        <f>IF(A1848&lt;&gt;"", VLOOKUP(A1848, imdb_netflix_v5!A$2:H$7370, 3, FALSE), "")</f>
        <v>Drama, History, Romance</v>
      </c>
      <c r="D1848" s="2">
        <f>IF(A1848&lt;&gt;"", VLOOKUP(A1848, imdb_netflix_v5!A$2:H$7370, 4, FALSE), "")</f>
        <v>7.9</v>
      </c>
      <c r="E1848" s="2">
        <f>IF(A1848&lt;&gt;"", VLOOKUP(A1848, imdb_netflix_v5!A$2:H$7370, 5, FALSE), "")</f>
        <v>2012</v>
      </c>
      <c r="F1848" s="2" t="str">
        <f>IF(A1848&lt;&gt;"", VLOOKUP(A1848, imdb_netflix_v5!A$2:H$7370, 7, FALSE), "")</f>
        <v>NA</v>
      </c>
    </row>
    <row r="1849" ht="15.75" customHeight="1">
      <c r="A1849" s="1" t="str">
        <f>IFERROR(__xludf.DUMMYFUNCTION("""COMPUTED_VALUE"""),"pad man")</f>
        <v>pad man</v>
      </c>
      <c r="B1849" s="1" t="str">
        <f>IF(A1849&lt;&gt;"", VLOOKUP(A1849, imdb_netflix_v5!A$2:H$7370, 2, FALSE), "")</f>
        <v>Movie</v>
      </c>
      <c r="C1849" s="2" t="str">
        <f>IF(A1849&lt;&gt;"", VLOOKUP(A1849, imdb_netflix_v5!A$2:H$7370, 3, FALSE), "")</f>
        <v>Comedy, Drama</v>
      </c>
      <c r="D1849" s="2">
        <f>IF(A1849&lt;&gt;"", VLOOKUP(A1849, imdb_netflix_v5!A$2:H$7370, 4, FALSE), "")</f>
        <v>7.9</v>
      </c>
      <c r="E1849" s="2">
        <f>IF(A1849&lt;&gt;"", VLOOKUP(A1849, imdb_netflix_v5!A$2:H$7370, 5, FALSE), "")</f>
        <v>2018</v>
      </c>
      <c r="F1849" s="2" t="str">
        <f>IF(A1849&lt;&gt;"", VLOOKUP(A1849, imdb_netflix_v5!A$2:H$7370, 7, FALSE), "")</f>
        <v>NA</v>
      </c>
    </row>
    <row r="1850" ht="15.75" customHeight="1">
      <c r="A1850" s="1" t="str">
        <f>IFERROR(__xludf.DUMMYFUNCTION("""COMPUTED_VALUE"""),"elevator to the gallows")</f>
        <v>elevator to the gallows</v>
      </c>
      <c r="B1850" s="1" t="str">
        <f>IF(A1850&lt;&gt;"", VLOOKUP(A1850, imdb_netflix_v5!A$2:H$7370, 2, FALSE), "")</f>
        <v>Movie</v>
      </c>
      <c r="C1850" s="2" t="str">
        <f>IF(A1850&lt;&gt;"", VLOOKUP(A1850, imdb_netflix_v5!A$2:H$7370, 3, FALSE), "")</f>
        <v>Crime, Drama, Thriller</v>
      </c>
      <c r="D1850" s="2">
        <f>IF(A1850&lt;&gt;"", VLOOKUP(A1850, imdb_netflix_v5!A$2:H$7370, 4, FALSE), "")</f>
        <v>7.9</v>
      </c>
      <c r="E1850" s="2">
        <f>IF(A1850&lt;&gt;"", VLOOKUP(A1850, imdb_netflix_v5!A$2:H$7370, 5, FALSE), "")</f>
        <v>1958</v>
      </c>
      <c r="F1850" s="2" t="str">
        <f>IF(A1850&lt;&gt;"", VLOOKUP(A1850, imdb_netflix_v5!A$2:H$7370, 7, FALSE), "")</f>
        <v>NA</v>
      </c>
    </row>
    <row r="1851" ht="15.75" customHeight="1">
      <c r="A1851" s="1" t="str">
        <f>IFERROR(__xludf.DUMMYFUNCTION("""COMPUTED_VALUE"""),"the red circle")</f>
        <v>the red circle</v>
      </c>
      <c r="B1851" s="1" t="str">
        <f>IF(A1851&lt;&gt;"", VLOOKUP(A1851, imdb_netflix_v5!A$2:H$7370, 2, FALSE), "")</f>
        <v>Movie</v>
      </c>
      <c r="C1851" s="2" t="str">
        <f>IF(A1851&lt;&gt;"", VLOOKUP(A1851, imdb_netflix_v5!A$2:H$7370, 3, FALSE), "")</f>
        <v>Crime, Drama, Thriller</v>
      </c>
      <c r="D1851" s="2">
        <f>IF(A1851&lt;&gt;"", VLOOKUP(A1851, imdb_netflix_v5!A$2:H$7370, 4, FALSE), "")</f>
        <v>7.9</v>
      </c>
      <c r="E1851" s="2">
        <f>IF(A1851&lt;&gt;"", VLOOKUP(A1851, imdb_netflix_v5!A$2:H$7370, 5, FALSE), "")</f>
        <v>1970</v>
      </c>
      <c r="F1851" s="2" t="str">
        <f>IF(A1851&lt;&gt;"", VLOOKUP(A1851, imdb_netflix_v5!A$2:H$7370, 7, FALSE), "")</f>
        <v>NA</v>
      </c>
    </row>
    <row r="1852" ht="15.75" customHeight="1">
      <c r="A1852" s="1" t="str">
        <f>IFERROR(__xludf.DUMMYFUNCTION("""COMPUTED_VALUE"""),"fairy tail")</f>
        <v>fairy tail</v>
      </c>
      <c r="B1852" s="1" t="str">
        <f>IF(A1852&lt;&gt;"", VLOOKUP(A1852, imdb_netflix_v5!A$2:H$7370, 2, FALSE), "")</f>
        <v>TV Show</v>
      </c>
      <c r="C1852" s="2" t="str">
        <f>IF(A1852&lt;&gt;"", VLOOKUP(A1852, imdb_netflix_v5!A$2:H$7370, 3, FALSE), "")</f>
        <v>Action, Adventure, Animation</v>
      </c>
      <c r="D1852" s="2">
        <f>IF(A1852&lt;&gt;"", VLOOKUP(A1852, imdb_netflix_v5!A$2:H$7370, 4, FALSE), "")</f>
        <v>7.9</v>
      </c>
      <c r="E1852" s="2">
        <f>IF(A1852&lt;&gt;"", VLOOKUP(A1852, imdb_netflix_v5!A$2:H$7370, 5, FALSE), "")</f>
        <v>2009</v>
      </c>
      <c r="F1852" s="2" t="str">
        <f>IF(A1852&lt;&gt;"", VLOOKUP(A1852, imdb_netflix_v5!A$2:H$7370, 7, FALSE), "")</f>
        <v>NA</v>
      </c>
    </row>
    <row r="1853" ht="15.75" customHeight="1">
      <c r="A1853" s="1" t="str">
        <f>IFERROR(__xludf.DUMMYFUNCTION("""COMPUTED_VALUE"""),"mildred pierce")</f>
        <v>mildred pierce</v>
      </c>
      <c r="B1853" s="1" t="str">
        <f>IF(A1853&lt;&gt;"", VLOOKUP(A1853, imdb_netflix_v5!A$2:H$7370, 2, FALSE), "")</f>
        <v>Movie</v>
      </c>
      <c r="C1853" s="2" t="str">
        <f>IF(A1853&lt;&gt;"", VLOOKUP(A1853, imdb_netflix_v5!A$2:H$7370, 3, FALSE), "")</f>
        <v>Crime, Drama, Film-Noir</v>
      </c>
      <c r="D1853" s="2">
        <f>IF(A1853&lt;&gt;"", VLOOKUP(A1853, imdb_netflix_v5!A$2:H$7370, 4, FALSE), "")</f>
        <v>7.9</v>
      </c>
      <c r="E1853" s="2">
        <f>IF(A1853&lt;&gt;"", VLOOKUP(A1853, imdb_netflix_v5!A$2:H$7370, 5, FALSE), "")</f>
        <v>1945</v>
      </c>
      <c r="F1853" s="2" t="str">
        <f>IF(A1853&lt;&gt;"", VLOOKUP(A1853, imdb_netflix_v5!A$2:H$7370, 7, FALSE), "")</f>
        <v>NA</v>
      </c>
    </row>
    <row r="1854" ht="15.75" customHeight="1">
      <c r="A1854" s="1" t="str">
        <f>IFERROR(__xludf.DUMMYFUNCTION("""COMPUTED_VALUE"""),"sullivans travels")</f>
        <v>sullivans travels</v>
      </c>
      <c r="B1854" s="1" t="str">
        <f>IF(A1854&lt;&gt;"", VLOOKUP(A1854, imdb_netflix_v5!A$2:H$7370, 2, FALSE), "")</f>
        <v>Movie</v>
      </c>
      <c r="C1854" s="2" t="str">
        <f>IF(A1854&lt;&gt;"", VLOOKUP(A1854, imdb_netflix_v5!A$2:H$7370, 3, FALSE), "")</f>
        <v>Adventure, Comedy, Drama</v>
      </c>
      <c r="D1854" s="2">
        <f>IF(A1854&lt;&gt;"", VLOOKUP(A1854, imdb_netflix_v5!A$2:H$7370, 4, FALSE), "")</f>
        <v>7.9</v>
      </c>
      <c r="E1854" s="2">
        <f>IF(A1854&lt;&gt;"", VLOOKUP(A1854, imdb_netflix_v5!A$2:H$7370, 5, FALSE), "")</f>
        <v>1941</v>
      </c>
      <c r="F1854" s="2" t="str">
        <f>IF(A1854&lt;&gt;"", VLOOKUP(A1854, imdb_netflix_v5!A$2:H$7370, 7, FALSE), "")</f>
        <v>NA</v>
      </c>
    </row>
    <row r="1855" ht="15.75" customHeight="1">
      <c r="A1855" s="1" t="str">
        <f>IFERROR(__xludf.DUMMYFUNCTION("""COMPUTED_VALUE"""),"arjun reddy")</f>
        <v>arjun reddy</v>
      </c>
      <c r="B1855" s="1" t="str">
        <f>IF(A1855&lt;&gt;"", VLOOKUP(A1855, imdb_netflix_v5!A$2:H$7370, 2, FALSE), "")</f>
        <v>Movie</v>
      </c>
      <c r="C1855" s="2" t="str">
        <f>IF(A1855&lt;&gt;"", VLOOKUP(A1855, imdb_netflix_v5!A$2:H$7370, 3, FALSE), "")</f>
        <v>Action, Drama, Romance</v>
      </c>
      <c r="D1855" s="2">
        <f>IF(A1855&lt;&gt;"", VLOOKUP(A1855, imdb_netflix_v5!A$2:H$7370, 4, FALSE), "")</f>
        <v>7.9</v>
      </c>
      <c r="E1855" s="2">
        <f>IF(A1855&lt;&gt;"", VLOOKUP(A1855, imdb_netflix_v5!A$2:H$7370, 5, FALSE), "")</f>
        <v>2017</v>
      </c>
      <c r="F1855" s="2" t="str">
        <f>IF(A1855&lt;&gt;"", VLOOKUP(A1855, imdb_netflix_v5!A$2:H$7370, 7, FALSE), "")</f>
        <v>NA</v>
      </c>
    </row>
    <row r="1856" ht="15.75" customHeight="1">
      <c r="A1856" s="1" t="str">
        <f>IFERROR(__xludf.DUMMYFUNCTION("""COMPUTED_VALUE"""),"the way he looks")</f>
        <v>the way he looks</v>
      </c>
      <c r="B1856" s="1" t="str">
        <f>IF(A1856&lt;&gt;"", VLOOKUP(A1856, imdb_netflix_v5!A$2:H$7370, 2, FALSE), "")</f>
        <v>Movie</v>
      </c>
      <c r="C1856" s="2" t="str">
        <f>IF(A1856&lt;&gt;"", VLOOKUP(A1856, imdb_netflix_v5!A$2:H$7370, 3, FALSE), "")</f>
        <v>Drama, Romance</v>
      </c>
      <c r="D1856" s="2">
        <f>IF(A1856&lt;&gt;"", VLOOKUP(A1856, imdb_netflix_v5!A$2:H$7370, 4, FALSE), "")</f>
        <v>7.9</v>
      </c>
      <c r="E1856" s="2">
        <f>IF(A1856&lt;&gt;"", VLOOKUP(A1856, imdb_netflix_v5!A$2:H$7370, 5, FALSE), "")</f>
        <v>2014</v>
      </c>
      <c r="F1856" s="2" t="str">
        <f>IF(A1856&lt;&gt;"", VLOOKUP(A1856, imdb_netflix_v5!A$2:H$7370, 7, FALSE), "")</f>
        <v>NA</v>
      </c>
    </row>
    <row r="1857" ht="15.75" customHeight="1">
      <c r="A1857" s="1" t="str">
        <f>IFERROR(__xludf.DUMMYFUNCTION("""COMPUTED_VALUE"""),"through a glass darkly")</f>
        <v>through a glass darkly</v>
      </c>
      <c r="B1857" s="1" t="str">
        <f>IF(A1857&lt;&gt;"", VLOOKUP(A1857, imdb_netflix_v5!A$2:H$7370, 2, FALSE), "")</f>
        <v>Movie</v>
      </c>
      <c r="C1857" s="2" t="str">
        <f>IF(A1857&lt;&gt;"", VLOOKUP(A1857, imdb_netflix_v5!A$2:H$7370, 3, FALSE), "")</f>
        <v>Drama</v>
      </c>
      <c r="D1857" s="2">
        <f>IF(A1857&lt;&gt;"", VLOOKUP(A1857, imdb_netflix_v5!A$2:H$7370, 4, FALSE), "")</f>
        <v>7.9</v>
      </c>
      <c r="E1857" s="2">
        <f>IF(A1857&lt;&gt;"", VLOOKUP(A1857, imdb_netflix_v5!A$2:H$7370, 5, FALSE), "")</f>
        <v>1961</v>
      </c>
      <c r="F1857" s="2" t="str">
        <f>IF(A1857&lt;&gt;"", VLOOKUP(A1857, imdb_netflix_v5!A$2:H$7370, 7, FALSE), "")</f>
        <v>NA</v>
      </c>
    </row>
    <row r="1858" ht="15.75" customHeight="1">
      <c r="A1858" s="1" t="str">
        <f>IFERROR(__xludf.DUMMYFUNCTION("""COMPUTED_VALUE"""),"my man godfrey")</f>
        <v>my man godfrey</v>
      </c>
      <c r="B1858" s="1" t="str">
        <f>IF(A1858&lt;&gt;"", VLOOKUP(A1858, imdb_netflix_v5!A$2:H$7370, 2, FALSE), "")</f>
        <v>Movie</v>
      </c>
      <c r="C1858" s="2" t="str">
        <f>IF(A1858&lt;&gt;"", VLOOKUP(A1858, imdb_netflix_v5!A$2:H$7370, 3, FALSE), "")</f>
        <v>Comedy, Drama, Romance</v>
      </c>
      <c r="D1858" s="2">
        <f>IF(A1858&lt;&gt;"", VLOOKUP(A1858, imdb_netflix_v5!A$2:H$7370, 4, FALSE), "")</f>
        <v>7.9</v>
      </c>
      <c r="E1858" s="2">
        <f>IF(A1858&lt;&gt;"", VLOOKUP(A1858, imdb_netflix_v5!A$2:H$7370, 5, FALSE), "")</f>
        <v>1936</v>
      </c>
      <c r="F1858" s="2" t="str">
        <f>IF(A1858&lt;&gt;"", VLOOKUP(A1858, imdb_netflix_v5!A$2:H$7370, 7, FALSE), "")</f>
        <v>NA</v>
      </c>
    </row>
    <row r="1859" ht="15.75" customHeight="1">
      <c r="A1859" s="1" t="str">
        <f>IFERROR(__xludf.DUMMYFUNCTION("""COMPUTED_VALUE"""),"the thin blue line")</f>
        <v>the thin blue line</v>
      </c>
      <c r="B1859" s="1" t="str">
        <f>IF(A1859&lt;&gt;"", VLOOKUP(A1859, imdb_netflix_v5!A$2:H$7370, 2, FALSE), "")</f>
        <v>Movie</v>
      </c>
      <c r="C1859" s="2" t="str">
        <f>IF(A1859&lt;&gt;"", VLOOKUP(A1859, imdb_netflix_v5!A$2:H$7370, 3, FALSE), "")</f>
        <v>Crime, Documentary</v>
      </c>
      <c r="D1859" s="2">
        <f>IF(A1859&lt;&gt;"", VLOOKUP(A1859, imdb_netflix_v5!A$2:H$7370, 4, FALSE), "")</f>
        <v>7.9</v>
      </c>
      <c r="E1859" s="2">
        <f>IF(A1859&lt;&gt;"", VLOOKUP(A1859, imdb_netflix_v5!A$2:H$7370, 5, FALSE), "")</f>
        <v>1988</v>
      </c>
      <c r="F1859" s="2" t="str">
        <f>IF(A1859&lt;&gt;"", VLOOKUP(A1859, imdb_netflix_v5!A$2:H$7370, 7, FALSE), "")</f>
        <v>NA</v>
      </c>
    </row>
    <row r="1860" ht="15.75" customHeight="1">
      <c r="A1860" s="1" t="str">
        <f>IFERROR(__xludf.DUMMYFUNCTION("""COMPUTED_VALUE"""),"waco")</f>
        <v>waco</v>
      </c>
      <c r="B1860" s="1" t="str">
        <f>IF(A1860&lt;&gt;"", VLOOKUP(A1860, imdb_netflix_v5!A$2:H$7370, 2, FALSE), "")</f>
        <v>TV Show</v>
      </c>
      <c r="C1860" s="2" t="str">
        <f>IF(A1860&lt;&gt;"", VLOOKUP(A1860, imdb_netflix_v5!A$2:H$7370, 3, FALSE), "")</f>
        <v>Crime, Drama, History</v>
      </c>
      <c r="D1860" s="2">
        <f>IF(A1860&lt;&gt;"", VLOOKUP(A1860, imdb_netflix_v5!A$2:H$7370, 4, FALSE), "")</f>
        <v>7.9</v>
      </c>
      <c r="E1860" s="2">
        <f>IF(A1860&lt;&gt;"", VLOOKUP(A1860, imdb_netflix_v5!A$2:H$7370, 5, FALSE), "")</f>
        <v>2018</v>
      </c>
      <c r="F1860" s="2" t="str">
        <f>IF(A1860&lt;&gt;"", VLOOKUP(A1860, imdb_netflix_v5!A$2:H$7370, 7, FALSE), "")</f>
        <v>NA</v>
      </c>
    </row>
    <row r="1861" ht="15.75" customHeight="1">
      <c r="A1861" s="1" t="str">
        <f>IFERROR(__xludf.DUMMYFUNCTION("""COMPUTED_VALUE"""),"animaniacs")</f>
        <v>animaniacs</v>
      </c>
      <c r="B1861" s="1" t="str">
        <f>IF(A1861&lt;&gt;"", VLOOKUP(A1861, imdb_netflix_v5!A$2:H$7370, 2, FALSE), "")</f>
        <v>TV Show</v>
      </c>
      <c r="C1861" s="2" t="str">
        <f>IF(A1861&lt;&gt;"", VLOOKUP(A1861, imdb_netflix_v5!A$2:H$7370, 3, FALSE), "")</f>
        <v>Adventure, Animation, Comedy</v>
      </c>
      <c r="D1861" s="2">
        <f>IF(A1861&lt;&gt;"", VLOOKUP(A1861, imdb_netflix_v5!A$2:H$7370, 4, FALSE), "")</f>
        <v>7.9</v>
      </c>
      <c r="E1861" s="2">
        <f>IF(A1861&lt;&gt;"", VLOOKUP(A1861, imdb_netflix_v5!A$2:H$7370, 5, FALSE), "")</f>
        <v>1993</v>
      </c>
      <c r="F1861" s="2" t="str">
        <f>IF(A1861&lt;&gt;"", VLOOKUP(A1861, imdb_netflix_v5!A$2:H$7370, 7, FALSE), "")</f>
        <v>NA</v>
      </c>
    </row>
    <row r="1862" ht="15.75" customHeight="1">
      <c r="A1862" s="1" t="str">
        <f>IFERROR(__xludf.DUMMYFUNCTION("""COMPUTED_VALUE"""),"c.b. strike")</f>
        <v>c.b. strike</v>
      </c>
      <c r="B1862" s="1" t="str">
        <f>IF(A1862&lt;&gt;"", VLOOKUP(A1862, imdb_netflix_v5!A$2:H$7370, 2, FALSE), "")</f>
        <v>TV Show</v>
      </c>
      <c r="C1862" s="2" t="str">
        <f>IF(A1862&lt;&gt;"", VLOOKUP(A1862, imdb_netflix_v5!A$2:H$7370, 3, FALSE), "")</f>
        <v>Crime, Drama, Mystery</v>
      </c>
      <c r="D1862" s="2">
        <f>IF(A1862&lt;&gt;"", VLOOKUP(A1862, imdb_netflix_v5!A$2:H$7370, 4, FALSE), "")</f>
        <v>7.9</v>
      </c>
      <c r="E1862" s="2">
        <f>IF(A1862&lt;&gt;"", VLOOKUP(A1862, imdb_netflix_v5!A$2:H$7370, 5, FALSE), "")</f>
        <v>2017</v>
      </c>
      <c r="F1862" s="2" t="str">
        <f>IF(A1862&lt;&gt;"", VLOOKUP(A1862, imdb_netflix_v5!A$2:H$7370, 7, FALSE), "")</f>
        <v>NA</v>
      </c>
    </row>
    <row r="1863" ht="15.75" customHeight="1">
      <c r="A1863" s="1" t="str">
        <f>IFERROR(__xludf.DUMMYFUNCTION("""COMPUTED_VALUE"""),"evangelion 2.0 you can (not) advance")</f>
        <v>evangelion 2.0 you can (not) advance</v>
      </c>
      <c r="B1863" s="1" t="str">
        <f>IF(A1863&lt;&gt;"", VLOOKUP(A1863, imdb_netflix_v5!A$2:H$7370, 2, FALSE), "")</f>
        <v>Movie</v>
      </c>
      <c r="C1863" s="2" t="str">
        <f>IF(A1863&lt;&gt;"", VLOOKUP(A1863, imdb_netflix_v5!A$2:H$7370, 3, FALSE), "")</f>
        <v>Action, Animation, Drama</v>
      </c>
      <c r="D1863" s="2">
        <f>IF(A1863&lt;&gt;"", VLOOKUP(A1863, imdb_netflix_v5!A$2:H$7370, 4, FALSE), "")</f>
        <v>7.9</v>
      </c>
      <c r="E1863" s="2">
        <f>IF(A1863&lt;&gt;"", VLOOKUP(A1863, imdb_netflix_v5!A$2:H$7370, 5, FALSE), "")</f>
        <v>2009</v>
      </c>
      <c r="F1863" s="2" t="str">
        <f>IF(A1863&lt;&gt;"", VLOOKUP(A1863, imdb_netflix_v5!A$2:H$7370, 7, FALSE), "")</f>
        <v>NA</v>
      </c>
    </row>
    <row r="1864" ht="15.75" customHeight="1">
      <c r="A1864" s="1" t="str">
        <f>IFERROR(__xludf.DUMMYFUNCTION("""COMPUTED_VALUE"""),"la notte")</f>
        <v>la notte</v>
      </c>
      <c r="B1864" s="1" t="str">
        <f>IF(A1864&lt;&gt;"", VLOOKUP(A1864, imdb_netflix_v5!A$2:H$7370, 2, FALSE), "")</f>
        <v>Movie</v>
      </c>
      <c r="C1864" s="2" t="str">
        <f>IF(A1864&lt;&gt;"", VLOOKUP(A1864, imdb_netflix_v5!A$2:H$7370, 3, FALSE), "")</f>
        <v>Drama</v>
      </c>
      <c r="D1864" s="2">
        <f>IF(A1864&lt;&gt;"", VLOOKUP(A1864, imdb_netflix_v5!A$2:H$7370, 4, FALSE), "")</f>
        <v>7.9</v>
      </c>
      <c r="E1864" s="2">
        <f>IF(A1864&lt;&gt;"", VLOOKUP(A1864, imdb_netflix_v5!A$2:H$7370, 5, FALSE), "")</f>
        <v>1961</v>
      </c>
      <c r="F1864" s="2" t="str">
        <f>IF(A1864&lt;&gt;"", VLOOKUP(A1864, imdb_netflix_v5!A$2:H$7370, 7, FALSE), "")</f>
        <v>NA</v>
      </c>
    </row>
    <row r="1865" ht="15.75" customHeight="1">
      <c r="A1865" s="1" t="str">
        <f>IFERROR(__xludf.DUMMYFUNCTION("""COMPUTED_VALUE"""),"ugly")</f>
        <v>ugly</v>
      </c>
      <c r="B1865" s="1" t="str">
        <f>IF(A1865&lt;&gt;"", VLOOKUP(A1865, imdb_netflix_v5!A$2:H$7370, 2, FALSE), "")</f>
        <v>Movie</v>
      </c>
      <c r="C1865" s="2" t="str">
        <f>IF(A1865&lt;&gt;"", VLOOKUP(A1865, imdb_netflix_v5!A$2:H$7370, 3, FALSE), "")</f>
        <v>Crime, Drama, Mystery</v>
      </c>
      <c r="D1865" s="2">
        <f>IF(A1865&lt;&gt;"", VLOOKUP(A1865, imdb_netflix_v5!A$2:H$7370, 4, FALSE), "")</f>
        <v>7.9</v>
      </c>
      <c r="E1865" s="2">
        <f>IF(A1865&lt;&gt;"", VLOOKUP(A1865, imdb_netflix_v5!A$2:H$7370, 5, FALSE), "")</f>
        <v>2013</v>
      </c>
      <c r="F1865" s="2" t="str">
        <f>IF(A1865&lt;&gt;"", VLOOKUP(A1865, imdb_netflix_v5!A$2:H$7370, 7, FALSE), "")</f>
        <v>NA</v>
      </c>
    </row>
    <row r="1866" ht="15.75" customHeight="1">
      <c r="A1866" s="1" t="str">
        <f>IFERROR(__xludf.DUMMYFUNCTION("""COMPUTED_VALUE"""),"i am not your negro")</f>
        <v>i am not your negro</v>
      </c>
      <c r="B1866" s="1" t="str">
        <f>IF(A1866&lt;&gt;"", VLOOKUP(A1866, imdb_netflix_v5!A$2:H$7370, 2, FALSE), "")</f>
        <v>Movie</v>
      </c>
      <c r="C1866" s="2" t="str">
        <f>IF(A1866&lt;&gt;"", VLOOKUP(A1866, imdb_netflix_v5!A$2:H$7370, 3, FALSE), "")</f>
        <v>Documentary, History</v>
      </c>
      <c r="D1866" s="2">
        <f>IF(A1866&lt;&gt;"", VLOOKUP(A1866, imdb_netflix_v5!A$2:H$7370, 4, FALSE), "")</f>
        <v>7.9</v>
      </c>
      <c r="E1866" s="2">
        <f>IF(A1866&lt;&gt;"", VLOOKUP(A1866, imdb_netflix_v5!A$2:H$7370, 5, FALSE), "")</f>
        <v>2016</v>
      </c>
      <c r="F1866" s="2" t="str">
        <f>IF(A1866&lt;&gt;"", VLOOKUP(A1866, imdb_netflix_v5!A$2:H$7370, 7, FALSE), "")</f>
        <v>NA</v>
      </c>
    </row>
    <row r="1867" ht="15.75" customHeight="1">
      <c r="A1867" s="1" t="str">
        <f>IFERROR(__xludf.DUMMYFUNCTION("""COMPUTED_VALUE"""),"angels with dirty faces")</f>
        <v>angels with dirty faces</v>
      </c>
      <c r="B1867" s="1" t="str">
        <f>IF(A1867&lt;&gt;"", VLOOKUP(A1867, imdb_netflix_v5!A$2:H$7370, 2, FALSE), "")</f>
        <v>Movie</v>
      </c>
      <c r="C1867" s="2" t="str">
        <f>IF(A1867&lt;&gt;"", VLOOKUP(A1867, imdb_netflix_v5!A$2:H$7370, 3, FALSE), "")</f>
        <v>Crime, Drama, Film-Noir</v>
      </c>
      <c r="D1867" s="2">
        <f>IF(A1867&lt;&gt;"", VLOOKUP(A1867, imdb_netflix_v5!A$2:H$7370, 4, FALSE), "")</f>
        <v>7.9</v>
      </c>
      <c r="E1867" s="2">
        <f>IF(A1867&lt;&gt;"", VLOOKUP(A1867, imdb_netflix_v5!A$2:H$7370, 5, FALSE), "")</f>
        <v>1938</v>
      </c>
      <c r="F1867" s="2" t="str">
        <f>IF(A1867&lt;&gt;"", VLOOKUP(A1867, imdb_netflix_v5!A$2:H$7370, 7, FALSE), "")</f>
        <v>NA</v>
      </c>
    </row>
    <row r="1868" ht="15.75" customHeight="1">
      <c r="A1868" s="1" t="str">
        <f>IFERROR(__xludf.DUMMYFUNCTION("""COMPUTED_VALUE"""),"tampopo")</f>
        <v>tampopo</v>
      </c>
      <c r="B1868" s="1" t="str">
        <f>IF(A1868&lt;&gt;"", VLOOKUP(A1868, imdb_netflix_v5!A$2:H$7370, 2, FALSE), "")</f>
        <v>Movie</v>
      </c>
      <c r="C1868" s="2" t="str">
        <f>IF(A1868&lt;&gt;"", VLOOKUP(A1868, imdb_netflix_v5!A$2:H$7370, 3, FALSE), "")</f>
        <v>Comedy</v>
      </c>
      <c r="D1868" s="2">
        <f>IF(A1868&lt;&gt;"", VLOOKUP(A1868, imdb_netflix_v5!A$2:H$7370, 4, FALSE), "")</f>
        <v>7.9</v>
      </c>
      <c r="E1868" s="2">
        <f>IF(A1868&lt;&gt;"", VLOOKUP(A1868, imdb_netflix_v5!A$2:H$7370, 5, FALSE), "")</f>
        <v>1985</v>
      </c>
      <c r="F1868" s="2" t="str">
        <f>IF(A1868&lt;&gt;"", VLOOKUP(A1868, imdb_netflix_v5!A$2:H$7370, 7, FALSE), "")</f>
        <v>NA</v>
      </c>
    </row>
    <row r="1869" ht="15.75" customHeight="1">
      <c r="A1869" s="1" t="str">
        <f>IFERROR(__xludf.DUMMYFUNCTION("""COMPUTED_VALUE"""),"kes")</f>
        <v>kes</v>
      </c>
      <c r="B1869" s="1" t="str">
        <f>IF(A1869&lt;&gt;"", VLOOKUP(A1869, imdb_netflix_v5!A$2:H$7370, 2, FALSE), "")</f>
        <v>Movie</v>
      </c>
      <c r="C1869" s="2" t="str">
        <f>IF(A1869&lt;&gt;"", VLOOKUP(A1869, imdb_netflix_v5!A$2:H$7370, 3, FALSE), "")</f>
        <v>Drama, Family</v>
      </c>
      <c r="D1869" s="2">
        <f>IF(A1869&lt;&gt;"", VLOOKUP(A1869, imdb_netflix_v5!A$2:H$7370, 4, FALSE), "")</f>
        <v>7.9</v>
      </c>
      <c r="E1869" s="2">
        <f>IF(A1869&lt;&gt;"", VLOOKUP(A1869, imdb_netflix_v5!A$2:H$7370, 5, FALSE), "")</f>
        <v>1969</v>
      </c>
      <c r="F1869" s="2" t="str">
        <f>IF(A1869&lt;&gt;"", VLOOKUP(A1869, imdb_netflix_v5!A$2:H$7370, 7, FALSE), "")</f>
        <v>NA</v>
      </c>
    </row>
    <row r="1870" ht="15.75" customHeight="1">
      <c r="A1870" s="1" t="str">
        <f>IFERROR(__xludf.DUMMYFUNCTION("""COMPUTED_VALUE"""),"crazy ex-girlfriend")</f>
        <v>crazy ex-girlfriend</v>
      </c>
      <c r="B1870" s="1" t="str">
        <f>IF(A1870&lt;&gt;"", VLOOKUP(A1870, imdb_netflix_v5!A$2:H$7370, 2, FALSE), "")</f>
        <v>TV Show</v>
      </c>
      <c r="C1870" s="2" t="str">
        <f>IF(A1870&lt;&gt;"", VLOOKUP(A1870, imdb_netflix_v5!A$2:H$7370, 3, FALSE), "")</f>
        <v>Comedy, Musical</v>
      </c>
      <c r="D1870" s="2">
        <f>IF(A1870&lt;&gt;"", VLOOKUP(A1870, imdb_netflix_v5!A$2:H$7370, 4, FALSE), "")</f>
        <v>7.9</v>
      </c>
      <c r="E1870" s="2">
        <f>IF(A1870&lt;&gt;"", VLOOKUP(A1870, imdb_netflix_v5!A$2:H$7370, 5, FALSE), "")</f>
        <v>2015</v>
      </c>
      <c r="F1870" s="2" t="str">
        <f>IF(A1870&lt;&gt;"", VLOOKUP(A1870, imdb_netflix_v5!A$2:H$7370, 7, FALSE), "")</f>
        <v>NA</v>
      </c>
    </row>
    <row r="1871" ht="15.75" customHeight="1">
      <c r="A1871" s="1" t="str">
        <f>IFERROR(__xludf.DUMMYFUNCTION("""COMPUTED_VALUE"""),"onibaba")</f>
        <v>onibaba</v>
      </c>
      <c r="B1871" s="1" t="str">
        <f>IF(A1871&lt;&gt;"", VLOOKUP(A1871, imdb_netflix_v5!A$2:H$7370, 2, FALSE), "")</f>
        <v>Movie</v>
      </c>
      <c r="C1871" s="2" t="str">
        <f>IF(A1871&lt;&gt;"", VLOOKUP(A1871, imdb_netflix_v5!A$2:H$7370, 3, FALSE), "")</f>
        <v>Drama, Horror, Thriller</v>
      </c>
      <c r="D1871" s="2">
        <f>IF(A1871&lt;&gt;"", VLOOKUP(A1871, imdb_netflix_v5!A$2:H$7370, 4, FALSE), "")</f>
        <v>7.9</v>
      </c>
      <c r="E1871" s="2">
        <f>IF(A1871&lt;&gt;"", VLOOKUP(A1871, imdb_netflix_v5!A$2:H$7370, 5, FALSE), "")</f>
        <v>1964</v>
      </c>
      <c r="F1871" s="2" t="str">
        <f>IF(A1871&lt;&gt;"", VLOOKUP(A1871, imdb_netflix_v5!A$2:H$7370, 7, FALSE), "")</f>
        <v>NA</v>
      </c>
    </row>
    <row r="1872" ht="15.75" customHeight="1">
      <c r="A1872" s="1" t="str">
        <f>IFERROR(__xludf.DUMMYFUNCTION("""COMPUTED_VALUE"""),"the stoning of soraya m.")</f>
        <v>the stoning of soraya m.</v>
      </c>
      <c r="B1872" s="1" t="str">
        <f>IF(A1872&lt;&gt;"", VLOOKUP(A1872, imdb_netflix_v5!A$2:H$7370, 2, FALSE), "")</f>
        <v>Movie</v>
      </c>
      <c r="C1872" s="2" t="str">
        <f>IF(A1872&lt;&gt;"", VLOOKUP(A1872, imdb_netflix_v5!A$2:H$7370, 3, FALSE), "")</f>
        <v>Drama</v>
      </c>
      <c r="D1872" s="2">
        <f>IF(A1872&lt;&gt;"", VLOOKUP(A1872, imdb_netflix_v5!A$2:H$7370, 4, FALSE), "")</f>
        <v>7.9</v>
      </c>
      <c r="E1872" s="2">
        <f>IF(A1872&lt;&gt;"", VLOOKUP(A1872, imdb_netflix_v5!A$2:H$7370, 5, FALSE), "")</f>
        <v>2008</v>
      </c>
      <c r="F1872" s="2" t="str">
        <f>IF(A1872&lt;&gt;"", VLOOKUP(A1872, imdb_netflix_v5!A$2:H$7370, 7, FALSE), "")</f>
        <v>NA</v>
      </c>
    </row>
    <row r="1873" ht="15.75" customHeight="1">
      <c r="A1873" s="1" t="str">
        <f>IFERROR(__xludf.DUMMYFUNCTION("""COMPUTED_VALUE"""),"rockos modern life")</f>
        <v>rockos modern life</v>
      </c>
      <c r="B1873" s="1" t="str">
        <f>IF(A1873&lt;&gt;"", VLOOKUP(A1873, imdb_netflix_v5!A$2:H$7370, 2, FALSE), "")</f>
        <v>TV Show</v>
      </c>
      <c r="C1873" s="2" t="str">
        <f>IF(A1873&lt;&gt;"", VLOOKUP(A1873, imdb_netflix_v5!A$2:H$7370, 3, FALSE), "")</f>
        <v>Animation, Comedy, Family</v>
      </c>
      <c r="D1873" s="2">
        <f>IF(A1873&lt;&gt;"", VLOOKUP(A1873, imdb_netflix_v5!A$2:H$7370, 4, FALSE), "")</f>
        <v>7.9</v>
      </c>
      <c r="E1873" s="2">
        <f>IF(A1873&lt;&gt;"", VLOOKUP(A1873, imdb_netflix_v5!A$2:H$7370, 5, FALSE), "")</f>
        <v>1993</v>
      </c>
      <c r="F1873" s="2" t="str">
        <f>IF(A1873&lt;&gt;"", VLOOKUP(A1873, imdb_netflix_v5!A$2:H$7370, 7, FALSE), "")</f>
        <v>NA</v>
      </c>
    </row>
    <row r="1874" ht="15.75" customHeight="1">
      <c r="A1874" s="1" t="str">
        <f>IFERROR(__xludf.DUMMYFUNCTION("""COMPUTED_VALUE"""),"the big country")</f>
        <v>the big country</v>
      </c>
      <c r="B1874" s="1" t="str">
        <f>IF(A1874&lt;&gt;"", VLOOKUP(A1874, imdb_netflix_v5!A$2:H$7370, 2, FALSE), "")</f>
        <v>Movie</v>
      </c>
      <c r="C1874" s="2" t="str">
        <f>IF(A1874&lt;&gt;"", VLOOKUP(A1874, imdb_netflix_v5!A$2:H$7370, 3, FALSE), "")</f>
        <v>Drama, Romance, Western</v>
      </c>
      <c r="D1874" s="2">
        <f>IF(A1874&lt;&gt;"", VLOOKUP(A1874, imdb_netflix_v5!A$2:H$7370, 4, FALSE), "")</f>
        <v>7.9</v>
      </c>
      <c r="E1874" s="2">
        <f>IF(A1874&lt;&gt;"", VLOOKUP(A1874, imdb_netflix_v5!A$2:H$7370, 5, FALSE), "")</f>
        <v>1958</v>
      </c>
      <c r="F1874" s="2" t="str">
        <f>IF(A1874&lt;&gt;"", VLOOKUP(A1874, imdb_netflix_v5!A$2:H$7370, 7, FALSE), "")</f>
        <v>NA</v>
      </c>
    </row>
    <row r="1875" ht="15.75" customHeight="1">
      <c r="A1875" s="1" t="str">
        <f>IFERROR(__xludf.DUMMYFUNCTION("""COMPUTED_VALUE"""),"loudermilk")</f>
        <v>loudermilk</v>
      </c>
      <c r="B1875" s="1" t="str">
        <f>IF(A1875&lt;&gt;"", VLOOKUP(A1875, imdb_netflix_v5!A$2:H$7370, 2, FALSE), "")</f>
        <v>TV Show</v>
      </c>
      <c r="C1875" s="2" t="str">
        <f>IF(A1875&lt;&gt;"", VLOOKUP(A1875, imdb_netflix_v5!A$2:H$7370, 3, FALSE), "")</f>
        <v>Comedy, Drama</v>
      </c>
      <c r="D1875" s="2">
        <f>IF(A1875&lt;&gt;"", VLOOKUP(A1875, imdb_netflix_v5!A$2:H$7370, 4, FALSE), "")</f>
        <v>7.9</v>
      </c>
      <c r="E1875" s="2">
        <f>IF(A1875&lt;&gt;"", VLOOKUP(A1875, imdb_netflix_v5!A$2:H$7370, 5, FALSE), "")</f>
        <v>2017</v>
      </c>
      <c r="F1875" s="2" t="str">
        <f>IF(A1875&lt;&gt;"", VLOOKUP(A1875, imdb_netflix_v5!A$2:H$7370, 7, FALSE), "")</f>
        <v>NA</v>
      </c>
    </row>
    <row r="1876" ht="15.75" customHeight="1">
      <c r="A1876" s="1" t="str">
        <f>IFERROR(__xludf.DUMMYFUNCTION("""COMPUTED_VALUE"""),"kwaidan")</f>
        <v>kwaidan</v>
      </c>
      <c r="B1876" s="1" t="str">
        <f>IF(A1876&lt;&gt;"", VLOOKUP(A1876, imdb_netflix_v5!A$2:H$7370, 2, FALSE), "")</f>
        <v>Movie</v>
      </c>
      <c r="C1876" s="2" t="str">
        <f>IF(A1876&lt;&gt;"", VLOOKUP(A1876, imdb_netflix_v5!A$2:H$7370, 3, FALSE), "")</f>
        <v>Drama, Fantasy, Horror</v>
      </c>
      <c r="D1876" s="2">
        <f>IF(A1876&lt;&gt;"", VLOOKUP(A1876, imdb_netflix_v5!A$2:H$7370, 4, FALSE), "")</f>
        <v>7.9</v>
      </c>
      <c r="E1876" s="2">
        <f>IF(A1876&lt;&gt;"", VLOOKUP(A1876, imdb_netflix_v5!A$2:H$7370, 5, FALSE), "")</f>
        <v>1964</v>
      </c>
      <c r="F1876" s="2" t="str">
        <f>IF(A1876&lt;&gt;"", VLOOKUP(A1876, imdb_netflix_v5!A$2:H$7370, 7, FALSE), "")</f>
        <v>NA</v>
      </c>
    </row>
    <row r="1877" ht="15.75" customHeight="1">
      <c r="A1877" s="1" t="str">
        <f>IFERROR(__xludf.DUMMYFUNCTION("""COMPUTED_VALUE"""),"dont look now... were being shot at!")</f>
        <v>dont look now... were being shot at!</v>
      </c>
      <c r="B1877" s="1" t="str">
        <f>IF(A1877&lt;&gt;"", VLOOKUP(A1877, imdb_netflix_v5!A$2:H$7370, 2, FALSE), "")</f>
        <v>Movie</v>
      </c>
      <c r="C1877" s="2" t="str">
        <f>IF(A1877&lt;&gt;"", VLOOKUP(A1877, imdb_netflix_v5!A$2:H$7370, 3, FALSE), "")</f>
        <v>Adventure, Comedy, War</v>
      </c>
      <c r="D1877" s="2">
        <f>IF(A1877&lt;&gt;"", VLOOKUP(A1877, imdb_netflix_v5!A$2:H$7370, 4, FALSE), "")</f>
        <v>7.9</v>
      </c>
      <c r="E1877" s="2">
        <f>IF(A1877&lt;&gt;"", VLOOKUP(A1877, imdb_netflix_v5!A$2:H$7370, 5, FALSE), "")</f>
        <v>1966</v>
      </c>
      <c r="F1877" s="2" t="str">
        <f>IF(A1877&lt;&gt;"", VLOOKUP(A1877, imdb_netflix_v5!A$2:H$7370, 7, FALSE), "")</f>
        <v>NA</v>
      </c>
    </row>
    <row r="1878" ht="15.75" customHeight="1">
      <c r="A1878" s="1" t="str">
        <f>IFERROR(__xludf.DUMMYFUNCTION("""COMPUTED_VALUE"""),"flee")</f>
        <v>flee</v>
      </c>
      <c r="B1878" s="1" t="str">
        <f>IF(A1878&lt;&gt;"", VLOOKUP(A1878, imdb_netflix_v5!A$2:H$7370, 2, FALSE), "")</f>
        <v>Movie</v>
      </c>
      <c r="C1878" s="2" t="str">
        <f>IF(A1878&lt;&gt;"", VLOOKUP(A1878, imdb_netflix_v5!A$2:H$7370, 3, FALSE), "")</f>
        <v>Animation, Biography, Documentary</v>
      </c>
      <c r="D1878" s="2">
        <f>IF(A1878&lt;&gt;"", VLOOKUP(A1878, imdb_netflix_v5!A$2:H$7370, 4, FALSE), "")</f>
        <v>7.9</v>
      </c>
      <c r="E1878" s="2">
        <f>IF(A1878&lt;&gt;"", VLOOKUP(A1878, imdb_netflix_v5!A$2:H$7370, 5, FALSE), "")</f>
        <v>2021</v>
      </c>
      <c r="F1878" s="2" t="str">
        <f>IF(A1878&lt;&gt;"", VLOOKUP(A1878, imdb_netflix_v5!A$2:H$7370, 7, FALSE), "")</f>
        <v>NA</v>
      </c>
    </row>
    <row r="1879" ht="15.75" customHeight="1">
      <c r="A1879" s="1" t="str">
        <f>IFERROR(__xludf.DUMMYFUNCTION("""COMPUTED_VALUE"""),"toradora!")</f>
        <v>toradora!</v>
      </c>
      <c r="B1879" s="1" t="str">
        <f>IF(A1879&lt;&gt;"", VLOOKUP(A1879, imdb_netflix_v5!A$2:H$7370, 2, FALSE), "")</f>
        <v>TV Show</v>
      </c>
      <c r="C1879" s="2" t="str">
        <f>IF(A1879&lt;&gt;"", VLOOKUP(A1879, imdb_netflix_v5!A$2:H$7370, 3, FALSE), "")</f>
        <v>Animation, Comedy, Drama</v>
      </c>
      <c r="D1879" s="2">
        <f>IF(A1879&lt;&gt;"", VLOOKUP(A1879, imdb_netflix_v5!A$2:H$7370, 4, FALSE), "")</f>
        <v>7.9</v>
      </c>
      <c r="E1879" s="2">
        <f>IF(A1879&lt;&gt;"", VLOOKUP(A1879, imdb_netflix_v5!A$2:H$7370, 5, FALSE), "")</f>
        <v>2008</v>
      </c>
      <c r="F1879" s="2" t="str">
        <f>IF(A1879&lt;&gt;"", VLOOKUP(A1879, imdb_netflix_v5!A$2:H$7370, 7, FALSE), "")</f>
        <v>NA</v>
      </c>
    </row>
    <row r="1880" ht="15.75" customHeight="1">
      <c r="A1880" s="1" t="str">
        <f>IFERROR(__xludf.DUMMYFUNCTION("""COMPUTED_VALUE"""),"we bare bears")</f>
        <v>we bare bears</v>
      </c>
      <c r="B1880" s="1" t="str">
        <f>IF(A1880&lt;&gt;"", VLOOKUP(A1880, imdb_netflix_v5!A$2:H$7370, 2, FALSE), "")</f>
        <v>TV Show</v>
      </c>
      <c r="C1880" s="2" t="str">
        <f>IF(A1880&lt;&gt;"", VLOOKUP(A1880, imdb_netflix_v5!A$2:H$7370, 3, FALSE), "")</f>
        <v>Adventure, Animation, Comedy</v>
      </c>
      <c r="D1880" s="2">
        <f>IF(A1880&lt;&gt;"", VLOOKUP(A1880, imdb_netflix_v5!A$2:H$7370, 4, FALSE), "")</f>
        <v>7.9</v>
      </c>
      <c r="E1880" s="2">
        <f>IF(A1880&lt;&gt;"", VLOOKUP(A1880, imdb_netflix_v5!A$2:H$7370, 5, FALSE), "")</f>
        <v>2014</v>
      </c>
      <c r="F1880" s="2" t="str">
        <f>IF(A1880&lt;&gt;"", VLOOKUP(A1880, imdb_netflix_v5!A$2:H$7370, 7, FALSE), "")</f>
        <v>NA</v>
      </c>
    </row>
    <row r="1881" ht="15.75" customHeight="1">
      <c r="A1881" s="1" t="str">
        <f>IFERROR(__xludf.DUMMYFUNCTION("""COMPUTED_VALUE"""),"star vs. the forces of evil")</f>
        <v>star vs. the forces of evil</v>
      </c>
      <c r="B1881" s="1" t="str">
        <f>IF(A1881&lt;&gt;"", VLOOKUP(A1881, imdb_netflix_v5!A$2:H$7370, 2, FALSE), "")</f>
        <v>TV Show</v>
      </c>
      <c r="C1881" s="2" t="str">
        <f>IF(A1881&lt;&gt;"", VLOOKUP(A1881, imdb_netflix_v5!A$2:H$7370, 3, FALSE), "")</f>
        <v>Action, Adventure, Animation</v>
      </c>
      <c r="D1881" s="2">
        <f>IF(A1881&lt;&gt;"", VLOOKUP(A1881, imdb_netflix_v5!A$2:H$7370, 4, FALSE), "")</f>
        <v>7.9</v>
      </c>
      <c r="E1881" s="2">
        <f>IF(A1881&lt;&gt;"", VLOOKUP(A1881, imdb_netflix_v5!A$2:H$7370, 5, FALSE), "")</f>
        <v>2012</v>
      </c>
      <c r="F1881" s="2" t="str">
        <f>IF(A1881&lt;&gt;"", VLOOKUP(A1881, imdb_netflix_v5!A$2:H$7370, 7, FALSE), "")</f>
        <v>NA</v>
      </c>
    </row>
    <row r="1882" ht="15.75" customHeight="1">
      <c r="A1882" s="1" t="str">
        <f>IFERROR(__xludf.DUMMYFUNCTION("""COMPUTED_VALUE"""),"boy swallows universe")</f>
        <v>boy swallows universe</v>
      </c>
      <c r="B1882" s="1" t="str">
        <f>IF(A1882&lt;&gt;"", VLOOKUP(A1882, imdb_netflix_v5!A$2:H$7370, 2, FALSE), "")</f>
        <v>TV Show</v>
      </c>
      <c r="C1882" s="2" t="str">
        <f>IF(A1882&lt;&gt;"", VLOOKUP(A1882, imdb_netflix_v5!A$2:H$7370, 3, FALSE), "")</f>
        <v>Crime, Drama, Mystery</v>
      </c>
      <c r="D1882" s="2">
        <f>IF(A1882&lt;&gt;"", VLOOKUP(A1882, imdb_netflix_v5!A$2:H$7370, 4, FALSE), "")</f>
        <v>7.9</v>
      </c>
      <c r="E1882" s="2">
        <f>IF(A1882&lt;&gt;"", VLOOKUP(A1882, imdb_netflix_v5!A$2:H$7370, 5, FALSE), "")</f>
        <v>2024</v>
      </c>
      <c r="F1882" s="2" t="str">
        <f>IF(A1882&lt;&gt;"", VLOOKUP(A1882, imdb_netflix_v5!A$2:H$7370, 7, FALSE), "")</f>
        <v>NA</v>
      </c>
    </row>
    <row r="1883" ht="15.75" customHeight="1">
      <c r="A1883" s="1" t="str">
        <f>IFERROR(__xludf.DUMMYFUNCTION("""COMPUTED_VALUE"""),"thundercats")</f>
        <v>thundercats</v>
      </c>
      <c r="B1883" s="1" t="str">
        <f>IF(A1883&lt;&gt;"", VLOOKUP(A1883, imdb_netflix_v5!A$2:H$7370, 2, FALSE), "")</f>
        <v>TV Show</v>
      </c>
      <c r="C1883" s="2" t="str">
        <f>IF(A1883&lt;&gt;"", VLOOKUP(A1883, imdb_netflix_v5!A$2:H$7370, 3, FALSE), "")</f>
        <v>Action, Adventure, Animation</v>
      </c>
      <c r="D1883" s="2">
        <f>IF(A1883&lt;&gt;"", VLOOKUP(A1883, imdb_netflix_v5!A$2:H$7370, 4, FALSE), "")</f>
        <v>7.9</v>
      </c>
      <c r="E1883" s="2">
        <f>IF(A1883&lt;&gt;"", VLOOKUP(A1883, imdb_netflix_v5!A$2:H$7370, 5, FALSE), "")</f>
        <v>1985</v>
      </c>
      <c r="F1883" s="2" t="str">
        <f>IF(A1883&lt;&gt;"", VLOOKUP(A1883, imdb_netflix_v5!A$2:H$7370, 7, FALSE), "")</f>
        <v>NA</v>
      </c>
    </row>
    <row r="1884" ht="15.75" customHeight="1">
      <c r="A1884" s="1" t="str">
        <f>IFERROR(__xludf.DUMMYFUNCTION("""COMPUTED_VALUE"""),"when we were kings")</f>
        <v>when we were kings</v>
      </c>
      <c r="B1884" s="1" t="str">
        <f>IF(A1884&lt;&gt;"", VLOOKUP(A1884, imdb_netflix_v5!A$2:H$7370, 2, FALSE), "")</f>
        <v>Movie</v>
      </c>
      <c r="C1884" s="2" t="str">
        <f>IF(A1884&lt;&gt;"", VLOOKUP(A1884, imdb_netflix_v5!A$2:H$7370, 3, FALSE), "")</f>
        <v>Documentary, Sport</v>
      </c>
      <c r="D1884" s="2">
        <f>IF(A1884&lt;&gt;"", VLOOKUP(A1884, imdb_netflix_v5!A$2:H$7370, 4, FALSE), "")</f>
        <v>7.9</v>
      </c>
      <c r="E1884" s="2">
        <f>IF(A1884&lt;&gt;"", VLOOKUP(A1884, imdb_netflix_v5!A$2:H$7370, 5, FALSE), "")</f>
        <v>1996</v>
      </c>
      <c r="F1884" s="2" t="str">
        <f>IF(A1884&lt;&gt;"", VLOOKUP(A1884, imdb_netflix_v5!A$2:H$7370, 7, FALSE), "")</f>
        <v>NA</v>
      </c>
    </row>
    <row r="1885" ht="15.75" customHeight="1">
      <c r="A1885" s="1" t="str">
        <f>IFERROR(__xludf.DUMMYFUNCTION("""COMPUTED_VALUE"""),"now, voyager")</f>
        <v>now, voyager</v>
      </c>
      <c r="B1885" s="1" t="str">
        <f>IF(A1885&lt;&gt;"", VLOOKUP(A1885, imdb_netflix_v5!A$2:H$7370, 2, FALSE), "")</f>
        <v>Movie</v>
      </c>
      <c r="C1885" s="2" t="str">
        <f>IF(A1885&lt;&gt;"", VLOOKUP(A1885, imdb_netflix_v5!A$2:H$7370, 3, FALSE), "")</f>
        <v>Drama, Romance</v>
      </c>
      <c r="D1885" s="2">
        <f>IF(A1885&lt;&gt;"", VLOOKUP(A1885, imdb_netflix_v5!A$2:H$7370, 4, FALSE), "")</f>
        <v>7.9</v>
      </c>
      <c r="E1885" s="2">
        <f>IF(A1885&lt;&gt;"", VLOOKUP(A1885, imdb_netflix_v5!A$2:H$7370, 5, FALSE), "")</f>
        <v>1942</v>
      </c>
      <c r="F1885" s="2" t="str">
        <f>IF(A1885&lt;&gt;"", VLOOKUP(A1885, imdb_netflix_v5!A$2:H$7370, 7, FALSE), "")</f>
        <v>NA</v>
      </c>
    </row>
    <row r="1886" ht="15.75" customHeight="1">
      <c r="A1886" s="1" t="str">
        <f>IFERROR(__xludf.DUMMYFUNCTION("""COMPUTED_VALUE"""),"still walking")</f>
        <v>still walking</v>
      </c>
      <c r="B1886" s="1" t="str">
        <f>IF(A1886&lt;&gt;"", VLOOKUP(A1886, imdb_netflix_v5!A$2:H$7370, 2, FALSE), "")</f>
        <v>Movie</v>
      </c>
      <c r="C1886" s="2" t="str">
        <f>IF(A1886&lt;&gt;"", VLOOKUP(A1886, imdb_netflix_v5!A$2:H$7370, 3, FALSE), "")</f>
        <v>Drama</v>
      </c>
      <c r="D1886" s="2">
        <f>IF(A1886&lt;&gt;"", VLOOKUP(A1886, imdb_netflix_v5!A$2:H$7370, 4, FALSE), "")</f>
        <v>7.9</v>
      </c>
      <c r="E1886" s="2">
        <f>IF(A1886&lt;&gt;"", VLOOKUP(A1886, imdb_netflix_v5!A$2:H$7370, 5, FALSE), "")</f>
        <v>2008</v>
      </c>
      <c r="F1886" s="2" t="str">
        <f>IF(A1886&lt;&gt;"", VLOOKUP(A1886, imdb_netflix_v5!A$2:H$7370, 7, FALSE), "")</f>
        <v>NA</v>
      </c>
    </row>
    <row r="1887" ht="15.75" customHeight="1">
      <c r="A1887" s="1" t="str">
        <f>IFERROR(__xludf.DUMMYFUNCTION("""COMPUTED_VALUE"""),"versailles")</f>
        <v>versailles</v>
      </c>
      <c r="B1887" s="1" t="str">
        <f>IF(A1887&lt;&gt;"", VLOOKUP(A1887, imdb_netflix_v5!A$2:H$7370, 2, FALSE), "")</f>
        <v>TV Show</v>
      </c>
      <c r="C1887" s="2" t="str">
        <f>IF(A1887&lt;&gt;"", VLOOKUP(A1887, imdb_netflix_v5!A$2:H$7370, 3, FALSE), "")</f>
        <v>Biography, Drama, History</v>
      </c>
      <c r="D1887" s="2">
        <f>IF(A1887&lt;&gt;"", VLOOKUP(A1887, imdb_netflix_v5!A$2:H$7370, 4, FALSE), "")</f>
        <v>7.9</v>
      </c>
      <c r="E1887" s="2">
        <f>IF(A1887&lt;&gt;"", VLOOKUP(A1887, imdb_netflix_v5!A$2:H$7370, 5, FALSE), "")</f>
        <v>2015</v>
      </c>
      <c r="F1887" s="2" t="str">
        <f>IF(A1887&lt;&gt;"", VLOOKUP(A1887, imdb_netflix_v5!A$2:H$7370, 7, FALSE), "")</f>
        <v>NA</v>
      </c>
    </row>
    <row r="1888" ht="15.75" customHeight="1">
      <c r="A1888" s="1" t="str">
        <f>IFERROR(__xludf.DUMMYFUNCTION("""COMPUTED_VALUE"""),"black lagoon")</f>
        <v>black lagoon</v>
      </c>
      <c r="B1888" s="1" t="str">
        <f>IF(A1888&lt;&gt;"", VLOOKUP(A1888, imdb_netflix_v5!A$2:H$7370, 2, FALSE), "")</f>
        <v>TV Show</v>
      </c>
      <c r="C1888" s="2" t="str">
        <f>IF(A1888&lt;&gt;"", VLOOKUP(A1888, imdb_netflix_v5!A$2:H$7370, 3, FALSE), "")</f>
        <v>Action, Adventure, Animation</v>
      </c>
      <c r="D1888" s="2">
        <f>IF(A1888&lt;&gt;"", VLOOKUP(A1888, imdb_netflix_v5!A$2:H$7370, 4, FALSE), "")</f>
        <v>7.9</v>
      </c>
      <c r="E1888" s="2">
        <f>IF(A1888&lt;&gt;"", VLOOKUP(A1888, imdb_netflix_v5!A$2:H$7370, 5, FALSE), "")</f>
        <v>2006</v>
      </c>
      <c r="F1888" s="2" t="str">
        <f>IF(A1888&lt;&gt;"", VLOOKUP(A1888, imdb_netflix_v5!A$2:H$7370, 7, FALSE), "")</f>
        <v>NA</v>
      </c>
    </row>
    <row r="1889" ht="15.75" customHeight="1">
      <c r="A1889" s="1" t="str">
        <f>IFERROR(__xludf.DUMMYFUNCTION("""COMPUTED_VALUE"""),"better things")</f>
        <v>better things</v>
      </c>
      <c r="B1889" s="1" t="str">
        <f>IF(A1889&lt;&gt;"", VLOOKUP(A1889, imdb_netflix_v5!A$2:H$7370, 2, FALSE), "")</f>
        <v>TV Show</v>
      </c>
      <c r="C1889" s="2" t="str">
        <f>IF(A1889&lt;&gt;"", VLOOKUP(A1889, imdb_netflix_v5!A$2:H$7370, 3, FALSE), "")</f>
        <v>Comedy, Drama</v>
      </c>
      <c r="D1889" s="2">
        <f>IF(A1889&lt;&gt;"", VLOOKUP(A1889, imdb_netflix_v5!A$2:H$7370, 4, FALSE), "")</f>
        <v>7.9</v>
      </c>
      <c r="E1889" s="2">
        <f>IF(A1889&lt;&gt;"", VLOOKUP(A1889, imdb_netflix_v5!A$2:H$7370, 5, FALSE), "")</f>
        <v>2016</v>
      </c>
      <c r="F1889" s="2" t="str">
        <f>IF(A1889&lt;&gt;"", VLOOKUP(A1889, imdb_netflix_v5!A$2:H$7370, 7, FALSE), "")</f>
        <v>NA</v>
      </c>
    </row>
    <row r="1890" ht="15.75" customHeight="1">
      <c r="A1890" s="1" t="str">
        <f>IFERROR(__xludf.DUMMYFUNCTION("""COMPUTED_VALUE"""),"inuyasha")</f>
        <v>inuyasha</v>
      </c>
      <c r="B1890" s="1" t="str">
        <f>IF(A1890&lt;&gt;"", VLOOKUP(A1890, imdb_netflix_v5!A$2:H$7370, 2, FALSE), "")</f>
        <v>TV Show</v>
      </c>
      <c r="C1890" s="2" t="str">
        <f>IF(A1890&lt;&gt;"", VLOOKUP(A1890, imdb_netflix_v5!A$2:H$7370, 3, FALSE), "")</f>
        <v>Action, Adventure, Animation</v>
      </c>
      <c r="D1890" s="2">
        <f>IF(A1890&lt;&gt;"", VLOOKUP(A1890, imdb_netflix_v5!A$2:H$7370, 4, FALSE), "")</f>
        <v>7.9</v>
      </c>
      <c r="E1890" s="2">
        <f>IF(A1890&lt;&gt;"", VLOOKUP(A1890, imdb_netflix_v5!A$2:H$7370, 5, FALSE), "")</f>
        <v>2000</v>
      </c>
      <c r="F1890" s="2" t="str">
        <f>IF(A1890&lt;&gt;"", VLOOKUP(A1890, imdb_netflix_v5!A$2:H$7370, 7, FALSE), "")</f>
        <v>NA</v>
      </c>
    </row>
    <row r="1891" ht="15.75" customHeight="1">
      <c r="A1891" s="1" t="str">
        <f>IFERROR(__xludf.DUMMYFUNCTION("""COMPUTED_VALUE"""),"keeping up appearances")</f>
        <v>keeping up appearances</v>
      </c>
      <c r="B1891" s="1" t="str">
        <f>IF(A1891&lt;&gt;"", VLOOKUP(A1891, imdb_netflix_v5!A$2:H$7370, 2, FALSE), "")</f>
        <v>TV Show</v>
      </c>
      <c r="C1891" s="2" t="str">
        <f>IF(A1891&lt;&gt;"", VLOOKUP(A1891, imdb_netflix_v5!A$2:H$7370, 3, FALSE), "")</f>
        <v>Comedy</v>
      </c>
      <c r="D1891" s="2">
        <f>IF(A1891&lt;&gt;"", VLOOKUP(A1891, imdb_netflix_v5!A$2:H$7370, 4, FALSE), "")</f>
        <v>7.9</v>
      </c>
      <c r="E1891" s="2">
        <f>IF(A1891&lt;&gt;"", VLOOKUP(A1891, imdb_netflix_v5!A$2:H$7370, 5, FALSE), "")</f>
        <v>1990</v>
      </c>
      <c r="F1891" s="2" t="str">
        <f>IF(A1891&lt;&gt;"", VLOOKUP(A1891, imdb_netflix_v5!A$2:H$7370, 7, FALSE), "")</f>
        <v>NA</v>
      </c>
    </row>
    <row r="1892" ht="15.75" customHeight="1">
      <c r="A1892" s="1" t="str">
        <f>IFERROR(__xludf.DUMMYFUNCTION("""COMPUTED_VALUE"""),"from scratch")</f>
        <v>from scratch</v>
      </c>
      <c r="B1892" s="1" t="str">
        <f>IF(A1892&lt;&gt;"", VLOOKUP(A1892, imdb_netflix_v5!A$2:H$7370, 2, FALSE), "")</f>
        <v>TV Show</v>
      </c>
      <c r="C1892" s="2" t="str">
        <f>IF(A1892&lt;&gt;"", VLOOKUP(A1892, imdb_netflix_v5!A$2:H$7370, 3, FALSE), "")</f>
        <v>Drama, Romance</v>
      </c>
      <c r="D1892" s="2">
        <f>IF(A1892&lt;&gt;"", VLOOKUP(A1892, imdb_netflix_v5!A$2:H$7370, 4, FALSE), "")</f>
        <v>7.9</v>
      </c>
      <c r="E1892" s="2">
        <f>IF(A1892&lt;&gt;"", VLOOKUP(A1892, imdb_netflix_v5!A$2:H$7370, 5, FALSE), "")</f>
        <v>2022</v>
      </c>
      <c r="F1892" s="2">
        <f>IF(A1892&lt;&gt;"", VLOOKUP(A1892, imdb_netflix_v5!A$2:H$7370, 7, FALSE), "")</f>
        <v>19880000</v>
      </c>
    </row>
    <row r="1893" ht="15.75" customHeight="1">
      <c r="A1893" s="1" t="str">
        <f>IFERROR(__xludf.DUMMYFUNCTION("""COMPUTED_VALUE"""),"border")</f>
        <v>border</v>
      </c>
      <c r="B1893" s="1" t="str">
        <f>IF(A1893&lt;&gt;"", VLOOKUP(A1893, imdb_netflix_v5!A$2:H$7370, 2, FALSE), "")</f>
        <v>Movie</v>
      </c>
      <c r="C1893" s="2" t="str">
        <f>IF(A1893&lt;&gt;"", VLOOKUP(A1893, imdb_netflix_v5!A$2:H$7370, 3, FALSE), "")</f>
        <v>Drama, History, Thriller</v>
      </c>
      <c r="D1893" s="2">
        <f>IF(A1893&lt;&gt;"", VLOOKUP(A1893, imdb_netflix_v5!A$2:H$7370, 4, FALSE), "")</f>
        <v>7.9</v>
      </c>
      <c r="E1893" s="2">
        <f>IF(A1893&lt;&gt;"", VLOOKUP(A1893, imdb_netflix_v5!A$2:H$7370, 5, FALSE), "")</f>
        <v>1997</v>
      </c>
      <c r="F1893" s="2" t="str">
        <f>IF(A1893&lt;&gt;"", VLOOKUP(A1893, imdb_netflix_v5!A$2:H$7370, 7, FALSE), "")</f>
        <v>NA</v>
      </c>
    </row>
    <row r="1894" ht="15.75" customHeight="1">
      <c r="A1894" s="1" t="str">
        <f>IFERROR(__xludf.DUMMYFUNCTION("""COMPUTED_VALUE"""),"grantchester")</f>
        <v>grantchester</v>
      </c>
      <c r="B1894" s="1" t="str">
        <f>IF(A1894&lt;&gt;"", VLOOKUP(A1894, imdb_netflix_v5!A$2:H$7370, 2, FALSE), "")</f>
        <v>TV Show</v>
      </c>
      <c r="C1894" s="2" t="str">
        <f>IF(A1894&lt;&gt;"", VLOOKUP(A1894, imdb_netflix_v5!A$2:H$7370, 3, FALSE), "")</f>
        <v>Crime, Drama, Mystery</v>
      </c>
      <c r="D1894" s="2">
        <f>IF(A1894&lt;&gt;"", VLOOKUP(A1894, imdb_netflix_v5!A$2:H$7370, 4, FALSE), "")</f>
        <v>7.9</v>
      </c>
      <c r="E1894" s="2">
        <f>IF(A1894&lt;&gt;"", VLOOKUP(A1894, imdb_netflix_v5!A$2:H$7370, 5, FALSE), "")</f>
        <v>2014</v>
      </c>
      <c r="F1894" s="2" t="str">
        <f>IF(A1894&lt;&gt;"", VLOOKUP(A1894, imdb_netflix_v5!A$2:H$7370, 7, FALSE), "")</f>
        <v>NA</v>
      </c>
    </row>
    <row r="1895" ht="15.75" customHeight="1">
      <c r="A1895" s="1" t="str">
        <f>IFERROR(__xludf.DUMMYFUNCTION("""COMPUTED_VALUE"""),"a night to remember")</f>
        <v>a night to remember</v>
      </c>
      <c r="B1895" s="1" t="str">
        <f>IF(A1895&lt;&gt;"", VLOOKUP(A1895, imdb_netflix_v5!A$2:H$7370, 2, FALSE), "")</f>
        <v>Movie</v>
      </c>
      <c r="C1895" s="2" t="str">
        <f>IF(A1895&lt;&gt;"", VLOOKUP(A1895, imdb_netflix_v5!A$2:H$7370, 3, FALSE), "")</f>
        <v>Drama, History</v>
      </c>
      <c r="D1895" s="2">
        <f>IF(A1895&lt;&gt;"", VLOOKUP(A1895, imdb_netflix_v5!A$2:H$7370, 4, FALSE), "")</f>
        <v>7.9</v>
      </c>
      <c r="E1895" s="2">
        <f>IF(A1895&lt;&gt;"", VLOOKUP(A1895, imdb_netflix_v5!A$2:H$7370, 5, FALSE), "")</f>
        <v>1958</v>
      </c>
      <c r="F1895" s="2" t="str">
        <f>IF(A1895&lt;&gt;"", VLOOKUP(A1895, imdb_netflix_v5!A$2:H$7370, 7, FALSE), "")</f>
        <v>NA</v>
      </c>
    </row>
    <row r="1896" ht="15.75" customHeight="1">
      <c r="A1896" s="1" t="str">
        <f>IFERROR(__xludf.DUMMYFUNCTION("""COMPUTED_VALUE"""),"undeclared")</f>
        <v>undeclared</v>
      </c>
      <c r="B1896" s="1" t="str">
        <f>IF(A1896&lt;&gt;"", VLOOKUP(A1896, imdb_netflix_v5!A$2:H$7370, 2, FALSE), "")</f>
        <v>TV Show</v>
      </c>
      <c r="C1896" s="2" t="str">
        <f>IF(A1896&lt;&gt;"", VLOOKUP(A1896, imdb_netflix_v5!A$2:H$7370, 3, FALSE), "")</f>
        <v>Comedy</v>
      </c>
      <c r="D1896" s="2">
        <f>IF(A1896&lt;&gt;"", VLOOKUP(A1896, imdb_netflix_v5!A$2:H$7370, 4, FALSE), "")</f>
        <v>7.9</v>
      </c>
      <c r="E1896" s="2">
        <f>IF(A1896&lt;&gt;"", VLOOKUP(A1896, imdb_netflix_v5!A$2:H$7370, 5, FALSE), "")</f>
        <v>2001</v>
      </c>
      <c r="F1896" s="2" t="str">
        <f>IF(A1896&lt;&gt;"", VLOOKUP(A1896, imdb_netflix_v5!A$2:H$7370, 7, FALSE), "")</f>
        <v>NA</v>
      </c>
    </row>
    <row r="1897" ht="15.75" customHeight="1">
      <c r="A1897" s="1" t="str">
        <f>IFERROR(__xludf.DUMMYFUNCTION("""COMPUTED_VALUE"""),"kill la kill")</f>
        <v>kill la kill</v>
      </c>
      <c r="B1897" s="1" t="str">
        <f>IF(A1897&lt;&gt;"", VLOOKUP(A1897, imdb_netflix_v5!A$2:H$7370, 2, FALSE), "")</f>
        <v>TV Show</v>
      </c>
      <c r="C1897" s="2" t="str">
        <f>IF(A1897&lt;&gt;"", VLOOKUP(A1897, imdb_netflix_v5!A$2:H$7370, 3, FALSE), "")</f>
        <v>Action, Animation, Comedy</v>
      </c>
      <c r="D1897" s="2">
        <f>IF(A1897&lt;&gt;"", VLOOKUP(A1897, imdb_netflix_v5!A$2:H$7370, 4, FALSE), "")</f>
        <v>7.9</v>
      </c>
      <c r="E1897" s="2">
        <f>IF(A1897&lt;&gt;"", VLOOKUP(A1897, imdb_netflix_v5!A$2:H$7370, 5, FALSE), "")</f>
        <v>2013</v>
      </c>
      <c r="F1897" s="2" t="str">
        <f>IF(A1897&lt;&gt;"", VLOOKUP(A1897, imdb_netflix_v5!A$2:H$7370, 7, FALSE), "")</f>
        <v>NA</v>
      </c>
    </row>
    <row r="1898" ht="15.75" customHeight="1">
      <c r="A1898" s="1" t="str">
        <f>IFERROR(__xludf.DUMMYFUNCTION("""COMPUTED_VALUE"""),"bts permission to dance on stage - seoul live viewing")</f>
        <v>bts permission to dance on stage - seoul live viewing</v>
      </c>
      <c r="B1898" s="1" t="str">
        <f>IF(A1898&lt;&gt;"", VLOOKUP(A1898, imdb_netflix_v5!A$2:H$7370, 2, FALSE), "")</f>
        <v>Movie</v>
      </c>
      <c r="C1898" s="2" t="str">
        <f>IF(A1898&lt;&gt;"", VLOOKUP(A1898, imdb_netflix_v5!A$2:H$7370, 3, FALSE), "")</f>
        <v>Documentary, Music</v>
      </c>
      <c r="D1898" s="2">
        <f>IF(A1898&lt;&gt;"", VLOOKUP(A1898, imdb_netflix_v5!A$2:H$7370, 4, FALSE), "")</f>
        <v>7.9</v>
      </c>
      <c r="E1898" s="2">
        <f>IF(A1898&lt;&gt;"", VLOOKUP(A1898, imdb_netflix_v5!A$2:H$7370, 5, FALSE), "")</f>
        <v>2022</v>
      </c>
      <c r="F1898" s="2" t="str">
        <f>IF(A1898&lt;&gt;"", VLOOKUP(A1898, imdb_netflix_v5!A$2:H$7370, 7, FALSE), "")</f>
        <v>NA</v>
      </c>
    </row>
    <row r="1899" ht="15.75" customHeight="1">
      <c r="A1899" s="1" t="str">
        <f>IFERROR(__xludf.DUMMYFUNCTION("""COMPUTED_VALUE"""),"a million little things")</f>
        <v>a million little things</v>
      </c>
      <c r="B1899" s="1" t="str">
        <f>IF(A1899&lt;&gt;"", VLOOKUP(A1899, imdb_netflix_v5!A$2:H$7370, 2, FALSE), "")</f>
        <v>TV Show</v>
      </c>
      <c r="C1899" s="2" t="str">
        <f>IF(A1899&lt;&gt;"", VLOOKUP(A1899, imdb_netflix_v5!A$2:H$7370, 3, FALSE), "")</f>
        <v>Comedy, Drama, Romance</v>
      </c>
      <c r="D1899" s="2">
        <f>IF(A1899&lt;&gt;"", VLOOKUP(A1899, imdb_netflix_v5!A$2:H$7370, 4, FALSE), "")</f>
        <v>7.9</v>
      </c>
      <c r="E1899" s="2">
        <f>IF(A1899&lt;&gt;"", VLOOKUP(A1899, imdb_netflix_v5!A$2:H$7370, 5, FALSE), "")</f>
        <v>2018</v>
      </c>
      <c r="F1899" s="2" t="str">
        <f>IF(A1899&lt;&gt;"", VLOOKUP(A1899, imdb_netflix_v5!A$2:H$7370, 7, FALSE), "")</f>
        <v>NA</v>
      </c>
    </row>
    <row r="1900" ht="15.75" customHeight="1">
      <c r="A1900" s="1" t="str">
        <f>IFERROR(__xludf.DUMMYFUNCTION("""COMPUTED_VALUE"""),"ergo proxy")</f>
        <v>ergo proxy</v>
      </c>
      <c r="B1900" s="1" t="str">
        <f>IF(A1900&lt;&gt;"", VLOOKUP(A1900, imdb_netflix_v5!A$2:H$7370, 2, FALSE), "")</f>
        <v>TV Show</v>
      </c>
      <c r="C1900" s="2" t="str">
        <f>IF(A1900&lt;&gt;"", VLOOKUP(A1900, imdb_netflix_v5!A$2:H$7370, 3, FALSE), "")</f>
        <v>Action, Adventure, Animation</v>
      </c>
      <c r="D1900" s="2">
        <f>IF(A1900&lt;&gt;"", VLOOKUP(A1900, imdb_netflix_v5!A$2:H$7370, 4, FALSE), "")</f>
        <v>7.9</v>
      </c>
      <c r="E1900" s="2">
        <f>IF(A1900&lt;&gt;"", VLOOKUP(A1900, imdb_netflix_v5!A$2:H$7370, 5, FALSE), "")</f>
        <v>2006</v>
      </c>
      <c r="F1900" s="2" t="str">
        <f>IF(A1900&lt;&gt;"", VLOOKUP(A1900, imdb_netflix_v5!A$2:H$7370, 7, FALSE), "")</f>
        <v>NA</v>
      </c>
    </row>
    <row r="1901" ht="15.75" customHeight="1">
      <c r="A1901" s="1" t="str">
        <f>IFERROR(__xludf.DUMMYFUNCTION("""COMPUTED_VALUE"""),"anvil the story of anvil")</f>
        <v>anvil the story of anvil</v>
      </c>
      <c r="B1901" s="1" t="str">
        <f>IF(A1901&lt;&gt;"", VLOOKUP(A1901, imdb_netflix_v5!A$2:H$7370, 2, FALSE), "")</f>
        <v>Movie</v>
      </c>
      <c r="C1901" s="2" t="str">
        <f>IF(A1901&lt;&gt;"", VLOOKUP(A1901, imdb_netflix_v5!A$2:H$7370, 3, FALSE), "")</f>
        <v>Biography, Documentary, Drama</v>
      </c>
      <c r="D1901" s="2">
        <f>IF(A1901&lt;&gt;"", VLOOKUP(A1901, imdb_netflix_v5!A$2:H$7370, 4, FALSE), "")</f>
        <v>7.9</v>
      </c>
      <c r="E1901" s="2">
        <f>IF(A1901&lt;&gt;"", VLOOKUP(A1901, imdb_netflix_v5!A$2:H$7370, 5, FALSE), "")</f>
        <v>2008</v>
      </c>
      <c r="F1901" s="2" t="str">
        <f>IF(A1901&lt;&gt;"", VLOOKUP(A1901, imdb_netflix_v5!A$2:H$7370, 7, FALSE), "")</f>
        <v>NA</v>
      </c>
    </row>
    <row r="1902" ht="15.75" customHeight="1">
      <c r="A1902" s="1" t="str">
        <f>IFERROR(__xludf.DUMMYFUNCTION("""COMPUTED_VALUE"""),"suburra blood on rome")</f>
        <v>suburra blood on rome</v>
      </c>
      <c r="B1902" s="1" t="str">
        <f>IF(A1902&lt;&gt;"", VLOOKUP(A1902, imdb_netflix_v5!A$2:H$7370, 2, FALSE), "")</f>
        <v>TV Show</v>
      </c>
      <c r="C1902" s="2" t="str">
        <f>IF(A1902&lt;&gt;"", VLOOKUP(A1902, imdb_netflix_v5!A$2:H$7370, 3, FALSE), "")</f>
        <v>Action, Crime, Drama</v>
      </c>
      <c r="D1902" s="2">
        <f>IF(A1902&lt;&gt;"", VLOOKUP(A1902, imdb_netflix_v5!A$2:H$7370, 4, FALSE), "")</f>
        <v>7.9</v>
      </c>
      <c r="E1902" s="2">
        <f>IF(A1902&lt;&gt;"", VLOOKUP(A1902, imdb_netflix_v5!A$2:H$7370, 5, FALSE), "")</f>
        <v>2017</v>
      </c>
      <c r="F1902" s="2" t="str">
        <f>IF(A1902&lt;&gt;"", VLOOKUP(A1902, imdb_netflix_v5!A$2:H$7370, 7, FALSE), "")</f>
        <v>NA</v>
      </c>
    </row>
    <row r="1903" ht="15.75" customHeight="1">
      <c r="A1903" s="1" t="str">
        <f>IFERROR(__xludf.DUMMYFUNCTION("""COMPUTED_VALUE"""),"ranneeti balakot &amp; beyond")</f>
        <v>ranneeti balakot &amp; beyond</v>
      </c>
      <c r="B1903" s="1" t="str">
        <f>IF(A1903&lt;&gt;"", VLOOKUP(A1903, imdb_netflix_v5!A$2:H$7370, 2, FALSE), "")</f>
        <v>TV Show</v>
      </c>
      <c r="C1903" s="2" t="str">
        <f>IF(A1903&lt;&gt;"", VLOOKUP(A1903, imdb_netflix_v5!A$2:H$7370, 3, FALSE), "")</f>
        <v>Action</v>
      </c>
      <c r="D1903" s="2">
        <f>IF(A1903&lt;&gt;"", VLOOKUP(A1903, imdb_netflix_v5!A$2:H$7370, 4, FALSE), "")</f>
        <v>7.9</v>
      </c>
      <c r="E1903" s="2">
        <f>IF(A1903&lt;&gt;"", VLOOKUP(A1903, imdb_netflix_v5!A$2:H$7370, 5, FALSE), "")</f>
        <v>2024</v>
      </c>
      <c r="F1903" s="2" t="str">
        <f>IF(A1903&lt;&gt;"", VLOOKUP(A1903, imdb_netflix_v5!A$2:H$7370, 7, FALSE), "")</f>
        <v>NA</v>
      </c>
    </row>
    <row r="1904" ht="15.75" customHeight="1">
      <c r="A1904" s="1" t="str">
        <f>IFERROR(__xludf.DUMMYFUNCTION("""COMPUTED_VALUE"""),"trouble in paradise")</f>
        <v>trouble in paradise</v>
      </c>
      <c r="B1904" s="1" t="str">
        <f>IF(A1904&lt;&gt;"", VLOOKUP(A1904, imdb_netflix_v5!A$2:H$7370, 2, FALSE), "")</f>
        <v>Movie</v>
      </c>
      <c r="C1904" s="2" t="str">
        <f>IF(A1904&lt;&gt;"", VLOOKUP(A1904, imdb_netflix_v5!A$2:H$7370, 3, FALSE), "")</f>
        <v>Comedy, Crime, Romance</v>
      </c>
      <c r="D1904" s="2">
        <f>IF(A1904&lt;&gt;"", VLOOKUP(A1904, imdb_netflix_v5!A$2:H$7370, 4, FALSE), "")</f>
        <v>7.9</v>
      </c>
      <c r="E1904" s="2">
        <f>IF(A1904&lt;&gt;"", VLOOKUP(A1904, imdb_netflix_v5!A$2:H$7370, 5, FALSE), "")</f>
        <v>1932</v>
      </c>
      <c r="F1904" s="2" t="str">
        <f>IF(A1904&lt;&gt;"", VLOOKUP(A1904, imdb_netflix_v5!A$2:H$7370, 7, FALSE), "")</f>
        <v>NA</v>
      </c>
    </row>
    <row r="1905" ht="15.75" customHeight="1">
      <c r="A1905" s="1" t="str">
        <f>IFERROR(__xludf.DUMMYFUNCTION("""COMPUTED_VALUE"""),"on board")</f>
        <v>on board</v>
      </c>
      <c r="B1905" s="1" t="str">
        <f>IF(A1905&lt;&gt;"", VLOOKUP(A1905, imdb_netflix_v5!A$2:H$7370, 2, FALSE), "")</f>
        <v>Movie</v>
      </c>
      <c r="C1905" s="2" t="str">
        <f>IF(A1905&lt;&gt;"", VLOOKUP(A1905, imdb_netflix_v5!A$2:H$7370, 3, FALSE), "")</f>
        <v>Crime, Drama</v>
      </c>
      <c r="D1905" s="2">
        <f>IF(A1905&lt;&gt;"", VLOOKUP(A1905, imdb_netflix_v5!A$2:H$7370, 4, FALSE), "")</f>
        <v>7.9</v>
      </c>
      <c r="E1905" s="2">
        <f>IF(A1905&lt;&gt;"", VLOOKUP(A1905, imdb_netflix_v5!A$2:H$7370, 5, FALSE), "")</f>
        <v>1998</v>
      </c>
      <c r="F1905" s="2" t="str">
        <f>IF(A1905&lt;&gt;"", VLOOKUP(A1905, imdb_netflix_v5!A$2:H$7370, 7, FALSE), "")</f>
        <v>NA</v>
      </c>
    </row>
    <row r="1906" ht="15.75" customHeight="1">
      <c r="A1906" s="1" t="str">
        <f>IFERROR(__xludf.DUMMYFUNCTION("""COMPUTED_VALUE"""),"how to make it in america")</f>
        <v>how to make it in america</v>
      </c>
      <c r="B1906" s="1" t="str">
        <f>IF(A1906&lt;&gt;"", VLOOKUP(A1906, imdb_netflix_v5!A$2:H$7370, 2, FALSE), "")</f>
        <v>TV Show</v>
      </c>
      <c r="C1906" s="2" t="str">
        <f>IF(A1906&lt;&gt;"", VLOOKUP(A1906, imdb_netflix_v5!A$2:H$7370, 3, FALSE), "")</f>
        <v>Comedy, Drama</v>
      </c>
      <c r="D1906" s="2">
        <f>IF(A1906&lt;&gt;"", VLOOKUP(A1906, imdb_netflix_v5!A$2:H$7370, 4, FALSE), "")</f>
        <v>7.9</v>
      </c>
      <c r="E1906" s="2">
        <f>IF(A1906&lt;&gt;"", VLOOKUP(A1906, imdb_netflix_v5!A$2:H$7370, 5, FALSE), "")</f>
        <v>2010</v>
      </c>
      <c r="F1906" s="2" t="str">
        <f>IF(A1906&lt;&gt;"", VLOOKUP(A1906, imdb_netflix_v5!A$2:H$7370, 7, FALSE), "")</f>
        <v>NA</v>
      </c>
    </row>
    <row r="1907" ht="15.75" customHeight="1">
      <c r="A1907" s="1" t="str">
        <f>IFERROR(__xludf.DUMMYFUNCTION("""COMPUTED_VALUE"""),"thiruchitrambalam")</f>
        <v>thiruchitrambalam</v>
      </c>
      <c r="B1907" s="1" t="str">
        <f>IF(A1907&lt;&gt;"", VLOOKUP(A1907, imdb_netflix_v5!A$2:H$7370, 2, FALSE), "")</f>
        <v>Movie</v>
      </c>
      <c r="C1907" s="2" t="str">
        <f>IF(A1907&lt;&gt;"", VLOOKUP(A1907, imdb_netflix_v5!A$2:H$7370, 3, FALSE), "")</f>
        <v>Comedy, Drama, Musical</v>
      </c>
      <c r="D1907" s="2">
        <f>IF(A1907&lt;&gt;"", VLOOKUP(A1907, imdb_netflix_v5!A$2:H$7370, 4, FALSE), "")</f>
        <v>7.9</v>
      </c>
      <c r="E1907" s="2">
        <f>IF(A1907&lt;&gt;"", VLOOKUP(A1907, imdb_netflix_v5!A$2:H$7370, 5, FALSE), "")</f>
        <v>2022</v>
      </c>
      <c r="F1907" s="2" t="str">
        <f>IF(A1907&lt;&gt;"", VLOOKUP(A1907, imdb_netflix_v5!A$2:H$7370, 7, FALSE), "")</f>
        <v>NA</v>
      </c>
    </row>
    <row r="1908" ht="15.75" customHeight="1">
      <c r="A1908" s="1" t="str">
        <f>IFERROR(__xludf.DUMMYFUNCTION("""COMPUTED_VALUE"""),"the roaring twenties")</f>
        <v>the roaring twenties</v>
      </c>
      <c r="B1908" s="1" t="str">
        <f>IF(A1908&lt;&gt;"", VLOOKUP(A1908, imdb_netflix_v5!A$2:H$7370, 2, FALSE), "")</f>
        <v>Movie</v>
      </c>
      <c r="C1908" s="2" t="str">
        <f>IF(A1908&lt;&gt;"", VLOOKUP(A1908, imdb_netflix_v5!A$2:H$7370, 3, FALSE), "")</f>
        <v>Crime, Drama, Thriller</v>
      </c>
      <c r="D1908" s="2">
        <f>IF(A1908&lt;&gt;"", VLOOKUP(A1908, imdb_netflix_v5!A$2:H$7370, 4, FALSE), "")</f>
        <v>7.9</v>
      </c>
      <c r="E1908" s="2">
        <f>IF(A1908&lt;&gt;"", VLOOKUP(A1908, imdb_netflix_v5!A$2:H$7370, 5, FALSE), "")</f>
        <v>1939</v>
      </c>
      <c r="F1908" s="2" t="str">
        <f>IF(A1908&lt;&gt;"", VLOOKUP(A1908, imdb_netflix_v5!A$2:H$7370, 7, FALSE), "")</f>
        <v>NA</v>
      </c>
    </row>
    <row r="1909" ht="15.75" customHeight="1">
      <c r="A1909" s="1" t="str">
        <f>IFERROR(__xludf.DUMMYFUNCTION("""COMPUTED_VALUE"""),"the class")</f>
        <v>the class</v>
      </c>
      <c r="B1909" s="1" t="str">
        <f>IF(A1909&lt;&gt;"", VLOOKUP(A1909, imdb_netflix_v5!A$2:H$7370, 2, FALSE), "")</f>
        <v>Movie</v>
      </c>
      <c r="C1909" s="2" t="str">
        <f>IF(A1909&lt;&gt;"", VLOOKUP(A1909, imdb_netflix_v5!A$2:H$7370, 3, FALSE), "")</f>
        <v>Drama</v>
      </c>
      <c r="D1909" s="2">
        <f>IF(A1909&lt;&gt;"", VLOOKUP(A1909, imdb_netflix_v5!A$2:H$7370, 4, FALSE), "")</f>
        <v>7.9</v>
      </c>
      <c r="E1909" s="2">
        <f>IF(A1909&lt;&gt;"", VLOOKUP(A1909, imdb_netflix_v5!A$2:H$7370, 5, FALSE), "")</f>
        <v>2007</v>
      </c>
      <c r="F1909" s="2" t="str">
        <f>IF(A1909&lt;&gt;"", VLOOKUP(A1909, imdb_netflix_v5!A$2:H$7370, 7, FALSE), "")</f>
        <v>NA</v>
      </c>
    </row>
    <row r="1910" ht="15.75" customHeight="1">
      <c r="A1910" s="1" t="str">
        <f>IFERROR(__xludf.DUMMYFUNCTION("""COMPUTED_VALUE"""),"night and the city")</f>
        <v>night and the city</v>
      </c>
      <c r="B1910" s="1" t="str">
        <f>IF(A1910&lt;&gt;"", VLOOKUP(A1910, imdb_netflix_v5!A$2:H$7370, 2, FALSE), "")</f>
        <v>Movie</v>
      </c>
      <c r="C1910" s="2" t="str">
        <f>IF(A1910&lt;&gt;"", VLOOKUP(A1910, imdb_netflix_v5!A$2:H$7370, 3, FALSE), "")</f>
        <v>Crime, Film-Noir, Sport</v>
      </c>
      <c r="D1910" s="2">
        <f>IF(A1910&lt;&gt;"", VLOOKUP(A1910, imdb_netflix_v5!A$2:H$7370, 4, FALSE), "")</f>
        <v>7.9</v>
      </c>
      <c r="E1910" s="2">
        <f>IF(A1910&lt;&gt;"", VLOOKUP(A1910, imdb_netflix_v5!A$2:H$7370, 5, FALSE), "")</f>
        <v>1950</v>
      </c>
      <c r="F1910" s="2" t="str">
        <f>IF(A1910&lt;&gt;"", VLOOKUP(A1910, imdb_netflix_v5!A$2:H$7370, 7, FALSE), "")</f>
        <v>NA</v>
      </c>
    </row>
    <row r="1911" ht="15.75" customHeight="1">
      <c r="A1911" s="1" t="str">
        <f>IFERROR(__xludf.DUMMYFUNCTION("""COMPUTED_VALUE"""),"leilas brothers")</f>
        <v>leilas brothers</v>
      </c>
      <c r="B1911" s="1" t="str">
        <f>IF(A1911&lt;&gt;"", VLOOKUP(A1911, imdb_netflix_v5!A$2:H$7370, 2, FALSE), "")</f>
        <v>Movie</v>
      </c>
      <c r="C1911" s="2" t="str">
        <f>IF(A1911&lt;&gt;"", VLOOKUP(A1911, imdb_netflix_v5!A$2:H$7370, 3, FALSE), "")</f>
        <v>Drama</v>
      </c>
      <c r="D1911" s="2">
        <f>IF(A1911&lt;&gt;"", VLOOKUP(A1911, imdb_netflix_v5!A$2:H$7370, 4, FALSE), "")</f>
        <v>7.9</v>
      </c>
      <c r="E1911" s="2">
        <f>IF(A1911&lt;&gt;"", VLOOKUP(A1911, imdb_netflix_v5!A$2:H$7370, 5, FALSE), "")</f>
        <v>2022</v>
      </c>
      <c r="F1911" s="2" t="str">
        <f>IF(A1911&lt;&gt;"", VLOOKUP(A1911, imdb_netflix_v5!A$2:H$7370, 7, FALSE), "")</f>
        <v>NA</v>
      </c>
    </row>
    <row r="1912" ht="15.75" customHeight="1">
      <c r="A1912" s="1" t="str">
        <f>IFERROR(__xludf.DUMMYFUNCTION("""COMPUTED_VALUE"""),"when calls the heart")</f>
        <v>when calls the heart</v>
      </c>
      <c r="B1912" s="1" t="str">
        <f>IF(A1912&lt;&gt;"", VLOOKUP(A1912, imdb_netflix_v5!A$2:H$7370, 2, FALSE), "")</f>
        <v>TV Show</v>
      </c>
      <c r="C1912" s="2" t="str">
        <f>IF(A1912&lt;&gt;"", VLOOKUP(A1912, imdb_netflix_v5!A$2:H$7370, 3, FALSE), "")</f>
        <v>Drama, History, Romance</v>
      </c>
      <c r="D1912" s="2">
        <f>IF(A1912&lt;&gt;"", VLOOKUP(A1912, imdb_netflix_v5!A$2:H$7370, 4, FALSE), "")</f>
        <v>7.9</v>
      </c>
      <c r="E1912" s="2">
        <f>IF(A1912&lt;&gt;"", VLOOKUP(A1912, imdb_netflix_v5!A$2:H$7370, 5, FALSE), "")</f>
        <v>2014</v>
      </c>
      <c r="F1912" s="2" t="str">
        <f>IF(A1912&lt;&gt;"", VLOOKUP(A1912, imdb_netflix_v5!A$2:H$7370, 7, FALSE), "")</f>
        <v>NA</v>
      </c>
    </row>
    <row r="1913" ht="15.75" customHeight="1">
      <c r="A1913" s="1" t="str">
        <f>IFERROR(__xludf.DUMMYFUNCTION("""COMPUTED_VALUE"""),"the alpinist")</f>
        <v>the alpinist</v>
      </c>
      <c r="B1913" s="1" t="str">
        <f>IF(A1913&lt;&gt;"", VLOOKUP(A1913, imdb_netflix_v5!A$2:H$7370, 2, FALSE), "")</f>
        <v>Movie</v>
      </c>
      <c r="C1913" s="2" t="str">
        <f>IF(A1913&lt;&gt;"", VLOOKUP(A1913, imdb_netflix_v5!A$2:H$7370, 3, FALSE), "")</f>
        <v>Biography, Documentary</v>
      </c>
      <c r="D1913" s="2">
        <f>IF(A1913&lt;&gt;"", VLOOKUP(A1913, imdb_netflix_v5!A$2:H$7370, 4, FALSE), "")</f>
        <v>7.9</v>
      </c>
      <c r="E1913" s="2">
        <f>IF(A1913&lt;&gt;"", VLOOKUP(A1913, imdb_netflix_v5!A$2:H$7370, 5, FALSE), "")</f>
        <v>2021</v>
      </c>
      <c r="F1913" s="2" t="str">
        <f>IF(A1913&lt;&gt;"", VLOOKUP(A1913, imdb_netflix_v5!A$2:H$7370, 7, FALSE), "")</f>
        <v>NA</v>
      </c>
    </row>
    <row r="1914" ht="15.75" customHeight="1">
      <c r="A1914" s="1" t="str">
        <f>IFERROR(__xludf.DUMMYFUNCTION("""COMPUTED_VALUE"""),"eternity and a day")</f>
        <v>eternity and a day</v>
      </c>
      <c r="B1914" s="1" t="str">
        <f>IF(A1914&lt;&gt;"", VLOOKUP(A1914, imdb_netflix_v5!A$2:H$7370, 2, FALSE), "")</f>
        <v>Movie</v>
      </c>
      <c r="C1914" s="2" t="str">
        <f>IF(A1914&lt;&gt;"", VLOOKUP(A1914, imdb_netflix_v5!A$2:H$7370, 3, FALSE), "")</f>
        <v>Drama</v>
      </c>
      <c r="D1914" s="2">
        <f>IF(A1914&lt;&gt;"", VLOOKUP(A1914, imdb_netflix_v5!A$2:H$7370, 4, FALSE), "")</f>
        <v>7.9</v>
      </c>
      <c r="E1914" s="2">
        <f>IF(A1914&lt;&gt;"", VLOOKUP(A1914, imdb_netflix_v5!A$2:H$7370, 5, FALSE), "")</f>
        <v>1998</v>
      </c>
      <c r="F1914" s="2" t="str">
        <f>IF(A1914&lt;&gt;"", VLOOKUP(A1914, imdb_netflix_v5!A$2:H$7370, 7, FALSE), "")</f>
        <v>NA</v>
      </c>
    </row>
    <row r="1915" ht="15.75" customHeight="1">
      <c r="A1915" s="1" t="str">
        <f>IFERROR(__xludf.DUMMYFUNCTION("""COMPUTED_VALUE"""),"the loudest voice")</f>
        <v>the loudest voice</v>
      </c>
      <c r="B1915" s="1" t="str">
        <f>IF(A1915&lt;&gt;"", VLOOKUP(A1915, imdb_netflix_v5!A$2:H$7370, 2, FALSE), "")</f>
        <v>TV Show</v>
      </c>
      <c r="C1915" s="2" t="str">
        <f>IF(A1915&lt;&gt;"", VLOOKUP(A1915, imdb_netflix_v5!A$2:H$7370, 3, FALSE), "")</f>
        <v>Biography, Drama</v>
      </c>
      <c r="D1915" s="2">
        <f>IF(A1915&lt;&gt;"", VLOOKUP(A1915, imdb_netflix_v5!A$2:H$7370, 4, FALSE), "")</f>
        <v>7.9</v>
      </c>
      <c r="E1915" s="2">
        <f>IF(A1915&lt;&gt;"", VLOOKUP(A1915, imdb_netflix_v5!A$2:H$7370, 5, FALSE), "")</f>
        <v>2019</v>
      </c>
      <c r="F1915" s="2" t="str">
        <f>IF(A1915&lt;&gt;"", VLOOKUP(A1915, imdb_netflix_v5!A$2:H$7370, 7, FALSE), "")</f>
        <v>NA</v>
      </c>
    </row>
    <row r="1916" ht="15.75" customHeight="1">
      <c r="A1916" s="1" t="str">
        <f>IFERROR(__xludf.DUMMYFUNCTION("""COMPUTED_VALUE"""),"earth")</f>
        <v>earth</v>
      </c>
      <c r="B1916" s="1" t="str">
        <f>IF(A1916&lt;&gt;"", VLOOKUP(A1916, imdb_netflix_v5!A$2:H$7370, 2, FALSE), "")</f>
        <v>Movie</v>
      </c>
      <c r="C1916" s="2" t="str">
        <f>IF(A1916&lt;&gt;"", VLOOKUP(A1916, imdb_netflix_v5!A$2:H$7370, 3, FALSE), "")</f>
        <v>Documentary</v>
      </c>
      <c r="D1916" s="2">
        <f>IF(A1916&lt;&gt;"", VLOOKUP(A1916, imdb_netflix_v5!A$2:H$7370, 4, FALSE), "")</f>
        <v>7.9</v>
      </c>
      <c r="E1916" s="2">
        <f>IF(A1916&lt;&gt;"", VLOOKUP(A1916, imdb_netflix_v5!A$2:H$7370, 5, FALSE), "")</f>
        <v>2007</v>
      </c>
      <c r="F1916" s="2" t="str">
        <f>IF(A1916&lt;&gt;"", VLOOKUP(A1916, imdb_netflix_v5!A$2:H$7370, 7, FALSE), "")</f>
        <v>NA</v>
      </c>
    </row>
    <row r="1917" ht="15.75" customHeight="1">
      <c r="A1917" s="1" t="str">
        <f>IFERROR(__xludf.DUMMYFUNCTION("""COMPUTED_VALUE"""),"divorce italian style")</f>
        <v>divorce italian style</v>
      </c>
      <c r="B1917" s="1" t="str">
        <f>IF(A1917&lt;&gt;"", VLOOKUP(A1917, imdb_netflix_v5!A$2:H$7370, 2, FALSE), "")</f>
        <v>Movie</v>
      </c>
      <c r="C1917" s="2" t="str">
        <f>IF(A1917&lt;&gt;"", VLOOKUP(A1917, imdb_netflix_v5!A$2:H$7370, 3, FALSE), "")</f>
        <v>Comedy, Drama, Romance</v>
      </c>
      <c r="D1917" s="2">
        <f>IF(A1917&lt;&gt;"", VLOOKUP(A1917, imdb_netflix_v5!A$2:H$7370, 4, FALSE), "")</f>
        <v>7.9</v>
      </c>
      <c r="E1917" s="2">
        <f>IF(A1917&lt;&gt;"", VLOOKUP(A1917, imdb_netflix_v5!A$2:H$7370, 5, FALSE), "")</f>
        <v>1961</v>
      </c>
      <c r="F1917" s="2" t="str">
        <f>IF(A1917&lt;&gt;"", VLOOKUP(A1917, imdb_netflix_v5!A$2:H$7370, 7, FALSE), "")</f>
        <v>NA</v>
      </c>
    </row>
    <row r="1918" ht="15.75" customHeight="1">
      <c r="A1918" s="1" t="str">
        <f>IFERROR(__xludf.DUMMYFUNCTION("""COMPUTED_VALUE"""),"marley")</f>
        <v>marley</v>
      </c>
      <c r="B1918" s="1" t="str">
        <f>IF(A1918&lt;&gt;"", VLOOKUP(A1918, imdb_netflix_v5!A$2:H$7370, 2, FALSE), "")</f>
        <v>Movie</v>
      </c>
      <c r="C1918" s="2" t="str">
        <f>IF(A1918&lt;&gt;"", VLOOKUP(A1918, imdb_netflix_v5!A$2:H$7370, 3, FALSE), "")</f>
        <v>Biography, Documentary, Music</v>
      </c>
      <c r="D1918" s="2">
        <f>IF(A1918&lt;&gt;"", VLOOKUP(A1918, imdb_netflix_v5!A$2:H$7370, 4, FALSE), "")</f>
        <v>7.9</v>
      </c>
      <c r="E1918" s="2">
        <f>IF(A1918&lt;&gt;"", VLOOKUP(A1918, imdb_netflix_v5!A$2:H$7370, 5, FALSE), "")</f>
        <v>2012</v>
      </c>
      <c r="F1918" s="2" t="str">
        <f>IF(A1918&lt;&gt;"", VLOOKUP(A1918, imdb_netflix_v5!A$2:H$7370, 7, FALSE), "")</f>
        <v>NA</v>
      </c>
    </row>
    <row r="1919" ht="15.75" customHeight="1">
      <c r="A1919" s="1" t="str">
        <f>IFERROR(__xludf.DUMMYFUNCTION("""COMPUTED_VALUE"""),"mishima a life in four chapters")</f>
        <v>mishima a life in four chapters</v>
      </c>
      <c r="B1919" s="1" t="str">
        <f>IF(A1919&lt;&gt;"", VLOOKUP(A1919, imdb_netflix_v5!A$2:H$7370, 2, FALSE), "")</f>
        <v>Movie</v>
      </c>
      <c r="C1919" s="2" t="str">
        <f>IF(A1919&lt;&gt;"", VLOOKUP(A1919, imdb_netflix_v5!A$2:H$7370, 3, FALSE), "")</f>
        <v>Biography, Drama</v>
      </c>
      <c r="D1919" s="2">
        <f>IF(A1919&lt;&gt;"", VLOOKUP(A1919, imdb_netflix_v5!A$2:H$7370, 4, FALSE), "")</f>
        <v>7.9</v>
      </c>
      <c r="E1919" s="2">
        <f>IF(A1919&lt;&gt;"", VLOOKUP(A1919, imdb_netflix_v5!A$2:H$7370, 5, FALSE), "")</f>
        <v>1985</v>
      </c>
      <c r="F1919" s="2" t="str">
        <f>IF(A1919&lt;&gt;"", VLOOKUP(A1919, imdb_netflix_v5!A$2:H$7370, 7, FALSE), "")</f>
        <v>NA</v>
      </c>
    </row>
    <row r="1920" ht="15.75" customHeight="1">
      <c r="A1920" s="1" t="str">
        <f>IFERROR(__xludf.DUMMYFUNCTION("""COMPUTED_VALUE"""),"the bletchley circle")</f>
        <v>the bletchley circle</v>
      </c>
      <c r="B1920" s="1" t="str">
        <f>IF(A1920&lt;&gt;"", VLOOKUP(A1920, imdb_netflix_v5!A$2:H$7370, 2, FALSE), "")</f>
        <v>TV Show</v>
      </c>
      <c r="C1920" s="2" t="str">
        <f>IF(A1920&lt;&gt;"", VLOOKUP(A1920, imdb_netflix_v5!A$2:H$7370, 3, FALSE), "")</f>
        <v>Crime, Drama, History</v>
      </c>
      <c r="D1920" s="2">
        <f>IF(A1920&lt;&gt;"", VLOOKUP(A1920, imdb_netflix_v5!A$2:H$7370, 4, FALSE), "")</f>
        <v>7.9</v>
      </c>
      <c r="E1920" s="2">
        <f>IF(A1920&lt;&gt;"", VLOOKUP(A1920, imdb_netflix_v5!A$2:H$7370, 5, FALSE), "")</f>
        <v>2012</v>
      </c>
      <c r="F1920" s="2" t="str">
        <f>IF(A1920&lt;&gt;"", VLOOKUP(A1920, imdb_netflix_v5!A$2:H$7370, 7, FALSE), "")</f>
        <v>NA</v>
      </c>
    </row>
    <row r="1921" ht="15.75" customHeight="1">
      <c r="A1921" s="1" t="str">
        <f>IFERROR(__xludf.DUMMYFUNCTION("""COMPUTED_VALUE"""),"the gone game")</f>
        <v>the gone game</v>
      </c>
      <c r="B1921" s="1" t="str">
        <f>IF(A1921&lt;&gt;"", VLOOKUP(A1921, imdb_netflix_v5!A$2:H$7370, 2, FALSE), "")</f>
        <v>TV Show</v>
      </c>
      <c r="C1921" s="2" t="str">
        <f>IF(A1921&lt;&gt;"", VLOOKUP(A1921, imdb_netflix_v5!A$2:H$7370, 3, FALSE), "")</f>
        <v>Crime, Thriller</v>
      </c>
      <c r="D1921" s="2">
        <f>IF(A1921&lt;&gt;"", VLOOKUP(A1921, imdb_netflix_v5!A$2:H$7370, 4, FALSE), "")</f>
        <v>7.9</v>
      </c>
      <c r="E1921" s="2">
        <f>IF(A1921&lt;&gt;"", VLOOKUP(A1921, imdb_netflix_v5!A$2:H$7370, 5, FALSE), "")</f>
        <v>2020</v>
      </c>
      <c r="F1921" s="2" t="str">
        <f>IF(A1921&lt;&gt;"", VLOOKUP(A1921, imdb_netflix_v5!A$2:H$7370, 7, FALSE), "")</f>
        <v>NA</v>
      </c>
    </row>
    <row r="1922" ht="15.75" customHeight="1">
      <c r="A1922" s="1" t="str">
        <f>IFERROR(__xludf.DUMMYFUNCTION("""COMPUTED_VALUE"""),"hey ram")</f>
        <v>hey ram</v>
      </c>
      <c r="B1922" s="1" t="str">
        <f>IF(A1922&lt;&gt;"", VLOOKUP(A1922, imdb_netflix_v5!A$2:H$7370, 2, FALSE), "")</f>
        <v>Movie</v>
      </c>
      <c r="C1922" s="2" t="str">
        <f>IF(A1922&lt;&gt;"", VLOOKUP(A1922, imdb_netflix_v5!A$2:H$7370, 3, FALSE), "")</f>
        <v>Crime, Drama, History</v>
      </c>
      <c r="D1922" s="2">
        <f>IF(A1922&lt;&gt;"", VLOOKUP(A1922, imdb_netflix_v5!A$2:H$7370, 4, FALSE), "")</f>
        <v>7.9</v>
      </c>
      <c r="E1922" s="2">
        <f>IF(A1922&lt;&gt;"", VLOOKUP(A1922, imdb_netflix_v5!A$2:H$7370, 5, FALSE), "")</f>
        <v>2000</v>
      </c>
      <c r="F1922" s="2" t="str">
        <f>IF(A1922&lt;&gt;"", VLOOKUP(A1922, imdb_netflix_v5!A$2:H$7370, 7, FALSE), "")</f>
        <v>NA</v>
      </c>
    </row>
    <row r="1923" ht="15.75" customHeight="1">
      <c r="A1923" s="1" t="str">
        <f>IFERROR(__xludf.DUMMYFUNCTION("""COMPUTED_VALUE"""),"dreamworks dragons")</f>
        <v>dreamworks dragons</v>
      </c>
      <c r="B1923" s="1" t="str">
        <f>IF(A1923&lt;&gt;"", VLOOKUP(A1923, imdb_netflix_v5!A$2:H$7370, 2, FALSE), "")</f>
        <v>TV Show</v>
      </c>
      <c r="C1923" s="2" t="str">
        <f>IF(A1923&lt;&gt;"", VLOOKUP(A1923, imdb_netflix_v5!A$2:H$7370, 3, FALSE), "")</f>
        <v>Action, Adventure, Animation</v>
      </c>
      <c r="D1923" s="2">
        <f>IF(A1923&lt;&gt;"", VLOOKUP(A1923, imdb_netflix_v5!A$2:H$7370, 4, FALSE), "")</f>
        <v>7.9</v>
      </c>
      <c r="E1923" s="2">
        <f>IF(A1923&lt;&gt;"", VLOOKUP(A1923, imdb_netflix_v5!A$2:H$7370, 5, FALSE), "")</f>
        <v>2012</v>
      </c>
      <c r="F1923" s="2" t="str">
        <f>IF(A1923&lt;&gt;"", VLOOKUP(A1923, imdb_netflix_v5!A$2:H$7370, 7, FALSE), "")</f>
        <v>NA</v>
      </c>
    </row>
    <row r="1924" ht="15.75" customHeight="1">
      <c r="A1924" s="1" t="str">
        <f>IFERROR(__xludf.DUMMYFUNCTION("""COMPUTED_VALUE"""),"kin-dza-dza!")</f>
        <v>kin-dza-dza!</v>
      </c>
      <c r="B1924" s="1" t="str">
        <f>IF(A1924&lt;&gt;"", VLOOKUP(A1924, imdb_netflix_v5!A$2:H$7370, 2, FALSE), "")</f>
        <v>Movie</v>
      </c>
      <c r="C1924" s="2" t="str">
        <f>IF(A1924&lt;&gt;"", VLOOKUP(A1924, imdb_netflix_v5!A$2:H$7370, 3, FALSE), "")</f>
        <v>Comedy, Drama, Sci-Fi</v>
      </c>
      <c r="D1924" s="2">
        <f>IF(A1924&lt;&gt;"", VLOOKUP(A1924, imdb_netflix_v5!A$2:H$7370, 4, FALSE), "")</f>
        <v>7.9</v>
      </c>
      <c r="E1924" s="2">
        <f>IF(A1924&lt;&gt;"", VLOOKUP(A1924, imdb_netflix_v5!A$2:H$7370, 5, FALSE), "")</f>
        <v>1986</v>
      </c>
      <c r="F1924" s="2" t="str">
        <f>IF(A1924&lt;&gt;"", VLOOKUP(A1924, imdb_netflix_v5!A$2:H$7370, 7, FALSE), "")</f>
        <v>NA</v>
      </c>
    </row>
    <row r="1925" ht="15.75" customHeight="1">
      <c r="A1925" s="1" t="str">
        <f>IFERROR(__xludf.DUMMYFUNCTION("""COMPUTED_VALUE"""),"in the flesh")</f>
        <v>in the flesh</v>
      </c>
      <c r="B1925" s="1" t="str">
        <f>IF(A1925&lt;&gt;"", VLOOKUP(A1925, imdb_netflix_v5!A$2:H$7370, 2, FALSE), "")</f>
        <v>TV Show</v>
      </c>
      <c r="C1925" s="2" t="str">
        <f>IF(A1925&lt;&gt;"", VLOOKUP(A1925, imdb_netflix_v5!A$2:H$7370, 3, FALSE), "")</f>
        <v>Comedy, Drama, Horror</v>
      </c>
      <c r="D1925" s="2">
        <f>IF(A1925&lt;&gt;"", VLOOKUP(A1925, imdb_netflix_v5!A$2:H$7370, 4, FALSE), "")</f>
        <v>7.9</v>
      </c>
      <c r="E1925" s="2">
        <f>IF(A1925&lt;&gt;"", VLOOKUP(A1925, imdb_netflix_v5!A$2:H$7370, 5, FALSE), "")</f>
        <v>2013</v>
      </c>
      <c r="F1925" s="2" t="str">
        <f>IF(A1925&lt;&gt;"", VLOOKUP(A1925, imdb_netflix_v5!A$2:H$7370, 7, FALSE), "")</f>
        <v>NA</v>
      </c>
    </row>
    <row r="1926" ht="15.75" customHeight="1">
      <c r="A1926" s="1" t="str">
        <f>IFERROR(__xludf.DUMMYFUNCTION("""COMPUTED_VALUE"""),"letter from an unknown woman")</f>
        <v>letter from an unknown woman</v>
      </c>
      <c r="B1926" s="1" t="str">
        <f>IF(A1926&lt;&gt;"", VLOOKUP(A1926, imdb_netflix_v5!A$2:H$7370, 2, FALSE), "")</f>
        <v>Movie</v>
      </c>
      <c r="C1926" s="2" t="str">
        <f>IF(A1926&lt;&gt;"", VLOOKUP(A1926, imdb_netflix_v5!A$2:H$7370, 3, FALSE), "")</f>
        <v>Drama, Romance</v>
      </c>
      <c r="D1926" s="2">
        <f>IF(A1926&lt;&gt;"", VLOOKUP(A1926, imdb_netflix_v5!A$2:H$7370, 4, FALSE), "")</f>
        <v>7.9</v>
      </c>
      <c r="E1926" s="2">
        <f>IF(A1926&lt;&gt;"", VLOOKUP(A1926, imdb_netflix_v5!A$2:H$7370, 5, FALSE), "")</f>
        <v>1948</v>
      </c>
      <c r="F1926" s="2" t="str">
        <f>IF(A1926&lt;&gt;"", VLOOKUP(A1926, imdb_netflix_v5!A$2:H$7370, 7, FALSE), "")</f>
        <v>NA</v>
      </c>
    </row>
    <row r="1927" ht="15.75" customHeight="1">
      <c r="A1927" s="1" t="str">
        <f>IFERROR(__xludf.DUMMYFUNCTION("""COMPUTED_VALUE"""),"mrs. america")</f>
        <v>mrs. america</v>
      </c>
      <c r="B1927" s="1" t="str">
        <f>IF(A1927&lt;&gt;"", VLOOKUP(A1927, imdb_netflix_v5!A$2:H$7370, 2, FALSE), "")</f>
        <v>TV Show</v>
      </c>
      <c r="C1927" s="2" t="str">
        <f>IF(A1927&lt;&gt;"", VLOOKUP(A1927, imdb_netflix_v5!A$2:H$7370, 3, FALSE), "")</f>
        <v>Biography, Drama, History</v>
      </c>
      <c r="D1927" s="2">
        <f>IF(A1927&lt;&gt;"", VLOOKUP(A1927, imdb_netflix_v5!A$2:H$7370, 4, FALSE), "")</f>
        <v>7.9</v>
      </c>
      <c r="E1927" s="2">
        <f>IF(A1927&lt;&gt;"", VLOOKUP(A1927, imdb_netflix_v5!A$2:H$7370, 5, FALSE), "")</f>
        <v>2020</v>
      </c>
      <c r="F1927" s="2" t="str">
        <f>IF(A1927&lt;&gt;"", VLOOKUP(A1927, imdb_netflix_v5!A$2:H$7370, 7, FALSE), "")</f>
        <v>NA</v>
      </c>
    </row>
    <row r="1928" ht="15.75" customHeight="1">
      <c r="A1928" s="1" t="str">
        <f>IFERROR(__xludf.DUMMYFUNCTION("""COMPUTED_VALUE"""),"the road runner show")</f>
        <v>the road runner show</v>
      </c>
      <c r="B1928" s="1" t="str">
        <f>IF(A1928&lt;&gt;"", VLOOKUP(A1928, imdb_netflix_v5!A$2:H$7370, 2, FALSE), "")</f>
        <v>TV Show</v>
      </c>
      <c r="C1928" s="2" t="str">
        <f>IF(A1928&lt;&gt;"", VLOOKUP(A1928, imdb_netflix_v5!A$2:H$7370, 3, FALSE), "")</f>
        <v>Animation, Comedy, Family</v>
      </c>
      <c r="D1928" s="2">
        <f>IF(A1928&lt;&gt;"", VLOOKUP(A1928, imdb_netflix_v5!A$2:H$7370, 4, FALSE), "")</f>
        <v>7.9</v>
      </c>
      <c r="E1928" s="2">
        <f>IF(A1928&lt;&gt;"", VLOOKUP(A1928, imdb_netflix_v5!A$2:H$7370, 5, FALSE), "")</f>
        <v>1966</v>
      </c>
      <c r="F1928" s="2" t="str">
        <f>IF(A1928&lt;&gt;"", VLOOKUP(A1928, imdb_netflix_v5!A$2:H$7370, 7, FALSE), "")</f>
        <v>NA</v>
      </c>
    </row>
    <row r="1929" ht="15.75" customHeight="1">
      <c r="A1929" s="1" t="str">
        <f>IFERROR(__xludf.DUMMYFUNCTION("""COMPUTED_VALUE"""),"the greatest night in pop")</f>
        <v>the greatest night in pop</v>
      </c>
      <c r="B1929" s="1" t="str">
        <f>IF(A1929&lt;&gt;"", VLOOKUP(A1929, imdb_netflix_v5!A$2:H$7370, 2, FALSE), "")</f>
        <v>Movie</v>
      </c>
      <c r="C1929" s="2" t="str">
        <f>IF(A1929&lt;&gt;"", VLOOKUP(A1929, imdb_netflix_v5!A$2:H$7370, 3, FALSE), "")</f>
        <v>Documentary, Music</v>
      </c>
      <c r="D1929" s="2">
        <f>IF(A1929&lt;&gt;"", VLOOKUP(A1929, imdb_netflix_v5!A$2:H$7370, 4, FALSE), "")</f>
        <v>7.9</v>
      </c>
      <c r="E1929" s="2">
        <f>IF(A1929&lt;&gt;"", VLOOKUP(A1929, imdb_netflix_v5!A$2:H$7370, 5, FALSE), "")</f>
        <v>2024</v>
      </c>
      <c r="F1929" s="2" t="str">
        <f>IF(A1929&lt;&gt;"", VLOOKUP(A1929, imdb_netflix_v5!A$2:H$7370, 7, FALSE), "")</f>
        <v>NA</v>
      </c>
    </row>
    <row r="1930" ht="15.75" customHeight="1">
      <c r="A1930" s="1" t="str">
        <f>IFERROR(__xludf.DUMMYFUNCTION("""COMPUTED_VALUE"""),"the testament of dr. mabuse")</f>
        <v>the testament of dr. mabuse</v>
      </c>
      <c r="B1930" s="1" t="str">
        <f>IF(A1930&lt;&gt;"", VLOOKUP(A1930, imdb_netflix_v5!A$2:H$7370, 2, FALSE), "")</f>
        <v>Movie</v>
      </c>
      <c r="C1930" s="2" t="str">
        <f>IF(A1930&lt;&gt;"", VLOOKUP(A1930, imdb_netflix_v5!A$2:H$7370, 3, FALSE), "")</f>
        <v>Crime, Mystery, Thriller</v>
      </c>
      <c r="D1930" s="2">
        <f>IF(A1930&lt;&gt;"", VLOOKUP(A1930, imdb_netflix_v5!A$2:H$7370, 4, FALSE), "")</f>
        <v>7.9</v>
      </c>
      <c r="E1930" s="2">
        <f>IF(A1930&lt;&gt;"", VLOOKUP(A1930, imdb_netflix_v5!A$2:H$7370, 5, FALSE), "")</f>
        <v>1933</v>
      </c>
      <c r="F1930" s="2" t="str">
        <f>IF(A1930&lt;&gt;"", VLOOKUP(A1930, imdb_netflix_v5!A$2:H$7370, 7, FALSE), "")</f>
        <v>NA</v>
      </c>
    </row>
    <row r="1931" ht="15.75" customHeight="1">
      <c r="A1931" s="1" t="str">
        <f>IFERROR(__xludf.DUMMYFUNCTION("""COMPUTED_VALUE"""),"ivy")</f>
        <v>ivy</v>
      </c>
      <c r="B1931" s="1" t="str">
        <f>IF(A1931&lt;&gt;"", VLOOKUP(A1931, imdb_netflix_v5!A$2:H$7370, 2, FALSE), "")</f>
        <v>Movie</v>
      </c>
      <c r="C1931" s="2" t="str">
        <f>IF(A1931&lt;&gt;"", VLOOKUP(A1931, imdb_netflix_v5!A$2:H$7370, 3, FALSE), "")</f>
        <v>Drama, Fantasy, Thriller</v>
      </c>
      <c r="D1931" s="2">
        <f>IF(A1931&lt;&gt;"", VLOOKUP(A1931, imdb_netflix_v5!A$2:H$7370, 4, FALSE), "")</f>
        <v>7.9</v>
      </c>
      <c r="E1931" s="2">
        <f>IF(A1931&lt;&gt;"", VLOOKUP(A1931, imdb_netflix_v5!A$2:H$7370, 5, FALSE), "")</f>
        <v>2015</v>
      </c>
      <c r="F1931" s="2" t="str">
        <f>IF(A1931&lt;&gt;"", VLOOKUP(A1931, imdb_netflix_v5!A$2:H$7370, 7, FALSE), "")</f>
        <v>NA</v>
      </c>
    </row>
    <row r="1932" ht="15.75" customHeight="1">
      <c r="A1932" s="1" t="str">
        <f>IFERROR(__xludf.DUMMYFUNCTION("""COMPUTED_VALUE"""),"orpheus")</f>
        <v>orpheus</v>
      </c>
      <c r="B1932" s="1" t="str">
        <f>IF(A1932&lt;&gt;"", VLOOKUP(A1932, imdb_netflix_v5!A$2:H$7370, 2, FALSE), "")</f>
        <v>Movie</v>
      </c>
      <c r="C1932" s="2" t="str">
        <f>IF(A1932&lt;&gt;"", VLOOKUP(A1932, imdb_netflix_v5!A$2:H$7370, 3, FALSE), "")</f>
        <v>Drama, Fantasy, Romance</v>
      </c>
      <c r="D1932" s="2">
        <f>IF(A1932&lt;&gt;"", VLOOKUP(A1932, imdb_netflix_v5!A$2:H$7370, 4, FALSE), "")</f>
        <v>7.9</v>
      </c>
      <c r="E1932" s="2">
        <f>IF(A1932&lt;&gt;"", VLOOKUP(A1932, imdb_netflix_v5!A$2:H$7370, 5, FALSE), "")</f>
        <v>1950</v>
      </c>
      <c r="F1932" s="2" t="str">
        <f>IF(A1932&lt;&gt;"", VLOOKUP(A1932, imdb_netflix_v5!A$2:H$7370, 7, FALSE), "")</f>
        <v>NA</v>
      </c>
    </row>
    <row r="1933" ht="15.75" customHeight="1">
      <c r="A1933" s="1" t="str">
        <f>IFERROR(__xludf.DUMMYFUNCTION("""COMPUTED_VALUE"""),"johnny gaddaar")</f>
        <v>johnny gaddaar</v>
      </c>
      <c r="B1933" s="1" t="str">
        <f>IF(A1933&lt;&gt;"", VLOOKUP(A1933, imdb_netflix_v5!A$2:H$7370, 2, FALSE), "")</f>
        <v>Movie</v>
      </c>
      <c r="C1933" s="2" t="str">
        <f>IF(A1933&lt;&gt;"", VLOOKUP(A1933, imdb_netflix_v5!A$2:H$7370, 3, FALSE), "")</f>
        <v>Crime, Drama, Thriller</v>
      </c>
      <c r="D1933" s="2">
        <f>IF(A1933&lt;&gt;"", VLOOKUP(A1933, imdb_netflix_v5!A$2:H$7370, 4, FALSE), "")</f>
        <v>7.9</v>
      </c>
      <c r="E1933" s="2">
        <f>IF(A1933&lt;&gt;"", VLOOKUP(A1933, imdb_netflix_v5!A$2:H$7370, 5, FALSE), "")</f>
        <v>2007</v>
      </c>
      <c r="F1933" s="2" t="str">
        <f>IF(A1933&lt;&gt;"", VLOOKUP(A1933, imdb_netflix_v5!A$2:H$7370, 7, FALSE), "")</f>
        <v>NA</v>
      </c>
    </row>
    <row r="1934" ht="15.75" customHeight="1">
      <c r="A1934" s="1" t="str">
        <f>IFERROR(__xludf.DUMMYFUNCTION("""COMPUTED_VALUE"""),"the little foxes")</f>
        <v>the little foxes</v>
      </c>
      <c r="B1934" s="1" t="str">
        <f>IF(A1934&lt;&gt;"", VLOOKUP(A1934, imdb_netflix_v5!A$2:H$7370, 2, FALSE), "")</f>
        <v>Movie</v>
      </c>
      <c r="C1934" s="2" t="str">
        <f>IF(A1934&lt;&gt;"", VLOOKUP(A1934, imdb_netflix_v5!A$2:H$7370, 3, FALSE), "")</f>
        <v>Drama, Romance</v>
      </c>
      <c r="D1934" s="2">
        <f>IF(A1934&lt;&gt;"", VLOOKUP(A1934, imdb_netflix_v5!A$2:H$7370, 4, FALSE), "")</f>
        <v>7.9</v>
      </c>
      <c r="E1934" s="2">
        <f>IF(A1934&lt;&gt;"", VLOOKUP(A1934, imdb_netflix_v5!A$2:H$7370, 5, FALSE), "")</f>
        <v>1941</v>
      </c>
      <c r="F1934" s="2" t="str">
        <f>IF(A1934&lt;&gt;"", VLOOKUP(A1934, imdb_netflix_v5!A$2:H$7370, 7, FALSE), "")</f>
        <v>NA</v>
      </c>
    </row>
    <row r="1935" ht="15.75" customHeight="1">
      <c r="A1935" s="1" t="str">
        <f>IFERROR(__xludf.DUMMYFUNCTION("""COMPUTED_VALUE"""),"silent witness")</f>
        <v>silent witness</v>
      </c>
      <c r="B1935" s="1" t="str">
        <f>IF(A1935&lt;&gt;"", VLOOKUP(A1935, imdb_netflix_v5!A$2:H$7370, 2, FALSE), "")</f>
        <v>TV Show</v>
      </c>
      <c r="C1935" s="2" t="str">
        <f>IF(A1935&lt;&gt;"", VLOOKUP(A1935, imdb_netflix_v5!A$2:H$7370, 3, FALSE), "")</f>
        <v>Crime, Drama, Mystery</v>
      </c>
      <c r="D1935" s="2">
        <f>IF(A1935&lt;&gt;"", VLOOKUP(A1935, imdb_netflix_v5!A$2:H$7370, 4, FALSE), "")</f>
        <v>7.9</v>
      </c>
      <c r="E1935" s="2">
        <f>IF(A1935&lt;&gt;"", VLOOKUP(A1935, imdb_netflix_v5!A$2:H$7370, 5, FALSE), "")</f>
        <v>1996</v>
      </c>
      <c r="F1935" s="2" t="str">
        <f>IF(A1935&lt;&gt;"", VLOOKUP(A1935, imdb_netflix_v5!A$2:H$7370, 7, FALSE), "")</f>
        <v>NA</v>
      </c>
    </row>
    <row r="1936" ht="15.75" customHeight="1">
      <c r="A1936" s="1" t="str">
        <f>IFERROR(__xludf.DUMMYFUNCTION("""COMPUTED_VALUE"""),"sonchiriya")</f>
        <v>sonchiriya</v>
      </c>
      <c r="B1936" s="1" t="str">
        <f>IF(A1936&lt;&gt;"", VLOOKUP(A1936, imdb_netflix_v5!A$2:H$7370, 2, FALSE), "")</f>
        <v>Movie</v>
      </c>
      <c r="C1936" s="2" t="str">
        <f>IF(A1936&lt;&gt;"", VLOOKUP(A1936, imdb_netflix_v5!A$2:H$7370, 3, FALSE), "")</f>
        <v>Action, Crime, Drama</v>
      </c>
      <c r="D1936" s="2">
        <f>IF(A1936&lt;&gt;"", VLOOKUP(A1936, imdb_netflix_v5!A$2:H$7370, 4, FALSE), "")</f>
        <v>7.9</v>
      </c>
      <c r="E1936" s="2">
        <f>IF(A1936&lt;&gt;"", VLOOKUP(A1936, imdb_netflix_v5!A$2:H$7370, 5, FALSE), "")</f>
        <v>2019</v>
      </c>
      <c r="F1936" s="2" t="str">
        <f>IF(A1936&lt;&gt;"", VLOOKUP(A1936, imdb_netflix_v5!A$2:H$7370, 7, FALSE), "")</f>
        <v>NA</v>
      </c>
    </row>
    <row r="1937" ht="15.75" customHeight="1">
      <c r="A1937" s="1" t="str">
        <f>IFERROR(__xludf.DUMMYFUNCTION("""COMPUTED_VALUE"""),"red oaks")</f>
        <v>red oaks</v>
      </c>
      <c r="B1937" s="1" t="str">
        <f>IF(A1937&lt;&gt;"", VLOOKUP(A1937, imdb_netflix_v5!A$2:H$7370, 2, FALSE), "")</f>
        <v>TV Show</v>
      </c>
      <c r="C1937" s="2" t="str">
        <f>IF(A1937&lt;&gt;"", VLOOKUP(A1937, imdb_netflix_v5!A$2:H$7370, 3, FALSE), "")</f>
        <v>Comedy, Drama, Sport</v>
      </c>
      <c r="D1937" s="2">
        <f>IF(A1937&lt;&gt;"", VLOOKUP(A1937, imdb_netflix_v5!A$2:H$7370, 4, FALSE), "")</f>
        <v>7.9</v>
      </c>
      <c r="E1937" s="2">
        <f>IF(A1937&lt;&gt;"", VLOOKUP(A1937, imdb_netflix_v5!A$2:H$7370, 5, FALSE), "")</f>
        <v>2014</v>
      </c>
      <c r="F1937" s="2" t="str">
        <f>IF(A1937&lt;&gt;"", VLOOKUP(A1937, imdb_netflix_v5!A$2:H$7370, 7, FALSE), "")</f>
        <v>NA</v>
      </c>
    </row>
    <row r="1938" ht="15.75" customHeight="1">
      <c r="A1938" s="1" t="str">
        <f>IFERROR(__xludf.DUMMYFUNCTION("""COMPUTED_VALUE"""),"the other me")</f>
        <v>the other me</v>
      </c>
      <c r="B1938" s="1" t="str">
        <f>IF(A1938&lt;&gt;"", VLOOKUP(A1938, imdb_netflix_v5!A$2:H$7370, 2, FALSE), "")</f>
        <v>Movie</v>
      </c>
      <c r="C1938" s="2" t="str">
        <f>IF(A1938&lt;&gt;"", VLOOKUP(A1938, imdb_netflix_v5!A$2:H$7370, 3, FALSE), "")</f>
        <v>Crime, Drama, Mystery</v>
      </c>
      <c r="D1938" s="2">
        <f>IF(A1938&lt;&gt;"", VLOOKUP(A1938, imdb_netflix_v5!A$2:H$7370, 4, FALSE), "")</f>
        <v>7.9</v>
      </c>
      <c r="E1938" s="2">
        <f>IF(A1938&lt;&gt;"", VLOOKUP(A1938, imdb_netflix_v5!A$2:H$7370, 5, FALSE), "")</f>
        <v>2016</v>
      </c>
      <c r="F1938" s="2" t="str">
        <f>IF(A1938&lt;&gt;"", VLOOKUP(A1938, imdb_netflix_v5!A$2:H$7370, 7, FALSE), "")</f>
        <v>NA</v>
      </c>
    </row>
    <row r="1939" ht="15.75" customHeight="1">
      <c r="A1939" s="1" t="str">
        <f>IFERROR(__xludf.DUMMYFUNCTION("""COMPUTED_VALUE"""),"auntie mame")</f>
        <v>auntie mame</v>
      </c>
      <c r="B1939" s="1" t="str">
        <f>IF(A1939&lt;&gt;"", VLOOKUP(A1939, imdb_netflix_v5!A$2:H$7370, 2, FALSE), "")</f>
        <v>Movie</v>
      </c>
      <c r="C1939" s="2" t="str">
        <f>IF(A1939&lt;&gt;"", VLOOKUP(A1939, imdb_netflix_v5!A$2:H$7370, 3, FALSE), "")</f>
        <v>Comedy, Drama, Romance</v>
      </c>
      <c r="D1939" s="2">
        <f>IF(A1939&lt;&gt;"", VLOOKUP(A1939, imdb_netflix_v5!A$2:H$7370, 4, FALSE), "")</f>
        <v>7.9</v>
      </c>
      <c r="E1939" s="2">
        <f>IF(A1939&lt;&gt;"", VLOOKUP(A1939, imdb_netflix_v5!A$2:H$7370, 5, FALSE), "")</f>
        <v>1958</v>
      </c>
      <c r="F1939" s="2" t="str">
        <f>IF(A1939&lt;&gt;"", VLOOKUP(A1939, imdb_netflix_v5!A$2:H$7370, 7, FALSE), "")</f>
        <v>NA</v>
      </c>
    </row>
    <row r="1940" ht="15.75" customHeight="1">
      <c r="A1940" s="1" t="str">
        <f>IFERROR(__xludf.DUMMYFUNCTION("""COMPUTED_VALUE"""),"ankhon dekhi")</f>
        <v>ankhon dekhi</v>
      </c>
      <c r="B1940" s="1" t="str">
        <f>IF(A1940&lt;&gt;"", VLOOKUP(A1940, imdb_netflix_v5!A$2:H$7370, 2, FALSE), "")</f>
        <v>Movie</v>
      </c>
      <c r="C1940" s="2" t="str">
        <f>IF(A1940&lt;&gt;"", VLOOKUP(A1940, imdb_netflix_v5!A$2:H$7370, 3, FALSE), "")</f>
        <v>Comedy, Drama</v>
      </c>
      <c r="D1940" s="2">
        <f>IF(A1940&lt;&gt;"", VLOOKUP(A1940, imdb_netflix_v5!A$2:H$7370, 4, FALSE), "")</f>
        <v>7.9</v>
      </c>
      <c r="E1940" s="2">
        <f>IF(A1940&lt;&gt;"", VLOOKUP(A1940, imdb_netflix_v5!A$2:H$7370, 5, FALSE), "")</f>
        <v>2013</v>
      </c>
      <c r="F1940" s="2" t="str">
        <f>IF(A1940&lt;&gt;"", VLOOKUP(A1940, imdb_netflix_v5!A$2:H$7370, 7, FALSE), "")</f>
        <v>NA</v>
      </c>
    </row>
    <row r="1941" ht="15.75" customHeight="1">
      <c r="A1941" s="1" t="str">
        <f>IFERROR(__xludf.DUMMYFUNCTION("""COMPUTED_VALUE"""),"cars of the revolution")</f>
        <v>cars of the revolution</v>
      </c>
      <c r="B1941" s="1" t="str">
        <f>IF(A1941&lt;&gt;"", VLOOKUP(A1941, imdb_netflix_v5!A$2:H$7370, 2, FALSE), "")</f>
        <v>Movie</v>
      </c>
      <c r="C1941" s="2" t="str">
        <f>IF(A1941&lt;&gt;"", VLOOKUP(A1941, imdb_netflix_v5!A$2:H$7370, 3, FALSE), "")</f>
        <v>Drama, History</v>
      </c>
      <c r="D1941" s="2">
        <f>IF(A1941&lt;&gt;"", VLOOKUP(A1941, imdb_netflix_v5!A$2:H$7370, 4, FALSE), "")</f>
        <v>7.9</v>
      </c>
      <c r="E1941" s="2">
        <f>IF(A1941&lt;&gt;"", VLOOKUP(A1941, imdb_netflix_v5!A$2:H$7370, 5, FALSE), "")</f>
        <v>2008</v>
      </c>
      <c r="F1941" s="2" t="str">
        <f>IF(A1941&lt;&gt;"", VLOOKUP(A1941, imdb_netflix_v5!A$2:H$7370, 7, FALSE), "")</f>
        <v>NA</v>
      </c>
    </row>
    <row r="1942" ht="15.75" customHeight="1">
      <c r="A1942" s="1" t="str">
        <f>IFERROR(__xludf.DUMMYFUNCTION("""COMPUTED_VALUE"""),"opening night")</f>
        <v>opening night</v>
      </c>
      <c r="B1942" s="1" t="str">
        <f>IF(A1942&lt;&gt;"", VLOOKUP(A1942, imdb_netflix_v5!A$2:H$7370, 2, FALSE), "")</f>
        <v>Movie</v>
      </c>
      <c r="C1942" s="2" t="str">
        <f>IF(A1942&lt;&gt;"", VLOOKUP(A1942, imdb_netflix_v5!A$2:H$7370, 3, FALSE), "")</f>
        <v>Drama</v>
      </c>
      <c r="D1942" s="2">
        <f>IF(A1942&lt;&gt;"", VLOOKUP(A1942, imdb_netflix_v5!A$2:H$7370, 4, FALSE), "")</f>
        <v>7.9</v>
      </c>
      <c r="E1942" s="2">
        <f>IF(A1942&lt;&gt;"", VLOOKUP(A1942, imdb_netflix_v5!A$2:H$7370, 5, FALSE), "")</f>
        <v>1977</v>
      </c>
      <c r="F1942" s="2" t="str">
        <f>IF(A1942&lt;&gt;"", VLOOKUP(A1942, imdb_netflix_v5!A$2:H$7370, 7, FALSE), "")</f>
        <v>NA</v>
      </c>
    </row>
    <row r="1943" ht="15.75" customHeight="1">
      <c r="A1943" s="1" t="str">
        <f>IFERROR(__xludf.DUMMYFUNCTION("""COMPUTED_VALUE"""),"inside edge")</f>
        <v>inside edge</v>
      </c>
      <c r="B1943" s="1" t="str">
        <f>IF(A1943&lt;&gt;"", VLOOKUP(A1943, imdb_netflix_v5!A$2:H$7370, 2, FALSE), "")</f>
        <v>TV Show</v>
      </c>
      <c r="C1943" s="2" t="str">
        <f>IF(A1943&lt;&gt;"", VLOOKUP(A1943, imdb_netflix_v5!A$2:H$7370, 3, FALSE), "")</f>
        <v>Drama, Sport</v>
      </c>
      <c r="D1943" s="2">
        <f>IF(A1943&lt;&gt;"", VLOOKUP(A1943, imdb_netflix_v5!A$2:H$7370, 4, FALSE), "")</f>
        <v>7.9</v>
      </c>
      <c r="E1943" s="2">
        <f>IF(A1943&lt;&gt;"", VLOOKUP(A1943, imdb_netflix_v5!A$2:H$7370, 5, FALSE), "")</f>
        <v>2017</v>
      </c>
      <c r="F1943" s="2" t="str">
        <f>IF(A1943&lt;&gt;"", VLOOKUP(A1943, imdb_netflix_v5!A$2:H$7370, 7, FALSE), "")</f>
        <v>NA</v>
      </c>
    </row>
    <row r="1944" ht="15.75" customHeight="1">
      <c r="A1944" s="1" t="str">
        <f>IFERROR(__xludf.DUMMYFUNCTION("""COMPUTED_VALUE"""),"winged migration")</f>
        <v>winged migration</v>
      </c>
      <c r="B1944" s="1" t="str">
        <f>IF(A1944&lt;&gt;"", VLOOKUP(A1944, imdb_netflix_v5!A$2:H$7370, 2, FALSE), "")</f>
        <v>Movie</v>
      </c>
      <c r="C1944" s="2" t="str">
        <f>IF(A1944&lt;&gt;"", VLOOKUP(A1944, imdb_netflix_v5!A$2:H$7370, 3, FALSE), "")</f>
        <v>Documentary</v>
      </c>
      <c r="D1944" s="2">
        <f>IF(A1944&lt;&gt;"", VLOOKUP(A1944, imdb_netflix_v5!A$2:H$7370, 4, FALSE), "")</f>
        <v>7.9</v>
      </c>
      <c r="E1944" s="2">
        <f>IF(A1944&lt;&gt;"", VLOOKUP(A1944, imdb_netflix_v5!A$2:H$7370, 5, FALSE), "")</f>
        <v>2001</v>
      </c>
      <c r="F1944" s="2" t="str">
        <f>IF(A1944&lt;&gt;"", VLOOKUP(A1944, imdb_netflix_v5!A$2:H$7370, 7, FALSE), "")</f>
        <v>NA</v>
      </c>
    </row>
    <row r="1945" ht="15.75" customHeight="1">
      <c r="A1945" s="1" t="str">
        <f>IFERROR(__xludf.DUMMYFUNCTION("""COMPUTED_VALUE"""),"the sword of doom")</f>
        <v>the sword of doom</v>
      </c>
      <c r="B1945" s="1" t="str">
        <f>IF(A1945&lt;&gt;"", VLOOKUP(A1945, imdb_netflix_v5!A$2:H$7370, 2, FALSE), "")</f>
        <v>Movie</v>
      </c>
      <c r="C1945" s="2" t="str">
        <f>IF(A1945&lt;&gt;"", VLOOKUP(A1945, imdb_netflix_v5!A$2:H$7370, 3, FALSE), "")</f>
        <v>Action, Drama</v>
      </c>
      <c r="D1945" s="2">
        <f>IF(A1945&lt;&gt;"", VLOOKUP(A1945, imdb_netflix_v5!A$2:H$7370, 4, FALSE), "")</f>
        <v>7.9</v>
      </c>
      <c r="E1945" s="2">
        <f>IF(A1945&lt;&gt;"", VLOOKUP(A1945, imdb_netflix_v5!A$2:H$7370, 5, FALSE), "")</f>
        <v>1966</v>
      </c>
      <c r="F1945" s="2" t="str">
        <f>IF(A1945&lt;&gt;"", VLOOKUP(A1945, imdb_netflix_v5!A$2:H$7370, 7, FALSE), "")</f>
        <v>NA</v>
      </c>
    </row>
    <row r="1946" ht="15.75" customHeight="1">
      <c r="A1946" s="1" t="str">
        <f>IFERROR(__xludf.DUMMYFUNCTION("""COMPUTED_VALUE"""),"show me a hero")</f>
        <v>show me a hero</v>
      </c>
      <c r="B1946" s="1" t="str">
        <f>IF(A1946&lt;&gt;"", VLOOKUP(A1946, imdb_netflix_v5!A$2:H$7370, 2, FALSE), "")</f>
        <v>TV Show</v>
      </c>
      <c r="C1946" s="2" t="str">
        <f>IF(A1946&lt;&gt;"", VLOOKUP(A1946, imdb_netflix_v5!A$2:H$7370, 3, FALSE), "")</f>
        <v>Drama, History</v>
      </c>
      <c r="D1946" s="2">
        <f>IF(A1946&lt;&gt;"", VLOOKUP(A1946, imdb_netflix_v5!A$2:H$7370, 4, FALSE), "")</f>
        <v>7.9</v>
      </c>
      <c r="E1946" s="2">
        <f>IF(A1946&lt;&gt;"", VLOOKUP(A1946, imdb_netflix_v5!A$2:H$7370, 5, FALSE), "")</f>
        <v>2015</v>
      </c>
      <c r="F1946" s="2" t="str">
        <f>IF(A1946&lt;&gt;"", VLOOKUP(A1946, imdb_netflix_v5!A$2:H$7370, 7, FALSE), "")</f>
        <v>NA</v>
      </c>
    </row>
    <row r="1947" ht="15.75" customHeight="1">
      <c r="A1947" s="1" t="str">
        <f>IFERROR(__xludf.DUMMYFUNCTION("""COMPUTED_VALUE"""),"manam")</f>
        <v>manam</v>
      </c>
      <c r="B1947" s="1" t="str">
        <f>IF(A1947&lt;&gt;"", VLOOKUP(A1947, imdb_netflix_v5!A$2:H$7370, 2, FALSE), "")</f>
        <v>Movie</v>
      </c>
      <c r="C1947" s="2" t="str">
        <f>IF(A1947&lt;&gt;"", VLOOKUP(A1947, imdb_netflix_v5!A$2:H$7370, 3, FALSE), "")</f>
        <v>Comedy, Drama, Fantasy</v>
      </c>
      <c r="D1947" s="2">
        <f>IF(A1947&lt;&gt;"", VLOOKUP(A1947, imdb_netflix_v5!A$2:H$7370, 4, FALSE), "")</f>
        <v>7.9</v>
      </c>
      <c r="E1947" s="2">
        <f>IF(A1947&lt;&gt;"", VLOOKUP(A1947, imdb_netflix_v5!A$2:H$7370, 5, FALSE), "")</f>
        <v>2014</v>
      </c>
      <c r="F1947" s="2" t="str">
        <f>IF(A1947&lt;&gt;"", VLOOKUP(A1947, imdb_netflix_v5!A$2:H$7370, 7, FALSE), "")</f>
        <v>NA</v>
      </c>
    </row>
    <row r="1948" ht="15.75" customHeight="1">
      <c r="A1948" s="1" t="str">
        <f>IFERROR(__xludf.DUMMYFUNCTION("""COMPUTED_VALUE"""),"mission impossible")</f>
        <v>mission impossible</v>
      </c>
      <c r="B1948" s="1" t="str">
        <f>IF(A1948&lt;&gt;"", VLOOKUP(A1948, imdb_netflix_v5!A$2:H$7370, 2, FALSE), "")</f>
        <v>TV Show</v>
      </c>
      <c r="C1948" s="2" t="str">
        <f>IF(A1948&lt;&gt;"", VLOOKUP(A1948, imdb_netflix_v5!A$2:H$7370, 3, FALSE), "")</f>
        <v>Action, Adventure, Crime</v>
      </c>
      <c r="D1948" s="2">
        <f>IF(A1948&lt;&gt;"", VLOOKUP(A1948, imdb_netflix_v5!A$2:H$7370, 4, FALSE), "")</f>
        <v>7.9</v>
      </c>
      <c r="E1948" s="2">
        <f>IF(A1948&lt;&gt;"", VLOOKUP(A1948, imdb_netflix_v5!A$2:H$7370, 5, FALSE), "")</f>
        <v>1966</v>
      </c>
      <c r="F1948" s="2" t="str">
        <f>IF(A1948&lt;&gt;"", VLOOKUP(A1948, imdb_netflix_v5!A$2:H$7370, 7, FALSE), "")</f>
        <v>NA</v>
      </c>
    </row>
    <row r="1949" ht="15.75" customHeight="1">
      <c r="A1949" s="1" t="str">
        <f>IFERROR(__xludf.DUMMYFUNCTION("""COMPUTED_VALUE"""),"turning point 9/11 and the war on terror")</f>
        <v>turning point 9/11 and the war on terror</v>
      </c>
      <c r="B1949" s="1" t="str">
        <f>IF(A1949&lt;&gt;"", VLOOKUP(A1949, imdb_netflix_v5!A$2:H$7370, 2, FALSE), "")</f>
        <v>TV Show</v>
      </c>
      <c r="C1949" s="2" t="str">
        <f>IF(A1949&lt;&gt;"", VLOOKUP(A1949, imdb_netflix_v5!A$2:H$7370, 3, FALSE), "")</f>
        <v>Documentary, History, War</v>
      </c>
      <c r="D1949" s="2">
        <f>IF(A1949&lt;&gt;"", VLOOKUP(A1949, imdb_netflix_v5!A$2:H$7370, 4, FALSE), "")</f>
        <v>7.9</v>
      </c>
      <c r="E1949" s="2">
        <f>IF(A1949&lt;&gt;"", VLOOKUP(A1949, imdb_netflix_v5!A$2:H$7370, 5, FALSE), "")</f>
        <v>2021</v>
      </c>
      <c r="F1949" s="2">
        <f>IF(A1949&lt;&gt;"", VLOOKUP(A1949, imdb_netflix_v5!A$2:H$7370, 7, FALSE), "")</f>
        <v>18720000</v>
      </c>
    </row>
    <row r="1950" ht="15.75" customHeight="1">
      <c r="A1950" s="1" t="str">
        <f>IFERROR(__xludf.DUMMYFUNCTION("""COMPUTED_VALUE"""),"big deal on madonna street")</f>
        <v>big deal on madonna street</v>
      </c>
      <c r="B1950" s="1" t="str">
        <f>IF(A1950&lt;&gt;"", VLOOKUP(A1950, imdb_netflix_v5!A$2:H$7370, 2, FALSE), "")</f>
        <v>Movie</v>
      </c>
      <c r="C1950" s="2" t="str">
        <f>IF(A1950&lt;&gt;"", VLOOKUP(A1950, imdb_netflix_v5!A$2:H$7370, 3, FALSE), "")</f>
        <v>Comedy, Crime</v>
      </c>
      <c r="D1950" s="2">
        <f>IF(A1950&lt;&gt;"", VLOOKUP(A1950, imdb_netflix_v5!A$2:H$7370, 4, FALSE), "")</f>
        <v>7.9</v>
      </c>
      <c r="E1950" s="2">
        <f>IF(A1950&lt;&gt;"", VLOOKUP(A1950, imdb_netflix_v5!A$2:H$7370, 5, FALSE), "")</f>
        <v>1958</v>
      </c>
      <c r="F1950" s="2" t="str">
        <f>IF(A1950&lt;&gt;"", VLOOKUP(A1950, imdb_netflix_v5!A$2:H$7370, 7, FALSE), "")</f>
        <v>NA</v>
      </c>
    </row>
    <row r="1951" ht="15.75" customHeight="1">
      <c r="A1951" s="1" t="str">
        <f>IFERROR(__xludf.DUMMYFUNCTION("""COMPUTED_VALUE"""),"microcosmos")</f>
        <v>microcosmos</v>
      </c>
      <c r="B1951" s="1" t="str">
        <f>IF(A1951&lt;&gt;"", VLOOKUP(A1951, imdb_netflix_v5!A$2:H$7370, 2, FALSE), "")</f>
        <v>Movie</v>
      </c>
      <c r="C1951" s="2" t="str">
        <f>IF(A1951&lt;&gt;"", VLOOKUP(A1951, imdb_netflix_v5!A$2:H$7370, 3, FALSE), "")</f>
        <v>Documentary</v>
      </c>
      <c r="D1951" s="2">
        <f>IF(A1951&lt;&gt;"", VLOOKUP(A1951, imdb_netflix_v5!A$2:H$7370, 4, FALSE), "")</f>
        <v>7.9</v>
      </c>
      <c r="E1951" s="2">
        <f>IF(A1951&lt;&gt;"", VLOOKUP(A1951, imdb_netflix_v5!A$2:H$7370, 5, FALSE), "")</f>
        <v>1996</v>
      </c>
      <c r="F1951" s="2" t="str">
        <f>IF(A1951&lt;&gt;"", VLOOKUP(A1951, imdb_netflix_v5!A$2:H$7370, 7, FALSE), "")</f>
        <v>NA</v>
      </c>
    </row>
    <row r="1952" ht="15.75" customHeight="1">
      <c r="A1952" s="1" t="str">
        <f>IFERROR(__xludf.DUMMYFUNCTION("""COMPUTED_VALUE"""),"goodbye, mr. chips")</f>
        <v>goodbye, mr. chips</v>
      </c>
      <c r="B1952" s="1" t="str">
        <f>IF(A1952&lt;&gt;"", VLOOKUP(A1952, imdb_netflix_v5!A$2:H$7370, 2, FALSE), "")</f>
        <v>Movie</v>
      </c>
      <c r="C1952" s="2" t="str">
        <f>IF(A1952&lt;&gt;"", VLOOKUP(A1952, imdb_netflix_v5!A$2:H$7370, 3, FALSE), "")</f>
        <v>Drama, Romance</v>
      </c>
      <c r="D1952" s="2">
        <f>IF(A1952&lt;&gt;"", VLOOKUP(A1952, imdb_netflix_v5!A$2:H$7370, 4, FALSE), "")</f>
        <v>7.9</v>
      </c>
      <c r="E1952" s="2">
        <f>IF(A1952&lt;&gt;"", VLOOKUP(A1952, imdb_netflix_v5!A$2:H$7370, 5, FALSE), "")</f>
        <v>1939</v>
      </c>
      <c r="F1952" s="2" t="str">
        <f>IF(A1952&lt;&gt;"", VLOOKUP(A1952, imdb_netflix_v5!A$2:H$7370, 7, FALSE), "")</f>
        <v>NA</v>
      </c>
    </row>
    <row r="1953" ht="15.75" customHeight="1">
      <c r="A1953" s="1" t="str">
        <f>IFERROR(__xludf.DUMMYFUNCTION("""COMPUTED_VALUE"""),"the book of sun")</f>
        <v>the book of sun</v>
      </c>
      <c r="B1953" s="1" t="str">
        <f>IF(A1953&lt;&gt;"", VLOOKUP(A1953, imdb_netflix_v5!A$2:H$7370, 2, FALSE), "")</f>
        <v>Movie</v>
      </c>
      <c r="C1953" s="2" t="str">
        <f>IF(A1953&lt;&gt;"", VLOOKUP(A1953, imdb_netflix_v5!A$2:H$7370, 3, FALSE), "")</f>
        <v>Comedy</v>
      </c>
      <c r="D1953" s="2">
        <f>IF(A1953&lt;&gt;"", VLOOKUP(A1953, imdb_netflix_v5!A$2:H$7370, 4, FALSE), "")</f>
        <v>7.9</v>
      </c>
      <c r="E1953" s="2">
        <f>IF(A1953&lt;&gt;"", VLOOKUP(A1953, imdb_netflix_v5!A$2:H$7370, 5, FALSE), "")</f>
        <v>2020</v>
      </c>
      <c r="F1953" s="2" t="str">
        <f>IF(A1953&lt;&gt;"", VLOOKUP(A1953, imdb_netflix_v5!A$2:H$7370, 7, FALSE), "")</f>
        <v>NA</v>
      </c>
    </row>
    <row r="1954" ht="15.75" customHeight="1">
      <c r="A1954" s="1" t="str">
        <f>IFERROR(__xludf.DUMMYFUNCTION("""COMPUTED_VALUE"""),"the honorable woman")</f>
        <v>the honorable woman</v>
      </c>
      <c r="B1954" s="1" t="str">
        <f>IF(A1954&lt;&gt;"", VLOOKUP(A1954, imdb_netflix_v5!A$2:H$7370, 2, FALSE), "")</f>
        <v>TV Show</v>
      </c>
      <c r="C1954" s="2" t="str">
        <f>IF(A1954&lt;&gt;"", VLOOKUP(A1954, imdb_netflix_v5!A$2:H$7370, 3, FALSE), "")</f>
        <v>Drama, Thriller</v>
      </c>
      <c r="D1954" s="2">
        <f>IF(A1954&lt;&gt;"", VLOOKUP(A1954, imdb_netflix_v5!A$2:H$7370, 4, FALSE), "")</f>
        <v>7.9</v>
      </c>
      <c r="E1954" s="2">
        <f>IF(A1954&lt;&gt;"", VLOOKUP(A1954, imdb_netflix_v5!A$2:H$7370, 5, FALSE), "")</f>
        <v>2014</v>
      </c>
      <c r="F1954" s="2" t="str">
        <f>IF(A1954&lt;&gt;"", VLOOKUP(A1954, imdb_netflix_v5!A$2:H$7370, 7, FALSE), "")</f>
        <v>NA</v>
      </c>
    </row>
    <row r="1955" ht="15.75" customHeight="1">
      <c r="A1955" s="1" t="str">
        <f>IFERROR(__xludf.DUMMYFUNCTION("""COMPUTED_VALUE"""),"cría cuervos")</f>
        <v>cría cuervos</v>
      </c>
      <c r="B1955" s="1" t="str">
        <f>IF(A1955&lt;&gt;"", VLOOKUP(A1955, imdb_netflix_v5!A$2:H$7370, 2, FALSE), "")</f>
        <v>Movie</v>
      </c>
      <c r="C1955" s="2" t="str">
        <f>IF(A1955&lt;&gt;"", VLOOKUP(A1955, imdb_netflix_v5!A$2:H$7370, 3, FALSE), "")</f>
        <v>Drama</v>
      </c>
      <c r="D1955" s="2">
        <f>IF(A1955&lt;&gt;"", VLOOKUP(A1955, imdb_netflix_v5!A$2:H$7370, 4, FALSE), "")</f>
        <v>7.9</v>
      </c>
      <c r="E1955" s="2">
        <f>IF(A1955&lt;&gt;"", VLOOKUP(A1955, imdb_netflix_v5!A$2:H$7370, 5, FALSE), "")</f>
        <v>1976</v>
      </c>
      <c r="F1955" s="2" t="str">
        <f>IF(A1955&lt;&gt;"", VLOOKUP(A1955, imdb_netflix_v5!A$2:H$7370, 7, FALSE), "")</f>
        <v>NA</v>
      </c>
    </row>
    <row r="1956" ht="15.75" customHeight="1">
      <c r="A1956" s="1" t="str">
        <f>IFERROR(__xludf.DUMMYFUNCTION("""COMPUTED_VALUE"""),"love letter")</f>
        <v>love letter</v>
      </c>
      <c r="B1956" s="1" t="str">
        <f>IF(A1956&lt;&gt;"", VLOOKUP(A1956, imdb_netflix_v5!A$2:H$7370, 2, FALSE), "")</f>
        <v>Movie</v>
      </c>
      <c r="C1956" s="2" t="str">
        <f>IF(A1956&lt;&gt;"", VLOOKUP(A1956, imdb_netflix_v5!A$2:H$7370, 3, FALSE), "")</f>
        <v>Drama, Romance</v>
      </c>
      <c r="D1956" s="2">
        <f>IF(A1956&lt;&gt;"", VLOOKUP(A1956, imdb_netflix_v5!A$2:H$7370, 4, FALSE), "")</f>
        <v>7.9</v>
      </c>
      <c r="E1956" s="2">
        <f>IF(A1956&lt;&gt;"", VLOOKUP(A1956, imdb_netflix_v5!A$2:H$7370, 5, FALSE), "")</f>
        <v>1995</v>
      </c>
      <c r="F1956" s="2" t="str">
        <f>IF(A1956&lt;&gt;"", VLOOKUP(A1956, imdb_netflix_v5!A$2:H$7370, 7, FALSE), "")</f>
        <v>NA</v>
      </c>
    </row>
    <row r="1957" ht="15.75" customHeight="1">
      <c r="A1957" s="1" t="str">
        <f>IFERROR(__xludf.DUMMYFUNCTION("""COMPUTED_VALUE"""),"tabula rasa")</f>
        <v>tabula rasa</v>
      </c>
      <c r="B1957" s="1" t="str">
        <f>IF(A1957&lt;&gt;"", VLOOKUP(A1957, imdb_netflix_v5!A$2:H$7370, 2, FALSE), "")</f>
        <v>TV Show</v>
      </c>
      <c r="C1957" s="2" t="str">
        <f>IF(A1957&lt;&gt;"", VLOOKUP(A1957, imdb_netflix_v5!A$2:H$7370, 3, FALSE), "")</f>
        <v>Drama, Horror, Thriller</v>
      </c>
      <c r="D1957" s="2">
        <f>IF(A1957&lt;&gt;"", VLOOKUP(A1957, imdb_netflix_v5!A$2:H$7370, 4, FALSE), "")</f>
        <v>7.9</v>
      </c>
      <c r="E1957" s="2">
        <f>IF(A1957&lt;&gt;"", VLOOKUP(A1957, imdb_netflix_v5!A$2:H$7370, 5, FALSE), "")</f>
        <v>2017</v>
      </c>
      <c r="F1957" s="2" t="str">
        <f>IF(A1957&lt;&gt;"", VLOOKUP(A1957, imdb_netflix_v5!A$2:H$7370, 7, FALSE), "")</f>
        <v>NA</v>
      </c>
    </row>
    <row r="1958" ht="15.75" customHeight="1">
      <c r="A1958" s="1" t="str">
        <f>IFERROR(__xludf.DUMMYFUNCTION("""COMPUTED_VALUE"""),"the earrings of madame de...")</f>
        <v>the earrings of madame de...</v>
      </c>
      <c r="B1958" s="1" t="str">
        <f>IF(A1958&lt;&gt;"", VLOOKUP(A1958, imdb_netflix_v5!A$2:H$7370, 2, FALSE), "")</f>
        <v>Movie</v>
      </c>
      <c r="C1958" s="2" t="str">
        <f>IF(A1958&lt;&gt;"", VLOOKUP(A1958, imdb_netflix_v5!A$2:H$7370, 3, FALSE), "")</f>
        <v>Drama, Romance</v>
      </c>
      <c r="D1958" s="2">
        <f>IF(A1958&lt;&gt;"", VLOOKUP(A1958, imdb_netflix_v5!A$2:H$7370, 4, FALSE), "")</f>
        <v>7.9</v>
      </c>
      <c r="E1958" s="2">
        <f>IF(A1958&lt;&gt;"", VLOOKUP(A1958, imdb_netflix_v5!A$2:H$7370, 5, FALSE), "")</f>
        <v>1953</v>
      </c>
      <c r="F1958" s="2" t="str">
        <f>IF(A1958&lt;&gt;"", VLOOKUP(A1958, imdb_netflix_v5!A$2:H$7370, 7, FALSE), "")</f>
        <v>NA</v>
      </c>
    </row>
    <row r="1959" ht="15.75" customHeight="1">
      <c r="A1959" s="1" t="str">
        <f>IFERROR(__xludf.DUMMYFUNCTION("""COMPUTED_VALUE"""),"the song of sparrows")</f>
        <v>the song of sparrows</v>
      </c>
      <c r="B1959" s="1" t="str">
        <f>IF(A1959&lt;&gt;"", VLOOKUP(A1959, imdb_netflix_v5!A$2:H$7370, 2, FALSE), "")</f>
        <v>Movie</v>
      </c>
      <c r="C1959" s="2" t="str">
        <f>IF(A1959&lt;&gt;"", VLOOKUP(A1959, imdb_netflix_v5!A$2:H$7370, 3, FALSE), "")</f>
        <v>Drama, Family</v>
      </c>
      <c r="D1959" s="2">
        <f>IF(A1959&lt;&gt;"", VLOOKUP(A1959, imdb_netflix_v5!A$2:H$7370, 4, FALSE), "")</f>
        <v>7.9</v>
      </c>
      <c r="E1959" s="2">
        <f>IF(A1959&lt;&gt;"", VLOOKUP(A1959, imdb_netflix_v5!A$2:H$7370, 5, FALSE), "")</f>
        <v>2008</v>
      </c>
      <c r="F1959" s="2" t="str">
        <f>IF(A1959&lt;&gt;"", VLOOKUP(A1959, imdb_netflix_v5!A$2:H$7370, 7, FALSE), "")</f>
        <v>NA</v>
      </c>
    </row>
    <row r="1960" ht="15.75" customHeight="1">
      <c r="A1960" s="1" t="str">
        <f>IFERROR(__xludf.DUMMYFUNCTION("""COMPUTED_VALUE"""),"marple")</f>
        <v>marple</v>
      </c>
      <c r="B1960" s="1" t="str">
        <f>IF(A1960&lt;&gt;"", VLOOKUP(A1960, imdb_netflix_v5!A$2:H$7370, 2, FALSE), "")</f>
        <v>TV Show</v>
      </c>
      <c r="C1960" s="2" t="str">
        <f>IF(A1960&lt;&gt;"", VLOOKUP(A1960, imdb_netflix_v5!A$2:H$7370, 3, FALSE), "")</f>
        <v>Crime, Drama, Mystery</v>
      </c>
      <c r="D1960" s="2">
        <f>IF(A1960&lt;&gt;"", VLOOKUP(A1960, imdb_netflix_v5!A$2:H$7370, 4, FALSE), "")</f>
        <v>7.9</v>
      </c>
      <c r="E1960" s="2">
        <f>IF(A1960&lt;&gt;"", VLOOKUP(A1960, imdb_netflix_v5!A$2:H$7370, 5, FALSE), "")</f>
        <v>2004</v>
      </c>
      <c r="F1960" s="2" t="str">
        <f>IF(A1960&lt;&gt;"", VLOOKUP(A1960, imdb_netflix_v5!A$2:H$7370, 7, FALSE), "")</f>
        <v>NA</v>
      </c>
    </row>
    <row r="1961" ht="15.75" customHeight="1">
      <c r="A1961" s="1" t="str">
        <f>IFERROR(__xludf.DUMMYFUNCTION("""COMPUTED_VALUE"""),"ugly americans")</f>
        <v>ugly americans</v>
      </c>
      <c r="B1961" s="1" t="str">
        <f>IF(A1961&lt;&gt;"", VLOOKUP(A1961, imdb_netflix_v5!A$2:H$7370, 2, FALSE), "")</f>
        <v>TV Show</v>
      </c>
      <c r="C1961" s="2" t="str">
        <f>IF(A1961&lt;&gt;"", VLOOKUP(A1961, imdb_netflix_v5!A$2:H$7370, 3, FALSE), "")</f>
        <v>Animation, Comedy, Fantasy</v>
      </c>
      <c r="D1961" s="2">
        <f>IF(A1961&lt;&gt;"", VLOOKUP(A1961, imdb_netflix_v5!A$2:H$7370, 4, FALSE), "")</f>
        <v>7.9</v>
      </c>
      <c r="E1961" s="2">
        <f>IF(A1961&lt;&gt;"", VLOOKUP(A1961, imdb_netflix_v5!A$2:H$7370, 5, FALSE), "")</f>
        <v>2010</v>
      </c>
      <c r="F1961" s="2" t="str">
        <f>IF(A1961&lt;&gt;"", VLOOKUP(A1961, imdb_netflix_v5!A$2:H$7370, 7, FALSE), "")</f>
        <v>NA</v>
      </c>
    </row>
    <row r="1962" ht="15.75" customHeight="1">
      <c r="A1962" s="1" t="str">
        <f>IFERROR(__xludf.DUMMYFUNCTION("""COMPUTED_VALUE"""),"rubicon")</f>
        <v>rubicon</v>
      </c>
      <c r="B1962" s="1" t="str">
        <f>IF(A1962&lt;&gt;"", VLOOKUP(A1962, imdb_netflix_v5!A$2:H$7370, 2, FALSE), "")</f>
        <v>TV Show</v>
      </c>
      <c r="C1962" s="2" t="str">
        <f>IF(A1962&lt;&gt;"", VLOOKUP(A1962, imdb_netflix_v5!A$2:H$7370, 3, FALSE), "")</f>
        <v>Crime, Drama, Mystery</v>
      </c>
      <c r="D1962" s="2">
        <f>IF(A1962&lt;&gt;"", VLOOKUP(A1962, imdb_netflix_v5!A$2:H$7370, 4, FALSE), "")</f>
        <v>7.9</v>
      </c>
      <c r="E1962" s="2">
        <f>IF(A1962&lt;&gt;"", VLOOKUP(A1962, imdb_netflix_v5!A$2:H$7370, 5, FALSE), "")</f>
        <v>2010</v>
      </c>
      <c r="F1962" s="2" t="str">
        <f>IF(A1962&lt;&gt;"", VLOOKUP(A1962, imdb_netflix_v5!A$2:H$7370, 7, FALSE), "")</f>
        <v>NA</v>
      </c>
    </row>
    <row r="1963" ht="15.75" customHeight="1">
      <c r="A1963" s="1" t="str">
        <f>IFERROR(__xludf.DUMMYFUNCTION("""COMPUTED_VALUE"""),"captains courageous")</f>
        <v>captains courageous</v>
      </c>
      <c r="B1963" s="1" t="str">
        <f>IF(A1963&lt;&gt;"", VLOOKUP(A1963, imdb_netflix_v5!A$2:H$7370, 2, FALSE), "")</f>
        <v>Movie</v>
      </c>
      <c r="C1963" s="2" t="str">
        <f>IF(A1963&lt;&gt;"", VLOOKUP(A1963, imdb_netflix_v5!A$2:H$7370, 3, FALSE), "")</f>
        <v>Adventure, Drama, Family</v>
      </c>
      <c r="D1963" s="2">
        <f>IF(A1963&lt;&gt;"", VLOOKUP(A1963, imdb_netflix_v5!A$2:H$7370, 4, FALSE), "")</f>
        <v>7.9</v>
      </c>
      <c r="E1963" s="2">
        <f>IF(A1963&lt;&gt;"", VLOOKUP(A1963, imdb_netflix_v5!A$2:H$7370, 5, FALSE), "")</f>
        <v>1937</v>
      </c>
      <c r="F1963" s="2" t="str">
        <f>IF(A1963&lt;&gt;"", VLOOKUP(A1963, imdb_netflix_v5!A$2:H$7370, 7, FALSE), "")</f>
        <v>NA</v>
      </c>
    </row>
    <row r="1964" ht="15.75" customHeight="1">
      <c r="A1964" s="1" t="str">
        <f>IFERROR(__xludf.DUMMYFUNCTION("""COMPUTED_VALUE"""),"sanford and son")</f>
        <v>sanford and son</v>
      </c>
      <c r="B1964" s="1" t="str">
        <f>IF(A1964&lt;&gt;"", VLOOKUP(A1964, imdb_netflix_v5!A$2:H$7370, 2, FALSE), "")</f>
        <v>TV Show</v>
      </c>
      <c r="C1964" s="2" t="str">
        <f>IF(A1964&lt;&gt;"", VLOOKUP(A1964, imdb_netflix_v5!A$2:H$7370, 3, FALSE), "")</f>
        <v>Comedy</v>
      </c>
      <c r="D1964" s="2">
        <f>IF(A1964&lt;&gt;"", VLOOKUP(A1964, imdb_netflix_v5!A$2:H$7370, 4, FALSE), "")</f>
        <v>7.9</v>
      </c>
      <c r="E1964" s="2">
        <f>IF(A1964&lt;&gt;"", VLOOKUP(A1964, imdb_netflix_v5!A$2:H$7370, 5, FALSE), "")</f>
        <v>1972</v>
      </c>
      <c r="F1964" s="2" t="str">
        <f>IF(A1964&lt;&gt;"", VLOOKUP(A1964, imdb_netflix_v5!A$2:H$7370, 7, FALSE), "")</f>
        <v>NA</v>
      </c>
    </row>
    <row r="1965" ht="15.75" customHeight="1">
      <c r="A1965" s="1" t="str">
        <f>IFERROR(__xludf.DUMMYFUNCTION("""COMPUTED_VALUE"""),"west of memphis")</f>
        <v>west of memphis</v>
      </c>
      <c r="B1965" s="1" t="str">
        <f>IF(A1965&lt;&gt;"", VLOOKUP(A1965, imdb_netflix_v5!A$2:H$7370, 2, FALSE), "")</f>
        <v>Movie</v>
      </c>
      <c r="C1965" s="2" t="str">
        <f>IF(A1965&lt;&gt;"", VLOOKUP(A1965, imdb_netflix_v5!A$2:H$7370, 3, FALSE), "")</f>
        <v>Crime, Documentary</v>
      </c>
      <c r="D1965" s="2">
        <f>IF(A1965&lt;&gt;"", VLOOKUP(A1965, imdb_netflix_v5!A$2:H$7370, 4, FALSE), "")</f>
        <v>7.9</v>
      </c>
      <c r="E1965" s="2">
        <f>IF(A1965&lt;&gt;"", VLOOKUP(A1965, imdb_netflix_v5!A$2:H$7370, 5, FALSE), "")</f>
        <v>2012</v>
      </c>
      <c r="F1965" s="2" t="str">
        <f>IF(A1965&lt;&gt;"", VLOOKUP(A1965, imdb_netflix_v5!A$2:H$7370, 7, FALSE), "")</f>
        <v>NA</v>
      </c>
    </row>
    <row r="1966" ht="15.75" customHeight="1">
      <c r="A1966" s="1" t="str">
        <f>IFERROR(__xludf.DUMMYFUNCTION("""COMPUTED_VALUE"""),"undekhi")</f>
        <v>undekhi</v>
      </c>
      <c r="B1966" s="1" t="str">
        <f>IF(A1966&lt;&gt;"", VLOOKUP(A1966, imdb_netflix_v5!A$2:H$7370, 2, FALSE), "")</f>
        <v>TV Show</v>
      </c>
      <c r="C1966" s="2" t="str">
        <f>IF(A1966&lt;&gt;"", VLOOKUP(A1966, imdb_netflix_v5!A$2:H$7370, 3, FALSE), "")</f>
        <v>Crime</v>
      </c>
      <c r="D1966" s="2">
        <f>IF(A1966&lt;&gt;"", VLOOKUP(A1966, imdb_netflix_v5!A$2:H$7370, 4, FALSE), "")</f>
        <v>7.9</v>
      </c>
      <c r="E1966" s="2">
        <f>IF(A1966&lt;&gt;"", VLOOKUP(A1966, imdb_netflix_v5!A$2:H$7370, 5, FALSE), "")</f>
        <v>2020</v>
      </c>
      <c r="F1966" s="2" t="str">
        <f>IF(A1966&lt;&gt;"", VLOOKUP(A1966, imdb_netflix_v5!A$2:H$7370, 7, FALSE), "")</f>
        <v>NA</v>
      </c>
    </row>
    <row r="1967" ht="15.75" customHeight="1">
      <c r="A1967" s="1" t="str">
        <f>IFERROR(__xludf.DUMMYFUNCTION("""COMPUTED_VALUE"""),"the tunnel")</f>
        <v>the tunnel</v>
      </c>
      <c r="B1967" s="1" t="str">
        <f>IF(A1967&lt;&gt;"", VLOOKUP(A1967, imdb_netflix_v5!A$2:H$7370, 2, FALSE), "")</f>
        <v>TV Show</v>
      </c>
      <c r="C1967" s="2" t="str">
        <f>IF(A1967&lt;&gt;"", VLOOKUP(A1967, imdb_netflix_v5!A$2:H$7370, 3, FALSE), "")</f>
        <v>Crime, Drama, Mystery</v>
      </c>
      <c r="D1967" s="2">
        <f>IF(A1967&lt;&gt;"", VLOOKUP(A1967, imdb_netflix_v5!A$2:H$7370, 4, FALSE), "")</f>
        <v>7.9</v>
      </c>
      <c r="E1967" s="2">
        <f>IF(A1967&lt;&gt;"", VLOOKUP(A1967, imdb_netflix_v5!A$2:H$7370, 5, FALSE), "")</f>
        <v>2013</v>
      </c>
      <c r="F1967" s="2" t="str">
        <f>IF(A1967&lt;&gt;"", VLOOKUP(A1967, imdb_netflix_v5!A$2:H$7370, 7, FALSE), "")</f>
        <v>NA</v>
      </c>
    </row>
    <row r="1968" ht="15.75" customHeight="1">
      <c r="A1968" s="1" t="str">
        <f>IFERROR(__xludf.DUMMYFUNCTION("""COMPUTED_VALUE"""),"deliver us from evil")</f>
        <v>deliver us from evil</v>
      </c>
      <c r="B1968" s="1" t="str">
        <f>IF(A1968&lt;&gt;"", VLOOKUP(A1968, imdb_netflix_v5!A$2:H$7370, 2, FALSE), "")</f>
        <v>Movie</v>
      </c>
      <c r="C1968" s="2" t="str">
        <f>IF(A1968&lt;&gt;"", VLOOKUP(A1968, imdb_netflix_v5!A$2:H$7370, 3, FALSE), "")</f>
        <v>Crime, Documentary</v>
      </c>
      <c r="D1968" s="2">
        <f>IF(A1968&lt;&gt;"", VLOOKUP(A1968, imdb_netflix_v5!A$2:H$7370, 4, FALSE), "")</f>
        <v>7.9</v>
      </c>
      <c r="E1968" s="2">
        <f>IF(A1968&lt;&gt;"", VLOOKUP(A1968, imdb_netflix_v5!A$2:H$7370, 5, FALSE), "")</f>
        <v>2006</v>
      </c>
      <c r="F1968" s="2" t="str">
        <f>IF(A1968&lt;&gt;"", VLOOKUP(A1968, imdb_netflix_v5!A$2:H$7370, 7, FALSE), "")</f>
        <v>NA</v>
      </c>
    </row>
    <row r="1969" ht="15.75" customHeight="1">
      <c r="A1969" s="1" t="str">
        <f>IFERROR(__xludf.DUMMYFUNCTION("""COMPUTED_VALUE"""),"the split")</f>
        <v>the split</v>
      </c>
      <c r="B1969" s="1" t="str">
        <f>IF(A1969&lt;&gt;"", VLOOKUP(A1969, imdb_netflix_v5!A$2:H$7370, 2, FALSE), "")</f>
        <v>TV Show</v>
      </c>
      <c r="C1969" s="2" t="str">
        <f>IF(A1969&lt;&gt;"", VLOOKUP(A1969, imdb_netflix_v5!A$2:H$7370, 3, FALSE), "")</f>
        <v>Drama</v>
      </c>
      <c r="D1969" s="2">
        <f>IF(A1969&lt;&gt;"", VLOOKUP(A1969, imdb_netflix_v5!A$2:H$7370, 4, FALSE), "")</f>
        <v>7.9</v>
      </c>
      <c r="E1969" s="2">
        <f>IF(A1969&lt;&gt;"", VLOOKUP(A1969, imdb_netflix_v5!A$2:H$7370, 5, FALSE), "")</f>
        <v>2018</v>
      </c>
      <c r="F1969" s="2" t="str">
        <f>IF(A1969&lt;&gt;"", VLOOKUP(A1969, imdb_netflix_v5!A$2:H$7370, 7, FALSE), "")</f>
        <v>NA</v>
      </c>
    </row>
    <row r="1970" ht="15.75" customHeight="1">
      <c r="A1970" s="1" t="str">
        <f>IFERROR(__xludf.DUMMYFUNCTION("""COMPUTED_VALUE"""),"the face of another")</f>
        <v>the face of another</v>
      </c>
      <c r="B1970" s="1" t="str">
        <f>IF(A1970&lt;&gt;"", VLOOKUP(A1970, imdb_netflix_v5!A$2:H$7370, 2, FALSE), "")</f>
        <v>Movie</v>
      </c>
      <c r="C1970" s="2" t="str">
        <f>IF(A1970&lt;&gt;"", VLOOKUP(A1970, imdb_netflix_v5!A$2:H$7370, 3, FALSE), "")</f>
        <v>Drama, Sci-Fi, Thriller</v>
      </c>
      <c r="D1970" s="2">
        <f>IF(A1970&lt;&gt;"", VLOOKUP(A1970, imdb_netflix_v5!A$2:H$7370, 4, FALSE), "")</f>
        <v>7.9</v>
      </c>
      <c r="E1970" s="2">
        <f>IF(A1970&lt;&gt;"", VLOOKUP(A1970, imdb_netflix_v5!A$2:H$7370, 5, FALSE), "")</f>
        <v>1966</v>
      </c>
      <c r="F1970" s="2" t="str">
        <f>IF(A1970&lt;&gt;"", VLOOKUP(A1970, imdb_netflix_v5!A$2:H$7370, 7, FALSE), "")</f>
        <v>NA</v>
      </c>
    </row>
    <row r="1971" ht="15.75" customHeight="1">
      <c r="A1971" s="1" t="str">
        <f>IFERROR(__xludf.DUMMYFUNCTION("""COMPUTED_VALUE"""),"shekhar home")</f>
        <v>shekhar home</v>
      </c>
      <c r="B1971" s="1" t="str">
        <f>IF(A1971&lt;&gt;"", VLOOKUP(A1971, imdb_netflix_v5!A$2:H$7370, 2, FALSE), "")</f>
        <v>TV Show</v>
      </c>
      <c r="C1971" s="2" t="str">
        <f>IF(A1971&lt;&gt;"", VLOOKUP(A1971, imdb_netflix_v5!A$2:H$7370, 3, FALSE), "")</f>
        <v>Crime, Drama</v>
      </c>
      <c r="D1971" s="2">
        <f>IF(A1971&lt;&gt;"", VLOOKUP(A1971, imdb_netflix_v5!A$2:H$7370, 4, FALSE), "")</f>
        <v>7.9</v>
      </c>
      <c r="E1971" s="2">
        <f>IF(A1971&lt;&gt;"", VLOOKUP(A1971, imdb_netflix_v5!A$2:H$7370, 5, FALSE), "")</f>
        <v>2024</v>
      </c>
      <c r="F1971" s="2" t="str">
        <f>IF(A1971&lt;&gt;"", VLOOKUP(A1971, imdb_netflix_v5!A$2:H$7370, 7, FALSE), "")</f>
        <v>NA</v>
      </c>
    </row>
    <row r="1972" ht="15.75" customHeight="1">
      <c r="A1972" s="1" t="str">
        <f>IFERROR(__xludf.DUMMYFUNCTION("""COMPUTED_VALUE"""),"the devil and daniel johnston")</f>
        <v>the devil and daniel johnston</v>
      </c>
      <c r="B1972" s="1" t="str">
        <f>IF(A1972&lt;&gt;"", VLOOKUP(A1972, imdb_netflix_v5!A$2:H$7370, 2, FALSE), "")</f>
        <v>Movie</v>
      </c>
      <c r="C1972" s="2" t="str">
        <f>IF(A1972&lt;&gt;"", VLOOKUP(A1972, imdb_netflix_v5!A$2:H$7370, 3, FALSE), "")</f>
        <v>Biography, Documentary, Music</v>
      </c>
      <c r="D1972" s="2">
        <f>IF(A1972&lt;&gt;"", VLOOKUP(A1972, imdb_netflix_v5!A$2:H$7370, 4, FALSE), "")</f>
        <v>7.9</v>
      </c>
      <c r="E1972" s="2">
        <f>IF(A1972&lt;&gt;"", VLOOKUP(A1972, imdb_netflix_v5!A$2:H$7370, 5, FALSE), "")</f>
        <v>2005</v>
      </c>
      <c r="F1972" s="2" t="str">
        <f>IF(A1972&lt;&gt;"", VLOOKUP(A1972, imdb_netflix_v5!A$2:H$7370, 7, FALSE), "")</f>
        <v>NA</v>
      </c>
    </row>
    <row r="1973" ht="15.75" customHeight="1">
      <c r="A1973" s="1" t="str">
        <f>IFERROR(__xludf.DUMMYFUNCTION("""COMPUTED_VALUE"""),"scam 2003 - the telgi story")</f>
        <v>scam 2003 - the telgi story</v>
      </c>
      <c r="B1973" s="1" t="str">
        <f>IF(A1973&lt;&gt;"", VLOOKUP(A1973, imdb_netflix_v5!A$2:H$7370, 2, FALSE), "")</f>
        <v>TV Show</v>
      </c>
      <c r="C1973" s="2" t="str">
        <f>IF(A1973&lt;&gt;"", VLOOKUP(A1973, imdb_netflix_v5!A$2:H$7370, 3, FALSE), "")</f>
        <v>Biography, Crime, Drama</v>
      </c>
      <c r="D1973" s="2">
        <f>IF(A1973&lt;&gt;"", VLOOKUP(A1973, imdb_netflix_v5!A$2:H$7370, 4, FALSE), "")</f>
        <v>7.9</v>
      </c>
      <c r="E1973" s="2">
        <f>IF(A1973&lt;&gt;"", VLOOKUP(A1973, imdb_netflix_v5!A$2:H$7370, 5, FALSE), "")</f>
        <v>2023</v>
      </c>
      <c r="F1973" s="2" t="str">
        <f>IF(A1973&lt;&gt;"", VLOOKUP(A1973, imdb_netflix_v5!A$2:H$7370, 7, FALSE), "")</f>
        <v>NA</v>
      </c>
    </row>
    <row r="1974" ht="15.75" customHeight="1">
      <c r="A1974" s="1" t="str">
        <f>IFERROR(__xludf.DUMMYFUNCTION("""COMPUTED_VALUE"""),"the thorn birds")</f>
        <v>the thorn birds</v>
      </c>
      <c r="B1974" s="1" t="str">
        <f>IF(A1974&lt;&gt;"", VLOOKUP(A1974, imdb_netflix_v5!A$2:H$7370, 2, FALSE), "")</f>
        <v>TV Show</v>
      </c>
      <c r="C1974" s="2" t="str">
        <f>IF(A1974&lt;&gt;"", VLOOKUP(A1974, imdb_netflix_v5!A$2:H$7370, 3, FALSE), "")</f>
        <v>Drama, Romance</v>
      </c>
      <c r="D1974" s="2">
        <f>IF(A1974&lt;&gt;"", VLOOKUP(A1974, imdb_netflix_v5!A$2:H$7370, 4, FALSE), "")</f>
        <v>7.9</v>
      </c>
      <c r="E1974" s="2">
        <f>IF(A1974&lt;&gt;"", VLOOKUP(A1974, imdb_netflix_v5!A$2:H$7370, 5, FALSE), "")</f>
        <v>1983</v>
      </c>
      <c r="F1974" s="2" t="str">
        <f>IF(A1974&lt;&gt;"", VLOOKUP(A1974, imdb_netflix_v5!A$2:H$7370, 7, FALSE), "")</f>
        <v>NA</v>
      </c>
    </row>
    <row r="1975" ht="15.75" customHeight="1">
      <c r="A1975" s="1" t="str">
        <f>IFERROR(__xludf.DUMMYFUNCTION("""COMPUTED_VALUE"""),"the trap")</f>
        <v>the trap</v>
      </c>
      <c r="B1975" s="1" t="str">
        <f>IF(A1975&lt;&gt;"", VLOOKUP(A1975, imdb_netflix_v5!A$2:H$7370, 2, FALSE), "")</f>
        <v>Movie</v>
      </c>
      <c r="C1975" s="2" t="str">
        <f>IF(A1975&lt;&gt;"", VLOOKUP(A1975, imdb_netflix_v5!A$2:H$7370, 3, FALSE), "")</f>
        <v>Crime, Drama, Thriller</v>
      </c>
      <c r="D1975" s="2">
        <f>IF(A1975&lt;&gt;"", VLOOKUP(A1975, imdb_netflix_v5!A$2:H$7370, 4, FALSE), "")</f>
        <v>7.9</v>
      </c>
      <c r="E1975" s="2">
        <f>IF(A1975&lt;&gt;"", VLOOKUP(A1975, imdb_netflix_v5!A$2:H$7370, 5, FALSE), "")</f>
        <v>2007</v>
      </c>
      <c r="F1975" s="2" t="str">
        <f>IF(A1975&lt;&gt;"", VLOOKUP(A1975, imdb_netflix_v5!A$2:H$7370, 7, FALSE), "")</f>
        <v>NA</v>
      </c>
    </row>
    <row r="1976" ht="15.75" customHeight="1">
      <c r="A1976" s="1" t="str">
        <f>IFERROR(__xludf.DUMMYFUNCTION("""COMPUTED_VALUE"""),"tale of the nine tailed")</f>
        <v>tale of the nine tailed</v>
      </c>
      <c r="B1976" s="1" t="str">
        <f>IF(A1976&lt;&gt;"", VLOOKUP(A1976, imdb_netflix_v5!A$2:H$7370, 2, FALSE), "")</f>
        <v>TV Show</v>
      </c>
      <c r="C1976" s="2" t="str">
        <f>IF(A1976&lt;&gt;"", VLOOKUP(A1976, imdb_netflix_v5!A$2:H$7370, 3, FALSE), "")</f>
        <v>Fantasy, History, Horror</v>
      </c>
      <c r="D1976" s="2">
        <f>IF(A1976&lt;&gt;"", VLOOKUP(A1976, imdb_netflix_v5!A$2:H$7370, 4, FALSE), "")</f>
        <v>7.9</v>
      </c>
      <c r="E1976" s="2">
        <f>IF(A1976&lt;&gt;"", VLOOKUP(A1976, imdb_netflix_v5!A$2:H$7370, 5, FALSE), "")</f>
        <v>2020</v>
      </c>
      <c r="F1976" s="2" t="str">
        <f>IF(A1976&lt;&gt;"", VLOOKUP(A1976, imdb_netflix_v5!A$2:H$7370, 7, FALSE), "")</f>
        <v>NA</v>
      </c>
    </row>
    <row r="1977" ht="15.75" customHeight="1">
      <c r="A1977" s="1" t="str">
        <f>IFERROR(__xludf.DUMMYFUNCTION("""COMPUTED_VALUE"""),"red band society")</f>
        <v>red band society</v>
      </c>
      <c r="B1977" s="1" t="str">
        <f>IF(A1977&lt;&gt;"", VLOOKUP(A1977, imdb_netflix_v5!A$2:H$7370, 2, FALSE), "")</f>
        <v>TV Show</v>
      </c>
      <c r="C1977" s="2" t="str">
        <f>IF(A1977&lt;&gt;"", VLOOKUP(A1977, imdb_netflix_v5!A$2:H$7370, 3, FALSE), "")</f>
        <v>Comedy, Drama</v>
      </c>
      <c r="D1977" s="2">
        <f>IF(A1977&lt;&gt;"", VLOOKUP(A1977, imdb_netflix_v5!A$2:H$7370, 4, FALSE), "")</f>
        <v>7.9</v>
      </c>
      <c r="E1977" s="2">
        <f>IF(A1977&lt;&gt;"", VLOOKUP(A1977, imdb_netflix_v5!A$2:H$7370, 5, FALSE), "")</f>
        <v>2014</v>
      </c>
      <c r="F1977" s="2" t="str">
        <f>IF(A1977&lt;&gt;"", VLOOKUP(A1977, imdb_netflix_v5!A$2:H$7370, 7, FALSE), "")</f>
        <v>NA</v>
      </c>
    </row>
    <row r="1978" ht="15.75" customHeight="1">
      <c r="A1978" s="1" t="str">
        <f>IFERROR(__xludf.DUMMYFUNCTION("""COMPUTED_VALUE"""),"salaam bombay!")</f>
        <v>salaam bombay!</v>
      </c>
      <c r="B1978" s="1" t="str">
        <f>IF(A1978&lt;&gt;"", VLOOKUP(A1978, imdb_netflix_v5!A$2:H$7370, 2, FALSE), "")</f>
        <v>Movie</v>
      </c>
      <c r="C1978" s="2" t="str">
        <f>IF(A1978&lt;&gt;"", VLOOKUP(A1978, imdb_netflix_v5!A$2:H$7370, 3, FALSE), "")</f>
        <v>Crime, Drama</v>
      </c>
      <c r="D1978" s="2">
        <f>IF(A1978&lt;&gt;"", VLOOKUP(A1978, imdb_netflix_v5!A$2:H$7370, 4, FALSE), "")</f>
        <v>7.9</v>
      </c>
      <c r="E1978" s="2">
        <f>IF(A1978&lt;&gt;"", VLOOKUP(A1978, imdb_netflix_v5!A$2:H$7370, 5, FALSE), "")</f>
        <v>1988</v>
      </c>
      <c r="F1978" s="2" t="str">
        <f>IF(A1978&lt;&gt;"", VLOOKUP(A1978, imdb_netflix_v5!A$2:H$7370, 7, FALSE), "")</f>
        <v>NA</v>
      </c>
    </row>
    <row r="1979" ht="15.75" customHeight="1">
      <c r="A1979" s="1" t="str">
        <f>IFERROR(__xludf.DUMMYFUNCTION("""COMPUTED_VALUE"""),"bob dylan dont look back")</f>
        <v>bob dylan dont look back</v>
      </c>
      <c r="B1979" s="1" t="str">
        <f>IF(A1979&lt;&gt;"", VLOOKUP(A1979, imdb_netflix_v5!A$2:H$7370, 2, FALSE), "")</f>
        <v>Movie</v>
      </c>
      <c r="C1979" s="2" t="str">
        <f>IF(A1979&lt;&gt;"", VLOOKUP(A1979, imdb_netflix_v5!A$2:H$7370, 3, FALSE), "")</f>
        <v>Documentary, Music</v>
      </c>
      <c r="D1979" s="2">
        <f>IF(A1979&lt;&gt;"", VLOOKUP(A1979, imdb_netflix_v5!A$2:H$7370, 4, FALSE), "")</f>
        <v>7.9</v>
      </c>
      <c r="E1979" s="2">
        <f>IF(A1979&lt;&gt;"", VLOOKUP(A1979, imdb_netflix_v5!A$2:H$7370, 5, FALSE), "")</f>
        <v>1967</v>
      </c>
      <c r="F1979" s="2" t="str">
        <f>IF(A1979&lt;&gt;"", VLOOKUP(A1979, imdb_netflix_v5!A$2:H$7370, 7, FALSE), "")</f>
        <v>NA</v>
      </c>
    </row>
    <row r="1980" ht="15.75" customHeight="1">
      <c r="A1980" s="1" t="str">
        <f>IFERROR(__xludf.DUMMYFUNCTION("""COMPUTED_VALUE"""),"landscape in the mist")</f>
        <v>landscape in the mist</v>
      </c>
      <c r="B1980" s="1" t="str">
        <f>IF(A1980&lt;&gt;"", VLOOKUP(A1980, imdb_netflix_v5!A$2:H$7370, 2, FALSE), "")</f>
        <v>Movie</v>
      </c>
      <c r="C1980" s="2" t="str">
        <f>IF(A1980&lt;&gt;"", VLOOKUP(A1980, imdb_netflix_v5!A$2:H$7370, 3, FALSE), "")</f>
        <v>Drama</v>
      </c>
      <c r="D1980" s="2">
        <f>IF(A1980&lt;&gt;"", VLOOKUP(A1980, imdb_netflix_v5!A$2:H$7370, 4, FALSE), "")</f>
        <v>7.9</v>
      </c>
      <c r="E1980" s="2">
        <f>IF(A1980&lt;&gt;"", VLOOKUP(A1980, imdb_netflix_v5!A$2:H$7370, 5, FALSE), "")</f>
        <v>1988</v>
      </c>
      <c r="F1980" s="2" t="str">
        <f>IF(A1980&lt;&gt;"", VLOOKUP(A1980, imdb_netflix_v5!A$2:H$7370, 7, FALSE), "")</f>
        <v>NA</v>
      </c>
    </row>
    <row r="1981" ht="15.75" customHeight="1">
      <c r="A1981" s="1" t="str">
        <f>IFERROR(__xludf.DUMMYFUNCTION("""COMPUTED_VALUE"""),"star wars episode vii - the force awakens")</f>
        <v>star wars episode vii - the force awakens</v>
      </c>
      <c r="B1981" s="1" t="str">
        <f>IF(A1981&lt;&gt;"", VLOOKUP(A1981, imdb_netflix_v5!A$2:H$7370, 2, FALSE), "")</f>
        <v>Movie</v>
      </c>
      <c r="C1981" s="2" t="str">
        <f>IF(A1981&lt;&gt;"", VLOOKUP(A1981, imdb_netflix_v5!A$2:H$7370, 3, FALSE), "")</f>
        <v>Action, Adventure, Sci-Fi</v>
      </c>
      <c r="D1981" s="2">
        <f>IF(A1981&lt;&gt;"", VLOOKUP(A1981, imdb_netflix_v5!A$2:H$7370, 4, FALSE), "")</f>
        <v>7.8</v>
      </c>
      <c r="E1981" s="2">
        <f>IF(A1981&lt;&gt;"", VLOOKUP(A1981, imdb_netflix_v5!A$2:H$7370, 5, FALSE), "")</f>
        <v>2015</v>
      </c>
      <c r="F1981" s="2" t="str">
        <f>IF(A1981&lt;&gt;"", VLOOKUP(A1981, imdb_netflix_v5!A$2:H$7370, 7, FALSE), "")</f>
        <v>NA</v>
      </c>
    </row>
    <row r="1982" ht="15.75" customHeight="1">
      <c r="A1982" s="1" t="str">
        <f>IFERROR(__xludf.DUMMYFUNCTION("""COMPUTED_VALUE"""),"the hobbit an unexpected journey")</f>
        <v>the hobbit an unexpected journey</v>
      </c>
      <c r="B1982" s="1" t="str">
        <f>IF(A1982&lt;&gt;"", VLOOKUP(A1982, imdb_netflix_v5!A$2:H$7370, 2, FALSE), "")</f>
        <v>Movie</v>
      </c>
      <c r="C1982" s="2" t="str">
        <f>IF(A1982&lt;&gt;"", VLOOKUP(A1982, imdb_netflix_v5!A$2:H$7370, 3, FALSE), "")</f>
        <v>Adventure, Fantasy</v>
      </c>
      <c r="D1982" s="2">
        <f>IF(A1982&lt;&gt;"", VLOOKUP(A1982, imdb_netflix_v5!A$2:H$7370, 4, FALSE), "")</f>
        <v>7.8</v>
      </c>
      <c r="E1982" s="2">
        <f>IF(A1982&lt;&gt;"", VLOOKUP(A1982, imdb_netflix_v5!A$2:H$7370, 5, FALSE), "")</f>
        <v>2012</v>
      </c>
      <c r="F1982" s="2" t="str">
        <f>IF(A1982&lt;&gt;"", VLOOKUP(A1982, imdb_netflix_v5!A$2:H$7370, 7, FALSE), "")</f>
        <v>NA</v>
      </c>
    </row>
    <row r="1983" ht="15.75" customHeight="1">
      <c r="A1983" s="1" t="str">
        <f>IFERROR(__xludf.DUMMYFUNCTION("""COMPUTED_VALUE"""),"captain america civil war")</f>
        <v>captain america civil war</v>
      </c>
      <c r="B1983" s="1" t="str">
        <f>IF(A1983&lt;&gt;"", VLOOKUP(A1983, imdb_netflix_v5!A$2:H$7370, 2, FALSE), "")</f>
        <v>Movie</v>
      </c>
      <c r="C1983" s="2" t="str">
        <f>IF(A1983&lt;&gt;"", VLOOKUP(A1983, imdb_netflix_v5!A$2:H$7370, 3, FALSE), "")</f>
        <v>Action, Sci-Fi</v>
      </c>
      <c r="D1983" s="2">
        <f>IF(A1983&lt;&gt;"", VLOOKUP(A1983, imdb_netflix_v5!A$2:H$7370, 4, FALSE), "")</f>
        <v>7.8</v>
      </c>
      <c r="E1983" s="2">
        <f>IF(A1983&lt;&gt;"", VLOOKUP(A1983, imdb_netflix_v5!A$2:H$7370, 5, FALSE), "")</f>
        <v>2016</v>
      </c>
      <c r="F1983" s="2" t="str">
        <f>IF(A1983&lt;&gt;"", VLOOKUP(A1983, imdb_netflix_v5!A$2:H$7370, 7, FALSE), "")</f>
        <v>NA</v>
      </c>
    </row>
    <row r="1984" ht="15.75" customHeight="1">
      <c r="A1984" s="1" t="str">
        <f>IFERROR(__xludf.DUMMYFUNCTION("""COMPUTED_VALUE"""),"the batman")</f>
        <v>the batman</v>
      </c>
      <c r="B1984" s="1" t="str">
        <f>IF(A1984&lt;&gt;"", VLOOKUP(A1984, imdb_netflix_v5!A$2:H$7370, 2, FALSE), "")</f>
        <v>Movie</v>
      </c>
      <c r="C1984" s="2" t="str">
        <f>IF(A1984&lt;&gt;"", VLOOKUP(A1984, imdb_netflix_v5!A$2:H$7370, 3, FALSE), "")</f>
        <v>Action, Crime, Drama</v>
      </c>
      <c r="D1984" s="2">
        <f>IF(A1984&lt;&gt;"", VLOOKUP(A1984, imdb_netflix_v5!A$2:H$7370, 4, FALSE), "")</f>
        <v>7.8</v>
      </c>
      <c r="E1984" s="2">
        <f>IF(A1984&lt;&gt;"", VLOOKUP(A1984, imdb_netflix_v5!A$2:H$7370, 5, FALSE), "")</f>
        <v>2022</v>
      </c>
      <c r="F1984" s="2" t="str">
        <f>IF(A1984&lt;&gt;"", VLOOKUP(A1984, imdb_netflix_v5!A$2:H$7370, 7, FALSE), "")</f>
        <v>NA</v>
      </c>
    </row>
    <row r="1985" ht="15.75" customHeight="1">
      <c r="A1985" s="1" t="str">
        <f>IFERROR(__xludf.DUMMYFUNCTION("""COMPUTED_VALUE"""),"the social network")</f>
        <v>the social network</v>
      </c>
      <c r="B1985" s="1" t="str">
        <f>IF(A1985&lt;&gt;"", VLOOKUP(A1985, imdb_netflix_v5!A$2:H$7370, 2, FALSE), "")</f>
        <v>Movie</v>
      </c>
      <c r="C1985" s="2" t="str">
        <f>IF(A1985&lt;&gt;"", VLOOKUP(A1985, imdb_netflix_v5!A$2:H$7370, 3, FALSE), "")</f>
        <v>Biography, Drama</v>
      </c>
      <c r="D1985" s="2">
        <f>IF(A1985&lt;&gt;"", VLOOKUP(A1985, imdb_netflix_v5!A$2:H$7370, 4, FALSE), "")</f>
        <v>7.8</v>
      </c>
      <c r="E1985" s="2">
        <f>IF(A1985&lt;&gt;"", VLOOKUP(A1985, imdb_netflix_v5!A$2:H$7370, 5, FALSE), "")</f>
        <v>2010</v>
      </c>
      <c r="F1985" s="2" t="str">
        <f>IF(A1985&lt;&gt;"", VLOOKUP(A1985, imdb_netflix_v5!A$2:H$7370, 7, FALSE), "")</f>
        <v>NA</v>
      </c>
    </row>
    <row r="1986" ht="15.75" customHeight="1">
      <c r="A1986" s="1" t="str">
        <f>IFERROR(__xludf.DUMMYFUNCTION("""COMPUTED_VALUE"""),"dunkirk")</f>
        <v>dunkirk</v>
      </c>
      <c r="B1986" s="1" t="str">
        <f>IF(A1986&lt;&gt;"", VLOOKUP(A1986, imdb_netflix_v5!A$2:H$7370, 2, FALSE), "")</f>
        <v>Movie</v>
      </c>
      <c r="C1986" s="2" t="str">
        <f>IF(A1986&lt;&gt;"", VLOOKUP(A1986, imdb_netflix_v5!A$2:H$7370, 3, FALSE), "")</f>
        <v>Action, Drama, History</v>
      </c>
      <c r="D1986" s="2">
        <f>IF(A1986&lt;&gt;"", VLOOKUP(A1986, imdb_netflix_v5!A$2:H$7370, 4, FALSE), "")</f>
        <v>7.8</v>
      </c>
      <c r="E1986" s="2">
        <f>IF(A1986&lt;&gt;"", VLOOKUP(A1986, imdb_netflix_v5!A$2:H$7370, 5, FALSE), "")</f>
        <v>2017</v>
      </c>
      <c r="F1986" s="2" t="str">
        <f>IF(A1986&lt;&gt;"", VLOOKUP(A1986, imdb_netflix_v5!A$2:H$7370, 7, FALSE), "")</f>
        <v>NA</v>
      </c>
    </row>
    <row r="1987" ht="15.75" customHeight="1">
      <c r="A1987" s="1" t="str">
        <f>IFERROR(__xludf.DUMMYFUNCTION("""COMPUTED_VALUE"""),"skyfall")</f>
        <v>skyfall</v>
      </c>
      <c r="B1987" s="1" t="str">
        <f>IF(A1987&lt;&gt;"", VLOOKUP(A1987, imdb_netflix_v5!A$2:H$7370, 2, FALSE), "")</f>
        <v>Movie</v>
      </c>
      <c r="C1987" s="2" t="str">
        <f>IF(A1987&lt;&gt;"", VLOOKUP(A1987, imdb_netflix_v5!A$2:H$7370, 3, FALSE), "")</f>
        <v>Action, Adventure, Thriller</v>
      </c>
      <c r="D1987" s="2">
        <f>IF(A1987&lt;&gt;"", VLOOKUP(A1987, imdb_netflix_v5!A$2:H$7370, 4, FALSE), "")</f>
        <v>7.8</v>
      </c>
      <c r="E1987" s="2">
        <f>IF(A1987&lt;&gt;"", VLOOKUP(A1987, imdb_netflix_v5!A$2:H$7370, 5, FALSE), "")</f>
        <v>2012</v>
      </c>
      <c r="F1987" s="2" t="str">
        <f>IF(A1987&lt;&gt;"", VLOOKUP(A1987, imdb_netflix_v5!A$2:H$7370, 7, FALSE), "")</f>
        <v>NA</v>
      </c>
    </row>
    <row r="1988" ht="15.75" customHeight="1">
      <c r="A1988" s="1" t="str">
        <f>IFERROR(__xludf.DUMMYFUNCTION("""COMPUTED_VALUE"""),"get out")</f>
        <v>get out</v>
      </c>
      <c r="B1988" s="1" t="str">
        <f>IF(A1988&lt;&gt;"", VLOOKUP(A1988, imdb_netflix_v5!A$2:H$7370, 2, FALSE), "")</f>
        <v>Movie</v>
      </c>
      <c r="C1988" s="2" t="str">
        <f>IF(A1988&lt;&gt;"", VLOOKUP(A1988, imdb_netflix_v5!A$2:H$7370, 3, FALSE), "")</f>
        <v>Horror, Mystery, Thriller</v>
      </c>
      <c r="D1988" s="2">
        <f>IF(A1988&lt;&gt;"", VLOOKUP(A1988, imdb_netflix_v5!A$2:H$7370, 4, FALSE), "")</f>
        <v>7.8</v>
      </c>
      <c r="E1988" s="2">
        <f>IF(A1988&lt;&gt;"", VLOOKUP(A1988, imdb_netflix_v5!A$2:H$7370, 5, FALSE), "")</f>
        <v>2017</v>
      </c>
      <c r="F1988" s="2">
        <f>IF(A1988&lt;&gt;"", VLOOKUP(A1988, imdb_netflix_v5!A$2:H$7370, 7, FALSE), "")</f>
        <v>5300000</v>
      </c>
    </row>
    <row r="1989" ht="15.75" customHeight="1">
      <c r="A1989" s="1" t="str">
        <f>IFERROR(__xludf.DUMMYFUNCTION("""COMPUTED_VALUE"""),"drive")</f>
        <v>drive</v>
      </c>
      <c r="B1989" s="1" t="str">
        <f>IF(A1989&lt;&gt;"", VLOOKUP(A1989, imdb_netflix_v5!A$2:H$7370, 2, FALSE), "")</f>
        <v>Movie</v>
      </c>
      <c r="C1989" s="2" t="str">
        <f>IF(A1989&lt;&gt;"", VLOOKUP(A1989, imdb_netflix_v5!A$2:H$7370, 3, FALSE), "")</f>
        <v>Action, Drama</v>
      </c>
      <c r="D1989" s="2">
        <f>IF(A1989&lt;&gt;"", VLOOKUP(A1989, imdb_netflix_v5!A$2:H$7370, 4, FALSE), "")</f>
        <v>7.8</v>
      </c>
      <c r="E1989" s="2">
        <f>IF(A1989&lt;&gt;"", VLOOKUP(A1989, imdb_netflix_v5!A$2:H$7370, 5, FALSE), "")</f>
        <v>2011</v>
      </c>
      <c r="F1989" s="2" t="str">
        <f>IF(A1989&lt;&gt;"", VLOOKUP(A1989, imdb_netflix_v5!A$2:H$7370, 7, FALSE), "")</f>
        <v>NA</v>
      </c>
    </row>
    <row r="1990" ht="15.75" customHeight="1">
      <c r="A1990" s="1" t="str">
        <f>IFERROR(__xludf.DUMMYFUNCTION("""COMPUTED_VALUE"""),"the hobbit the desolation of smaug")</f>
        <v>the hobbit the desolation of smaug</v>
      </c>
      <c r="B1990" s="1" t="str">
        <f>IF(A1990&lt;&gt;"", VLOOKUP(A1990, imdb_netflix_v5!A$2:H$7370, 2, FALSE), "")</f>
        <v>Movie</v>
      </c>
      <c r="C1990" s="2" t="str">
        <f>IF(A1990&lt;&gt;"", VLOOKUP(A1990, imdb_netflix_v5!A$2:H$7370, 3, FALSE), "")</f>
        <v>Adventure, Fantasy</v>
      </c>
      <c r="D1990" s="2">
        <f>IF(A1990&lt;&gt;"", VLOOKUP(A1990, imdb_netflix_v5!A$2:H$7370, 4, FALSE), "")</f>
        <v>7.8</v>
      </c>
      <c r="E1990" s="2">
        <f>IF(A1990&lt;&gt;"", VLOOKUP(A1990, imdb_netflix_v5!A$2:H$7370, 5, FALSE), "")</f>
        <v>2013</v>
      </c>
      <c r="F1990" s="2" t="str">
        <f>IF(A1990&lt;&gt;"", VLOOKUP(A1990, imdb_netflix_v5!A$2:H$7370, 7, FALSE), "")</f>
        <v>NA</v>
      </c>
    </row>
    <row r="1991" ht="15.75" customHeight="1">
      <c r="A1991" s="1" t="str">
        <f>IFERROR(__xludf.DUMMYFUNCTION("""COMPUTED_VALUE"""),"the curious case of benjamin button")</f>
        <v>the curious case of benjamin button</v>
      </c>
      <c r="B1991" s="1" t="str">
        <f>IF(A1991&lt;&gt;"", VLOOKUP(A1991, imdb_netflix_v5!A$2:H$7370, 2, FALSE), "")</f>
        <v>Movie</v>
      </c>
      <c r="C1991" s="2" t="str">
        <f>IF(A1991&lt;&gt;"", VLOOKUP(A1991, imdb_netflix_v5!A$2:H$7370, 3, FALSE), "")</f>
        <v>Drama, Fantasy, Romance</v>
      </c>
      <c r="D1991" s="2">
        <f>IF(A1991&lt;&gt;"", VLOOKUP(A1991, imdb_netflix_v5!A$2:H$7370, 4, FALSE), "")</f>
        <v>7.8</v>
      </c>
      <c r="E1991" s="2">
        <f>IF(A1991&lt;&gt;"", VLOOKUP(A1991, imdb_netflix_v5!A$2:H$7370, 5, FALSE), "")</f>
        <v>2008</v>
      </c>
      <c r="F1991" s="2" t="str">
        <f>IF(A1991&lt;&gt;"", VLOOKUP(A1991, imdb_netflix_v5!A$2:H$7370, 7, FALSE), "")</f>
        <v>NA</v>
      </c>
    </row>
    <row r="1992" ht="15.75" customHeight="1">
      <c r="A1992" s="1" t="str">
        <f>IFERROR(__xludf.DUMMYFUNCTION("""COMPUTED_VALUE"""),"rogue one a star wars story")</f>
        <v>rogue one a star wars story</v>
      </c>
      <c r="B1992" s="1" t="str">
        <f>IF(A1992&lt;&gt;"", VLOOKUP(A1992, imdb_netflix_v5!A$2:H$7370, 2, FALSE), "")</f>
        <v>Movie</v>
      </c>
      <c r="C1992" s="2" t="str">
        <f>IF(A1992&lt;&gt;"", VLOOKUP(A1992, imdb_netflix_v5!A$2:H$7370, 3, FALSE), "")</f>
        <v>Action, Adventure, Sci-Fi</v>
      </c>
      <c r="D1992" s="2">
        <f>IF(A1992&lt;&gt;"", VLOOKUP(A1992, imdb_netflix_v5!A$2:H$7370, 4, FALSE), "")</f>
        <v>7.8</v>
      </c>
      <c r="E1992" s="2">
        <f>IF(A1992&lt;&gt;"", VLOOKUP(A1992, imdb_netflix_v5!A$2:H$7370, 5, FALSE), "")</f>
        <v>2016</v>
      </c>
      <c r="F1992" s="2" t="str">
        <f>IF(A1992&lt;&gt;"", VLOOKUP(A1992, imdb_netflix_v5!A$2:H$7370, 7, FALSE), "")</f>
        <v>NA</v>
      </c>
    </row>
    <row r="1993" ht="15.75" customHeight="1">
      <c r="A1993" s="1" t="str">
        <f>IFERROR(__xludf.DUMMYFUNCTION("""COMPUTED_VALUE"""),"the hateful eight")</f>
        <v>the hateful eight</v>
      </c>
      <c r="B1993" s="1" t="str">
        <f>IF(A1993&lt;&gt;"", VLOOKUP(A1993, imdb_netflix_v5!A$2:H$7370, 2, FALSE), "")</f>
        <v>Movie</v>
      </c>
      <c r="C1993" s="2" t="str">
        <f>IF(A1993&lt;&gt;"", VLOOKUP(A1993, imdb_netflix_v5!A$2:H$7370, 3, FALSE), "")</f>
        <v>Crime, Drama, Mystery</v>
      </c>
      <c r="D1993" s="2">
        <f>IF(A1993&lt;&gt;"", VLOOKUP(A1993, imdb_netflix_v5!A$2:H$7370, 4, FALSE), "")</f>
        <v>7.8</v>
      </c>
      <c r="E1993" s="2">
        <f>IF(A1993&lt;&gt;"", VLOOKUP(A1993, imdb_netflix_v5!A$2:H$7370, 5, FALSE), "")</f>
        <v>2015</v>
      </c>
      <c r="F1993" s="2" t="str">
        <f>IF(A1993&lt;&gt;"", VLOOKUP(A1993, imdb_netflix_v5!A$2:H$7370, 7, FALSE), "")</f>
        <v>NA</v>
      </c>
    </row>
    <row r="1994" ht="15.75" customHeight="1">
      <c r="A1994" s="1" t="str">
        <f>IFERROR(__xludf.DUMMYFUNCTION("""COMPUTED_VALUE"""),"cast away")</f>
        <v>cast away</v>
      </c>
      <c r="B1994" s="1" t="str">
        <f>IF(A1994&lt;&gt;"", VLOOKUP(A1994, imdb_netflix_v5!A$2:H$7370, 2, FALSE), "")</f>
        <v>Movie</v>
      </c>
      <c r="C1994" s="2" t="str">
        <f>IF(A1994&lt;&gt;"", VLOOKUP(A1994, imdb_netflix_v5!A$2:H$7370, 3, FALSE), "")</f>
        <v>Adventure, Drama, Romance</v>
      </c>
      <c r="D1994" s="2">
        <f>IF(A1994&lt;&gt;"", VLOOKUP(A1994, imdb_netflix_v5!A$2:H$7370, 4, FALSE), "")</f>
        <v>7.8</v>
      </c>
      <c r="E1994" s="2">
        <f>IF(A1994&lt;&gt;"", VLOOKUP(A1994, imdb_netflix_v5!A$2:H$7370, 5, FALSE), "")</f>
        <v>2000</v>
      </c>
      <c r="F1994" s="2" t="str">
        <f>IF(A1994&lt;&gt;"", VLOOKUP(A1994, imdb_netflix_v5!A$2:H$7370, 7, FALSE), "")</f>
        <v>NA</v>
      </c>
    </row>
    <row r="1995" ht="15.75" customHeight="1">
      <c r="A1995" s="1" t="str">
        <f>IFERROR(__xludf.DUMMYFUNCTION("""COMPUTED_VALUE"""),"the notebook")</f>
        <v>the notebook</v>
      </c>
      <c r="B1995" s="1" t="str">
        <f>IF(A1995&lt;&gt;"", VLOOKUP(A1995, imdb_netflix_v5!A$2:H$7370, 2, FALSE), "")</f>
        <v>Movie</v>
      </c>
      <c r="C1995" s="2" t="str">
        <f>IF(A1995&lt;&gt;"", VLOOKUP(A1995, imdb_netflix_v5!A$2:H$7370, 3, FALSE), "")</f>
        <v>Drama, Romance</v>
      </c>
      <c r="D1995" s="2">
        <f>IF(A1995&lt;&gt;"", VLOOKUP(A1995, imdb_netflix_v5!A$2:H$7370, 4, FALSE), "")</f>
        <v>7.8</v>
      </c>
      <c r="E1995" s="2">
        <f>IF(A1995&lt;&gt;"", VLOOKUP(A1995, imdb_netflix_v5!A$2:H$7370, 5, FALSE), "")</f>
        <v>2004</v>
      </c>
      <c r="F1995" s="2" t="str">
        <f>IF(A1995&lt;&gt;"", VLOOKUP(A1995, imdb_netflix_v5!A$2:H$7370, 7, FALSE), "")</f>
        <v>NA</v>
      </c>
    </row>
    <row r="1996" ht="15.75" customHeight="1">
      <c r="A1996" s="1" t="str">
        <f>IFERROR(__xludf.DUMMYFUNCTION("""COMPUTED_VALUE"""),"nightcrawler")</f>
        <v>nightcrawler</v>
      </c>
      <c r="B1996" s="1" t="str">
        <f>IF(A1996&lt;&gt;"", VLOOKUP(A1996, imdb_netflix_v5!A$2:H$7370, 2, FALSE), "")</f>
        <v>Movie</v>
      </c>
      <c r="C1996" s="2" t="str">
        <f>IF(A1996&lt;&gt;"", VLOOKUP(A1996, imdb_netflix_v5!A$2:H$7370, 3, FALSE), "")</f>
        <v>Crime, Drama, Thriller</v>
      </c>
      <c r="D1996" s="2">
        <f>IF(A1996&lt;&gt;"", VLOOKUP(A1996, imdb_netflix_v5!A$2:H$7370, 4, FALSE), "")</f>
        <v>7.8</v>
      </c>
      <c r="E1996" s="2">
        <f>IF(A1996&lt;&gt;"", VLOOKUP(A1996, imdb_netflix_v5!A$2:H$7370, 5, FALSE), "")</f>
        <v>2014</v>
      </c>
      <c r="F1996" s="2" t="str">
        <f>IF(A1996&lt;&gt;"", VLOOKUP(A1996, imdb_netflix_v5!A$2:H$7370, 7, FALSE), "")</f>
        <v>NA</v>
      </c>
    </row>
    <row r="1997" ht="15.75" customHeight="1">
      <c r="A1997" s="1" t="str">
        <f>IFERROR(__xludf.DUMMYFUNCTION("""COMPUTED_VALUE"""),"back to the future part ii")</f>
        <v>back to the future part ii</v>
      </c>
      <c r="B1997" s="1" t="str">
        <f>IF(A1997&lt;&gt;"", VLOOKUP(A1997, imdb_netflix_v5!A$2:H$7370, 2, FALSE), "")</f>
        <v>Movie</v>
      </c>
      <c r="C1997" s="2" t="str">
        <f>IF(A1997&lt;&gt;"", VLOOKUP(A1997, imdb_netflix_v5!A$2:H$7370, 3, FALSE), "")</f>
        <v>Adventure, Comedy, Sci-Fi</v>
      </c>
      <c r="D1997" s="2">
        <f>IF(A1997&lt;&gt;"", VLOOKUP(A1997, imdb_netflix_v5!A$2:H$7370, 4, FALSE), "")</f>
        <v>7.8</v>
      </c>
      <c r="E1997" s="2">
        <f>IF(A1997&lt;&gt;"", VLOOKUP(A1997, imdb_netflix_v5!A$2:H$7370, 5, FALSE), "")</f>
        <v>1989</v>
      </c>
      <c r="F1997" s="2" t="str">
        <f>IF(A1997&lt;&gt;"", VLOOKUP(A1997, imdb_netflix_v5!A$2:H$7370, 7, FALSE), "")</f>
        <v>NA</v>
      </c>
    </row>
    <row r="1998" ht="15.75" customHeight="1">
      <c r="A1998" s="1" t="str">
        <f>IFERROR(__xludf.DUMMYFUNCTION("""COMPUTED_VALUE"""),"the bourne identity")</f>
        <v>the bourne identity</v>
      </c>
      <c r="B1998" s="1" t="str">
        <f>IF(A1998&lt;&gt;"", VLOOKUP(A1998, imdb_netflix_v5!A$2:H$7370, 2, FALSE), "")</f>
        <v>Movie</v>
      </c>
      <c r="C1998" s="2" t="str">
        <f>IF(A1998&lt;&gt;"", VLOOKUP(A1998, imdb_netflix_v5!A$2:H$7370, 3, FALSE), "")</f>
        <v>Action, Mystery, Thriller</v>
      </c>
      <c r="D1998" s="2">
        <f>IF(A1998&lt;&gt;"", VLOOKUP(A1998, imdb_netflix_v5!A$2:H$7370, 4, FALSE), "")</f>
        <v>7.8</v>
      </c>
      <c r="E1998" s="2">
        <f>IF(A1998&lt;&gt;"", VLOOKUP(A1998, imdb_netflix_v5!A$2:H$7370, 5, FALSE), "")</f>
        <v>2002</v>
      </c>
      <c r="F1998" s="2" t="str">
        <f>IF(A1998&lt;&gt;"", VLOOKUP(A1998, imdb_netflix_v5!A$2:H$7370, 7, FALSE), "")</f>
        <v>NA</v>
      </c>
    </row>
    <row r="1999" ht="15.75" customHeight="1">
      <c r="A1999" s="1" t="str">
        <f>IFERROR(__xludf.DUMMYFUNCTION("""COMPUTED_VALUE"""),"everything everywhere all at once")</f>
        <v>everything everywhere all at once</v>
      </c>
      <c r="B1999" s="1" t="str">
        <f>IF(A1999&lt;&gt;"", VLOOKUP(A1999, imdb_netflix_v5!A$2:H$7370, 2, FALSE), "")</f>
        <v>Movie</v>
      </c>
      <c r="C1999" s="2" t="str">
        <f>IF(A1999&lt;&gt;"", VLOOKUP(A1999, imdb_netflix_v5!A$2:H$7370, 3, FALSE), "")</f>
        <v>Action, Adventure, Comedy</v>
      </c>
      <c r="D1999" s="2">
        <f>IF(A1999&lt;&gt;"", VLOOKUP(A1999, imdb_netflix_v5!A$2:H$7370, 4, FALSE), "")</f>
        <v>7.8</v>
      </c>
      <c r="E1999" s="2">
        <f>IF(A1999&lt;&gt;"", VLOOKUP(A1999, imdb_netflix_v5!A$2:H$7370, 5, FALSE), "")</f>
        <v>2022</v>
      </c>
      <c r="F1999" s="2" t="str">
        <f>IF(A1999&lt;&gt;"", VLOOKUP(A1999, imdb_netflix_v5!A$2:H$7370, 7, FALSE), "")</f>
        <v>NA</v>
      </c>
    </row>
    <row r="2000" ht="15.75" customHeight="1">
      <c r="A2000" s="1" t="str">
        <f>IFERROR(__xludf.DUMMYFUNCTION("""COMPUTED_VALUE"""),"hot fuzz")</f>
        <v>hot fuzz</v>
      </c>
      <c r="B2000" s="1" t="str">
        <f>IF(A2000&lt;&gt;"", VLOOKUP(A2000, imdb_netflix_v5!A$2:H$7370, 2, FALSE), "")</f>
        <v>Movie</v>
      </c>
      <c r="C2000" s="2" t="str">
        <f>IF(A2000&lt;&gt;"", VLOOKUP(A2000, imdb_netflix_v5!A$2:H$7370, 3, FALSE), "")</f>
        <v>Action, Comedy, Mystery</v>
      </c>
      <c r="D2000" s="2">
        <f>IF(A2000&lt;&gt;"", VLOOKUP(A2000, imdb_netflix_v5!A$2:H$7370, 4, FALSE), "")</f>
        <v>7.8</v>
      </c>
      <c r="E2000" s="2">
        <f>IF(A2000&lt;&gt;"", VLOOKUP(A2000, imdb_netflix_v5!A$2:H$7370, 5, FALSE), "")</f>
        <v>2007</v>
      </c>
      <c r="F2000" s="2" t="str">
        <f>IF(A2000&lt;&gt;"", VLOOKUP(A2000, imdb_netflix_v5!A$2:H$7370, 7, FALSE), "")</f>
        <v>NA</v>
      </c>
    </row>
    <row r="2001" ht="15.75" customHeight="1">
      <c r="A2001" s="1" t="str">
        <f>IFERROR(__xludf.DUMMYFUNCTION("""COMPUTED_VALUE"""),"little miss sunshine")</f>
        <v>little miss sunshine</v>
      </c>
      <c r="B2001" s="1" t="str">
        <f>IF(A2001&lt;&gt;"", VLOOKUP(A2001, imdb_netflix_v5!A$2:H$7370, 2, FALSE), "")</f>
        <v>Movie</v>
      </c>
      <c r="C2001" s="2" t="str">
        <f>IF(A2001&lt;&gt;"", VLOOKUP(A2001, imdb_netflix_v5!A$2:H$7370, 3, FALSE), "")</f>
        <v>Comedy, Drama</v>
      </c>
      <c r="D2001" s="2">
        <f>IF(A2001&lt;&gt;"", VLOOKUP(A2001, imdb_netflix_v5!A$2:H$7370, 4, FALSE), "")</f>
        <v>7.8</v>
      </c>
      <c r="E2001" s="2">
        <f>IF(A2001&lt;&gt;"", VLOOKUP(A2001, imdb_netflix_v5!A$2:H$7370, 5, FALSE), "")</f>
        <v>2006</v>
      </c>
      <c r="F2001" s="2" t="str">
        <f>IF(A2001&lt;&gt;"", VLOOKUP(A2001, imdb_netflix_v5!A$2:H$7370, 7, FALSE), "")</f>
        <v>NA</v>
      </c>
    </row>
    <row r="2002" ht="15.75" customHeight="1">
      <c r="A2002" s="1" t="str">
        <f>IFERROR(__xludf.DUMMYFUNCTION("""COMPUTED_VALUE"""),"big hero 6")</f>
        <v>big hero 6</v>
      </c>
      <c r="B2002" s="1" t="str">
        <f>IF(A2002&lt;&gt;"", VLOOKUP(A2002, imdb_netflix_v5!A$2:H$7370, 2, FALSE), "")</f>
        <v>Movie</v>
      </c>
      <c r="C2002" s="2" t="str">
        <f>IF(A2002&lt;&gt;"", VLOOKUP(A2002, imdb_netflix_v5!A$2:H$7370, 3, FALSE), "")</f>
        <v>Action, Adventure, Animation</v>
      </c>
      <c r="D2002" s="2">
        <f>IF(A2002&lt;&gt;"", VLOOKUP(A2002, imdb_netflix_v5!A$2:H$7370, 4, FALSE), "")</f>
        <v>7.8</v>
      </c>
      <c r="E2002" s="2">
        <f>IF(A2002&lt;&gt;"", VLOOKUP(A2002, imdb_netflix_v5!A$2:H$7370, 5, FALSE), "")</f>
        <v>2014</v>
      </c>
      <c r="F2002" s="2" t="str">
        <f>IF(A2002&lt;&gt;"", VLOOKUP(A2002, imdb_netflix_v5!A$2:H$7370, 7, FALSE), "")</f>
        <v>NA</v>
      </c>
    </row>
    <row r="2003" ht="15.75" customHeight="1">
      <c r="A2003" s="1" t="str">
        <f>IFERROR(__xludf.DUMMYFUNCTION("""COMPUTED_VALUE"""),"the girl with the dragon tattoo")</f>
        <v>the girl with the dragon tattoo</v>
      </c>
      <c r="B2003" s="1" t="str">
        <f>IF(A2003&lt;&gt;"", VLOOKUP(A2003, imdb_netflix_v5!A$2:H$7370, 2, FALSE), "")</f>
        <v>Movie</v>
      </c>
      <c r="C2003" s="2" t="str">
        <f>IF(A2003&lt;&gt;"", VLOOKUP(A2003, imdb_netflix_v5!A$2:H$7370, 3, FALSE), "")</f>
        <v>Crime, Drama, Mystery</v>
      </c>
      <c r="D2003" s="2">
        <f>IF(A2003&lt;&gt;"", VLOOKUP(A2003, imdb_netflix_v5!A$2:H$7370, 4, FALSE), "")</f>
        <v>7.8</v>
      </c>
      <c r="E2003" s="2">
        <f>IF(A2003&lt;&gt;"", VLOOKUP(A2003, imdb_netflix_v5!A$2:H$7370, 5, FALSE), "")</f>
        <v>2011</v>
      </c>
      <c r="F2003" s="2" t="str">
        <f>IF(A2003&lt;&gt;"", VLOOKUP(A2003, imdb_netflix_v5!A$2:H$7370, 7, FALSE), "")</f>
        <v>NA</v>
      </c>
    </row>
    <row r="2004" ht="15.75" customHeight="1">
      <c r="A2004" s="1" t="str">
        <f>IFERROR(__xludf.DUMMYFUNCTION("""COMPUTED_VALUE"""),"captain phillips")</f>
        <v>captain phillips</v>
      </c>
      <c r="B2004" s="1" t="str">
        <f>IF(A2004&lt;&gt;"", VLOOKUP(A2004, imdb_netflix_v5!A$2:H$7370, 2, FALSE), "")</f>
        <v>Movie</v>
      </c>
      <c r="C2004" s="2" t="str">
        <f>IF(A2004&lt;&gt;"", VLOOKUP(A2004, imdb_netflix_v5!A$2:H$7370, 3, FALSE), "")</f>
        <v>Action, Biography, Crime</v>
      </c>
      <c r="D2004" s="2">
        <f>IF(A2004&lt;&gt;"", VLOOKUP(A2004, imdb_netflix_v5!A$2:H$7370, 4, FALSE), "")</f>
        <v>7.8</v>
      </c>
      <c r="E2004" s="2">
        <f>IF(A2004&lt;&gt;"", VLOOKUP(A2004, imdb_netflix_v5!A$2:H$7370, 5, FALSE), "")</f>
        <v>2013</v>
      </c>
      <c r="F2004" s="2" t="str">
        <f>IF(A2004&lt;&gt;"", VLOOKUP(A2004, imdb_netflix_v5!A$2:H$7370, 7, FALSE), "")</f>
        <v>NA</v>
      </c>
    </row>
    <row r="2005" ht="15.75" customHeight="1">
      <c r="A2005" s="1" t="str">
        <f>IFERROR(__xludf.DUMMYFUNCTION("""COMPUTED_VALUE"""),"the big short")</f>
        <v>the big short</v>
      </c>
      <c r="B2005" s="1" t="str">
        <f>IF(A2005&lt;&gt;"", VLOOKUP(A2005, imdb_netflix_v5!A$2:H$7370, 2, FALSE), "")</f>
        <v>Movie</v>
      </c>
      <c r="C2005" s="2" t="str">
        <f>IF(A2005&lt;&gt;"", VLOOKUP(A2005, imdb_netflix_v5!A$2:H$7370, 3, FALSE), "")</f>
        <v>Biography, Comedy, Drama</v>
      </c>
      <c r="D2005" s="2">
        <f>IF(A2005&lt;&gt;"", VLOOKUP(A2005, imdb_netflix_v5!A$2:H$7370, 4, FALSE), "")</f>
        <v>7.8</v>
      </c>
      <c r="E2005" s="2">
        <f>IF(A2005&lt;&gt;"", VLOOKUP(A2005, imdb_netflix_v5!A$2:H$7370, 5, FALSE), "")</f>
        <v>2015</v>
      </c>
      <c r="F2005" s="2" t="str">
        <f>IF(A2005&lt;&gt;"", VLOOKUP(A2005, imdb_netflix_v5!A$2:H$7370, 7, FALSE), "")</f>
        <v>NA</v>
      </c>
    </row>
    <row r="2006" ht="15.75" customHeight="1">
      <c r="A2006" s="1" t="str">
        <f>IFERROR(__xludf.DUMMYFUNCTION("""COMPUTED_VALUE"""),"training day")</f>
        <v>training day</v>
      </c>
      <c r="B2006" s="1" t="str">
        <f>IF(A2006&lt;&gt;"", VLOOKUP(A2006, imdb_netflix_v5!A$2:H$7370, 2, FALSE), "")</f>
        <v>Movie</v>
      </c>
      <c r="C2006" s="2" t="str">
        <f>IF(A2006&lt;&gt;"", VLOOKUP(A2006, imdb_netflix_v5!A$2:H$7370, 3, FALSE), "")</f>
        <v>Crime, Drama, Thriller</v>
      </c>
      <c r="D2006" s="2">
        <f>IF(A2006&lt;&gt;"", VLOOKUP(A2006, imdb_netflix_v5!A$2:H$7370, 4, FALSE), "")</f>
        <v>7.8</v>
      </c>
      <c r="E2006" s="2">
        <f>IF(A2006&lt;&gt;"", VLOOKUP(A2006, imdb_netflix_v5!A$2:H$7370, 5, FALSE), "")</f>
        <v>2001</v>
      </c>
      <c r="F2006" s="2" t="str">
        <f>IF(A2006&lt;&gt;"", VLOOKUP(A2006, imdb_netflix_v5!A$2:H$7370, 7, FALSE), "")</f>
        <v>NA</v>
      </c>
    </row>
    <row r="2007" ht="15.75" customHeight="1">
      <c r="A2007" s="1" t="str">
        <f>IFERROR(__xludf.DUMMYFUNCTION("""COMPUTED_VALUE"""),"the last samurai")</f>
        <v>the last samurai</v>
      </c>
      <c r="B2007" s="1" t="str">
        <f>IF(A2007&lt;&gt;"", VLOOKUP(A2007, imdb_netflix_v5!A$2:H$7370, 2, FALSE), "")</f>
        <v>Movie</v>
      </c>
      <c r="C2007" s="2" t="str">
        <f>IF(A2007&lt;&gt;"", VLOOKUP(A2007, imdb_netflix_v5!A$2:H$7370, 3, FALSE), "")</f>
        <v>Action, Drama</v>
      </c>
      <c r="D2007" s="2">
        <f>IF(A2007&lt;&gt;"", VLOOKUP(A2007, imdb_netflix_v5!A$2:H$7370, 4, FALSE), "")</f>
        <v>7.8</v>
      </c>
      <c r="E2007" s="2">
        <f>IF(A2007&lt;&gt;"", VLOOKUP(A2007, imdb_netflix_v5!A$2:H$7370, 5, FALSE), "")</f>
        <v>2003</v>
      </c>
      <c r="F2007" s="2" t="str">
        <f>IF(A2007&lt;&gt;"", VLOOKUP(A2007, imdb_netflix_v5!A$2:H$7370, 7, FALSE), "")</f>
        <v>NA</v>
      </c>
    </row>
    <row r="2008" ht="15.75" customHeight="1">
      <c r="A2008" s="1" t="str">
        <f>IFERROR(__xludf.DUMMYFUNCTION("""COMPUTED_VALUE"""),"predator")</f>
        <v>predator</v>
      </c>
      <c r="B2008" s="1" t="str">
        <f>IF(A2008&lt;&gt;"", VLOOKUP(A2008, imdb_netflix_v5!A$2:H$7370, 2, FALSE), "")</f>
        <v>Movie</v>
      </c>
      <c r="C2008" s="2" t="str">
        <f>IF(A2008&lt;&gt;"", VLOOKUP(A2008, imdb_netflix_v5!A$2:H$7370, 3, FALSE), "")</f>
        <v>Action, Adventure, Horror</v>
      </c>
      <c r="D2008" s="2">
        <f>IF(A2008&lt;&gt;"", VLOOKUP(A2008, imdb_netflix_v5!A$2:H$7370, 4, FALSE), "")</f>
        <v>7.8</v>
      </c>
      <c r="E2008" s="2">
        <f>IF(A2008&lt;&gt;"", VLOOKUP(A2008, imdb_netflix_v5!A$2:H$7370, 5, FALSE), "")</f>
        <v>1987</v>
      </c>
      <c r="F2008" s="2" t="str">
        <f>IF(A2008&lt;&gt;"", VLOOKUP(A2008, imdb_netflix_v5!A$2:H$7370, 7, FALSE), "")</f>
        <v>NA</v>
      </c>
    </row>
    <row r="2009" ht="15.75" customHeight="1">
      <c r="A2009" s="1" t="str">
        <f>IFERROR(__xludf.DUMMYFUNCTION("""COMPUTED_VALUE"""),"american gangster")</f>
        <v>american gangster</v>
      </c>
      <c r="B2009" s="1" t="str">
        <f>IF(A2009&lt;&gt;"", VLOOKUP(A2009, imdb_netflix_v5!A$2:H$7370, 2, FALSE), "")</f>
        <v>Movie</v>
      </c>
      <c r="C2009" s="2" t="str">
        <f>IF(A2009&lt;&gt;"", VLOOKUP(A2009, imdb_netflix_v5!A$2:H$7370, 3, FALSE), "")</f>
        <v>Biography, Crime, Drama</v>
      </c>
      <c r="D2009" s="2">
        <f>IF(A2009&lt;&gt;"", VLOOKUP(A2009, imdb_netflix_v5!A$2:H$7370, 4, FALSE), "")</f>
        <v>7.8</v>
      </c>
      <c r="E2009" s="2">
        <f>IF(A2009&lt;&gt;"", VLOOKUP(A2009, imdb_netflix_v5!A$2:H$7370, 5, FALSE), "")</f>
        <v>2007</v>
      </c>
      <c r="F2009" s="2" t="str">
        <f>IF(A2009&lt;&gt;"", VLOOKUP(A2009, imdb_netflix_v5!A$2:H$7370, 7, FALSE), "")</f>
        <v>NA</v>
      </c>
    </row>
    <row r="2010" ht="15.75" customHeight="1">
      <c r="A2010" s="1" t="str">
        <f>IFERROR(__xludf.DUMMYFUNCTION("""COMPUTED_VALUE"""),"ghostbusters")</f>
        <v>ghostbusters</v>
      </c>
      <c r="B2010" s="1" t="str">
        <f>IF(A2010&lt;&gt;"", VLOOKUP(A2010, imdb_netflix_v5!A$2:H$7370, 2, FALSE), "")</f>
        <v>Movie</v>
      </c>
      <c r="C2010" s="2" t="str">
        <f>IF(A2010&lt;&gt;"", VLOOKUP(A2010, imdb_netflix_v5!A$2:H$7370, 3, FALSE), "")</f>
        <v>Action, Comedy, Fantasy</v>
      </c>
      <c r="D2010" s="2">
        <f>IF(A2010&lt;&gt;"", VLOOKUP(A2010, imdb_netflix_v5!A$2:H$7370, 4, FALSE), "")</f>
        <v>7.8</v>
      </c>
      <c r="E2010" s="2">
        <f>IF(A2010&lt;&gt;"", VLOOKUP(A2010, imdb_netflix_v5!A$2:H$7370, 5, FALSE), "")</f>
        <v>1984</v>
      </c>
      <c r="F2010" s="2" t="str">
        <f>IF(A2010&lt;&gt;"", VLOOKUP(A2010, imdb_netflix_v5!A$2:H$7370, 7, FALSE), "")</f>
        <v>NA</v>
      </c>
    </row>
    <row r="2011" ht="15.75" customHeight="1">
      <c r="A2011" s="1" t="str">
        <f>IFERROR(__xludf.DUMMYFUNCTION("""COMPUTED_VALUE"""),"the breakfast club")</f>
        <v>the breakfast club</v>
      </c>
      <c r="B2011" s="1" t="str">
        <f>IF(A2011&lt;&gt;"", VLOOKUP(A2011, imdb_netflix_v5!A$2:H$7370, 2, FALSE), "")</f>
        <v>Movie</v>
      </c>
      <c r="C2011" s="2" t="str">
        <f>IF(A2011&lt;&gt;"", VLOOKUP(A2011, imdb_netflix_v5!A$2:H$7370, 3, FALSE), "")</f>
        <v>Comedy, Drama</v>
      </c>
      <c r="D2011" s="2">
        <f>IF(A2011&lt;&gt;"", VLOOKUP(A2011, imdb_netflix_v5!A$2:H$7370, 4, FALSE), "")</f>
        <v>7.8</v>
      </c>
      <c r="E2011" s="2">
        <f>IF(A2011&lt;&gt;"", VLOOKUP(A2011, imdb_netflix_v5!A$2:H$7370, 5, FALSE), "")</f>
        <v>1985</v>
      </c>
      <c r="F2011" s="2" t="str">
        <f>IF(A2011&lt;&gt;"", VLOOKUP(A2011, imdb_netflix_v5!A$2:H$7370, 7, FALSE), "")</f>
        <v>NA</v>
      </c>
    </row>
    <row r="2012" ht="15.75" customHeight="1">
      <c r="A2012" s="1" t="str">
        <f>IFERROR(__xludf.DUMMYFUNCTION("""COMPUTED_VALUE"""),"the irishman")</f>
        <v>the irishman</v>
      </c>
      <c r="B2012" s="1" t="str">
        <f>IF(A2012&lt;&gt;"", VLOOKUP(A2012, imdb_netflix_v5!A$2:H$7370, 2, FALSE), "")</f>
        <v>Movie</v>
      </c>
      <c r="C2012" s="2" t="str">
        <f>IF(A2012&lt;&gt;"", VLOOKUP(A2012, imdb_netflix_v5!A$2:H$7370, 3, FALSE), "")</f>
        <v>Biography, Crime, Drama</v>
      </c>
      <c r="D2012" s="2">
        <f>IF(A2012&lt;&gt;"", VLOOKUP(A2012, imdb_netflix_v5!A$2:H$7370, 4, FALSE), "")</f>
        <v>7.8</v>
      </c>
      <c r="E2012" s="2">
        <f>IF(A2012&lt;&gt;"", VLOOKUP(A2012, imdb_netflix_v5!A$2:H$7370, 5, FALSE), "")</f>
        <v>2019</v>
      </c>
      <c r="F2012" s="2" t="str">
        <f>IF(A2012&lt;&gt;"", VLOOKUP(A2012, imdb_netflix_v5!A$2:H$7370, 7, FALSE), "")</f>
        <v>NA</v>
      </c>
    </row>
    <row r="2013" ht="15.75" customHeight="1">
      <c r="A2013" s="1" t="str">
        <f>IFERROR(__xludf.DUMMYFUNCTION("""COMPUTED_VALUE"""),"about time")</f>
        <v>about time</v>
      </c>
      <c r="B2013" s="1" t="str">
        <f>IF(A2013&lt;&gt;"", VLOOKUP(A2013, imdb_netflix_v5!A$2:H$7370, 2, FALSE), "")</f>
        <v>Movie</v>
      </c>
      <c r="C2013" s="2" t="str">
        <f>IF(A2013&lt;&gt;"", VLOOKUP(A2013, imdb_netflix_v5!A$2:H$7370, 3, FALSE), "")</f>
        <v>Comedy, Drama, Fantasy</v>
      </c>
      <c r="D2013" s="2">
        <f>IF(A2013&lt;&gt;"", VLOOKUP(A2013, imdb_netflix_v5!A$2:H$7370, 4, FALSE), "")</f>
        <v>7.8</v>
      </c>
      <c r="E2013" s="2">
        <f>IF(A2013&lt;&gt;"", VLOOKUP(A2013, imdb_netflix_v5!A$2:H$7370, 5, FALSE), "")</f>
        <v>2013</v>
      </c>
      <c r="F2013" s="2" t="str">
        <f>IF(A2013&lt;&gt;"", VLOOKUP(A2013, imdb_netflix_v5!A$2:H$7370, 7, FALSE), "")</f>
        <v>NA</v>
      </c>
    </row>
    <row r="2014" ht="15.75" customHeight="1">
      <c r="A2014" s="1" t="str">
        <f>IFERROR(__xludf.DUMMYFUNCTION("""COMPUTED_VALUE"""),"ferris buellers day off")</f>
        <v>ferris buellers day off</v>
      </c>
      <c r="B2014" s="1" t="str">
        <f>IF(A2014&lt;&gt;"", VLOOKUP(A2014, imdb_netflix_v5!A$2:H$7370, 2, FALSE), "")</f>
        <v>Movie</v>
      </c>
      <c r="C2014" s="2" t="str">
        <f>IF(A2014&lt;&gt;"", VLOOKUP(A2014, imdb_netflix_v5!A$2:H$7370, 3, FALSE), "")</f>
        <v>Comedy</v>
      </c>
      <c r="D2014" s="2">
        <f>IF(A2014&lt;&gt;"", VLOOKUP(A2014, imdb_netflix_v5!A$2:H$7370, 4, FALSE), "")</f>
        <v>7.8</v>
      </c>
      <c r="E2014" s="2">
        <f>IF(A2014&lt;&gt;"", VLOOKUP(A2014, imdb_netflix_v5!A$2:H$7370, 5, FALSE), "")</f>
        <v>1986</v>
      </c>
      <c r="F2014" s="2" t="str">
        <f>IF(A2014&lt;&gt;"", VLOOKUP(A2014, imdb_netflix_v5!A$2:H$7370, 7, FALSE), "")</f>
        <v>NA</v>
      </c>
    </row>
    <row r="2015" ht="15.75" customHeight="1">
      <c r="A2015" s="1" t="str">
        <f>IFERROR(__xludf.DUMMYFUNCTION("""COMPUTED_VALUE"""),"the fighter")</f>
        <v>the fighter</v>
      </c>
      <c r="B2015" s="1" t="str">
        <f>IF(A2015&lt;&gt;"", VLOOKUP(A2015, imdb_netflix_v5!A$2:H$7370, 2, FALSE), "")</f>
        <v>Movie</v>
      </c>
      <c r="C2015" s="2" t="str">
        <f>IF(A2015&lt;&gt;"", VLOOKUP(A2015, imdb_netflix_v5!A$2:H$7370, 3, FALSE), "")</f>
        <v>Action, Biography, Drama</v>
      </c>
      <c r="D2015" s="2">
        <f>IF(A2015&lt;&gt;"", VLOOKUP(A2015, imdb_netflix_v5!A$2:H$7370, 4, FALSE), "")</f>
        <v>7.8</v>
      </c>
      <c r="E2015" s="2">
        <f>IF(A2015&lt;&gt;"", VLOOKUP(A2015, imdb_netflix_v5!A$2:H$7370, 5, FALSE), "")</f>
        <v>2010</v>
      </c>
      <c r="F2015" s="2" t="str">
        <f>IF(A2015&lt;&gt;"", VLOOKUP(A2015, imdb_netflix_v5!A$2:H$7370, 7, FALSE), "")</f>
        <v>NA</v>
      </c>
    </row>
    <row r="2016" ht="15.75" customHeight="1">
      <c r="A2016" s="1" t="str">
        <f>IFERROR(__xludf.DUMMYFUNCTION("""COMPUTED_VALUE"""),"moon")</f>
        <v>moon</v>
      </c>
      <c r="B2016" s="1" t="str">
        <f>IF(A2016&lt;&gt;"", VLOOKUP(A2016, imdb_netflix_v5!A$2:H$7370, 2, FALSE), "")</f>
        <v>Movie</v>
      </c>
      <c r="C2016" s="2" t="str">
        <f>IF(A2016&lt;&gt;"", VLOOKUP(A2016, imdb_netflix_v5!A$2:H$7370, 3, FALSE), "")</f>
        <v>Drama, Mystery, Sci-Fi</v>
      </c>
      <c r="D2016" s="2">
        <f>IF(A2016&lt;&gt;"", VLOOKUP(A2016, imdb_netflix_v5!A$2:H$7370, 4, FALSE), "")</f>
        <v>7.8</v>
      </c>
      <c r="E2016" s="2">
        <f>IF(A2016&lt;&gt;"", VLOOKUP(A2016, imdb_netflix_v5!A$2:H$7370, 5, FALSE), "")</f>
        <v>2009</v>
      </c>
      <c r="F2016" s="2" t="str">
        <f>IF(A2016&lt;&gt;"", VLOOKUP(A2016, imdb_netflix_v5!A$2:H$7370, 7, FALSE), "")</f>
        <v>NA</v>
      </c>
    </row>
    <row r="2017" ht="15.75" customHeight="1">
      <c r="A2017" s="1" t="str">
        <f>IFERROR(__xludf.DUMMYFUNCTION("""COMPUTED_VALUE"""),"how to train your dragon 2")</f>
        <v>how to train your dragon 2</v>
      </c>
      <c r="B2017" s="1" t="str">
        <f>IF(A2017&lt;&gt;"", VLOOKUP(A2017, imdb_netflix_v5!A$2:H$7370, 2, FALSE), "")</f>
        <v>Movie</v>
      </c>
      <c r="C2017" s="2" t="str">
        <f>IF(A2017&lt;&gt;"", VLOOKUP(A2017, imdb_netflix_v5!A$2:H$7370, 3, FALSE), "")</f>
        <v>Action, Adventure, Animation</v>
      </c>
      <c r="D2017" s="2">
        <f>IF(A2017&lt;&gt;"", VLOOKUP(A2017, imdb_netflix_v5!A$2:H$7370, 4, FALSE), "")</f>
        <v>7.8</v>
      </c>
      <c r="E2017" s="2">
        <f>IF(A2017&lt;&gt;"", VLOOKUP(A2017, imdb_netflix_v5!A$2:H$7370, 5, FALSE), "")</f>
        <v>2014</v>
      </c>
      <c r="F2017" s="2" t="str">
        <f>IF(A2017&lt;&gt;"", VLOOKUP(A2017, imdb_netflix_v5!A$2:H$7370, 7, FALSE), "")</f>
        <v>NA</v>
      </c>
    </row>
    <row r="2018" ht="15.75" customHeight="1">
      <c r="A2018" s="1" t="str">
        <f>IFERROR(__xludf.DUMMYFUNCTION("""COMPUTED_VALUE"""),"moonrise kingdom")</f>
        <v>moonrise kingdom</v>
      </c>
      <c r="B2018" s="1" t="str">
        <f>IF(A2018&lt;&gt;"", VLOOKUP(A2018, imdb_netflix_v5!A$2:H$7370, 2, FALSE), "")</f>
        <v>Movie</v>
      </c>
      <c r="C2018" s="2" t="str">
        <f>IF(A2018&lt;&gt;"", VLOOKUP(A2018, imdb_netflix_v5!A$2:H$7370, 3, FALSE), "")</f>
        <v>Adventure, Comedy, Drama</v>
      </c>
      <c r="D2018" s="2">
        <f>IF(A2018&lt;&gt;"", VLOOKUP(A2018, imdb_netflix_v5!A$2:H$7370, 4, FALSE), "")</f>
        <v>7.8</v>
      </c>
      <c r="E2018" s="2">
        <f>IF(A2018&lt;&gt;"", VLOOKUP(A2018, imdb_netflix_v5!A$2:H$7370, 5, FALSE), "")</f>
        <v>2012</v>
      </c>
      <c r="F2018" s="2" t="str">
        <f>IF(A2018&lt;&gt;"", VLOOKUP(A2018, imdb_netflix_v5!A$2:H$7370, 7, FALSE), "")</f>
        <v>NA</v>
      </c>
    </row>
    <row r="2019" ht="15.75" customHeight="1">
      <c r="A2019" s="1" t="str">
        <f>IFERROR(__xludf.DUMMYFUNCTION("""COMPUTED_VALUE"""),"pride &amp; prejudice")</f>
        <v>pride &amp; prejudice</v>
      </c>
      <c r="B2019" s="1" t="str">
        <f>IF(A2019&lt;&gt;"", VLOOKUP(A2019, imdb_netflix_v5!A$2:H$7370, 2, FALSE), "")</f>
        <v>Movie</v>
      </c>
      <c r="C2019" s="2" t="str">
        <f>IF(A2019&lt;&gt;"", VLOOKUP(A2019, imdb_netflix_v5!A$2:H$7370, 3, FALSE), "")</f>
        <v>Drama, Romance</v>
      </c>
      <c r="D2019" s="2">
        <f>IF(A2019&lt;&gt;"", VLOOKUP(A2019, imdb_netflix_v5!A$2:H$7370, 4, FALSE), "")</f>
        <v>7.8</v>
      </c>
      <c r="E2019" s="2">
        <f>IF(A2019&lt;&gt;"", VLOOKUP(A2019, imdb_netflix_v5!A$2:H$7370, 5, FALSE), "")</f>
        <v>2005</v>
      </c>
      <c r="F2019" s="2" t="str">
        <f>IF(A2019&lt;&gt;"", VLOOKUP(A2019, imdb_netflix_v5!A$2:H$7370, 7, FALSE), "")</f>
        <v>NA</v>
      </c>
    </row>
    <row r="2020" ht="15.75" customHeight="1">
      <c r="A2020" s="1" t="str">
        <f>IFERROR(__xludf.DUMMYFUNCTION("""COMPUTED_VALUE"""),"apocalypto")</f>
        <v>apocalypto</v>
      </c>
      <c r="B2020" s="1" t="str">
        <f>IF(A2020&lt;&gt;"", VLOOKUP(A2020, imdb_netflix_v5!A$2:H$7370, 2, FALSE), "")</f>
        <v>Movie</v>
      </c>
      <c r="C2020" s="2" t="str">
        <f>IF(A2020&lt;&gt;"", VLOOKUP(A2020, imdb_netflix_v5!A$2:H$7370, 3, FALSE), "")</f>
        <v>Action, Adventure, Drama</v>
      </c>
      <c r="D2020" s="2">
        <f>IF(A2020&lt;&gt;"", VLOOKUP(A2020, imdb_netflix_v5!A$2:H$7370, 4, FALSE), "")</f>
        <v>7.8</v>
      </c>
      <c r="E2020" s="2">
        <f>IF(A2020&lt;&gt;"", VLOOKUP(A2020, imdb_netflix_v5!A$2:H$7370, 5, FALSE), "")</f>
        <v>2006</v>
      </c>
      <c r="F2020" s="2" t="str">
        <f>IF(A2020&lt;&gt;"", VLOOKUP(A2020, imdb_netflix_v5!A$2:H$7370, 7, FALSE), "")</f>
        <v>NA</v>
      </c>
    </row>
    <row r="2021" ht="15.75" customHeight="1">
      <c r="A2021" s="1" t="str">
        <f>IFERROR(__xludf.DUMMYFUNCTION("""COMPUTED_VALUE"""),"the untouchables")</f>
        <v>the untouchables</v>
      </c>
      <c r="B2021" s="1" t="str">
        <f>IF(A2021&lt;&gt;"", VLOOKUP(A2021, imdb_netflix_v5!A$2:H$7370, 2, FALSE), "")</f>
        <v>Movie</v>
      </c>
      <c r="C2021" s="2" t="str">
        <f>IF(A2021&lt;&gt;"", VLOOKUP(A2021, imdb_netflix_v5!A$2:H$7370, 3, FALSE), "")</f>
        <v>Crime, Drama, Thriller</v>
      </c>
      <c r="D2021" s="2">
        <f>IF(A2021&lt;&gt;"", VLOOKUP(A2021, imdb_netflix_v5!A$2:H$7370, 4, FALSE), "")</f>
        <v>7.8</v>
      </c>
      <c r="E2021" s="2">
        <f>IF(A2021&lt;&gt;"", VLOOKUP(A2021, imdb_netflix_v5!A$2:H$7370, 5, FALSE), "")</f>
        <v>1987</v>
      </c>
      <c r="F2021" s="2" t="str">
        <f>IF(A2021&lt;&gt;"", VLOOKUP(A2021, imdb_netflix_v5!A$2:H$7370, 7, FALSE), "")</f>
        <v>NA</v>
      </c>
    </row>
    <row r="2022" ht="15.75" customHeight="1">
      <c r="A2022" s="1" t="str">
        <f>IFERROR(__xludf.DUMMYFUNCTION("""COMPUTED_VALUE"""),"call me by your name")</f>
        <v>call me by your name</v>
      </c>
      <c r="B2022" s="1" t="str">
        <f>IF(A2022&lt;&gt;"", VLOOKUP(A2022, imdb_netflix_v5!A$2:H$7370, 2, FALSE), "")</f>
        <v>Movie</v>
      </c>
      <c r="C2022" s="2" t="str">
        <f>IF(A2022&lt;&gt;"", VLOOKUP(A2022, imdb_netflix_v5!A$2:H$7370, 3, FALSE), "")</f>
        <v>Drama, Romance</v>
      </c>
      <c r="D2022" s="2">
        <f>IF(A2022&lt;&gt;"", VLOOKUP(A2022, imdb_netflix_v5!A$2:H$7370, 4, FALSE), "")</f>
        <v>7.8</v>
      </c>
      <c r="E2022" s="2">
        <f>IF(A2022&lt;&gt;"", VLOOKUP(A2022, imdb_netflix_v5!A$2:H$7370, 5, FALSE), "")</f>
        <v>2017</v>
      </c>
      <c r="F2022" s="2" t="str">
        <f>IF(A2022&lt;&gt;"", VLOOKUP(A2022, imdb_netflix_v5!A$2:H$7370, 7, FALSE), "")</f>
        <v>NA</v>
      </c>
    </row>
    <row r="2023" ht="15.75" customHeight="1">
      <c r="A2023" s="1" t="str">
        <f>IFERROR(__xludf.DUMMYFUNCTION("""COMPUTED_VALUE"""),"the fugitive")</f>
        <v>the fugitive</v>
      </c>
      <c r="B2023" s="1" t="str">
        <f>IF(A2023&lt;&gt;"", VLOOKUP(A2023, imdb_netflix_v5!A$2:H$7370, 2, FALSE), "")</f>
        <v>Movie</v>
      </c>
      <c r="C2023" s="2" t="str">
        <f>IF(A2023&lt;&gt;"", VLOOKUP(A2023, imdb_netflix_v5!A$2:H$7370, 3, FALSE), "")</f>
        <v>Action, Crime, Drama</v>
      </c>
      <c r="D2023" s="2">
        <f>IF(A2023&lt;&gt;"", VLOOKUP(A2023, imdb_netflix_v5!A$2:H$7370, 4, FALSE), "")</f>
        <v>7.8</v>
      </c>
      <c r="E2023" s="2">
        <f>IF(A2023&lt;&gt;"", VLOOKUP(A2023, imdb_netflix_v5!A$2:H$7370, 5, FALSE), "")</f>
        <v>1993</v>
      </c>
      <c r="F2023" s="2" t="str">
        <f>IF(A2023&lt;&gt;"", VLOOKUP(A2023, imdb_netflix_v5!A$2:H$7370, 7, FALSE), "")</f>
        <v>NA</v>
      </c>
    </row>
    <row r="2024" ht="15.75" customHeight="1">
      <c r="A2024" s="1" t="str">
        <f>IFERROR(__xludf.DUMMYFUNCTION("""COMPUTED_VALUE"""),"manchester by the sea")</f>
        <v>manchester by the sea</v>
      </c>
      <c r="B2024" s="1" t="str">
        <f>IF(A2024&lt;&gt;"", VLOOKUP(A2024, imdb_netflix_v5!A$2:H$7370, 2, FALSE), "")</f>
        <v>Movie</v>
      </c>
      <c r="C2024" s="2" t="str">
        <f>IF(A2024&lt;&gt;"", VLOOKUP(A2024, imdb_netflix_v5!A$2:H$7370, 3, FALSE), "")</f>
        <v>Drama</v>
      </c>
      <c r="D2024" s="2">
        <f>IF(A2024&lt;&gt;"", VLOOKUP(A2024, imdb_netflix_v5!A$2:H$7370, 4, FALSE), "")</f>
        <v>7.8</v>
      </c>
      <c r="E2024" s="2">
        <f>IF(A2024&lt;&gt;"", VLOOKUP(A2024, imdb_netflix_v5!A$2:H$7370, 5, FALSE), "")</f>
        <v>2016</v>
      </c>
      <c r="F2024" s="2" t="str">
        <f>IF(A2024&lt;&gt;"", VLOOKUP(A2024, imdb_netflix_v5!A$2:H$7370, 7, FALSE), "")</f>
        <v>NA</v>
      </c>
    </row>
    <row r="2025" ht="15.75" customHeight="1">
      <c r="A2025" s="1" t="str">
        <f>IFERROR(__xludf.DUMMYFUNCTION("""COMPUTED_VALUE"""),"poor things")</f>
        <v>poor things</v>
      </c>
      <c r="B2025" s="1" t="str">
        <f>IF(A2025&lt;&gt;"", VLOOKUP(A2025, imdb_netflix_v5!A$2:H$7370, 2, FALSE), "")</f>
        <v>Movie</v>
      </c>
      <c r="C2025" s="2" t="str">
        <f>IF(A2025&lt;&gt;"", VLOOKUP(A2025, imdb_netflix_v5!A$2:H$7370, 3, FALSE), "")</f>
        <v>Comedy, Drama, Romance</v>
      </c>
      <c r="D2025" s="2">
        <f>IF(A2025&lt;&gt;"", VLOOKUP(A2025, imdb_netflix_v5!A$2:H$7370, 4, FALSE), "")</f>
        <v>7.8</v>
      </c>
      <c r="E2025" s="2">
        <f>IF(A2025&lt;&gt;"", VLOOKUP(A2025, imdb_netflix_v5!A$2:H$7370, 5, FALSE), "")</f>
        <v>2023</v>
      </c>
      <c r="F2025" s="2" t="str">
        <f>IF(A2025&lt;&gt;"", VLOOKUP(A2025, imdb_netflix_v5!A$2:H$7370, 7, FALSE), "")</f>
        <v>NA</v>
      </c>
    </row>
    <row r="2026" ht="15.75" customHeight="1">
      <c r="A2026" s="1" t="str">
        <f>IFERROR(__xludf.DUMMYFUNCTION("""COMPUTED_VALUE"""),"serenity")</f>
        <v>serenity</v>
      </c>
      <c r="B2026" s="1" t="str">
        <f>IF(A2026&lt;&gt;"", VLOOKUP(A2026, imdb_netflix_v5!A$2:H$7370, 2, FALSE), "")</f>
        <v>Movie</v>
      </c>
      <c r="C2026" s="2" t="str">
        <f>IF(A2026&lt;&gt;"", VLOOKUP(A2026, imdb_netflix_v5!A$2:H$7370, 3, FALSE), "")</f>
        <v>Action, Adventure, Sci-Fi</v>
      </c>
      <c r="D2026" s="2">
        <f>IF(A2026&lt;&gt;"", VLOOKUP(A2026, imdb_netflix_v5!A$2:H$7370, 4, FALSE), "")</f>
        <v>7.8</v>
      </c>
      <c r="E2026" s="2">
        <f>IF(A2026&lt;&gt;"", VLOOKUP(A2026, imdb_netflix_v5!A$2:H$7370, 5, FALSE), "")</f>
        <v>2005</v>
      </c>
      <c r="F2026" s="2" t="str">
        <f>IF(A2026&lt;&gt;"", VLOOKUP(A2026, imdb_netflix_v5!A$2:H$7370, 7, FALSE), "")</f>
        <v>NA</v>
      </c>
    </row>
    <row r="2027" ht="15.75" customHeight="1">
      <c r="A2027" s="1" t="str">
        <f>IFERROR(__xludf.DUMMYFUNCTION("""COMPUTED_VALUE"""),"atonement")</f>
        <v>atonement</v>
      </c>
      <c r="B2027" s="1" t="str">
        <f>IF(A2027&lt;&gt;"", VLOOKUP(A2027, imdb_netflix_v5!A$2:H$7370, 2, FALSE), "")</f>
        <v>Movie</v>
      </c>
      <c r="C2027" s="2" t="str">
        <f>IF(A2027&lt;&gt;"", VLOOKUP(A2027, imdb_netflix_v5!A$2:H$7370, 3, FALSE), "")</f>
        <v>Drama, Mystery, Romance</v>
      </c>
      <c r="D2027" s="2">
        <f>IF(A2027&lt;&gt;"", VLOOKUP(A2027, imdb_netflix_v5!A$2:H$7370, 4, FALSE), "")</f>
        <v>7.8</v>
      </c>
      <c r="E2027" s="2">
        <f>IF(A2027&lt;&gt;"", VLOOKUP(A2027, imdb_netflix_v5!A$2:H$7370, 5, FALSE), "")</f>
        <v>2007</v>
      </c>
      <c r="F2027" s="2" t="str">
        <f>IF(A2027&lt;&gt;"", VLOOKUP(A2027, imdb_netflix_v5!A$2:H$7370, 7, FALSE), "")</f>
        <v>NA</v>
      </c>
    </row>
    <row r="2028" ht="15.75" customHeight="1">
      <c r="A2028" s="1" t="str">
        <f>IFERROR(__xludf.DUMMYFUNCTION("""COMPUTED_VALUE"""),"the umbrella academy")</f>
        <v>the umbrella academy</v>
      </c>
      <c r="B2028" s="1" t="str">
        <f>IF(A2028&lt;&gt;"", VLOOKUP(A2028, imdb_netflix_v5!A$2:H$7370, 2, FALSE), "")</f>
        <v>TV Show</v>
      </c>
      <c r="C2028" s="2" t="str">
        <f>IF(A2028&lt;&gt;"", VLOOKUP(A2028, imdb_netflix_v5!A$2:H$7370, 3, FALSE), "")</f>
        <v>Action, Adventure, Comedy</v>
      </c>
      <c r="D2028" s="2">
        <f>IF(A2028&lt;&gt;"", VLOOKUP(A2028, imdb_netflix_v5!A$2:H$7370, 4, FALSE), "")</f>
        <v>7.8</v>
      </c>
      <c r="E2028" s="2">
        <f>IF(A2028&lt;&gt;"", VLOOKUP(A2028, imdb_netflix_v5!A$2:H$7370, 5, FALSE), "")</f>
        <v>2019</v>
      </c>
      <c r="F2028" s="2">
        <f>IF(A2028&lt;&gt;"", VLOOKUP(A2028, imdb_netflix_v5!A$2:H$7370, 7, FALSE), "")</f>
        <v>18250000</v>
      </c>
    </row>
    <row r="2029" ht="15.75" customHeight="1">
      <c r="A2029" s="1" t="str">
        <f>IFERROR(__xludf.DUMMYFUNCTION("""COMPUTED_VALUE"""),"coraline")</f>
        <v>coraline</v>
      </c>
      <c r="B2029" s="1" t="str">
        <f>IF(A2029&lt;&gt;"", VLOOKUP(A2029, imdb_netflix_v5!A$2:H$7370, 2, FALSE), "")</f>
        <v>Movie</v>
      </c>
      <c r="C2029" s="2" t="str">
        <f>IF(A2029&lt;&gt;"", VLOOKUP(A2029, imdb_netflix_v5!A$2:H$7370, 3, FALSE), "")</f>
        <v>Animation, Drama, Family</v>
      </c>
      <c r="D2029" s="2">
        <f>IF(A2029&lt;&gt;"", VLOOKUP(A2029, imdb_netflix_v5!A$2:H$7370, 4, FALSE), "")</f>
        <v>7.8</v>
      </c>
      <c r="E2029" s="2">
        <f>IF(A2029&lt;&gt;"", VLOOKUP(A2029, imdb_netflix_v5!A$2:H$7370, 5, FALSE), "")</f>
        <v>2009</v>
      </c>
      <c r="F2029" s="2" t="str">
        <f>IF(A2029&lt;&gt;"", VLOOKUP(A2029, imdb_netflix_v5!A$2:H$7370, 7, FALSE), "")</f>
        <v>NA</v>
      </c>
    </row>
    <row r="2030" ht="15.75" customHeight="1">
      <c r="A2030" s="1" t="str">
        <f>IFERROR(__xludf.DUMMYFUNCTION("""COMPUTED_VALUE"""),"walk the line")</f>
        <v>walk the line</v>
      </c>
      <c r="B2030" s="1" t="str">
        <f>IF(A2030&lt;&gt;"", VLOOKUP(A2030, imdb_netflix_v5!A$2:H$7370, 2, FALSE), "")</f>
        <v>Movie</v>
      </c>
      <c r="C2030" s="2" t="str">
        <f>IF(A2030&lt;&gt;"", VLOOKUP(A2030, imdb_netflix_v5!A$2:H$7370, 3, FALSE), "")</f>
        <v>Biography, Drama, Music</v>
      </c>
      <c r="D2030" s="2">
        <f>IF(A2030&lt;&gt;"", VLOOKUP(A2030, imdb_netflix_v5!A$2:H$7370, 4, FALSE), "")</f>
        <v>7.8</v>
      </c>
      <c r="E2030" s="2">
        <f>IF(A2030&lt;&gt;"", VLOOKUP(A2030, imdb_netflix_v5!A$2:H$7370, 5, FALSE), "")</f>
        <v>2005</v>
      </c>
      <c r="F2030" s="2" t="str">
        <f>IF(A2030&lt;&gt;"", VLOOKUP(A2030, imdb_netflix_v5!A$2:H$7370, 7, FALSE), "")</f>
        <v>NA</v>
      </c>
    </row>
    <row r="2031" ht="15.75" customHeight="1">
      <c r="A2031" s="1" t="str">
        <f>IFERROR(__xludf.DUMMYFUNCTION("""COMPUTED_VALUE"""),"hidden figures")</f>
        <v>hidden figures</v>
      </c>
      <c r="B2031" s="1" t="str">
        <f>IF(A2031&lt;&gt;"", VLOOKUP(A2031, imdb_netflix_v5!A$2:H$7370, 2, FALSE), "")</f>
        <v>Movie</v>
      </c>
      <c r="C2031" s="2" t="str">
        <f>IF(A2031&lt;&gt;"", VLOOKUP(A2031, imdb_netflix_v5!A$2:H$7370, 3, FALSE), "")</f>
        <v>Biography, Drama, History</v>
      </c>
      <c r="D2031" s="2">
        <f>IF(A2031&lt;&gt;"", VLOOKUP(A2031, imdb_netflix_v5!A$2:H$7370, 4, FALSE), "")</f>
        <v>7.8</v>
      </c>
      <c r="E2031" s="2">
        <f>IF(A2031&lt;&gt;"", VLOOKUP(A2031, imdb_netflix_v5!A$2:H$7370, 5, FALSE), "")</f>
        <v>2016</v>
      </c>
      <c r="F2031" s="2" t="str">
        <f>IF(A2031&lt;&gt;"", VLOOKUP(A2031, imdb_netflix_v5!A$2:H$7370, 7, FALSE), "")</f>
        <v>NA</v>
      </c>
    </row>
    <row r="2032" ht="15.75" customHeight="1">
      <c r="A2032" s="1" t="str">
        <f>IFERROR(__xludf.DUMMYFUNCTION("""COMPUTED_VALUE"""),"little women")</f>
        <v>little women</v>
      </c>
      <c r="B2032" s="1" t="str">
        <f>IF(A2032&lt;&gt;"", VLOOKUP(A2032, imdb_netflix_v5!A$2:H$7370, 2, FALSE), "")</f>
        <v>Movie</v>
      </c>
      <c r="C2032" s="2" t="str">
        <f>IF(A2032&lt;&gt;"", VLOOKUP(A2032, imdb_netflix_v5!A$2:H$7370, 3, FALSE), "")</f>
        <v>Drama, Romance</v>
      </c>
      <c r="D2032" s="2">
        <f>IF(A2032&lt;&gt;"", VLOOKUP(A2032, imdb_netflix_v5!A$2:H$7370, 4, FALSE), "")</f>
        <v>7.8</v>
      </c>
      <c r="E2032" s="2">
        <f>IF(A2032&lt;&gt;"", VLOOKUP(A2032, imdb_netflix_v5!A$2:H$7370, 5, FALSE), "")</f>
        <v>2019</v>
      </c>
      <c r="F2032" s="2">
        <f>IF(A2032&lt;&gt;"", VLOOKUP(A2032, imdb_netflix_v5!A$2:H$7370, 7, FALSE), "")</f>
        <v>8590000</v>
      </c>
    </row>
    <row r="2033" ht="15.75" customHeight="1">
      <c r="A2033" s="1" t="str">
        <f>IFERROR(__xludf.DUMMYFUNCTION("""COMPUTED_VALUE"""),"new girl")</f>
        <v>new girl</v>
      </c>
      <c r="B2033" s="1" t="str">
        <f>IF(A2033&lt;&gt;"", VLOOKUP(A2033, imdb_netflix_v5!A$2:H$7370, 2, FALSE), "")</f>
        <v>TV Show</v>
      </c>
      <c r="C2033" s="2" t="str">
        <f>IF(A2033&lt;&gt;"", VLOOKUP(A2033, imdb_netflix_v5!A$2:H$7370, 3, FALSE), "")</f>
        <v>Comedy, Romance</v>
      </c>
      <c r="D2033" s="2">
        <f>IF(A2033&lt;&gt;"", VLOOKUP(A2033, imdb_netflix_v5!A$2:H$7370, 4, FALSE), "")</f>
        <v>7.8</v>
      </c>
      <c r="E2033" s="2">
        <f>IF(A2033&lt;&gt;"", VLOOKUP(A2033, imdb_netflix_v5!A$2:H$7370, 5, FALSE), "")</f>
        <v>2011</v>
      </c>
      <c r="F2033" s="2" t="str">
        <f>IF(A2033&lt;&gt;"", VLOOKUP(A2033, imdb_netflix_v5!A$2:H$7370, 7, FALSE), "")</f>
        <v>NA</v>
      </c>
    </row>
    <row r="2034" ht="15.75" customHeight="1">
      <c r="A2034" s="1" t="str">
        <f>IFERROR(__xludf.DUMMYFUNCTION("""COMPUTED_VALUE"""),"the artist")</f>
        <v>the artist</v>
      </c>
      <c r="B2034" s="1" t="str">
        <f>IF(A2034&lt;&gt;"", VLOOKUP(A2034, imdb_netflix_v5!A$2:H$7370, 2, FALSE), "")</f>
        <v>Movie</v>
      </c>
      <c r="C2034" s="2" t="str">
        <f>IF(A2034&lt;&gt;"", VLOOKUP(A2034, imdb_netflix_v5!A$2:H$7370, 3, FALSE), "")</f>
        <v>Comedy, Drama, Romance</v>
      </c>
      <c r="D2034" s="2">
        <f>IF(A2034&lt;&gt;"", VLOOKUP(A2034, imdb_netflix_v5!A$2:H$7370, 4, FALSE), "")</f>
        <v>7.8</v>
      </c>
      <c r="E2034" s="2">
        <f>IF(A2034&lt;&gt;"", VLOOKUP(A2034, imdb_netflix_v5!A$2:H$7370, 5, FALSE), "")</f>
        <v>2011</v>
      </c>
      <c r="F2034" s="2" t="str">
        <f>IF(A2034&lt;&gt;"", VLOOKUP(A2034, imdb_netflix_v5!A$2:H$7370, 7, FALSE), "")</f>
        <v>NA</v>
      </c>
    </row>
    <row r="2035" ht="15.75" customHeight="1">
      <c r="A2035" s="1" t="str">
        <f>IFERROR(__xludf.DUMMYFUNCTION("""COMPUTED_VALUE"""),"gotham")</f>
        <v>gotham</v>
      </c>
      <c r="B2035" s="1" t="str">
        <f>IF(A2035&lt;&gt;"", VLOOKUP(A2035, imdb_netflix_v5!A$2:H$7370, 2, FALSE), "")</f>
        <v>TV Show</v>
      </c>
      <c r="C2035" s="2" t="str">
        <f>IF(A2035&lt;&gt;"", VLOOKUP(A2035, imdb_netflix_v5!A$2:H$7370, 3, FALSE), "")</f>
        <v>Action, Crime, Drama</v>
      </c>
      <c r="D2035" s="2">
        <f>IF(A2035&lt;&gt;"", VLOOKUP(A2035, imdb_netflix_v5!A$2:H$7370, 4, FALSE), "")</f>
        <v>7.8</v>
      </c>
      <c r="E2035" s="2">
        <f>IF(A2035&lt;&gt;"", VLOOKUP(A2035, imdb_netflix_v5!A$2:H$7370, 5, FALSE), "")</f>
        <v>2014</v>
      </c>
      <c r="F2035" s="2" t="str">
        <f>IF(A2035&lt;&gt;"", VLOOKUP(A2035, imdb_netflix_v5!A$2:H$7370, 7, FALSE), "")</f>
        <v>NA</v>
      </c>
    </row>
    <row r="2036" ht="15.75" customHeight="1">
      <c r="A2036" s="1" t="str">
        <f>IFERROR(__xludf.DUMMYFUNCTION("""COMPUTED_VALUE"""),"misery")</f>
        <v>misery</v>
      </c>
      <c r="B2036" s="1" t="str">
        <f>IF(A2036&lt;&gt;"", VLOOKUP(A2036, imdb_netflix_v5!A$2:H$7370, 2, FALSE), "")</f>
        <v>Movie</v>
      </c>
      <c r="C2036" s="2" t="str">
        <f>IF(A2036&lt;&gt;"", VLOOKUP(A2036, imdb_netflix_v5!A$2:H$7370, 3, FALSE), "")</f>
        <v>Drama, Thriller</v>
      </c>
      <c r="D2036" s="2">
        <f>IF(A2036&lt;&gt;"", VLOOKUP(A2036, imdb_netflix_v5!A$2:H$7370, 4, FALSE), "")</f>
        <v>7.8</v>
      </c>
      <c r="E2036" s="2">
        <f>IF(A2036&lt;&gt;"", VLOOKUP(A2036, imdb_netflix_v5!A$2:H$7370, 5, FALSE), "")</f>
        <v>1990</v>
      </c>
      <c r="F2036" s="2" t="str">
        <f>IF(A2036&lt;&gt;"", VLOOKUP(A2036, imdb_netflix_v5!A$2:H$7370, 7, FALSE), "")</f>
        <v>NA</v>
      </c>
    </row>
    <row r="2037" ht="15.75" customHeight="1">
      <c r="A2037" s="1" t="str">
        <f>IFERROR(__xludf.DUMMYFUNCTION("""COMPUTED_VALUE"""),"captain fantastic")</f>
        <v>captain fantastic</v>
      </c>
      <c r="B2037" s="1" t="str">
        <f>IF(A2037&lt;&gt;"", VLOOKUP(A2037, imdb_netflix_v5!A$2:H$7370, 2, FALSE), "")</f>
        <v>Movie</v>
      </c>
      <c r="C2037" s="2" t="str">
        <f>IF(A2037&lt;&gt;"", VLOOKUP(A2037, imdb_netflix_v5!A$2:H$7370, 3, FALSE), "")</f>
        <v>Comedy, Drama</v>
      </c>
      <c r="D2037" s="2">
        <f>IF(A2037&lt;&gt;"", VLOOKUP(A2037, imdb_netflix_v5!A$2:H$7370, 4, FALSE), "")</f>
        <v>7.8</v>
      </c>
      <c r="E2037" s="2">
        <f>IF(A2037&lt;&gt;"", VLOOKUP(A2037, imdb_netflix_v5!A$2:H$7370, 5, FALSE), "")</f>
        <v>2016</v>
      </c>
      <c r="F2037" s="2" t="str">
        <f>IF(A2037&lt;&gt;"", VLOOKUP(A2037, imdb_netflix_v5!A$2:H$7370, 7, FALSE), "")</f>
        <v>NA</v>
      </c>
    </row>
    <row r="2038" ht="15.75" customHeight="1">
      <c r="A2038" s="1" t="str">
        <f>IFERROR(__xludf.DUMMYFUNCTION("""COMPUTED_VALUE"""),"remember the titans")</f>
        <v>remember the titans</v>
      </c>
      <c r="B2038" s="1" t="str">
        <f>IF(A2038&lt;&gt;"", VLOOKUP(A2038, imdb_netflix_v5!A$2:H$7370, 2, FALSE), "")</f>
        <v>Movie</v>
      </c>
      <c r="C2038" s="2" t="str">
        <f>IF(A2038&lt;&gt;"", VLOOKUP(A2038, imdb_netflix_v5!A$2:H$7370, 3, FALSE), "")</f>
        <v>Biography, Comedy, Drama</v>
      </c>
      <c r="D2038" s="2">
        <f>IF(A2038&lt;&gt;"", VLOOKUP(A2038, imdb_netflix_v5!A$2:H$7370, 4, FALSE), "")</f>
        <v>7.8</v>
      </c>
      <c r="E2038" s="2">
        <f>IF(A2038&lt;&gt;"", VLOOKUP(A2038, imdb_netflix_v5!A$2:H$7370, 5, FALSE), "")</f>
        <v>2000</v>
      </c>
      <c r="F2038" s="2" t="str">
        <f>IF(A2038&lt;&gt;"", VLOOKUP(A2038, imdb_netflix_v5!A$2:H$7370, 7, FALSE), "")</f>
        <v>NA</v>
      </c>
    </row>
    <row r="2039" ht="15.75" customHeight="1">
      <c r="A2039" s="1" t="str">
        <f>IFERROR(__xludf.DUMMYFUNCTION("""COMPUTED_VALUE"""),"willy wonka &amp; the chocolate factory")</f>
        <v>willy wonka &amp; the chocolate factory</v>
      </c>
      <c r="B2039" s="1" t="str">
        <f>IF(A2039&lt;&gt;"", VLOOKUP(A2039, imdb_netflix_v5!A$2:H$7370, 2, FALSE), "")</f>
        <v>Movie</v>
      </c>
      <c r="C2039" s="2" t="str">
        <f>IF(A2039&lt;&gt;"", VLOOKUP(A2039, imdb_netflix_v5!A$2:H$7370, 3, FALSE), "")</f>
        <v>Adventure, Comedy, Family</v>
      </c>
      <c r="D2039" s="2">
        <f>IF(A2039&lt;&gt;"", VLOOKUP(A2039, imdb_netflix_v5!A$2:H$7370, 4, FALSE), "")</f>
        <v>7.8</v>
      </c>
      <c r="E2039" s="2">
        <f>IF(A2039&lt;&gt;"", VLOOKUP(A2039, imdb_netflix_v5!A$2:H$7370, 5, FALSE), "")</f>
        <v>1971</v>
      </c>
      <c r="F2039" s="2" t="str">
        <f>IF(A2039&lt;&gt;"", VLOOKUP(A2039, imdb_netflix_v5!A$2:H$7370, 7, FALSE), "")</f>
        <v>NA</v>
      </c>
    </row>
    <row r="2040" ht="15.75" customHeight="1">
      <c r="A2040" s="1" t="str">
        <f>IFERROR(__xludf.DUMMYFUNCTION("""COMPUTED_VALUE"""),"let the right one in")</f>
        <v>let the right one in</v>
      </c>
      <c r="B2040" s="1" t="str">
        <f>IF(A2040&lt;&gt;"", VLOOKUP(A2040, imdb_netflix_v5!A$2:H$7370, 2, FALSE), "")</f>
        <v>Movie</v>
      </c>
      <c r="C2040" s="2" t="str">
        <f>IF(A2040&lt;&gt;"", VLOOKUP(A2040, imdb_netflix_v5!A$2:H$7370, 3, FALSE), "")</f>
        <v>Drama, Fantasy, Horror</v>
      </c>
      <c r="D2040" s="2">
        <f>IF(A2040&lt;&gt;"", VLOOKUP(A2040, imdb_netflix_v5!A$2:H$7370, 4, FALSE), "")</f>
        <v>7.8</v>
      </c>
      <c r="E2040" s="2">
        <f>IF(A2040&lt;&gt;"", VLOOKUP(A2040, imdb_netflix_v5!A$2:H$7370, 5, FALSE), "")</f>
        <v>2008</v>
      </c>
      <c r="F2040" s="2" t="str">
        <f>IF(A2040&lt;&gt;"", VLOOKUP(A2040, imdb_netflix_v5!A$2:H$7370, 7, FALSE), "")</f>
        <v>NA</v>
      </c>
    </row>
    <row r="2041" ht="15.75" customHeight="1">
      <c r="A2041" s="1" t="str">
        <f>IFERROR(__xludf.DUMMYFUNCTION("""COMPUTED_VALUE"""),"jessica jones")</f>
        <v>jessica jones</v>
      </c>
      <c r="B2041" s="1" t="str">
        <f>IF(A2041&lt;&gt;"", VLOOKUP(A2041, imdb_netflix_v5!A$2:H$7370, 2, FALSE), "")</f>
        <v>TV Show</v>
      </c>
      <c r="C2041" s="2" t="str">
        <f>IF(A2041&lt;&gt;"", VLOOKUP(A2041, imdb_netflix_v5!A$2:H$7370, 3, FALSE), "")</f>
        <v>Action, Crime, Drama</v>
      </c>
      <c r="D2041" s="2">
        <f>IF(A2041&lt;&gt;"", VLOOKUP(A2041, imdb_netflix_v5!A$2:H$7370, 4, FALSE), "")</f>
        <v>7.8</v>
      </c>
      <c r="E2041" s="2">
        <f>IF(A2041&lt;&gt;"", VLOOKUP(A2041, imdb_netflix_v5!A$2:H$7370, 5, FALSE), "")</f>
        <v>2015</v>
      </c>
      <c r="F2041" s="2" t="str">
        <f>IF(A2041&lt;&gt;"", VLOOKUP(A2041, imdb_netflix_v5!A$2:H$7370, 7, FALSE), "")</f>
        <v>NA</v>
      </c>
    </row>
    <row r="2042" ht="15.75" customHeight="1">
      <c r="A2042" s="1" t="str">
        <f>IFERROR(__xludf.DUMMYFUNCTION("""COMPUTED_VALUE"""),"straight outta compton")</f>
        <v>straight outta compton</v>
      </c>
      <c r="B2042" s="1" t="str">
        <f>IF(A2042&lt;&gt;"", VLOOKUP(A2042, imdb_netflix_v5!A$2:H$7370, 2, FALSE), "")</f>
        <v>Movie</v>
      </c>
      <c r="C2042" s="2" t="str">
        <f>IF(A2042&lt;&gt;"", VLOOKUP(A2042, imdb_netflix_v5!A$2:H$7370, 3, FALSE), "")</f>
        <v>Biography, Drama, History</v>
      </c>
      <c r="D2042" s="2">
        <f>IF(A2042&lt;&gt;"", VLOOKUP(A2042, imdb_netflix_v5!A$2:H$7370, 4, FALSE), "")</f>
        <v>7.8</v>
      </c>
      <c r="E2042" s="2">
        <f>IF(A2042&lt;&gt;"", VLOOKUP(A2042, imdb_netflix_v5!A$2:H$7370, 5, FALSE), "")</f>
        <v>2015</v>
      </c>
      <c r="F2042" s="2" t="str">
        <f>IF(A2042&lt;&gt;"", VLOOKUP(A2042, imdb_netflix_v5!A$2:H$7370, 7, FALSE), "")</f>
        <v>NA</v>
      </c>
    </row>
    <row r="2043" ht="15.75" customHeight="1">
      <c r="A2043" s="1" t="str">
        <f>IFERROR(__xludf.DUMMYFUNCTION("""COMPUTED_VALUE"""),"brazil")</f>
        <v>brazil</v>
      </c>
      <c r="B2043" s="1" t="str">
        <f>IF(A2043&lt;&gt;"", VLOOKUP(A2043, imdb_netflix_v5!A$2:H$7370, 2, FALSE), "")</f>
        <v>Movie</v>
      </c>
      <c r="C2043" s="2" t="str">
        <f>IF(A2043&lt;&gt;"", VLOOKUP(A2043, imdb_netflix_v5!A$2:H$7370, 3, FALSE), "")</f>
        <v>Drama, Sci-Fi, Thriller</v>
      </c>
      <c r="D2043" s="2">
        <f>IF(A2043&lt;&gt;"", VLOOKUP(A2043, imdb_netflix_v5!A$2:H$7370, 4, FALSE), "")</f>
        <v>7.8</v>
      </c>
      <c r="E2043" s="2">
        <f>IF(A2043&lt;&gt;"", VLOOKUP(A2043, imdb_netflix_v5!A$2:H$7370, 5, FALSE), "")</f>
        <v>1985</v>
      </c>
      <c r="F2043" s="2" t="str">
        <f>IF(A2043&lt;&gt;"", VLOOKUP(A2043, imdb_netflix_v5!A$2:H$7370, 7, FALSE), "")</f>
        <v>NA</v>
      </c>
    </row>
    <row r="2044" ht="15.75" customHeight="1">
      <c r="A2044" s="1" t="str">
        <f>IFERROR(__xludf.DUMMYFUNCTION("""COMPUTED_VALUE"""),"the man from earth")</f>
        <v>the man from earth</v>
      </c>
      <c r="B2044" s="1" t="str">
        <f>IF(A2044&lt;&gt;"", VLOOKUP(A2044, imdb_netflix_v5!A$2:H$7370, 2, FALSE), "")</f>
        <v>Movie</v>
      </c>
      <c r="C2044" s="2" t="str">
        <f>IF(A2044&lt;&gt;"", VLOOKUP(A2044, imdb_netflix_v5!A$2:H$7370, 3, FALSE), "")</f>
        <v>Drama, Fantasy, Mystery</v>
      </c>
      <c r="D2044" s="2">
        <f>IF(A2044&lt;&gt;"", VLOOKUP(A2044, imdb_netflix_v5!A$2:H$7370, 4, FALSE), "")</f>
        <v>7.8</v>
      </c>
      <c r="E2044" s="2">
        <f>IF(A2044&lt;&gt;"", VLOOKUP(A2044, imdb_netflix_v5!A$2:H$7370, 5, FALSE), "")</f>
        <v>2007</v>
      </c>
      <c r="F2044" s="2" t="str">
        <f>IF(A2044&lt;&gt;"", VLOOKUP(A2044, imdb_netflix_v5!A$2:H$7370, 7, FALSE), "")</f>
        <v>NA</v>
      </c>
    </row>
    <row r="2045" ht="15.75" customHeight="1">
      <c r="A2045" s="1" t="str">
        <f>IFERROR(__xludf.DUMMYFUNCTION("""COMPUTED_VALUE"""),"isle of dogs")</f>
        <v>isle of dogs</v>
      </c>
      <c r="B2045" s="1" t="str">
        <f>IF(A2045&lt;&gt;"", VLOOKUP(A2045, imdb_netflix_v5!A$2:H$7370, 2, FALSE), "")</f>
        <v>Movie</v>
      </c>
      <c r="C2045" s="2" t="str">
        <f>IF(A2045&lt;&gt;"", VLOOKUP(A2045, imdb_netflix_v5!A$2:H$7370, 3, FALSE), "")</f>
        <v>Adventure, Animation, Comedy</v>
      </c>
      <c r="D2045" s="2">
        <f>IF(A2045&lt;&gt;"", VLOOKUP(A2045, imdb_netflix_v5!A$2:H$7370, 4, FALSE), "")</f>
        <v>7.8</v>
      </c>
      <c r="E2045" s="2">
        <f>IF(A2045&lt;&gt;"", VLOOKUP(A2045, imdb_netflix_v5!A$2:H$7370, 5, FALSE), "")</f>
        <v>2018</v>
      </c>
      <c r="F2045" s="2" t="str">
        <f>IF(A2045&lt;&gt;"", VLOOKUP(A2045, imdb_netflix_v5!A$2:H$7370, 7, FALSE), "")</f>
        <v>NA</v>
      </c>
    </row>
    <row r="2046" ht="15.75" customHeight="1">
      <c r="A2046" s="1" t="str">
        <f>IFERROR(__xludf.DUMMYFUNCTION("""COMPUTED_VALUE"""),"puss in boots the last wish")</f>
        <v>puss in boots the last wish</v>
      </c>
      <c r="B2046" s="1" t="str">
        <f>IF(A2046&lt;&gt;"", VLOOKUP(A2046, imdb_netflix_v5!A$2:H$7370, 2, FALSE), "")</f>
        <v>Movie</v>
      </c>
      <c r="C2046" s="2" t="str">
        <f>IF(A2046&lt;&gt;"", VLOOKUP(A2046, imdb_netflix_v5!A$2:H$7370, 3, FALSE), "")</f>
        <v>Action, Adventure, Animation</v>
      </c>
      <c r="D2046" s="2">
        <f>IF(A2046&lt;&gt;"", VLOOKUP(A2046, imdb_netflix_v5!A$2:H$7370, 4, FALSE), "")</f>
        <v>7.8</v>
      </c>
      <c r="E2046" s="2">
        <f>IF(A2046&lt;&gt;"", VLOOKUP(A2046, imdb_netflix_v5!A$2:H$7370, 5, FALSE), "")</f>
        <v>2022</v>
      </c>
      <c r="F2046" s="2">
        <f>IF(A2046&lt;&gt;"", VLOOKUP(A2046, imdb_netflix_v5!A$2:H$7370, 7, FALSE), "")</f>
        <v>7200000</v>
      </c>
    </row>
    <row r="2047" ht="15.75" customHeight="1">
      <c r="A2047" s="1" t="str">
        <f>IFERROR(__xludf.DUMMYFUNCTION("""COMPUTED_VALUE"""),"mary poppins")</f>
        <v>mary poppins</v>
      </c>
      <c r="B2047" s="1" t="str">
        <f>IF(A2047&lt;&gt;"", VLOOKUP(A2047, imdb_netflix_v5!A$2:H$7370, 2, FALSE), "")</f>
        <v>Movie</v>
      </c>
      <c r="C2047" s="2" t="str">
        <f>IF(A2047&lt;&gt;"", VLOOKUP(A2047, imdb_netflix_v5!A$2:H$7370, 3, FALSE), "")</f>
        <v>Comedy, Family, Fantasy</v>
      </c>
      <c r="D2047" s="2">
        <f>IF(A2047&lt;&gt;"", VLOOKUP(A2047, imdb_netflix_v5!A$2:H$7370, 4, FALSE), "")</f>
        <v>7.8</v>
      </c>
      <c r="E2047" s="2">
        <f>IF(A2047&lt;&gt;"", VLOOKUP(A2047, imdb_netflix_v5!A$2:H$7370, 5, FALSE), "")</f>
        <v>1964</v>
      </c>
      <c r="F2047" s="2" t="str">
        <f>IF(A2047&lt;&gt;"", VLOOKUP(A2047, imdb_netflix_v5!A$2:H$7370, 7, FALSE), "")</f>
        <v>NA</v>
      </c>
    </row>
    <row r="2048" ht="15.75" customHeight="1">
      <c r="A2048" s="1" t="str">
        <f>IFERROR(__xludf.DUMMYFUNCTION("""COMPUTED_VALUE"""),"ed wood")</f>
        <v>ed wood</v>
      </c>
      <c r="B2048" s="1" t="str">
        <f>IF(A2048&lt;&gt;"", VLOOKUP(A2048, imdb_netflix_v5!A$2:H$7370, 2, FALSE), "")</f>
        <v>Movie</v>
      </c>
      <c r="C2048" s="2" t="str">
        <f>IF(A2048&lt;&gt;"", VLOOKUP(A2048, imdb_netflix_v5!A$2:H$7370, 3, FALSE), "")</f>
        <v>Biography, Comedy, Drama</v>
      </c>
      <c r="D2048" s="2">
        <f>IF(A2048&lt;&gt;"", VLOOKUP(A2048, imdb_netflix_v5!A$2:H$7370, 4, FALSE), "")</f>
        <v>7.8</v>
      </c>
      <c r="E2048" s="2">
        <f>IF(A2048&lt;&gt;"", VLOOKUP(A2048, imdb_netflix_v5!A$2:H$7370, 5, FALSE), "")</f>
        <v>1994</v>
      </c>
      <c r="F2048" s="2" t="str">
        <f>IF(A2048&lt;&gt;"", VLOOKUP(A2048, imdb_netflix_v5!A$2:H$7370, 7, FALSE), "")</f>
        <v>NA</v>
      </c>
    </row>
    <row r="2049" ht="15.75" customHeight="1">
      <c r="A2049" s="1" t="str">
        <f>IFERROR(__xludf.DUMMYFUNCTION("""COMPUTED_VALUE"""),"monsters")</f>
        <v>monsters</v>
      </c>
      <c r="B2049" s="1" t="str">
        <f>IF(A2049&lt;&gt;"", VLOOKUP(A2049, imdb_netflix_v5!A$2:H$7370, 2, FALSE), "")</f>
        <v>TV Show</v>
      </c>
      <c r="C2049" s="2" t="str">
        <f>IF(A2049&lt;&gt;"", VLOOKUP(A2049, imdb_netflix_v5!A$2:H$7370, 3, FALSE), "")</f>
        <v>Biography, Crime, Drama</v>
      </c>
      <c r="D2049" s="2">
        <f>IF(A2049&lt;&gt;"", VLOOKUP(A2049, imdb_netflix_v5!A$2:H$7370, 4, FALSE), "")</f>
        <v>7.8</v>
      </c>
      <c r="E2049" s="2">
        <f>IF(A2049&lt;&gt;"", VLOOKUP(A2049, imdb_netflix_v5!A$2:H$7370, 5, FALSE), "")</f>
        <v>2022</v>
      </c>
      <c r="F2049" s="2" t="str">
        <f>IF(A2049&lt;&gt;"", VLOOKUP(A2049, imdb_netflix_v5!A$2:H$7370, 7, FALSE), "")</f>
        <v>NA</v>
      </c>
    </row>
    <row r="2050" ht="15.75" customHeight="1">
      <c r="A2050" s="1" t="str">
        <f>IFERROR(__xludf.DUMMYFUNCTION("""COMPUTED_VALUE"""),"the insider")</f>
        <v>the insider</v>
      </c>
      <c r="B2050" s="1" t="str">
        <f>IF(A2050&lt;&gt;"", VLOOKUP(A2050, imdb_netflix_v5!A$2:H$7370, 2, FALSE), "")</f>
        <v>Movie</v>
      </c>
      <c r="C2050" s="2" t="str">
        <f>IF(A2050&lt;&gt;"", VLOOKUP(A2050, imdb_netflix_v5!A$2:H$7370, 3, FALSE), "")</f>
        <v>Biography, Drama, History</v>
      </c>
      <c r="D2050" s="2">
        <f>IF(A2050&lt;&gt;"", VLOOKUP(A2050, imdb_netflix_v5!A$2:H$7370, 4, FALSE), "")</f>
        <v>7.8</v>
      </c>
      <c r="E2050" s="2">
        <f>IF(A2050&lt;&gt;"", VLOOKUP(A2050, imdb_netflix_v5!A$2:H$7370, 5, FALSE), "")</f>
        <v>1999</v>
      </c>
      <c r="F2050" s="2" t="str">
        <f>IF(A2050&lt;&gt;"", VLOOKUP(A2050, imdb_netflix_v5!A$2:H$7370, 7, FALSE), "")</f>
        <v>NA</v>
      </c>
    </row>
    <row r="2051" ht="15.75" customHeight="1">
      <c r="A2051" s="1" t="str">
        <f>IFERROR(__xludf.DUMMYFUNCTION("""COMPUTED_VALUE"""),"bones")</f>
        <v>bones</v>
      </c>
      <c r="B2051" s="1" t="str">
        <f>IF(A2051&lt;&gt;"", VLOOKUP(A2051, imdb_netflix_v5!A$2:H$7370, 2, FALSE), "")</f>
        <v>TV Show</v>
      </c>
      <c r="C2051" s="2" t="str">
        <f>IF(A2051&lt;&gt;"", VLOOKUP(A2051, imdb_netflix_v5!A$2:H$7370, 3, FALSE), "")</f>
        <v>Crime, Drama, Mystery</v>
      </c>
      <c r="D2051" s="2">
        <f>IF(A2051&lt;&gt;"", VLOOKUP(A2051, imdb_netflix_v5!A$2:H$7370, 4, FALSE), "")</f>
        <v>7.8</v>
      </c>
      <c r="E2051" s="2">
        <f>IF(A2051&lt;&gt;"", VLOOKUP(A2051, imdb_netflix_v5!A$2:H$7370, 5, FALSE), "")</f>
        <v>2005</v>
      </c>
      <c r="F2051" s="2" t="str">
        <f>IF(A2051&lt;&gt;"", VLOOKUP(A2051, imdb_netflix_v5!A$2:H$7370, 7, FALSE), "")</f>
        <v>NA</v>
      </c>
    </row>
    <row r="2052" ht="15.75" customHeight="1">
      <c r="A2052" s="1" t="str">
        <f>IFERROR(__xludf.DUMMYFUNCTION("""COMPUTED_VALUE"""),"rrr")</f>
        <v>rrr</v>
      </c>
      <c r="B2052" s="1" t="str">
        <f>IF(A2052&lt;&gt;"", VLOOKUP(A2052, imdb_netflix_v5!A$2:H$7370, 2, FALSE), "")</f>
        <v>Movie</v>
      </c>
      <c r="C2052" s="2" t="str">
        <f>IF(A2052&lt;&gt;"", VLOOKUP(A2052, imdb_netflix_v5!A$2:H$7370, 3, FALSE), "")</f>
        <v>Action, Adventure, Drama</v>
      </c>
      <c r="D2052" s="2">
        <f>IF(A2052&lt;&gt;"", VLOOKUP(A2052, imdb_netflix_v5!A$2:H$7370, 4, FALSE), "")</f>
        <v>7.8</v>
      </c>
      <c r="E2052" s="2">
        <f>IF(A2052&lt;&gt;"", VLOOKUP(A2052, imdb_netflix_v5!A$2:H$7370, 5, FALSE), "")</f>
        <v>2022</v>
      </c>
      <c r="F2052" s="2" t="str">
        <f>IF(A2052&lt;&gt;"", VLOOKUP(A2052, imdb_netflix_v5!A$2:H$7370, 7, FALSE), "")</f>
        <v>NA</v>
      </c>
    </row>
    <row r="2053" ht="15.75" customHeight="1">
      <c r="A2053" s="1" t="str">
        <f>IFERROR(__xludf.DUMMYFUNCTION("""COMPUTED_VALUE"""),"tombstone")</f>
        <v>tombstone</v>
      </c>
      <c r="B2053" s="1" t="str">
        <f>IF(A2053&lt;&gt;"", VLOOKUP(A2053, imdb_netflix_v5!A$2:H$7370, 2, FALSE), "")</f>
        <v>Movie</v>
      </c>
      <c r="C2053" s="2" t="str">
        <f>IF(A2053&lt;&gt;"", VLOOKUP(A2053, imdb_netflix_v5!A$2:H$7370, 3, FALSE), "")</f>
        <v>Biography, Drama, History</v>
      </c>
      <c r="D2053" s="2">
        <f>IF(A2053&lt;&gt;"", VLOOKUP(A2053, imdb_netflix_v5!A$2:H$7370, 4, FALSE), "")</f>
        <v>7.8</v>
      </c>
      <c r="E2053" s="2">
        <f>IF(A2053&lt;&gt;"", VLOOKUP(A2053, imdb_netflix_v5!A$2:H$7370, 5, FALSE), "")</f>
        <v>1993</v>
      </c>
      <c r="F2053" s="2" t="str">
        <f>IF(A2053&lt;&gt;"", VLOOKUP(A2053, imdb_netflix_v5!A$2:H$7370, 7, FALSE), "")</f>
        <v>NA</v>
      </c>
    </row>
    <row r="2054" ht="15.75" customHeight="1">
      <c r="A2054" s="1" t="str">
        <f>IFERROR(__xludf.DUMMYFUNCTION("""COMPUTED_VALUE"""),"kikis delivery service")</f>
        <v>kikis delivery service</v>
      </c>
      <c r="B2054" s="1" t="str">
        <f>IF(A2054&lt;&gt;"", VLOOKUP(A2054, imdb_netflix_v5!A$2:H$7370, 2, FALSE), "")</f>
        <v>Movie</v>
      </c>
      <c r="C2054" s="2" t="str">
        <f>IF(A2054&lt;&gt;"", VLOOKUP(A2054, imdb_netflix_v5!A$2:H$7370, 3, FALSE), "")</f>
        <v>Animation, Family, Fantasy</v>
      </c>
      <c r="D2054" s="2">
        <f>IF(A2054&lt;&gt;"", VLOOKUP(A2054, imdb_netflix_v5!A$2:H$7370, 4, FALSE), "")</f>
        <v>7.8</v>
      </c>
      <c r="E2054" s="2">
        <f>IF(A2054&lt;&gt;"", VLOOKUP(A2054, imdb_netflix_v5!A$2:H$7370, 5, FALSE), "")</f>
        <v>1989</v>
      </c>
      <c r="F2054" s="2" t="str">
        <f>IF(A2054&lt;&gt;"", VLOOKUP(A2054, imdb_netflix_v5!A$2:H$7370, 7, FALSE), "")</f>
        <v>NA</v>
      </c>
    </row>
    <row r="2055" ht="15.75" customHeight="1">
      <c r="A2055" s="1" t="str">
        <f>IFERROR(__xludf.DUMMYFUNCTION("""COMPUTED_VALUE"""),"letters from iwo jima")</f>
        <v>letters from iwo jima</v>
      </c>
      <c r="B2055" s="1" t="str">
        <f>IF(A2055&lt;&gt;"", VLOOKUP(A2055, imdb_netflix_v5!A$2:H$7370, 2, FALSE), "")</f>
        <v>Movie</v>
      </c>
      <c r="C2055" s="2" t="str">
        <f>IF(A2055&lt;&gt;"", VLOOKUP(A2055, imdb_netflix_v5!A$2:H$7370, 3, FALSE), "")</f>
        <v>Action, Adventure, Drama</v>
      </c>
      <c r="D2055" s="2">
        <f>IF(A2055&lt;&gt;"", VLOOKUP(A2055, imdb_netflix_v5!A$2:H$7370, 4, FALSE), "")</f>
        <v>7.8</v>
      </c>
      <c r="E2055" s="2">
        <f>IF(A2055&lt;&gt;"", VLOOKUP(A2055, imdb_netflix_v5!A$2:H$7370, 5, FALSE), "")</f>
        <v>2006</v>
      </c>
      <c r="F2055" s="2" t="str">
        <f>IF(A2055&lt;&gt;"", VLOOKUP(A2055, imdb_netflix_v5!A$2:H$7370, 7, FALSE), "")</f>
        <v>NA</v>
      </c>
    </row>
    <row r="2056" ht="15.75" customHeight="1">
      <c r="A2056" s="1" t="str">
        <f>IFERROR(__xludf.DUMMYFUNCTION("""COMPUTED_VALUE"""),"a bronx tale")</f>
        <v>a bronx tale</v>
      </c>
      <c r="B2056" s="1" t="str">
        <f>IF(A2056&lt;&gt;"", VLOOKUP(A2056, imdb_netflix_v5!A$2:H$7370, 2, FALSE), "")</f>
        <v>Movie</v>
      </c>
      <c r="C2056" s="2" t="str">
        <f>IF(A2056&lt;&gt;"", VLOOKUP(A2056, imdb_netflix_v5!A$2:H$7370, 3, FALSE), "")</f>
        <v>Crime, Drama</v>
      </c>
      <c r="D2056" s="2">
        <f>IF(A2056&lt;&gt;"", VLOOKUP(A2056, imdb_netflix_v5!A$2:H$7370, 4, FALSE), "")</f>
        <v>7.8</v>
      </c>
      <c r="E2056" s="2">
        <f>IF(A2056&lt;&gt;"", VLOOKUP(A2056, imdb_netflix_v5!A$2:H$7370, 5, FALSE), "")</f>
        <v>1993</v>
      </c>
      <c r="F2056" s="2" t="str">
        <f>IF(A2056&lt;&gt;"", VLOOKUP(A2056, imdb_netflix_v5!A$2:H$7370, 7, FALSE), "")</f>
        <v>NA</v>
      </c>
    </row>
    <row r="2057" ht="15.75" customHeight="1">
      <c r="A2057" s="1" t="str">
        <f>IFERROR(__xludf.DUMMYFUNCTION("""COMPUTED_VALUE"""),"ncis")</f>
        <v>ncis</v>
      </c>
      <c r="B2057" s="1" t="str">
        <f>IF(A2057&lt;&gt;"", VLOOKUP(A2057, imdb_netflix_v5!A$2:H$7370, 2, FALSE), "")</f>
        <v>TV Show</v>
      </c>
      <c r="C2057" s="2" t="str">
        <f>IF(A2057&lt;&gt;"", VLOOKUP(A2057, imdb_netflix_v5!A$2:H$7370, 3, FALSE), "")</f>
        <v>Action, Crime, Drama</v>
      </c>
      <c r="D2057" s="2">
        <f>IF(A2057&lt;&gt;"", VLOOKUP(A2057, imdb_netflix_v5!A$2:H$7370, 4, FALSE), "")</f>
        <v>7.8</v>
      </c>
      <c r="E2057" s="2">
        <f>IF(A2057&lt;&gt;"", VLOOKUP(A2057, imdb_netflix_v5!A$2:H$7370, 5, FALSE), "")</f>
        <v>2003</v>
      </c>
      <c r="F2057" s="2" t="str">
        <f>IF(A2057&lt;&gt;"", VLOOKUP(A2057, imdb_netflix_v5!A$2:H$7370, 7, FALSE), "")</f>
        <v>NA</v>
      </c>
    </row>
    <row r="2058" ht="15.75" customHeight="1">
      <c r="A2058" s="1" t="str">
        <f>IFERROR(__xludf.DUMMYFUNCTION("""COMPUTED_VALUE"""),"awakenings")</f>
        <v>awakenings</v>
      </c>
      <c r="B2058" s="1" t="str">
        <f>IF(A2058&lt;&gt;"", VLOOKUP(A2058, imdb_netflix_v5!A$2:H$7370, 2, FALSE), "")</f>
        <v>Movie</v>
      </c>
      <c r="C2058" s="2" t="str">
        <f>IF(A2058&lt;&gt;"", VLOOKUP(A2058, imdb_netflix_v5!A$2:H$7370, 3, FALSE), "")</f>
        <v>Biography, Drama</v>
      </c>
      <c r="D2058" s="2">
        <f>IF(A2058&lt;&gt;"", VLOOKUP(A2058, imdb_netflix_v5!A$2:H$7370, 4, FALSE), "")</f>
        <v>7.8</v>
      </c>
      <c r="E2058" s="2">
        <f>IF(A2058&lt;&gt;"", VLOOKUP(A2058, imdb_netflix_v5!A$2:H$7370, 5, FALSE), "")</f>
        <v>1990</v>
      </c>
      <c r="F2058" s="2" t="str">
        <f>IF(A2058&lt;&gt;"", VLOOKUP(A2058, imdb_netflix_v5!A$2:H$7370, 7, FALSE), "")</f>
        <v>NA</v>
      </c>
    </row>
    <row r="2059" ht="15.75" customHeight="1">
      <c r="A2059" s="1" t="str">
        <f>IFERROR(__xludf.DUMMYFUNCTION("""COMPUTED_VALUE"""),"boyz n the hood")</f>
        <v>boyz n the hood</v>
      </c>
      <c r="B2059" s="1" t="str">
        <f>IF(A2059&lt;&gt;"", VLOOKUP(A2059, imdb_netflix_v5!A$2:H$7370, 2, FALSE), "")</f>
        <v>Movie</v>
      </c>
      <c r="C2059" s="2" t="str">
        <f>IF(A2059&lt;&gt;"", VLOOKUP(A2059, imdb_netflix_v5!A$2:H$7370, 3, FALSE), "")</f>
        <v>Crime, Drama</v>
      </c>
      <c r="D2059" s="2">
        <f>IF(A2059&lt;&gt;"", VLOOKUP(A2059, imdb_netflix_v5!A$2:H$7370, 4, FALSE), "")</f>
        <v>7.8</v>
      </c>
      <c r="E2059" s="2">
        <f>IF(A2059&lt;&gt;"", VLOOKUP(A2059, imdb_netflix_v5!A$2:H$7370, 5, FALSE), "")</f>
        <v>1991</v>
      </c>
      <c r="F2059" s="2" t="str">
        <f>IF(A2059&lt;&gt;"", VLOOKUP(A2059, imdb_netflix_v5!A$2:H$7370, 7, FALSE), "")</f>
        <v>NA</v>
      </c>
    </row>
    <row r="2060" ht="15.75" customHeight="1">
      <c r="A2060" s="1" t="str">
        <f>IFERROR(__xludf.DUMMYFUNCTION("""COMPUTED_VALUE"""),"kramer vs. kramer")</f>
        <v>kramer vs. kramer</v>
      </c>
      <c r="B2060" s="1" t="str">
        <f>IF(A2060&lt;&gt;"", VLOOKUP(A2060, imdb_netflix_v5!A$2:H$7370, 2, FALSE), "")</f>
        <v>Movie</v>
      </c>
      <c r="C2060" s="2" t="str">
        <f>IF(A2060&lt;&gt;"", VLOOKUP(A2060, imdb_netflix_v5!A$2:H$7370, 3, FALSE), "")</f>
        <v>Drama</v>
      </c>
      <c r="D2060" s="2">
        <f>IF(A2060&lt;&gt;"", VLOOKUP(A2060, imdb_netflix_v5!A$2:H$7370, 4, FALSE), "")</f>
        <v>7.8</v>
      </c>
      <c r="E2060" s="2">
        <f>IF(A2060&lt;&gt;"", VLOOKUP(A2060, imdb_netflix_v5!A$2:H$7370, 5, FALSE), "")</f>
        <v>1979</v>
      </c>
      <c r="F2060" s="2" t="str">
        <f>IF(A2060&lt;&gt;"", VLOOKUP(A2060, imdb_netflix_v5!A$2:H$7370, 7, FALSE), "")</f>
        <v>NA</v>
      </c>
    </row>
    <row r="2061" ht="15.75" customHeight="1">
      <c r="A2061" s="1" t="str">
        <f>IFERROR(__xludf.DUMMYFUNCTION("""COMPUTED_VALUE"""),"society of the snow")</f>
        <v>society of the snow</v>
      </c>
      <c r="B2061" s="1" t="str">
        <f>IF(A2061&lt;&gt;"", VLOOKUP(A2061, imdb_netflix_v5!A$2:H$7370, 2, FALSE), "")</f>
        <v>Movie</v>
      </c>
      <c r="C2061" s="2" t="str">
        <f>IF(A2061&lt;&gt;"", VLOOKUP(A2061, imdb_netflix_v5!A$2:H$7370, 3, FALSE), "")</f>
        <v>Adventure, Biography, Drama</v>
      </c>
      <c r="D2061" s="2">
        <f>IF(A2061&lt;&gt;"", VLOOKUP(A2061, imdb_netflix_v5!A$2:H$7370, 4, FALSE), "")</f>
        <v>7.8</v>
      </c>
      <c r="E2061" s="2">
        <f>IF(A2061&lt;&gt;"", VLOOKUP(A2061, imdb_netflix_v5!A$2:H$7370, 5, FALSE), "")</f>
        <v>2023</v>
      </c>
      <c r="F2061" s="2" t="str">
        <f>IF(A2061&lt;&gt;"", VLOOKUP(A2061, imdb_netflix_v5!A$2:H$7370, 7, FALSE), "")</f>
        <v>NA</v>
      </c>
    </row>
    <row r="2062" ht="15.75" customHeight="1">
      <c r="A2062" s="1" t="str">
        <f>IFERROR(__xludf.DUMMYFUNCTION("""COMPUTED_VALUE"""),"i saw the devil")</f>
        <v>i saw the devil</v>
      </c>
      <c r="B2062" s="1" t="str">
        <f>IF(A2062&lt;&gt;"", VLOOKUP(A2062, imdb_netflix_v5!A$2:H$7370, 2, FALSE), "")</f>
        <v>Movie</v>
      </c>
      <c r="C2062" s="2" t="str">
        <f>IF(A2062&lt;&gt;"", VLOOKUP(A2062, imdb_netflix_v5!A$2:H$7370, 3, FALSE), "")</f>
        <v>Action, Thriller</v>
      </c>
      <c r="D2062" s="2">
        <f>IF(A2062&lt;&gt;"", VLOOKUP(A2062, imdb_netflix_v5!A$2:H$7370, 4, FALSE), "")</f>
        <v>7.8</v>
      </c>
      <c r="E2062" s="2">
        <f>IF(A2062&lt;&gt;"", VLOOKUP(A2062, imdb_netflix_v5!A$2:H$7370, 5, FALSE), "")</f>
        <v>2010</v>
      </c>
      <c r="F2062" s="2" t="str">
        <f>IF(A2062&lt;&gt;"", VLOOKUP(A2062, imdb_netflix_v5!A$2:H$7370, 7, FALSE), "")</f>
        <v>NA</v>
      </c>
    </row>
    <row r="2063" ht="15.75" customHeight="1">
      <c r="A2063" s="1" t="str">
        <f>IFERROR(__xludf.DUMMYFUNCTION("""COMPUTED_VALUE"""),"manhattan")</f>
        <v>manhattan</v>
      </c>
      <c r="B2063" s="1" t="str">
        <f>IF(A2063&lt;&gt;"", VLOOKUP(A2063, imdb_netflix_v5!A$2:H$7370, 2, FALSE), "")</f>
        <v>Movie</v>
      </c>
      <c r="C2063" s="2" t="str">
        <f>IF(A2063&lt;&gt;"", VLOOKUP(A2063, imdb_netflix_v5!A$2:H$7370, 3, FALSE), "")</f>
        <v>Comedy, Drama, Romance</v>
      </c>
      <c r="D2063" s="2">
        <f>IF(A2063&lt;&gt;"", VLOOKUP(A2063, imdb_netflix_v5!A$2:H$7370, 4, FALSE), "")</f>
        <v>7.8</v>
      </c>
      <c r="E2063" s="2">
        <f>IF(A2063&lt;&gt;"", VLOOKUP(A2063, imdb_netflix_v5!A$2:H$7370, 5, FALSE), "")</f>
        <v>1979</v>
      </c>
      <c r="F2063" s="2" t="str">
        <f>IF(A2063&lt;&gt;"", VLOOKUP(A2063, imdb_netflix_v5!A$2:H$7370, 7, FALSE), "")</f>
        <v>NA</v>
      </c>
    </row>
    <row r="2064" ht="15.75" customHeight="1">
      <c r="A2064" s="1" t="str">
        <f>IFERROR(__xludf.DUMMYFUNCTION("""COMPUTED_VALUE"""),"glory")</f>
        <v>glory</v>
      </c>
      <c r="B2064" s="1" t="str">
        <f>IF(A2064&lt;&gt;"", VLOOKUP(A2064, imdb_netflix_v5!A$2:H$7370, 2, FALSE), "")</f>
        <v>Movie</v>
      </c>
      <c r="C2064" s="2" t="str">
        <f>IF(A2064&lt;&gt;"", VLOOKUP(A2064, imdb_netflix_v5!A$2:H$7370, 3, FALSE), "")</f>
        <v>Biography, Drama, History</v>
      </c>
      <c r="D2064" s="2">
        <f>IF(A2064&lt;&gt;"", VLOOKUP(A2064, imdb_netflix_v5!A$2:H$7370, 4, FALSE), "")</f>
        <v>7.8</v>
      </c>
      <c r="E2064" s="2">
        <f>IF(A2064&lt;&gt;"", VLOOKUP(A2064, imdb_netflix_v5!A$2:H$7370, 5, FALSE), "")</f>
        <v>1989</v>
      </c>
      <c r="F2064" s="2" t="str">
        <f>IF(A2064&lt;&gt;"", VLOOKUP(A2064, imdb_netflix_v5!A$2:H$7370, 7, FALSE), "")</f>
        <v>NA</v>
      </c>
    </row>
    <row r="2065" ht="15.75" customHeight="1">
      <c r="A2065" s="1" t="str">
        <f>IFERROR(__xludf.DUMMYFUNCTION("""COMPUTED_VALUE"""),"hunt for the wilderpeople")</f>
        <v>hunt for the wilderpeople</v>
      </c>
      <c r="B2065" s="1" t="str">
        <f>IF(A2065&lt;&gt;"", VLOOKUP(A2065, imdb_netflix_v5!A$2:H$7370, 2, FALSE), "")</f>
        <v>Movie</v>
      </c>
      <c r="C2065" s="2" t="str">
        <f>IF(A2065&lt;&gt;"", VLOOKUP(A2065, imdb_netflix_v5!A$2:H$7370, 3, FALSE), "")</f>
        <v>Adventure, Comedy, Drama</v>
      </c>
      <c r="D2065" s="2">
        <f>IF(A2065&lt;&gt;"", VLOOKUP(A2065, imdb_netflix_v5!A$2:H$7370, 4, FALSE), "")</f>
        <v>7.8</v>
      </c>
      <c r="E2065" s="2">
        <f>IF(A2065&lt;&gt;"", VLOOKUP(A2065, imdb_netflix_v5!A$2:H$7370, 5, FALSE), "")</f>
        <v>2016</v>
      </c>
      <c r="F2065" s="2" t="str">
        <f>IF(A2065&lt;&gt;"", VLOOKUP(A2065, imdb_netflix_v5!A$2:H$7370, 7, FALSE), "")</f>
        <v>NA</v>
      </c>
    </row>
    <row r="2066" ht="15.75" customHeight="1">
      <c r="A2066" s="1" t="str">
        <f>IFERROR(__xludf.DUMMYFUNCTION("""COMPUTED_VALUE"""),"the sinner")</f>
        <v>the sinner</v>
      </c>
      <c r="B2066" s="1" t="str">
        <f>IF(A2066&lt;&gt;"", VLOOKUP(A2066, imdb_netflix_v5!A$2:H$7370, 2, FALSE), "")</f>
        <v>TV Show</v>
      </c>
      <c r="C2066" s="2" t="str">
        <f>IF(A2066&lt;&gt;"", VLOOKUP(A2066, imdb_netflix_v5!A$2:H$7370, 3, FALSE), "")</f>
        <v>Crime, Drama, Mystery</v>
      </c>
      <c r="D2066" s="2">
        <f>IF(A2066&lt;&gt;"", VLOOKUP(A2066, imdb_netflix_v5!A$2:H$7370, 4, FALSE), "")</f>
        <v>7.8</v>
      </c>
      <c r="E2066" s="2">
        <f>IF(A2066&lt;&gt;"", VLOOKUP(A2066, imdb_netflix_v5!A$2:H$7370, 5, FALSE), "")</f>
        <v>2017</v>
      </c>
      <c r="F2066" s="2">
        <f>IF(A2066&lt;&gt;"", VLOOKUP(A2066, imdb_netflix_v5!A$2:H$7370, 7, FALSE), "")</f>
        <v>13240000</v>
      </c>
    </row>
    <row r="2067" ht="15.75" customHeight="1">
      <c r="A2067" s="1" t="str">
        <f>IFERROR(__xludf.DUMMYFUNCTION("""COMPUTED_VALUE"""),"night of the living dead")</f>
        <v>night of the living dead</v>
      </c>
      <c r="B2067" s="1" t="str">
        <f>IF(A2067&lt;&gt;"", VLOOKUP(A2067, imdb_netflix_v5!A$2:H$7370, 2, FALSE), "")</f>
        <v>Movie</v>
      </c>
      <c r="C2067" s="2" t="str">
        <f>IF(A2067&lt;&gt;"", VLOOKUP(A2067, imdb_netflix_v5!A$2:H$7370, 3, FALSE), "")</f>
        <v>Horror, Thriller</v>
      </c>
      <c r="D2067" s="2">
        <f>IF(A2067&lt;&gt;"", VLOOKUP(A2067, imdb_netflix_v5!A$2:H$7370, 4, FALSE), "")</f>
        <v>7.8</v>
      </c>
      <c r="E2067" s="2">
        <f>IF(A2067&lt;&gt;"", VLOOKUP(A2067, imdb_netflix_v5!A$2:H$7370, 5, FALSE), "")</f>
        <v>1968</v>
      </c>
      <c r="F2067" s="2" t="str">
        <f>IF(A2067&lt;&gt;"", VLOOKUP(A2067, imdb_netflix_v5!A$2:H$7370, 7, FALSE), "")</f>
        <v>NA</v>
      </c>
    </row>
    <row r="2068" ht="15.75" customHeight="1">
      <c r="A2068" s="1" t="str">
        <f>IFERROR(__xludf.DUMMYFUNCTION("""COMPUTED_VALUE"""),"past lives")</f>
        <v>past lives</v>
      </c>
      <c r="B2068" s="1" t="str">
        <f>IF(A2068&lt;&gt;"", VLOOKUP(A2068, imdb_netflix_v5!A$2:H$7370, 2, FALSE), "")</f>
        <v>Movie</v>
      </c>
      <c r="C2068" s="2" t="str">
        <f>IF(A2068&lt;&gt;"", VLOOKUP(A2068, imdb_netflix_v5!A$2:H$7370, 3, FALSE), "")</f>
        <v>Drama, Romance</v>
      </c>
      <c r="D2068" s="2">
        <f>IF(A2068&lt;&gt;"", VLOOKUP(A2068, imdb_netflix_v5!A$2:H$7370, 4, FALSE), "")</f>
        <v>7.8</v>
      </c>
      <c r="E2068" s="2">
        <f>IF(A2068&lt;&gt;"", VLOOKUP(A2068, imdb_netflix_v5!A$2:H$7370, 5, FALSE), "")</f>
        <v>2023</v>
      </c>
      <c r="F2068" s="2" t="str">
        <f>IF(A2068&lt;&gt;"", VLOOKUP(A2068, imdb_netflix_v5!A$2:H$7370, 7, FALSE), "")</f>
        <v>NA</v>
      </c>
    </row>
    <row r="2069" ht="15.75" customHeight="1">
      <c r="A2069" s="1" t="str">
        <f>IFERROR(__xludf.DUMMYFUNCTION("""COMPUTED_VALUE"""),"dawn of the dead")</f>
        <v>dawn of the dead</v>
      </c>
      <c r="B2069" s="1" t="str">
        <f>IF(A2069&lt;&gt;"", VLOOKUP(A2069, imdb_netflix_v5!A$2:H$7370, 2, FALSE), "")</f>
        <v>Movie</v>
      </c>
      <c r="C2069" s="2" t="str">
        <f>IF(A2069&lt;&gt;"", VLOOKUP(A2069, imdb_netflix_v5!A$2:H$7370, 3, FALSE), "")</f>
        <v>Horror, Thriller</v>
      </c>
      <c r="D2069" s="2">
        <f>IF(A2069&lt;&gt;"", VLOOKUP(A2069, imdb_netflix_v5!A$2:H$7370, 4, FALSE), "")</f>
        <v>7.8</v>
      </c>
      <c r="E2069" s="2">
        <f>IF(A2069&lt;&gt;"", VLOOKUP(A2069, imdb_netflix_v5!A$2:H$7370, 5, FALSE), "")</f>
        <v>1978</v>
      </c>
      <c r="F2069" s="2" t="str">
        <f>IF(A2069&lt;&gt;"", VLOOKUP(A2069, imdb_netflix_v5!A$2:H$7370, 7, FALSE), "")</f>
        <v>NA</v>
      </c>
    </row>
    <row r="2070" ht="15.75" customHeight="1">
      <c r="A2070" s="1" t="str">
        <f>IFERROR(__xludf.DUMMYFUNCTION("""COMPUTED_VALUE"""),"the best offer")</f>
        <v>the best offer</v>
      </c>
      <c r="B2070" s="1" t="str">
        <f>IF(A2070&lt;&gt;"", VLOOKUP(A2070, imdb_netflix_v5!A$2:H$7370, 2, FALSE), "")</f>
        <v>Movie</v>
      </c>
      <c r="C2070" s="2" t="str">
        <f>IF(A2070&lt;&gt;"", VLOOKUP(A2070, imdb_netflix_v5!A$2:H$7370, 3, FALSE), "")</f>
        <v>Crime, Drama, Mystery</v>
      </c>
      <c r="D2070" s="2">
        <f>IF(A2070&lt;&gt;"", VLOOKUP(A2070, imdb_netflix_v5!A$2:H$7370, 4, FALSE), "")</f>
        <v>7.8</v>
      </c>
      <c r="E2070" s="2">
        <f>IF(A2070&lt;&gt;"", VLOOKUP(A2070, imdb_netflix_v5!A$2:H$7370, 5, FALSE), "")</f>
        <v>2013</v>
      </c>
      <c r="F2070" s="2" t="str">
        <f>IF(A2070&lt;&gt;"", VLOOKUP(A2070, imdb_netflix_v5!A$2:H$7370, 7, FALSE), "")</f>
        <v>NA</v>
      </c>
    </row>
    <row r="2071" ht="15.75" customHeight="1">
      <c r="A2071" s="1" t="str">
        <f>IFERROR(__xludf.DUMMYFUNCTION("""COMPUTED_VALUE"""),"revenge")</f>
        <v>revenge</v>
      </c>
      <c r="B2071" s="1" t="str">
        <f>IF(A2071&lt;&gt;"", VLOOKUP(A2071, imdb_netflix_v5!A$2:H$7370, 2, FALSE), "")</f>
        <v>TV Show</v>
      </c>
      <c r="C2071" s="2" t="str">
        <f>IF(A2071&lt;&gt;"", VLOOKUP(A2071, imdb_netflix_v5!A$2:H$7370, 3, FALSE), "")</f>
        <v>Drama, Mystery, Thriller</v>
      </c>
      <c r="D2071" s="2">
        <f>IF(A2071&lt;&gt;"", VLOOKUP(A2071, imdb_netflix_v5!A$2:H$7370, 4, FALSE), "")</f>
        <v>7.8</v>
      </c>
      <c r="E2071" s="2">
        <f>IF(A2071&lt;&gt;"", VLOOKUP(A2071, imdb_netflix_v5!A$2:H$7370, 5, FALSE), "")</f>
        <v>2011</v>
      </c>
      <c r="F2071" s="2" t="str">
        <f>IF(A2071&lt;&gt;"", VLOOKUP(A2071, imdb_netflix_v5!A$2:H$7370, 7, FALSE), "")</f>
        <v>NA</v>
      </c>
    </row>
    <row r="2072" ht="15.75" customHeight="1">
      <c r="A2072" s="1" t="str">
        <f>IFERROR(__xludf.DUMMYFUNCTION("""COMPUTED_VALUE"""),"midnight cowboy")</f>
        <v>midnight cowboy</v>
      </c>
      <c r="B2072" s="1" t="str">
        <f>IF(A2072&lt;&gt;"", VLOOKUP(A2072, imdb_netflix_v5!A$2:H$7370, 2, FALSE), "")</f>
        <v>Movie</v>
      </c>
      <c r="C2072" s="2" t="str">
        <f>IF(A2072&lt;&gt;"", VLOOKUP(A2072, imdb_netflix_v5!A$2:H$7370, 3, FALSE), "")</f>
        <v>Drama</v>
      </c>
      <c r="D2072" s="2">
        <f>IF(A2072&lt;&gt;"", VLOOKUP(A2072, imdb_netflix_v5!A$2:H$7370, 4, FALSE), "")</f>
        <v>7.8</v>
      </c>
      <c r="E2072" s="2">
        <f>IF(A2072&lt;&gt;"", VLOOKUP(A2072, imdb_netflix_v5!A$2:H$7370, 5, FALSE), "")</f>
        <v>1969</v>
      </c>
      <c r="F2072" s="2" t="str">
        <f>IF(A2072&lt;&gt;"", VLOOKUP(A2072, imdb_netflix_v5!A$2:H$7370, 7, FALSE), "")</f>
        <v>NA</v>
      </c>
    </row>
    <row r="2073" ht="15.75" customHeight="1">
      <c r="A2073" s="1" t="str">
        <f>IFERROR(__xludf.DUMMYFUNCTION("""COMPUTED_VALUE"""),"the king of comedy")</f>
        <v>the king of comedy</v>
      </c>
      <c r="B2073" s="1" t="str">
        <f>IF(A2073&lt;&gt;"", VLOOKUP(A2073, imdb_netflix_v5!A$2:H$7370, 2, FALSE), "")</f>
        <v>Movie</v>
      </c>
      <c r="C2073" s="2" t="str">
        <f>IF(A2073&lt;&gt;"", VLOOKUP(A2073, imdb_netflix_v5!A$2:H$7370, 3, FALSE), "")</f>
        <v>Comedy, Crime, Drama</v>
      </c>
      <c r="D2073" s="2">
        <f>IF(A2073&lt;&gt;"", VLOOKUP(A2073, imdb_netflix_v5!A$2:H$7370, 4, FALSE), "")</f>
        <v>7.8</v>
      </c>
      <c r="E2073" s="2">
        <f>IF(A2073&lt;&gt;"", VLOOKUP(A2073, imdb_netflix_v5!A$2:H$7370, 5, FALSE), "")</f>
        <v>1982</v>
      </c>
      <c r="F2073" s="2" t="str">
        <f>IF(A2073&lt;&gt;"", VLOOKUP(A2073, imdb_netflix_v5!A$2:H$7370, 7, FALSE), "")</f>
        <v>NA</v>
      </c>
    </row>
    <row r="2074" ht="15.75" customHeight="1">
      <c r="A2074" s="1" t="str">
        <f>IFERROR(__xludf.DUMMYFUNCTION("""COMPUTED_VALUE"""),"once")</f>
        <v>once</v>
      </c>
      <c r="B2074" s="1" t="str">
        <f>IF(A2074&lt;&gt;"", VLOOKUP(A2074, imdb_netflix_v5!A$2:H$7370, 2, FALSE), "")</f>
        <v>Movie</v>
      </c>
      <c r="C2074" s="2" t="str">
        <f>IF(A2074&lt;&gt;"", VLOOKUP(A2074, imdb_netflix_v5!A$2:H$7370, 3, FALSE), "")</f>
        <v>Drama, Music, Romance</v>
      </c>
      <c r="D2074" s="2">
        <f>IF(A2074&lt;&gt;"", VLOOKUP(A2074, imdb_netflix_v5!A$2:H$7370, 4, FALSE), "")</f>
        <v>7.8</v>
      </c>
      <c r="E2074" s="2">
        <f>IF(A2074&lt;&gt;"", VLOOKUP(A2074, imdb_netflix_v5!A$2:H$7370, 5, FALSE), "")</f>
        <v>2006</v>
      </c>
      <c r="F2074" s="2" t="str">
        <f>IF(A2074&lt;&gt;"", VLOOKUP(A2074, imdb_netflix_v5!A$2:H$7370, 7, FALSE), "")</f>
        <v>NA</v>
      </c>
    </row>
    <row r="2075" ht="15.75" customHeight="1">
      <c r="A2075" s="1" t="str">
        <f>IFERROR(__xludf.DUMMYFUNCTION("""COMPUTED_VALUE"""),"the oa")</f>
        <v>the oa</v>
      </c>
      <c r="B2075" s="1" t="str">
        <f>IF(A2075&lt;&gt;"", VLOOKUP(A2075, imdb_netflix_v5!A$2:H$7370, 2, FALSE), "")</f>
        <v>TV Show</v>
      </c>
      <c r="C2075" s="2" t="str">
        <f>IF(A2075&lt;&gt;"", VLOOKUP(A2075, imdb_netflix_v5!A$2:H$7370, 3, FALSE), "")</f>
        <v>Drama, Fantasy, Mystery</v>
      </c>
      <c r="D2075" s="2">
        <f>IF(A2075&lt;&gt;"", VLOOKUP(A2075, imdb_netflix_v5!A$2:H$7370, 4, FALSE), "")</f>
        <v>7.8</v>
      </c>
      <c r="E2075" s="2">
        <f>IF(A2075&lt;&gt;"", VLOOKUP(A2075, imdb_netflix_v5!A$2:H$7370, 5, FALSE), "")</f>
        <v>2016</v>
      </c>
      <c r="F2075" s="2" t="str">
        <f>IF(A2075&lt;&gt;"", VLOOKUP(A2075, imdb_netflix_v5!A$2:H$7370, 7, FALSE), "")</f>
        <v>NA</v>
      </c>
    </row>
    <row r="2076" ht="15.75" customHeight="1">
      <c r="A2076" s="1" t="str">
        <f>IFERROR(__xludf.DUMMYFUNCTION("""COMPUTED_VALUE"""),"from")</f>
        <v>from</v>
      </c>
      <c r="B2076" s="1" t="str">
        <f>IF(A2076&lt;&gt;"", VLOOKUP(A2076, imdb_netflix_v5!A$2:H$7370, 2, FALSE), "")</f>
        <v>TV Show</v>
      </c>
      <c r="C2076" s="2" t="str">
        <f>IF(A2076&lt;&gt;"", VLOOKUP(A2076, imdb_netflix_v5!A$2:H$7370, 3, FALSE), "")</f>
        <v>Drama, Horror, Mystery</v>
      </c>
      <c r="D2076" s="2">
        <f>IF(A2076&lt;&gt;"", VLOOKUP(A2076, imdb_netflix_v5!A$2:H$7370, 4, FALSE), "")</f>
        <v>7.8</v>
      </c>
      <c r="E2076" s="2">
        <f>IF(A2076&lt;&gt;"", VLOOKUP(A2076, imdb_netflix_v5!A$2:H$7370, 5, FALSE), "")</f>
        <v>2022</v>
      </c>
      <c r="F2076" s="2" t="str">
        <f>IF(A2076&lt;&gt;"", VLOOKUP(A2076, imdb_netflix_v5!A$2:H$7370, 7, FALSE), "")</f>
        <v>NA</v>
      </c>
    </row>
    <row r="2077" ht="15.75" customHeight="1">
      <c r="A2077" s="1" t="str">
        <f>IFERROR(__xludf.DUMMYFUNCTION("""COMPUTED_VALUE"""),"mississippi burning")</f>
        <v>mississippi burning</v>
      </c>
      <c r="B2077" s="1" t="str">
        <f>IF(A2077&lt;&gt;"", VLOOKUP(A2077, imdb_netflix_v5!A$2:H$7370, 2, FALSE), "")</f>
        <v>Movie</v>
      </c>
      <c r="C2077" s="2" t="str">
        <f>IF(A2077&lt;&gt;"", VLOOKUP(A2077, imdb_netflix_v5!A$2:H$7370, 3, FALSE), "")</f>
        <v>Crime, Drama, Mystery</v>
      </c>
      <c r="D2077" s="2">
        <f>IF(A2077&lt;&gt;"", VLOOKUP(A2077, imdb_netflix_v5!A$2:H$7370, 4, FALSE), "")</f>
        <v>7.8</v>
      </c>
      <c r="E2077" s="2">
        <f>IF(A2077&lt;&gt;"", VLOOKUP(A2077, imdb_netflix_v5!A$2:H$7370, 5, FALSE), "")</f>
        <v>1988</v>
      </c>
      <c r="F2077" s="2" t="str">
        <f>IF(A2077&lt;&gt;"", VLOOKUP(A2077, imdb_netflix_v5!A$2:H$7370, 7, FALSE), "")</f>
        <v>NA</v>
      </c>
    </row>
    <row r="2078" ht="15.75" customHeight="1">
      <c r="A2078" s="1" t="str">
        <f>IFERROR(__xludf.DUMMYFUNCTION("""COMPUTED_VALUE"""),"three colors blue")</f>
        <v>three colors blue</v>
      </c>
      <c r="B2078" s="1" t="str">
        <f>IF(A2078&lt;&gt;"", VLOOKUP(A2078, imdb_netflix_v5!A$2:H$7370, 2, FALSE), "")</f>
        <v>Movie</v>
      </c>
      <c r="C2078" s="2" t="str">
        <f>IF(A2078&lt;&gt;"", VLOOKUP(A2078, imdb_netflix_v5!A$2:H$7370, 3, FALSE), "")</f>
        <v>Drama, Music, Mystery</v>
      </c>
      <c r="D2078" s="2">
        <f>IF(A2078&lt;&gt;"", VLOOKUP(A2078, imdb_netflix_v5!A$2:H$7370, 4, FALSE), "")</f>
        <v>7.8</v>
      </c>
      <c r="E2078" s="2">
        <f>IF(A2078&lt;&gt;"", VLOOKUP(A2078, imdb_netflix_v5!A$2:H$7370, 5, FALSE), "")</f>
        <v>1993</v>
      </c>
      <c r="F2078" s="2" t="str">
        <f>IF(A2078&lt;&gt;"", VLOOKUP(A2078, imdb_netflix_v5!A$2:H$7370, 7, FALSE), "")</f>
        <v>NA</v>
      </c>
    </row>
    <row r="2079" ht="15.75" customHeight="1">
      <c r="A2079" s="1" t="str">
        <f>IFERROR(__xludf.DUMMYFUNCTION("""COMPUTED_VALUE"""),"my name is earl")</f>
        <v>my name is earl</v>
      </c>
      <c r="B2079" s="1" t="str">
        <f>IF(A2079&lt;&gt;"", VLOOKUP(A2079, imdb_netflix_v5!A$2:H$7370, 2, FALSE), "")</f>
        <v>TV Show</v>
      </c>
      <c r="C2079" s="2" t="str">
        <f>IF(A2079&lt;&gt;"", VLOOKUP(A2079, imdb_netflix_v5!A$2:H$7370, 3, FALSE), "")</f>
        <v>Comedy</v>
      </c>
      <c r="D2079" s="2">
        <f>IF(A2079&lt;&gt;"", VLOOKUP(A2079, imdb_netflix_v5!A$2:H$7370, 4, FALSE), "")</f>
        <v>7.8</v>
      </c>
      <c r="E2079" s="2">
        <f>IF(A2079&lt;&gt;"", VLOOKUP(A2079, imdb_netflix_v5!A$2:H$7370, 5, FALSE), "")</f>
        <v>2005</v>
      </c>
      <c r="F2079" s="2" t="str">
        <f>IF(A2079&lt;&gt;"", VLOOKUP(A2079, imdb_netflix_v5!A$2:H$7370, 7, FALSE), "")</f>
        <v>NA</v>
      </c>
    </row>
    <row r="2080" ht="15.75" customHeight="1">
      <c r="A2080" s="1" t="str">
        <f>IFERROR(__xludf.DUMMYFUNCTION("""COMPUTED_VALUE"""),"nosferatu a symphony of horror")</f>
        <v>nosferatu a symphony of horror</v>
      </c>
      <c r="B2080" s="1" t="str">
        <f>IF(A2080&lt;&gt;"", VLOOKUP(A2080, imdb_netflix_v5!A$2:H$7370, 2, FALSE), "")</f>
        <v>Movie</v>
      </c>
      <c r="C2080" s="2" t="str">
        <f>IF(A2080&lt;&gt;"", VLOOKUP(A2080, imdb_netflix_v5!A$2:H$7370, 3, FALSE), "")</f>
        <v>Fantasy, Horror</v>
      </c>
      <c r="D2080" s="2">
        <f>IF(A2080&lt;&gt;"", VLOOKUP(A2080, imdb_netflix_v5!A$2:H$7370, 4, FALSE), "")</f>
        <v>7.8</v>
      </c>
      <c r="E2080" s="2">
        <f>IF(A2080&lt;&gt;"", VLOOKUP(A2080, imdb_netflix_v5!A$2:H$7370, 5, FALSE), "")</f>
        <v>1922</v>
      </c>
      <c r="F2080" s="2" t="str">
        <f>IF(A2080&lt;&gt;"", VLOOKUP(A2080, imdb_netflix_v5!A$2:H$7370, 7, FALSE), "")</f>
        <v>NA</v>
      </c>
    </row>
    <row r="2081" ht="15.75" customHeight="1">
      <c r="A2081" s="1" t="str">
        <f>IFERROR(__xludf.DUMMYFUNCTION("""COMPUTED_VALUE"""),"the sandlot")</f>
        <v>the sandlot</v>
      </c>
      <c r="B2081" s="1" t="str">
        <f>IF(A2081&lt;&gt;"", VLOOKUP(A2081, imdb_netflix_v5!A$2:H$7370, 2, FALSE), "")</f>
        <v>Movie</v>
      </c>
      <c r="C2081" s="2" t="str">
        <f>IF(A2081&lt;&gt;"", VLOOKUP(A2081, imdb_netflix_v5!A$2:H$7370, 3, FALSE), "")</f>
        <v>Comedy, Drama, Family</v>
      </c>
      <c r="D2081" s="2">
        <f>IF(A2081&lt;&gt;"", VLOOKUP(A2081, imdb_netflix_v5!A$2:H$7370, 4, FALSE), "")</f>
        <v>7.8</v>
      </c>
      <c r="E2081" s="2">
        <f>IF(A2081&lt;&gt;"", VLOOKUP(A2081, imdb_netflix_v5!A$2:H$7370, 5, FALSE), "")</f>
        <v>1993</v>
      </c>
      <c r="F2081" s="2" t="str">
        <f>IF(A2081&lt;&gt;"", VLOOKUP(A2081, imdb_netflix_v5!A$2:H$7370, 7, FALSE), "")</f>
        <v>NA</v>
      </c>
    </row>
    <row r="2082" ht="15.75" customHeight="1">
      <c r="A2082" s="1" t="str">
        <f>IFERROR(__xludf.DUMMYFUNCTION("""COMPUTED_VALUE"""),"all about my mother")</f>
        <v>all about my mother</v>
      </c>
      <c r="B2082" s="1" t="str">
        <f>IF(A2082&lt;&gt;"", VLOOKUP(A2082, imdb_netflix_v5!A$2:H$7370, 2, FALSE), "")</f>
        <v>Movie</v>
      </c>
      <c r="C2082" s="2" t="str">
        <f>IF(A2082&lt;&gt;"", VLOOKUP(A2082, imdb_netflix_v5!A$2:H$7370, 3, FALSE), "")</f>
        <v>Comedy, Drama, Romance</v>
      </c>
      <c r="D2082" s="2">
        <f>IF(A2082&lt;&gt;"", VLOOKUP(A2082, imdb_netflix_v5!A$2:H$7370, 4, FALSE), "")</f>
        <v>7.8</v>
      </c>
      <c r="E2082" s="2">
        <f>IF(A2082&lt;&gt;"", VLOOKUP(A2082, imdb_netflix_v5!A$2:H$7370, 5, FALSE), "")</f>
        <v>1999</v>
      </c>
      <c r="F2082" s="2" t="str">
        <f>IF(A2082&lt;&gt;"", VLOOKUP(A2082, imdb_netflix_v5!A$2:H$7370, 7, FALSE), "")</f>
        <v>NA</v>
      </c>
    </row>
    <row r="2083" ht="15.75" customHeight="1">
      <c r="A2083" s="1" t="str">
        <f>IFERROR(__xludf.DUMMYFUNCTION("""COMPUTED_VALUE"""),"a prophet")</f>
        <v>a prophet</v>
      </c>
      <c r="B2083" s="1" t="str">
        <f>IF(A2083&lt;&gt;"", VLOOKUP(A2083, imdb_netflix_v5!A$2:H$7370, 2, FALSE), "")</f>
        <v>Movie</v>
      </c>
      <c r="C2083" s="2" t="str">
        <f>IF(A2083&lt;&gt;"", VLOOKUP(A2083, imdb_netflix_v5!A$2:H$7370, 3, FALSE), "")</f>
        <v>Crime, Drama</v>
      </c>
      <c r="D2083" s="2">
        <f>IF(A2083&lt;&gt;"", VLOOKUP(A2083, imdb_netflix_v5!A$2:H$7370, 4, FALSE), "")</f>
        <v>7.8</v>
      </c>
      <c r="E2083" s="2">
        <f>IF(A2083&lt;&gt;"", VLOOKUP(A2083, imdb_netflix_v5!A$2:H$7370, 5, FALSE), "")</f>
        <v>2009</v>
      </c>
      <c r="F2083" s="2" t="str">
        <f>IF(A2083&lt;&gt;"", VLOOKUP(A2083, imdb_netflix_v5!A$2:H$7370, 7, FALSE), "")</f>
        <v>NA</v>
      </c>
    </row>
    <row r="2084" ht="15.75" customHeight="1">
      <c r="A2084" s="1" t="str">
        <f>IFERROR(__xludf.DUMMYFUNCTION("""COMPUTED_VALUE"""),"the wind rises")</f>
        <v>the wind rises</v>
      </c>
      <c r="B2084" s="1" t="str">
        <f>IF(A2084&lt;&gt;"", VLOOKUP(A2084, imdb_netflix_v5!A$2:H$7370, 2, FALSE), "")</f>
        <v>Movie</v>
      </c>
      <c r="C2084" s="2" t="str">
        <f>IF(A2084&lt;&gt;"", VLOOKUP(A2084, imdb_netflix_v5!A$2:H$7370, 3, FALSE), "")</f>
        <v>Animation, Biography, Drama</v>
      </c>
      <c r="D2084" s="2">
        <f>IF(A2084&lt;&gt;"", VLOOKUP(A2084, imdb_netflix_v5!A$2:H$7370, 4, FALSE), "")</f>
        <v>7.8</v>
      </c>
      <c r="E2084" s="2">
        <f>IF(A2084&lt;&gt;"", VLOOKUP(A2084, imdb_netflix_v5!A$2:H$7370, 5, FALSE), "")</f>
        <v>2013</v>
      </c>
      <c r="F2084" s="2" t="str">
        <f>IF(A2084&lt;&gt;"", VLOOKUP(A2084, imdb_netflix_v5!A$2:H$7370, 7, FALSE), "")</f>
        <v>NA</v>
      </c>
    </row>
    <row r="2085" ht="15.75" customHeight="1">
      <c r="A2085" s="1" t="str">
        <f>IFERROR(__xludf.DUMMYFUNCTION("""COMPUTED_VALUE"""),"october sky")</f>
        <v>october sky</v>
      </c>
      <c r="B2085" s="1" t="str">
        <f>IF(A2085&lt;&gt;"", VLOOKUP(A2085, imdb_netflix_v5!A$2:H$7370, 2, FALSE), "")</f>
        <v>Movie</v>
      </c>
      <c r="C2085" s="2" t="str">
        <f>IF(A2085&lt;&gt;"", VLOOKUP(A2085, imdb_netflix_v5!A$2:H$7370, 3, FALSE), "")</f>
        <v>Biography, Drama, Family</v>
      </c>
      <c r="D2085" s="2">
        <f>IF(A2085&lt;&gt;"", VLOOKUP(A2085, imdb_netflix_v5!A$2:H$7370, 4, FALSE), "")</f>
        <v>7.8</v>
      </c>
      <c r="E2085" s="2">
        <f>IF(A2085&lt;&gt;"", VLOOKUP(A2085, imdb_netflix_v5!A$2:H$7370, 5, FALSE), "")</f>
        <v>1999</v>
      </c>
      <c r="F2085" s="2" t="str">
        <f>IF(A2085&lt;&gt;"", VLOOKUP(A2085, imdb_netflix_v5!A$2:H$7370, 7, FALSE), "")</f>
        <v>NA</v>
      </c>
    </row>
    <row r="2086" ht="15.75" customHeight="1">
      <c r="A2086" s="1" t="str">
        <f>IFERROR(__xludf.DUMMYFUNCTION("""COMPUTED_VALUE"""),"paddington 2")</f>
        <v>paddington 2</v>
      </c>
      <c r="B2086" s="1" t="str">
        <f>IF(A2086&lt;&gt;"", VLOOKUP(A2086, imdb_netflix_v5!A$2:H$7370, 2, FALSE), "")</f>
        <v>Movie</v>
      </c>
      <c r="C2086" s="2" t="str">
        <f>IF(A2086&lt;&gt;"", VLOOKUP(A2086, imdb_netflix_v5!A$2:H$7370, 3, FALSE), "")</f>
        <v>Adventure, Comedy, Family</v>
      </c>
      <c r="D2086" s="2">
        <f>IF(A2086&lt;&gt;"", VLOOKUP(A2086, imdb_netflix_v5!A$2:H$7370, 4, FALSE), "")</f>
        <v>7.8</v>
      </c>
      <c r="E2086" s="2">
        <f>IF(A2086&lt;&gt;"", VLOOKUP(A2086, imdb_netflix_v5!A$2:H$7370, 5, FALSE), "")</f>
        <v>2017</v>
      </c>
      <c r="F2086" s="2" t="str">
        <f>IF(A2086&lt;&gt;"", VLOOKUP(A2086, imdb_netflix_v5!A$2:H$7370, 7, FALSE), "")</f>
        <v>NA</v>
      </c>
    </row>
    <row r="2087" ht="15.75" customHeight="1">
      <c r="A2087" s="1" t="str">
        <f>IFERROR(__xludf.DUMMYFUNCTION("""COMPUTED_VALUE"""),"the searchers")</f>
        <v>the searchers</v>
      </c>
      <c r="B2087" s="1" t="str">
        <f>IF(A2087&lt;&gt;"", VLOOKUP(A2087, imdb_netflix_v5!A$2:H$7370, 2, FALSE), "")</f>
        <v>Movie</v>
      </c>
      <c r="C2087" s="2" t="str">
        <f>IF(A2087&lt;&gt;"", VLOOKUP(A2087, imdb_netflix_v5!A$2:H$7370, 3, FALSE), "")</f>
        <v>Adventure, Drama, Western</v>
      </c>
      <c r="D2087" s="2">
        <f>IF(A2087&lt;&gt;"", VLOOKUP(A2087, imdb_netflix_v5!A$2:H$7370, 4, FALSE), "")</f>
        <v>7.8</v>
      </c>
      <c r="E2087" s="2">
        <f>IF(A2087&lt;&gt;"", VLOOKUP(A2087, imdb_netflix_v5!A$2:H$7370, 5, FALSE), "")</f>
        <v>1956</v>
      </c>
      <c r="F2087" s="2" t="str">
        <f>IF(A2087&lt;&gt;"", VLOOKUP(A2087, imdb_netflix_v5!A$2:H$7370, 7, FALSE), "")</f>
        <v>NA</v>
      </c>
    </row>
    <row r="2088" ht="15.75" customHeight="1">
      <c r="A2088" s="1" t="str">
        <f>IFERROR(__xludf.DUMMYFUNCTION("""COMPUTED_VALUE"""),"yellowjackets")</f>
        <v>yellowjackets</v>
      </c>
      <c r="B2088" s="1" t="str">
        <f>IF(A2088&lt;&gt;"", VLOOKUP(A2088, imdb_netflix_v5!A$2:H$7370, 2, FALSE), "")</f>
        <v>TV Show</v>
      </c>
      <c r="C2088" s="2" t="str">
        <f>IF(A2088&lt;&gt;"", VLOOKUP(A2088, imdb_netflix_v5!A$2:H$7370, 3, FALSE), "")</f>
        <v>Drama, Horror, Mystery</v>
      </c>
      <c r="D2088" s="2">
        <f>IF(A2088&lt;&gt;"", VLOOKUP(A2088, imdb_netflix_v5!A$2:H$7370, 4, FALSE), "")</f>
        <v>7.8</v>
      </c>
      <c r="E2088" s="2">
        <f>IF(A2088&lt;&gt;"", VLOOKUP(A2088, imdb_netflix_v5!A$2:H$7370, 5, FALSE), "")</f>
        <v>2021</v>
      </c>
      <c r="F2088" s="2" t="str">
        <f>IF(A2088&lt;&gt;"", VLOOKUP(A2088, imdb_netflix_v5!A$2:H$7370, 7, FALSE), "")</f>
        <v>NA</v>
      </c>
    </row>
    <row r="2089" ht="15.75" customHeight="1">
      <c r="A2089" s="1" t="str">
        <f>IFERROR(__xludf.DUMMYFUNCTION("""COMPUTED_VALUE"""),"big mouth")</f>
        <v>big mouth</v>
      </c>
      <c r="B2089" s="1" t="str">
        <f>IF(A2089&lt;&gt;"", VLOOKUP(A2089, imdb_netflix_v5!A$2:H$7370, 2, FALSE), "")</f>
        <v>TV Show</v>
      </c>
      <c r="C2089" s="2" t="str">
        <f>IF(A2089&lt;&gt;"", VLOOKUP(A2089, imdb_netflix_v5!A$2:H$7370, 3, FALSE), "")</f>
        <v>Animation, Comedy, Romance</v>
      </c>
      <c r="D2089" s="2">
        <f>IF(A2089&lt;&gt;"", VLOOKUP(A2089, imdb_netflix_v5!A$2:H$7370, 4, FALSE), "")</f>
        <v>7.8</v>
      </c>
      <c r="E2089" s="2">
        <f>IF(A2089&lt;&gt;"", VLOOKUP(A2089, imdb_netflix_v5!A$2:H$7370, 5, FALSE), "")</f>
        <v>2017</v>
      </c>
      <c r="F2089" s="2">
        <f>IF(A2089&lt;&gt;"", VLOOKUP(A2089, imdb_netflix_v5!A$2:H$7370, 7, FALSE), "")</f>
        <v>12500000</v>
      </c>
    </row>
    <row r="2090" ht="15.75" customHeight="1">
      <c r="A2090" s="1" t="str">
        <f>IFERROR(__xludf.DUMMYFUNCTION("""COMPUTED_VALUE"""),"agent carter")</f>
        <v>agent carter</v>
      </c>
      <c r="B2090" s="1" t="str">
        <f>IF(A2090&lt;&gt;"", VLOOKUP(A2090, imdb_netflix_v5!A$2:H$7370, 2, FALSE), "")</f>
        <v>TV Show</v>
      </c>
      <c r="C2090" s="2" t="str">
        <f>IF(A2090&lt;&gt;"", VLOOKUP(A2090, imdb_netflix_v5!A$2:H$7370, 3, FALSE), "")</f>
        <v>Action, Adventure, Crime</v>
      </c>
      <c r="D2090" s="2">
        <f>IF(A2090&lt;&gt;"", VLOOKUP(A2090, imdb_netflix_v5!A$2:H$7370, 4, FALSE), "")</f>
        <v>7.8</v>
      </c>
      <c r="E2090" s="2">
        <f>IF(A2090&lt;&gt;"", VLOOKUP(A2090, imdb_netflix_v5!A$2:H$7370, 5, FALSE), "")</f>
        <v>2015</v>
      </c>
      <c r="F2090" s="2" t="str">
        <f>IF(A2090&lt;&gt;"", VLOOKUP(A2090, imdb_netflix_v5!A$2:H$7370, 7, FALSE), "")</f>
        <v>NA</v>
      </c>
    </row>
    <row r="2091" ht="15.75" customHeight="1">
      <c r="A2091" s="1" t="str">
        <f>IFERROR(__xludf.DUMMYFUNCTION("""COMPUTED_VALUE"""),"one tree hill")</f>
        <v>one tree hill</v>
      </c>
      <c r="B2091" s="1" t="str">
        <f>IF(A2091&lt;&gt;"", VLOOKUP(A2091, imdb_netflix_v5!A$2:H$7370, 2, FALSE), "")</f>
        <v>TV Show</v>
      </c>
      <c r="C2091" s="2" t="str">
        <f>IF(A2091&lt;&gt;"", VLOOKUP(A2091, imdb_netflix_v5!A$2:H$7370, 3, FALSE), "")</f>
        <v>Drama, Romance, Sport</v>
      </c>
      <c r="D2091" s="2">
        <f>IF(A2091&lt;&gt;"", VLOOKUP(A2091, imdb_netflix_v5!A$2:H$7370, 4, FALSE), "")</f>
        <v>7.8</v>
      </c>
      <c r="E2091" s="2">
        <f>IF(A2091&lt;&gt;"", VLOOKUP(A2091, imdb_netflix_v5!A$2:H$7370, 5, FALSE), "")</f>
        <v>2003</v>
      </c>
      <c r="F2091" s="2" t="str">
        <f>IF(A2091&lt;&gt;"", VLOOKUP(A2091, imdb_netflix_v5!A$2:H$7370, 7, FALSE), "")</f>
        <v>NA</v>
      </c>
    </row>
    <row r="2092" ht="15.75" customHeight="1">
      <c r="A2092" s="1" t="str">
        <f>IFERROR(__xludf.DUMMYFUNCTION("""COMPUTED_VALUE"""),"his dark materials")</f>
        <v>his dark materials</v>
      </c>
      <c r="B2092" s="1" t="str">
        <f>IF(A2092&lt;&gt;"", VLOOKUP(A2092, imdb_netflix_v5!A$2:H$7370, 2, FALSE), "")</f>
        <v>TV Show</v>
      </c>
      <c r="C2092" s="2" t="str">
        <f>IF(A2092&lt;&gt;"", VLOOKUP(A2092, imdb_netflix_v5!A$2:H$7370, 3, FALSE), "")</f>
        <v>Adventure, Drama, Fantasy</v>
      </c>
      <c r="D2092" s="2">
        <f>IF(A2092&lt;&gt;"", VLOOKUP(A2092, imdb_netflix_v5!A$2:H$7370, 4, FALSE), "")</f>
        <v>7.8</v>
      </c>
      <c r="E2092" s="2">
        <f>IF(A2092&lt;&gt;"", VLOOKUP(A2092, imdb_netflix_v5!A$2:H$7370, 5, FALSE), "")</f>
        <v>2019</v>
      </c>
      <c r="F2092" s="2" t="str">
        <f>IF(A2092&lt;&gt;"", VLOOKUP(A2092, imdb_netflix_v5!A$2:H$7370, 7, FALSE), "")</f>
        <v>NA</v>
      </c>
    </row>
    <row r="2093" ht="15.75" customHeight="1">
      <c r="A2093" s="1" t="str">
        <f>IFERROR(__xludf.DUMMYFUNCTION("""COMPUTED_VALUE"""),"charade")</f>
        <v>charade</v>
      </c>
      <c r="B2093" s="1" t="str">
        <f>IF(A2093&lt;&gt;"", VLOOKUP(A2093, imdb_netflix_v5!A$2:H$7370, 2, FALSE), "")</f>
        <v>Movie</v>
      </c>
      <c r="C2093" s="2" t="str">
        <f>IF(A2093&lt;&gt;"", VLOOKUP(A2093, imdb_netflix_v5!A$2:H$7370, 3, FALSE), "")</f>
        <v>Comedy, Mystery, Romance</v>
      </c>
      <c r="D2093" s="2">
        <f>IF(A2093&lt;&gt;"", VLOOKUP(A2093, imdb_netflix_v5!A$2:H$7370, 4, FALSE), "")</f>
        <v>7.8</v>
      </c>
      <c r="E2093" s="2">
        <f>IF(A2093&lt;&gt;"", VLOOKUP(A2093, imdb_netflix_v5!A$2:H$7370, 5, FALSE), "")</f>
        <v>1963</v>
      </c>
      <c r="F2093" s="2" t="str">
        <f>IF(A2093&lt;&gt;"", VLOOKUP(A2093, imdb_netflix_v5!A$2:H$7370, 7, FALSE), "")</f>
        <v>NA</v>
      </c>
    </row>
    <row r="2094" ht="15.75" customHeight="1">
      <c r="A2094" s="1" t="str">
        <f>IFERROR(__xludf.DUMMYFUNCTION("""COMPUTED_VALUE"""),"the remains of the day")</f>
        <v>the remains of the day</v>
      </c>
      <c r="B2094" s="1" t="str">
        <f>IF(A2094&lt;&gt;"", VLOOKUP(A2094, imdb_netflix_v5!A$2:H$7370, 2, FALSE), "")</f>
        <v>Movie</v>
      </c>
      <c r="C2094" s="2" t="str">
        <f>IF(A2094&lt;&gt;"", VLOOKUP(A2094, imdb_netflix_v5!A$2:H$7370, 3, FALSE), "")</f>
        <v>Drama, Romance</v>
      </c>
      <c r="D2094" s="2">
        <f>IF(A2094&lt;&gt;"", VLOOKUP(A2094, imdb_netflix_v5!A$2:H$7370, 4, FALSE), "")</f>
        <v>7.8</v>
      </c>
      <c r="E2094" s="2">
        <f>IF(A2094&lt;&gt;"", VLOOKUP(A2094, imdb_netflix_v5!A$2:H$7370, 5, FALSE), "")</f>
        <v>1993</v>
      </c>
      <c r="F2094" s="2" t="str">
        <f>IF(A2094&lt;&gt;"", VLOOKUP(A2094, imdb_netflix_v5!A$2:H$7370, 7, FALSE), "")</f>
        <v>NA</v>
      </c>
    </row>
    <row r="2095" ht="15.75" customHeight="1">
      <c r="A2095" s="1" t="str">
        <f>IFERROR(__xludf.DUMMYFUNCTION("""COMPUTED_VALUE"""),"never have i ever")</f>
        <v>never have i ever</v>
      </c>
      <c r="B2095" s="1" t="str">
        <f>IF(A2095&lt;&gt;"", VLOOKUP(A2095, imdb_netflix_v5!A$2:H$7370, 2, FALSE), "")</f>
        <v>TV Show</v>
      </c>
      <c r="C2095" s="2" t="str">
        <f>IF(A2095&lt;&gt;"", VLOOKUP(A2095, imdb_netflix_v5!A$2:H$7370, 3, FALSE), "")</f>
        <v>Comedy, Drama</v>
      </c>
      <c r="D2095" s="2">
        <f>IF(A2095&lt;&gt;"", VLOOKUP(A2095, imdb_netflix_v5!A$2:H$7370, 4, FALSE), "")</f>
        <v>7.8</v>
      </c>
      <c r="E2095" s="2">
        <f>IF(A2095&lt;&gt;"", VLOOKUP(A2095, imdb_netflix_v5!A$2:H$7370, 5, FALSE), "")</f>
        <v>2020</v>
      </c>
      <c r="F2095" s="2">
        <f>IF(A2095&lt;&gt;"", VLOOKUP(A2095, imdb_netflix_v5!A$2:H$7370, 7, FALSE), "")</f>
        <v>14200000</v>
      </c>
    </row>
    <row r="2096" ht="15.75" customHeight="1">
      <c r="A2096" s="1" t="str">
        <f>IFERROR(__xludf.DUMMYFUNCTION("""COMPUTED_VALUE"""),"upload")</f>
        <v>upload</v>
      </c>
      <c r="B2096" s="1" t="str">
        <f>IF(A2096&lt;&gt;"", VLOOKUP(A2096, imdb_netflix_v5!A$2:H$7370, 2, FALSE), "")</f>
        <v>TV Show</v>
      </c>
      <c r="C2096" s="2" t="str">
        <f>IF(A2096&lt;&gt;"", VLOOKUP(A2096, imdb_netflix_v5!A$2:H$7370, 3, FALSE), "")</f>
        <v>Comedy, Mystery, Sci-Fi</v>
      </c>
      <c r="D2096" s="2">
        <f>IF(A2096&lt;&gt;"", VLOOKUP(A2096, imdb_netflix_v5!A$2:H$7370, 4, FALSE), "")</f>
        <v>7.8</v>
      </c>
      <c r="E2096" s="2">
        <f>IF(A2096&lt;&gt;"", VLOOKUP(A2096, imdb_netflix_v5!A$2:H$7370, 5, FALSE), "")</f>
        <v>2020</v>
      </c>
      <c r="F2096" s="2" t="str">
        <f>IF(A2096&lt;&gt;"", VLOOKUP(A2096, imdb_netflix_v5!A$2:H$7370, 7, FALSE), "")</f>
        <v>NA</v>
      </c>
    </row>
    <row r="2097" ht="15.75" customHeight="1">
      <c r="A2097" s="1" t="str">
        <f>IFERROR(__xludf.DUMMYFUNCTION("""COMPUTED_VALUE"""),"frankenstein")</f>
        <v>frankenstein</v>
      </c>
      <c r="B2097" s="1" t="str">
        <f>IF(A2097&lt;&gt;"", VLOOKUP(A2097, imdb_netflix_v5!A$2:H$7370, 2, FALSE), "")</f>
        <v>Movie</v>
      </c>
      <c r="C2097" s="2" t="str">
        <f>IF(A2097&lt;&gt;"", VLOOKUP(A2097, imdb_netflix_v5!A$2:H$7370, 3, FALSE), "")</f>
        <v>Drama, Horror, Sci-Fi</v>
      </c>
      <c r="D2097" s="2">
        <f>IF(A2097&lt;&gt;"", VLOOKUP(A2097, imdb_netflix_v5!A$2:H$7370, 4, FALSE), "")</f>
        <v>7.8</v>
      </c>
      <c r="E2097" s="2">
        <f>IF(A2097&lt;&gt;"", VLOOKUP(A2097, imdb_netflix_v5!A$2:H$7370, 5, FALSE), "")</f>
        <v>1931</v>
      </c>
      <c r="F2097" s="2" t="str">
        <f>IF(A2097&lt;&gt;"", VLOOKUP(A2097, imdb_netflix_v5!A$2:H$7370, 7, FALSE), "")</f>
        <v>NA</v>
      </c>
    </row>
    <row r="2098" ht="15.75" customHeight="1">
      <c r="A2098" s="1" t="str">
        <f>IFERROR(__xludf.DUMMYFUNCTION("""COMPUTED_VALUE"""),"the outlaw josey wales")</f>
        <v>the outlaw josey wales</v>
      </c>
      <c r="B2098" s="1" t="str">
        <f>IF(A2098&lt;&gt;"", VLOOKUP(A2098, imdb_netflix_v5!A$2:H$7370, 2, FALSE), "")</f>
        <v>Movie</v>
      </c>
      <c r="C2098" s="2" t="str">
        <f>IF(A2098&lt;&gt;"", VLOOKUP(A2098, imdb_netflix_v5!A$2:H$7370, 3, FALSE), "")</f>
        <v>Drama, Western</v>
      </c>
      <c r="D2098" s="2">
        <f>IF(A2098&lt;&gt;"", VLOOKUP(A2098, imdb_netflix_v5!A$2:H$7370, 4, FALSE), "")</f>
        <v>7.8</v>
      </c>
      <c r="E2098" s="2">
        <f>IF(A2098&lt;&gt;"", VLOOKUP(A2098, imdb_netflix_v5!A$2:H$7370, 5, FALSE), "")</f>
        <v>1976</v>
      </c>
      <c r="F2098" s="2" t="str">
        <f>IF(A2098&lt;&gt;"", VLOOKUP(A2098, imdb_netflix_v5!A$2:H$7370, 7, FALSE), "")</f>
        <v>NA</v>
      </c>
    </row>
    <row r="2099" ht="15.75" customHeight="1">
      <c r="A2099" s="1" t="str">
        <f>IFERROR(__xludf.DUMMYFUNCTION("""COMPUTED_VALUE"""),"my left foot")</f>
        <v>my left foot</v>
      </c>
      <c r="B2099" s="1" t="str">
        <f>IF(A2099&lt;&gt;"", VLOOKUP(A2099, imdb_netflix_v5!A$2:H$7370, 2, FALSE), "")</f>
        <v>Movie</v>
      </c>
      <c r="C2099" s="2" t="str">
        <f>IF(A2099&lt;&gt;"", VLOOKUP(A2099, imdb_netflix_v5!A$2:H$7370, 3, FALSE), "")</f>
        <v>Biography, Drama</v>
      </c>
      <c r="D2099" s="2">
        <f>IF(A2099&lt;&gt;"", VLOOKUP(A2099, imdb_netflix_v5!A$2:H$7370, 4, FALSE), "")</f>
        <v>7.8</v>
      </c>
      <c r="E2099" s="2">
        <f>IF(A2099&lt;&gt;"", VLOOKUP(A2099, imdb_netflix_v5!A$2:H$7370, 5, FALSE), "")</f>
        <v>1989</v>
      </c>
      <c r="F2099" s="2" t="str">
        <f>IF(A2099&lt;&gt;"", VLOOKUP(A2099, imdb_netflix_v5!A$2:H$7370, 7, FALSE), "")</f>
        <v>NA</v>
      </c>
    </row>
    <row r="2100" ht="15.75" customHeight="1">
      <c r="A2100" s="1" t="str">
        <f>IFERROR(__xludf.DUMMYFUNCTION("""COMPUTED_VALUE"""),"the white ribbon")</f>
        <v>the white ribbon</v>
      </c>
      <c r="B2100" s="1" t="str">
        <f>IF(A2100&lt;&gt;"", VLOOKUP(A2100, imdb_netflix_v5!A$2:H$7370, 2, FALSE), "")</f>
        <v>Movie</v>
      </c>
      <c r="C2100" s="2" t="str">
        <f>IF(A2100&lt;&gt;"", VLOOKUP(A2100, imdb_netflix_v5!A$2:H$7370, 3, FALSE), "")</f>
        <v>Drama, Mystery, Thriller</v>
      </c>
      <c r="D2100" s="2">
        <f>IF(A2100&lt;&gt;"", VLOOKUP(A2100, imdb_netflix_v5!A$2:H$7370, 4, FALSE), "")</f>
        <v>7.8</v>
      </c>
      <c r="E2100" s="2">
        <f>IF(A2100&lt;&gt;"", VLOOKUP(A2100, imdb_netflix_v5!A$2:H$7370, 5, FALSE), "")</f>
        <v>2009</v>
      </c>
      <c r="F2100" s="2" t="str">
        <f>IF(A2100&lt;&gt;"", VLOOKUP(A2100, imdb_netflix_v5!A$2:H$7370, 7, FALSE), "")</f>
        <v>NA</v>
      </c>
    </row>
    <row r="2101" ht="15.75" customHeight="1">
      <c r="A2101" s="1" t="str">
        <f>IFERROR(__xludf.DUMMYFUNCTION("""COMPUTED_VALUE"""),"santa clarita diet")</f>
        <v>santa clarita diet</v>
      </c>
      <c r="B2101" s="1" t="str">
        <f>IF(A2101&lt;&gt;"", VLOOKUP(A2101, imdb_netflix_v5!A$2:H$7370, 2, FALSE), "")</f>
        <v>TV Show</v>
      </c>
      <c r="C2101" s="2" t="str">
        <f>IF(A2101&lt;&gt;"", VLOOKUP(A2101, imdb_netflix_v5!A$2:H$7370, 3, FALSE), "")</f>
        <v>Comedy, Horror</v>
      </c>
      <c r="D2101" s="2">
        <f>IF(A2101&lt;&gt;"", VLOOKUP(A2101, imdb_netflix_v5!A$2:H$7370, 4, FALSE), "")</f>
        <v>7.8</v>
      </c>
      <c r="E2101" s="2">
        <f>IF(A2101&lt;&gt;"", VLOOKUP(A2101, imdb_netflix_v5!A$2:H$7370, 5, FALSE), "")</f>
        <v>2017</v>
      </c>
      <c r="F2101" s="2" t="str">
        <f>IF(A2101&lt;&gt;"", VLOOKUP(A2101, imdb_netflix_v5!A$2:H$7370, 7, FALSE), "")</f>
        <v>NA</v>
      </c>
    </row>
    <row r="2102" ht="15.75" customHeight="1">
      <c r="A2102" s="1" t="str">
        <f>IFERROR(__xludf.DUMMYFUNCTION("""COMPUTED_VALUE"""),"hannah and her sisters")</f>
        <v>hannah and her sisters</v>
      </c>
      <c r="B2102" s="1" t="str">
        <f>IF(A2102&lt;&gt;"", VLOOKUP(A2102, imdb_netflix_v5!A$2:H$7370, 2, FALSE), "")</f>
        <v>Movie</v>
      </c>
      <c r="C2102" s="2" t="str">
        <f>IF(A2102&lt;&gt;"", VLOOKUP(A2102, imdb_netflix_v5!A$2:H$7370, 3, FALSE), "")</f>
        <v>Comedy, Drama</v>
      </c>
      <c r="D2102" s="2">
        <f>IF(A2102&lt;&gt;"", VLOOKUP(A2102, imdb_netflix_v5!A$2:H$7370, 4, FALSE), "")</f>
        <v>7.8</v>
      </c>
      <c r="E2102" s="2">
        <f>IF(A2102&lt;&gt;"", VLOOKUP(A2102, imdb_netflix_v5!A$2:H$7370, 5, FALSE), "")</f>
        <v>1986</v>
      </c>
      <c r="F2102" s="2" t="str">
        <f>IF(A2102&lt;&gt;"", VLOOKUP(A2102, imdb_netflix_v5!A$2:H$7370, 7, FALSE), "")</f>
        <v>NA</v>
      </c>
    </row>
    <row r="2103" ht="15.75" customHeight="1">
      <c r="A2103" s="1" t="str">
        <f>IFERROR(__xludf.DUMMYFUNCTION("""COMPUTED_VALUE"""),"ballers")</f>
        <v>ballers</v>
      </c>
      <c r="B2103" s="1" t="str">
        <f>IF(A2103&lt;&gt;"", VLOOKUP(A2103, imdb_netflix_v5!A$2:H$7370, 2, FALSE), "")</f>
        <v>TV Show</v>
      </c>
      <c r="C2103" s="2" t="str">
        <f>IF(A2103&lt;&gt;"", VLOOKUP(A2103, imdb_netflix_v5!A$2:H$7370, 3, FALSE), "")</f>
        <v>Comedy, Drama, Sport</v>
      </c>
      <c r="D2103" s="2">
        <f>IF(A2103&lt;&gt;"", VLOOKUP(A2103, imdb_netflix_v5!A$2:H$7370, 4, FALSE), "")</f>
        <v>7.8</v>
      </c>
      <c r="E2103" s="2">
        <f>IF(A2103&lt;&gt;"", VLOOKUP(A2103, imdb_netflix_v5!A$2:H$7370, 5, FALSE), "")</f>
        <v>2015</v>
      </c>
      <c r="F2103" s="2">
        <f>IF(A2103&lt;&gt;"", VLOOKUP(A2103, imdb_netflix_v5!A$2:H$7370, 7, FALSE), "")</f>
        <v>10500000</v>
      </c>
    </row>
    <row r="2104" ht="15.75" customHeight="1">
      <c r="A2104" s="1" t="str">
        <f>IFERROR(__xludf.DUMMYFUNCTION("""COMPUTED_VALUE"""),"the lincoln lawyer")</f>
        <v>the lincoln lawyer</v>
      </c>
      <c r="B2104" s="1" t="str">
        <f>IF(A2104&lt;&gt;"", VLOOKUP(A2104, imdb_netflix_v5!A$2:H$7370, 2, FALSE), "")</f>
        <v>TV Show</v>
      </c>
      <c r="C2104" s="2" t="str">
        <f>IF(A2104&lt;&gt;"", VLOOKUP(A2104, imdb_netflix_v5!A$2:H$7370, 3, FALSE), "")</f>
        <v>Crime, Drama, Mystery</v>
      </c>
      <c r="D2104" s="2">
        <f>IF(A2104&lt;&gt;"", VLOOKUP(A2104, imdb_netflix_v5!A$2:H$7370, 4, FALSE), "")</f>
        <v>7.8</v>
      </c>
      <c r="E2104" s="2">
        <f>IF(A2104&lt;&gt;"", VLOOKUP(A2104, imdb_netflix_v5!A$2:H$7370, 5, FALSE), "")</f>
        <v>2022</v>
      </c>
      <c r="F2104" s="2">
        <f>IF(A2104&lt;&gt;"", VLOOKUP(A2104, imdb_netflix_v5!A$2:H$7370, 7, FALSE), "")</f>
        <v>15300000</v>
      </c>
    </row>
    <row r="2105" ht="15.75" customHeight="1">
      <c r="A2105" s="1" t="str">
        <f>IFERROR(__xludf.DUMMYFUNCTION("""COMPUTED_VALUE"""),"izombie")</f>
        <v>izombie</v>
      </c>
      <c r="B2105" s="1" t="str">
        <f>IF(A2105&lt;&gt;"", VLOOKUP(A2105, imdb_netflix_v5!A$2:H$7370, 2, FALSE), "")</f>
        <v>TV Show</v>
      </c>
      <c r="C2105" s="2" t="str">
        <f>IF(A2105&lt;&gt;"", VLOOKUP(A2105, imdb_netflix_v5!A$2:H$7370, 3, FALSE), "")</f>
        <v>Comedy, Crime, Drama</v>
      </c>
      <c r="D2105" s="2">
        <f>IF(A2105&lt;&gt;"", VLOOKUP(A2105, imdb_netflix_v5!A$2:H$7370, 4, FALSE), "")</f>
        <v>7.8</v>
      </c>
      <c r="E2105" s="2">
        <f>IF(A2105&lt;&gt;"", VLOOKUP(A2105, imdb_netflix_v5!A$2:H$7370, 5, FALSE), "")</f>
        <v>2015</v>
      </c>
      <c r="F2105" s="2" t="str">
        <f>IF(A2105&lt;&gt;"", VLOOKUP(A2105, imdb_netflix_v5!A$2:H$7370, 7, FALSE), "")</f>
        <v>NA</v>
      </c>
    </row>
    <row r="2106" ht="15.75" customHeight="1">
      <c r="A2106" s="1" t="str">
        <f>IFERROR(__xludf.DUMMYFUNCTION("""COMPUTED_VALUE"""),"whisper of the heart")</f>
        <v>whisper of the heart</v>
      </c>
      <c r="B2106" s="1" t="str">
        <f>IF(A2106&lt;&gt;"", VLOOKUP(A2106, imdb_netflix_v5!A$2:H$7370, 2, FALSE), "")</f>
        <v>Movie</v>
      </c>
      <c r="C2106" s="2" t="str">
        <f>IF(A2106&lt;&gt;"", VLOOKUP(A2106, imdb_netflix_v5!A$2:H$7370, 3, FALSE), "")</f>
        <v>Animation, Drama, Family</v>
      </c>
      <c r="D2106" s="2">
        <f>IF(A2106&lt;&gt;"", VLOOKUP(A2106, imdb_netflix_v5!A$2:H$7370, 4, FALSE), "")</f>
        <v>7.8</v>
      </c>
      <c r="E2106" s="2">
        <f>IF(A2106&lt;&gt;"", VLOOKUP(A2106, imdb_netflix_v5!A$2:H$7370, 5, FALSE), "")</f>
        <v>1995</v>
      </c>
      <c r="F2106" s="2" t="str">
        <f>IF(A2106&lt;&gt;"", VLOOKUP(A2106, imdb_netflix_v5!A$2:H$7370, 7, FALSE), "")</f>
        <v>NA</v>
      </c>
    </row>
    <row r="2107" ht="15.75" customHeight="1">
      <c r="A2107" s="1" t="str">
        <f>IFERROR(__xludf.DUMMYFUNCTION("""COMPUTED_VALUE"""),"the philadelphia story")</f>
        <v>the philadelphia story</v>
      </c>
      <c r="B2107" s="1" t="str">
        <f>IF(A2107&lt;&gt;"", VLOOKUP(A2107, imdb_netflix_v5!A$2:H$7370, 2, FALSE), "")</f>
        <v>Movie</v>
      </c>
      <c r="C2107" s="2" t="str">
        <f>IF(A2107&lt;&gt;"", VLOOKUP(A2107, imdb_netflix_v5!A$2:H$7370, 3, FALSE), "")</f>
        <v>Comedy, Romance</v>
      </c>
      <c r="D2107" s="2">
        <f>IF(A2107&lt;&gt;"", VLOOKUP(A2107, imdb_netflix_v5!A$2:H$7370, 4, FALSE), "")</f>
        <v>7.8</v>
      </c>
      <c r="E2107" s="2">
        <f>IF(A2107&lt;&gt;"", VLOOKUP(A2107, imdb_netflix_v5!A$2:H$7370, 5, FALSE), "")</f>
        <v>1940</v>
      </c>
      <c r="F2107" s="2" t="str">
        <f>IF(A2107&lt;&gt;"", VLOOKUP(A2107, imdb_netflix_v5!A$2:H$7370, 7, FALSE), "")</f>
        <v>NA</v>
      </c>
    </row>
    <row r="2108" ht="15.75" customHeight="1">
      <c r="A2108" s="1" t="str">
        <f>IFERROR(__xludf.DUMMYFUNCTION("""COMPUTED_VALUE"""),"the chaser")</f>
        <v>the chaser</v>
      </c>
      <c r="B2108" s="1" t="str">
        <f>IF(A2108&lt;&gt;"", VLOOKUP(A2108, imdb_netflix_v5!A$2:H$7370, 2, FALSE), "")</f>
        <v>Movie</v>
      </c>
      <c r="C2108" s="2" t="str">
        <f>IF(A2108&lt;&gt;"", VLOOKUP(A2108, imdb_netflix_v5!A$2:H$7370, 3, FALSE), "")</f>
        <v>Action, Crime, Drama</v>
      </c>
      <c r="D2108" s="2">
        <f>IF(A2108&lt;&gt;"", VLOOKUP(A2108, imdb_netflix_v5!A$2:H$7370, 4, FALSE), "")</f>
        <v>7.8</v>
      </c>
      <c r="E2108" s="2">
        <f>IF(A2108&lt;&gt;"", VLOOKUP(A2108, imdb_netflix_v5!A$2:H$7370, 5, FALSE), "")</f>
        <v>2008</v>
      </c>
      <c r="F2108" s="2" t="str">
        <f>IF(A2108&lt;&gt;"", VLOOKUP(A2108, imdb_netflix_v5!A$2:H$7370, 7, FALSE), "")</f>
        <v>NA</v>
      </c>
    </row>
    <row r="2109" ht="15.75" customHeight="1">
      <c r="A2109" s="1" t="str">
        <f>IFERROR(__xludf.DUMMYFUNCTION("""COMPUTED_VALUE"""),"the muppet christmas carol")</f>
        <v>the muppet christmas carol</v>
      </c>
      <c r="B2109" s="1" t="str">
        <f>IF(A2109&lt;&gt;"", VLOOKUP(A2109, imdb_netflix_v5!A$2:H$7370, 2, FALSE), "")</f>
        <v>Movie</v>
      </c>
      <c r="C2109" s="2" t="str">
        <f>IF(A2109&lt;&gt;"", VLOOKUP(A2109, imdb_netflix_v5!A$2:H$7370, 3, FALSE), "")</f>
        <v>Comedy, Drama, Family</v>
      </c>
      <c r="D2109" s="2">
        <f>IF(A2109&lt;&gt;"", VLOOKUP(A2109, imdb_netflix_v5!A$2:H$7370, 4, FALSE), "")</f>
        <v>7.8</v>
      </c>
      <c r="E2109" s="2">
        <f>IF(A2109&lt;&gt;"", VLOOKUP(A2109, imdb_netflix_v5!A$2:H$7370, 5, FALSE), "")</f>
        <v>1992</v>
      </c>
      <c r="F2109" s="2" t="str">
        <f>IF(A2109&lt;&gt;"", VLOOKUP(A2109, imdb_netflix_v5!A$2:H$7370, 7, FALSE), "")</f>
        <v>NA</v>
      </c>
    </row>
    <row r="2110" ht="15.75" customHeight="1">
      <c r="A2110" s="1" t="str">
        <f>IFERROR(__xludf.DUMMYFUNCTION("""COMPUTED_VALUE"""),"breaking the waves")</f>
        <v>breaking the waves</v>
      </c>
      <c r="B2110" s="1" t="str">
        <f>IF(A2110&lt;&gt;"", VLOOKUP(A2110, imdb_netflix_v5!A$2:H$7370, 2, FALSE), "")</f>
        <v>Movie</v>
      </c>
      <c r="C2110" s="2" t="str">
        <f>IF(A2110&lt;&gt;"", VLOOKUP(A2110, imdb_netflix_v5!A$2:H$7370, 3, FALSE), "")</f>
        <v>Drama</v>
      </c>
      <c r="D2110" s="2">
        <f>IF(A2110&lt;&gt;"", VLOOKUP(A2110, imdb_netflix_v5!A$2:H$7370, 4, FALSE), "")</f>
        <v>7.8</v>
      </c>
      <c r="E2110" s="2">
        <f>IF(A2110&lt;&gt;"", VLOOKUP(A2110, imdb_netflix_v5!A$2:H$7370, 5, FALSE), "")</f>
        <v>1996</v>
      </c>
      <c r="F2110" s="2" t="str">
        <f>IF(A2110&lt;&gt;"", VLOOKUP(A2110, imdb_netflix_v5!A$2:H$7370, 7, FALSE), "")</f>
        <v>NA</v>
      </c>
    </row>
    <row r="2111" ht="15.75" customHeight="1">
      <c r="A2111" s="1" t="str">
        <f>IFERROR(__xludf.DUMMYFUNCTION("""COMPUTED_VALUE"""),"defending jacob")</f>
        <v>defending jacob</v>
      </c>
      <c r="B2111" s="1" t="str">
        <f>IF(A2111&lt;&gt;"", VLOOKUP(A2111, imdb_netflix_v5!A$2:H$7370, 2, FALSE), "")</f>
        <v>TV Show</v>
      </c>
      <c r="C2111" s="2" t="str">
        <f>IF(A2111&lt;&gt;"", VLOOKUP(A2111, imdb_netflix_v5!A$2:H$7370, 3, FALSE), "")</f>
        <v>Crime, Drama, Mystery</v>
      </c>
      <c r="D2111" s="2">
        <f>IF(A2111&lt;&gt;"", VLOOKUP(A2111, imdb_netflix_v5!A$2:H$7370, 4, FALSE), "")</f>
        <v>7.8</v>
      </c>
      <c r="E2111" s="2">
        <f>IF(A2111&lt;&gt;"", VLOOKUP(A2111, imdb_netflix_v5!A$2:H$7370, 5, FALSE), "")</f>
        <v>2020</v>
      </c>
      <c r="F2111" s="2" t="str">
        <f>IF(A2111&lt;&gt;"", VLOOKUP(A2111, imdb_netflix_v5!A$2:H$7370, 7, FALSE), "")</f>
        <v>NA</v>
      </c>
    </row>
    <row r="2112" ht="15.75" customHeight="1">
      <c r="A2112" s="1" t="str">
        <f>IFERROR(__xludf.DUMMYFUNCTION("""COMPUTED_VALUE"""),"shadow of a doubt")</f>
        <v>shadow of a doubt</v>
      </c>
      <c r="B2112" s="1" t="str">
        <f>IF(A2112&lt;&gt;"", VLOOKUP(A2112, imdb_netflix_v5!A$2:H$7370, 2, FALSE), "")</f>
        <v>Movie</v>
      </c>
      <c r="C2112" s="2" t="str">
        <f>IF(A2112&lt;&gt;"", VLOOKUP(A2112, imdb_netflix_v5!A$2:H$7370, 3, FALSE), "")</f>
        <v>Film-Noir, Thriller</v>
      </c>
      <c r="D2112" s="2">
        <f>IF(A2112&lt;&gt;"", VLOOKUP(A2112, imdb_netflix_v5!A$2:H$7370, 4, FALSE), "")</f>
        <v>7.8</v>
      </c>
      <c r="E2112" s="2">
        <f>IF(A2112&lt;&gt;"", VLOOKUP(A2112, imdb_netflix_v5!A$2:H$7370, 5, FALSE), "")</f>
        <v>1943</v>
      </c>
      <c r="F2112" s="2" t="str">
        <f>IF(A2112&lt;&gt;"", VLOOKUP(A2112, imdb_netflix_v5!A$2:H$7370, 7, FALSE), "")</f>
        <v>NA</v>
      </c>
    </row>
    <row r="2113" ht="15.75" customHeight="1">
      <c r="A2113" s="1" t="str">
        <f>IFERROR(__xludf.DUMMYFUNCTION("""COMPUTED_VALUE"""),"thirteen lives")</f>
        <v>thirteen lives</v>
      </c>
      <c r="B2113" s="1" t="str">
        <f>IF(A2113&lt;&gt;"", VLOOKUP(A2113, imdb_netflix_v5!A$2:H$7370, 2, FALSE), "")</f>
        <v>Movie</v>
      </c>
      <c r="C2113" s="2" t="str">
        <f>IF(A2113&lt;&gt;"", VLOOKUP(A2113, imdb_netflix_v5!A$2:H$7370, 3, FALSE), "")</f>
        <v>Biography, Drama, Thriller</v>
      </c>
      <c r="D2113" s="2">
        <f>IF(A2113&lt;&gt;"", VLOOKUP(A2113, imdb_netflix_v5!A$2:H$7370, 4, FALSE), "")</f>
        <v>7.8</v>
      </c>
      <c r="E2113" s="2">
        <f>IF(A2113&lt;&gt;"", VLOOKUP(A2113, imdb_netflix_v5!A$2:H$7370, 5, FALSE), "")</f>
        <v>2022</v>
      </c>
      <c r="F2113" s="2" t="str">
        <f>IF(A2113&lt;&gt;"", VLOOKUP(A2113, imdb_netflix_v5!A$2:H$7370, 7, FALSE), "")</f>
        <v>NA</v>
      </c>
    </row>
    <row r="2114" ht="15.75" customHeight="1">
      <c r="A2114" s="1" t="str">
        <f>IFERROR(__xludf.DUMMYFUNCTION("""COMPUTED_VALUE"""),"the chorus")</f>
        <v>the chorus</v>
      </c>
      <c r="B2114" s="1" t="str">
        <f>IF(A2114&lt;&gt;"", VLOOKUP(A2114, imdb_netflix_v5!A$2:H$7370, 2, FALSE), "")</f>
        <v>Movie</v>
      </c>
      <c r="C2114" s="2" t="str">
        <f>IF(A2114&lt;&gt;"", VLOOKUP(A2114, imdb_netflix_v5!A$2:H$7370, 3, FALSE), "")</f>
        <v>Drama, Music</v>
      </c>
      <c r="D2114" s="2">
        <f>IF(A2114&lt;&gt;"", VLOOKUP(A2114, imdb_netflix_v5!A$2:H$7370, 4, FALSE), "")</f>
        <v>7.8</v>
      </c>
      <c r="E2114" s="2">
        <f>IF(A2114&lt;&gt;"", VLOOKUP(A2114, imdb_netflix_v5!A$2:H$7370, 5, FALSE), "")</f>
        <v>2004</v>
      </c>
      <c r="F2114" s="2" t="str">
        <f>IF(A2114&lt;&gt;"", VLOOKUP(A2114, imdb_netflix_v5!A$2:H$7370, 7, FALSE), "")</f>
        <v>NA</v>
      </c>
    </row>
    <row r="2115" ht="15.75" customHeight="1">
      <c r="A2115" s="1" t="str">
        <f>IFERROR(__xludf.DUMMYFUNCTION("""COMPUTED_VALUE"""),"bringing up baby")</f>
        <v>bringing up baby</v>
      </c>
      <c r="B2115" s="1" t="str">
        <f>IF(A2115&lt;&gt;"", VLOOKUP(A2115, imdb_netflix_v5!A$2:H$7370, 2, FALSE), "")</f>
        <v>Movie</v>
      </c>
      <c r="C2115" s="2" t="str">
        <f>IF(A2115&lt;&gt;"", VLOOKUP(A2115, imdb_netflix_v5!A$2:H$7370, 3, FALSE), "")</f>
        <v>Comedy</v>
      </c>
      <c r="D2115" s="2">
        <f>IF(A2115&lt;&gt;"", VLOOKUP(A2115, imdb_netflix_v5!A$2:H$7370, 4, FALSE), "")</f>
        <v>7.8</v>
      </c>
      <c r="E2115" s="2">
        <f>IF(A2115&lt;&gt;"", VLOOKUP(A2115, imdb_netflix_v5!A$2:H$7370, 5, FALSE), "")</f>
        <v>1938</v>
      </c>
      <c r="F2115" s="2" t="str">
        <f>IF(A2115&lt;&gt;"", VLOOKUP(A2115, imdb_netflix_v5!A$2:H$7370, 7, FALSE), "")</f>
        <v>NA</v>
      </c>
    </row>
    <row r="2116" ht="15.75" customHeight="1">
      <c r="A2116" s="1" t="str">
        <f>IFERROR(__xludf.DUMMYFUNCTION("""COMPUTED_VALUE"""),"the right stuff")</f>
        <v>the right stuff</v>
      </c>
      <c r="B2116" s="1" t="str">
        <f>IF(A2116&lt;&gt;"", VLOOKUP(A2116, imdb_netflix_v5!A$2:H$7370, 2, FALSE), "")</f>
        <v>Movie</v>
      </c>
      <c r="C2116" s="2" t="str">
        <f>IF(A2116&lt;&gt;"", VLOOKUP(A2116, imdb_netflix_v5!A$2:H$7370, 3, FALSE), "")</f>
        <v>Adventure, Biography, Drama</v>
      </c>
      <c r="D2116" s="2">
        <f>IF(A2116&lt;&gt;"", VLOOKUP(A2116, imdb_netflix_v5!A$2:H$7370, 4, FALSE), "")</f>
        <v>7.8</v>
      </c>
      <c r="E2116" s="2">
        <f>IF(A2116&lt;&gt;"", VLOOKUP(A2116, imdb_netflix_v5!A$2:H$7370, 5, FALSE), "")</f>
        <v>1983</v>
      </c>
      <c r="F2116" s="2" t="str">
        <f>IF(A2116&lt;&gt;"", VLOOKUP(A2116, imdb_netflix_v5!A$2:H$7370, 7, FALSE), "")</f>
        <v>NA</v>
      </c>
    </row>
    <row r="2117" ht="15.75" customHeight="1">
      <c r="A2117" s="1" t="str">
        <f>IFERROR(__xludf.DUMMYFUNCTION("""COMPUTED_VALUE"""),"a discovery of witches")</f>
        <v>a discovery of witches</v>
      </c>
      <c r="B2117" s="1" t="str">
        <f>IF(A2117&lt;&gt;"", VLOOKUP(A2117, imdb_netflix_v5!A$2:H$7370, 2, FALSE), "")</f>
        <v>TV Show</v>
      </c>
      <c r="C2117" s="2" t="str">
        <f>IF(A2117&lt;&gt;"", VLOOKUP(A2117, imdb_netflix_v5!A$2:H$7370, 3, FALSE), "")</f>
        <v>Drama, Fantasy, Romance</v>
      </c>
      <c r="D2117" s="2">
        <f>IF(A2117&lt;&gt;"", VLOOKUP(A2117, imdb_netflix_v5!A$2:H$7370, 4, FALSE), "")</f>
        <v>7.8</v>
      </c>
      <c r="E2117" s="2">
        <f>IF(A2117&lt;&gt;"", VLOOKUP(A2117, imdb_netflix_v5!A$2:H$7370, 5, FALSE), "")</f>
        <v>2018</v>
      </c>
      <c r="F2117" s="2" t="str">
        <f>IF(A2117&lt;&gt;"", VLOOKUP(A2117, imdb_netflix_v5!A$2:H$7370, 7, FALSE), "")</f>
        <v>NA</v>
      </c>
    </row>
    <row r="2118" ht="15.75" customHeight="1">
      <c r="A2118" s="1" t="str">
        <f>IFERROR(__xludf.DUMMYFUNCTION("""COMPUTED_VALUE"""),"i, daniel blake")</f>
        <v>i, daniel blake</v>
      </c>
      <c r="B2118" s="1" t="str">
        <f>IF(A2118&lt;&gt;"", VLOOKUP(A2118, imdb_netflix_v5!A$2:H$7370, 2, FALSE), "")</f>
        <v>Movie</v>
      </c>
      <c r="C2118" s="2" t="str">
        <f>IF(A2118&lt;&gt;"", VLOOKUP(A2118, imdb_netflix_v5!A$2:H$7370, 3, FALSE), "")</f>
        <v>Drama</v>
      </c>
      <c r="D2118" s="2">
        <f>IF(A2118&lt;&gt;"", VLOOKUP(A2118, imdb_netflix_v5!A$2:H$7370, 4, FALSE), "")</f>
        <v>7.8</v>
      </c>
      <c r="E2118" s="2">
        <f>IF(A2118&lt;&gt;"", VLOOKUP(A2118, imdb_netflix_v5!A$2:H$7370, 5, FALSE), "")</f>
        <v>2016</v>
      </c>
      <c r="F2118" s="2" t="str">
        <f>IF(A2118&lt;&gt;"", VLOOKUP(A2118, imdb_netflix_v5!A$2:H$7370, 7, FALSE), "")</f>
        <v>NA</v>
      </c>
    </row>
    <row r="2119" ht="15.75" customHeight="1">
      <c r="A2119" s="1" t="str">
        <f>IFERROR(__xludf.DUMMYFUNCTION("""COMPUTED_VALUE"""),"loving vincent")</f>
        <v>loving vincent</v>
      </c>
      <c r="B2119" s="1" t="str">
        <f>IF(A2119&lt;&gt;"", VLOOKUP(A2119, imdb_netflix_v5!A$2:H$7370, 2, FALSE), "")</f>
        <v>Movie</v>
      </c>
      <c r="C2119" s="2" t="str">
        <f>IF(A2119&lt;&gt;"", VLOOKUP(A2119, imdb_netflix_v5!A$2:H$7370, 3, FALSE), "")</f>
        <v>Animation, Drama, Mystery</v>
      </c>
      <c r="D2119" s="2">
        <f>IF(A2119&lt;&gt;"", VLOOKUP(A2119, imdb_netflix_v5!A$2:H$7370, 4, FALSE), "")</f>
        <v>7.8</v>
      </c>
      <c r="E2119" s="2">
        <f>IF(A2119&lt;&gt;"", VLOOKUP(A2119, imdb_netflix_v5!A$2:H$7370, 5, FALSE), "")</f>
        <v>2017</v>
      </c>
      <c r="F2119" s="2" t="str">
        <f>IF(A2119&lt;&gt;"", VLOOKUP(A2119, imdb_netflix_v5!A$2:H$7370, 7, FALSE), "")</f>
        <v>NA</v>
      </c>
    </row>
    <row r="2120" ht="15.75" customHeight="1">
      <c r="A2120" s="1" t="str">
        <f>IFERROR(__xludf.DUMMYFUNCTION("""COMPUTED_VALUE"""),"his girl friday")</f>
        <v>his girl friday</v>
      </c>
      <c r="B2120" s="1" t="str">
        <f>IF(A2120&lt;&gt;"", VLOOKUP(A2120, imdb_netflix_v5!A$2:H$7370, 2, FALSE), "")</f>
        <v>Movie</v>
      </c>
      <c r="C2120" s="2" t="str">
        <f>IF(A2120&lt;&gt;"", VLOOKUP(A2120, imdb_netflix_v5!A$2:H$7370, 3, FALSE), "")</f>
        <v>Comedy, Drama, Romance</v>
      </c>
      <c r="D2120" s="2">
        <f>IF(A2120&lt;&gt;"", VLOOKUP(A2120, imdb_netflix_v5!A$2:H$7370, 4, FALSE), "")</f>
        <v>7.8</v>
      </c>
      <c r="E2120" s="2">
        <f>IF(A2120&lt;&gt;"", VLOOKUP(A2120, imdb_netflix_v5!A$2:H$7370, 5, FALSE), "")</f>
        <v>1940</v>
      </c>
      <c r="F2120" s="2" t="str">
        <f>IF(A2120&lt;&gt;"", VLOOKUP(A2120, imdb_netflix_v5!A$2:H$7370, 7, FALSE), "")</f>
        <v>NA</v>
      </c>
    </row>
    <row r="2121" ht="15.75" customHeight="1">
      <c r="A2121" s="1" t="str">
        <f>IFERROR(__xludf.DUMMYFUNCTION("""COMPUTED_VALUE"""),"aguirre, the wrath of god")</f>
        <v>aguirre, the wrath of god</v>
      </c>
      <c r="B2121" s="1" t="str">
        <f>IF(A2121&lt;&gt;"", VLOOKUP(A2121, imdb_netflix_v5!A$2:H$7370, 2, FALSE), "")</f>
        <v>Movie</v>
      </c>
      <c r="C2121" s="2" t="str">
        <f>IF(A2121&lt;&gt;"", VLOOKUP(A2121, imdb_netflix_v5!A$2:H$7370, 3, FALSE), "")</f>
        <v>Action, Adventure, Biography</v>
      </c>
      <c r="D2121" s="2">
        <f>IF(A2121&lt;&gt;"", VLOOKUP(A2121, imdb_netflix_v5!A$2:H$7370, 4, FALSE), "")</f>
        <v>7.8</v>
      </c>
      <c r="E2121" s="2">
        <f>IF(A2121&lt;&gt;"", VLOOKUP(A2121, imdb_netflix_v5!A$2:H$7370, 5, FALSE), "")</f>
        <v>1972</v>
      </c>
      <c r="F2121" s="2" t="str">
        <f>IF(A2121&lt;&gt;"", VLOOKUP(A2121, imdb_netflix_v5!A$2:H$7370, 7, FALSE), "")</f>
        <v>NA</v>
      </c>
    </row>
    <row r="2122" ht="15.75" customHeight="1">
      <c r="A2122" s="1" t="str">
        <f>IFERROR(__xludf.DUMMYFUNCTION("""COMPUTED_VALUE"""),"grizzly man")</f>
        <v>grizzly man</v>
      </c>
      <c r="B2122" s="1" t="str">
        <f>IF(A2122&lt;&gt;"", VLOOKUP(A2122, imdb_netflix_v5!A$2:H$7370, 2, FALSE), "")</f>
        <v>Movie</v>
      </c>
      <c r="C2122" s="2" t="str">
        <f>IF(A2122&lt;&gt;"", VLOOKUP(A2122, imdb_netflix_v5!A$2:H$7370, 3, FALSE), "")</f>
        <v>Biography, Documentary</v>
      </c>
      <c r="D2122" s="2">
        <f>IF(A2122&lt;&gt;"", VLOOKUP(A2122, imdb_netflix_v5!A$2:H$7370, 4, FALSE), "")</f>
        <v>7.8</v>
      </c>
      <c r="E2122" s="2">
        <f>IF(A2122&lt;&gt;"", VLOOKUP(A2122, imdb_netflix_v5!A$2:H$7370, 5, FALSE), "")</f>
        <v>2005</v>
      </c>
      <c r="F2122" s="2" t="str">
        <f>IF(A2122&lt;&gt;"", VLOOKUP(A2122, imdb_netflix_v5!A$2:H$7370, 7, FALSE), "")</f>
        <v>NA</v>
      </c>
    </row>
    <row r="2123" ht="15.75" customHeight="1">
      <c r="A2123" s="1" t="str">
        <f>IFERROR(__xludf.DUMMYFUNCTION("""COMPUTED_VALUE"""),"gangubai kathiawadi")</f>
        <v>gangubai kathiawadi</v>
      </c>
      <c r="B2123" s="1" t="str">
        <f>IF(A2123&lt;&gt;"", VLOOKUP(A2123, imdb_netflix_v5!A$2:H$7370, 2, FALSE), "")</f>
        <v>Movie</v>
      </c>
      <c r="C2123" s="2" t="str">
        <f>IF(A2123&lt;&gt;"", VLOOKUP(A2123, imdb_netflix_v5!A$2:H$7370, 3, FALSE), "")</f>
        <v>Biography, Crime, Drama</v>
      </c>
      <c r="D2123" s="2">
        <f>IF(A2123&lt;&gt;"", VLOOKUP(A2123, imdb_netflix_v5!A$2:H$7370, 4, FALSE), "")</f>
        <v>7.8</v>
      </c>
      <c r="E2123" s="2">
        <f>IF(A2123&lt;&gt;"", VLOOKUP(A2123, imdb_netflix_v5!A$2:H$7370, 5, FALSE), "")</f>
        <v>2022</v>
      </c>
      <c r="F2123" s="2">
        <f>IF(A2123&lt;&gt;"", VLOOKUP(A2123, imdb_netflix_v5!A$2:H$7370, 7, FALSE), "")</f>
        <v>2840000</v>
      </c>
    </row>
    <row r="2124" ht="15.75" customHeight="1">
      <c r="A2124" s="1" t="str">
        <f>IFERROR(__xludf.DUMMYFUNCTION("""COMPUTED_VALUE"""),"pride")</f>
        <v>pride</v>
      </c>
      <c r="B2124" s="1" t="str">
        <f>IF(A2124&lt;&gt;"", VLOOKUP(A2124, imdb_netflix_v5!A$2:H$7370, 2, FALSE), "")</f>
        <v>Movie</v>
      </c>
      <c r="C2124" s="2" t="str">
        <f>IF(A2124&lt;&gt;"", VLOOKUP(A2124, imdb_netflix_v5!A$2:H$7370, 3, FALSE), "")</f>
        <v>Biography, Comedy, Drama</v>
      </c>
      <c r="D2124" s="2">
        <f>IF(A2124&lt;&gt;"", VLOOKUP(A2124, imdb_netflix_v5!A$2:H$7370, 4, FALSE), "")</f>
        <v>7.8</v>
      </c>
      <c r="E2124" s="2">
        <f>IF(A2124&lt;&gt;"", VLOOKUP(A2124, imdb_netflix_v5!A$2:H$7370, 5, FALSE), "")</f>
        <v>2014</v>
      </c>
      <c r="F2124" s="2" t="str">
        <f>IF(A2124&lt;&gt;"", VLOOKUP(A2124, imdb_netflix_v5!A$2:H$7370, 7, FALSE), "")</f>
        <v>NA</v>
      </c>
    </row>
    <row r="2125" ht="15.75" customHeight="1">
      <c r="A2125" s="1" t="str">
        <f>IFERROR(__xludf.DUMMYFUNCTION("""COMPUTED_VALUE"""),"the lunchbox")</f>
        <v>the lunchbox</v>
      </c>
      <c r="B2125" s="1" t="str">
        <f>IF(A2125&lt;&gt;"", VLOOKUP(A2125, imdb_netflix_v5!A$2:H$7370, 2, FALSE), "")</f>
        <v>Movie</v>
      </c>
      <c r="C2125" s="2" t="str">
        <f>IF(A2125&lt;&gt;"", VLOOKUP(A2125, imdb_netflix_v5!A$2:H$7370, 3, FALSE), "")</f>
        <v>Drama, Romance</v>
      </c>
      <c r="D2125" s="2">
        <f>IF(A2125&lt;&gt;"", VLOOKUP(A2125, imdb_netflix_v5!A$2:H$7370, 4, FALSE), "")</f>
        <v>7.8</v>
      </c>
      <c r="E2125" s="2">
        <f>IF(A2125&lt;&gt;"", VLOOKUP(A2125, imdb_netflix_v5!A$2:H$7370, 5, FALSE), "")</f>
        <v>2013</v>
      </c>
      <c r="F2125" s="2" t="str">
        <f>IF(A2125&lt;&gt;"", VLOOKUP(A2125, imdb_netflix_v5!A$2:H$7370, 7, FALSE), "")</f>
        <v>NA</v>
      </c>
    </row>
    <row r="2126" ht="15.75" customHeight="1">
      <c r="A2126" s="1" t="str">
        <f>IFERROR(__xludf.DUMMYFUNCTION("""COMPUTED_VALUE"""),"crimes and misdemeanors")</f>
        <v>crimes and misdemeanors</v>
      </c>
      <c r="B2126" s="1" t="str">
        <f>IF(A2126&lt;&gt;"", VLOOKUP(A2126, imdb_netflix_v5!A$2:H$7370, 2, FALSE), "")</f>
        <v>Movie</v>
      </c>
      <c r="C2126" s="2" t="str">
        <f>IF(A2126&lt;&gt;"", VLOOKUP(A2126, imdb_netflix_v5!A$2:H$7370, 3, FALSE), "")</f>
        <v>Comedy, Drama</v>
      </c>
      <c r="D2126" s="2">
        <f>IF(A2126&lt;&gt;"", VLOOKUP(A2126, imdb_netflix_v5!A$2:H$7370, 4, FALSE), "")</f>
        <v>7.8</v>
      </c>
      <c r="E2126" s="2">
        <f>IF(A2126&lt;&gt;"", VLOOKUP(A2126, imdb_netflix_v5!A$2:H$7370, 5, FALSE), "")</f>
        <v>1989</v>
      </c>
      <c r="F2126" s="2" t="str">
        <f>IF(A2126&lt;&gt;"", VLOOKUP(A2126, imdb_netflix_v5!A$2:H$7370, 7, FALSE), "")</f>
        <v>NA</v>
      </c>
    </row>
    <row r="2127" ht="15.75" customHeight="1">
      <c r="A2127" s="1" t="str">
        <f>IFERROR(__xludf.DUMMYFUNCTION("""COMPUTED_VALUE"""),"cabaret")</f>
        <v>cabaret</v>
      </c>
      <c r="B2127" s="1" t="str">
        <f>IF(A2127&lt;&gt;"", VLOOKUP(A2127, imdb_netflix_v5!A$2:H$7370, 2, FALSE), "")</f>
        <v>Movie</v>
      </c>
      <c r="C2127" s="2" t="str">
        <f>IF(A2127&lt;&gt;"", VLOOKUP(A2127, imdb_netflix_v5!A$2:H$7370, 3, FALSE), "")</f>
        <v>Drama, Music, Musical</v>
      </c>
      <c r="D2127" s="2">
        <f>IF(A2127&lt;&gt;"", VLOOKUP(A2127, imdb_netflix_v5!A$2:H$7370, 4, FALSE), "")</f>
        <v>7.8</v>
      </c>
      <c r="E2127" s="2">
        <f>IF(A2127&lt;&gt;"", VLOOKUP(A2127, imdb_netflix_v5!A$2:H$7370, 5, FALSE), "")</f>
        <v>1972</v>
      </c>
      <c r="F2127" s="2" t="str">
        <f>IF(A2127&lt;&gt;"", VLOOKUP(A2127, imdb_netflix_v5!A$2:H$7370, 7, FALSE), "")</f>
        <v>NA</v>
      </c>
    </row>
    <row r="2128" ht="15.75" customHeight="1">
      <c r="A2128" s="1" t="str">
        <f>IFERROR(__xludf.DUMMYFUNCTION("""COMPUTED_VALUE"""),"the killing fields")</f>
        <v>the killing fields</v>
      </c>
      <c r="B2128" s="1" t="str">
        <f>IF(A2128&lt;&gt;"", VLOOKUP(A2128, imdb_netflix_v5!A$2:H$7370, 2, FALSE), "")</f>
        <v>Movie</v>
      </c>
      <c r="C2128" s="2" t="str">
        <f>IF(A2128&lt;&gt;"", VLOOKUP(A2128, imdb_netflix_v5!A$2:H$7370, 3, FALSE), "")</f>
        <v>Biography, Drama, History</v>
      </c>
      <c r="D2128" s="2">
        <f>IF(A2128&lt;&gt;"", VLOOKUP(A2128, imdb_netflix_v5!A$2:H$7370, 4, FALSE), "")</f>
        <v>7.8</v>
      </c>
      <c r="E2128" s="2">
        <f>IF(A2128&lt;&gt;"", VLOOKUP(A2128, imdb_netflix_v5!A$2:H$7370, 5, FALSE), "")</f>
        <v>1984</v>
      </c>
      <c r="F2128" s="2" t="str">
        <f>IF(A2128&lt;&gt;"", VLOOKUP(A2128, imdb_netflix_v5!A$2:H$7370, 7, FALSE), "")</f>
        <v>NA</v>
      </c>
    </row>
    <row r="2129" ht="15.75" customHeight="1">
      <c r="A2129" s="1" t="str">
        <f>IFERROR(__xludf.DUMMYFUNCTION("""COMPUTED_VALUE"""),"bloodline")</f>
        <v>bloodline</v>
      </c>
      <c r="B2129" s="1" t="str">
        <f>IF(A2129&lt;&gt;"", VLOOKUP(A2129, imdb_netflix_v5!A$2:H$7370, 2, FALSE), "")</f>
        <v>TV Show</v>
      </c>
      <c r="C2129" s="2" t="str">
        <f>IF(A2129&lt;&gt;"", VLOOKUP(A2129, imdb_netflix_v5!A$2:H$7370, 3, FALSE), "")</f>
        <v>Drama, Thriller</v>
      </c>
      <c r="D2129" s="2">
        <f>IF(A2129&lt;&gt;"", VLOOKUP(A2129, imdb_netflix_v5!A$2:H$7370, 4, FALSE), "")</f>
        <v>7.8</v>
      </c>
      <c r="E2129" s="2">
        <f>IF(A2129&lt;&gt;"", VLOOKUP(A2129, imdb_netflix_v5!A$2:H$7370, 5, FALSE), "")</f>
        <v>2015</v>
      </c>
      <c r="F2129" s="2" t="str">
        <f>IF(A2129&lt;&gt;"", VLOOKUP(A2129, imdb_netflix_v5!A$2:H$7370, 7, FALSE), "")</f>
        <v>NA</v>
      </c>
    </row>
    <row r="2130" ht="15.75" customHeight="1">
      <c r="A2130" s="1" t="str">
        <f>IFERROR(__xludf.DUMMYFUNCTION("""COMPUTED_VALUE"""),"the worlds fastest indian")</f>
        <v>the worlds fastest indian</v>
      </c>
      <c r="B2130" s="1" t="str">
        <f>IF(A2130&lt;&gt;"", VLOOKUP(A2130, imdb_netflix_v5!A$2:H$7370, 2, FALSE), "")</f>
        <v>Movie</v>
      </c>
      <c r="C2130" s="2" t="str">
        <f>IF(A2130&lt;&gt;"", VLOOKUP(A2130, imdb_netflix_v5!A$2:H$7370, 3, FALSE), "")</f>
        <v>Biography, Drama, Sport</v>
      </c>
      <c r="D2130" s="2">
        <f>IF(A2130&lt;&gt;"", VLOOKUP(A2130, imdb_netflix_v5!A$2:H$7370, 4, FALSE), "")</f>
        <v>7.8</v>
      </c>
      <c r="E2130" s="2">
        <f>IF(A2130&lt;&gt;"", VLOOKUP(A2130, imdb_netflix_v5!A$2:H$7370, 5, FALSE), "")</f>
        <v>2005</v>
      </c>
      <c r="F2130" s="2" t="str">
        <f>IF(A2130&lt;&gt;"", VLOOKUP(A2130, imdb_netflix_v5!A$2:H$7370, 7, FALSE), "")</f>
        <v>NA</v>
      </c>
    </row>
    <row r="2131" ht="15.75" customHeight="1">
      <c r="A2131" s="1" t="str">
        <f>IFERROR(__xludf.DUMMYFUNCTION("""COMPUTED_VALUE"""),"batman mask of the phantasm")</f>
        <v>batman mask of the phantasm</v>
      </c>
      <c r="B2131" s="1" t="str">
        <f>IF(A2131&lt;&gt;"", VLOOKUP(A2131, imdb_netflix_v5!A$2:H$7370, 2, FALSE), "")</f>
        <v>Movie</v>
      </c>
      <c r="C2131" s="2" t="str">
        <f>IF(A2131&lt;&gt;"", VLOOKUP(A2131, imdb_netflix_v5!A$2:H$7370, 3, FALSE), "")</f>
        <v>Action, Adventure, Animation</v>
      </c>
      <c r="D2131" s="2">
        <f>IF(A2131&lt;&gt;"", VLOOKUP(A2131, imdb_netflix_v5!A$2:H$7370, 4, FALSE), "")</f>
        <v>7.8</v>
      </c>
      <c r="E2131" s="2">
        <f>IF(A2131&lt;&gt;"", VLOOKUP(A2131, imdb_netflix_v5!A$2:H$7370, 5, FALSE), "")</f>
        <v>1993</v>
      </c>
      <c r="F2131" s="2" t="str">
        <f>IF(A2131&lt;&gt;"", VLOOKUP(A2131, imdb_netflix_v5!A$2:H$7370, 7, FALSE), "")</f>
        <v>NA</v>
      </c>
    </row>
    <row r="2132" ht="15.75" customHeight="1">
      <c r="A2132" s="1" t="str">
        <f>IFERROR(__xludf.DUMMYFUNCTION("""COMPUTED_VALUE"""),"star wars the bad batch")</f>
        <v>star wars the bad batch</v>
      </c>
      <c r="B2132" s="1" t="str">
        <f>IF(A2132&lt;&gt;"", VLOOKUP(A2132, imdb_netflix_v5!A$2:H$7370, 2, FALSE), "")</f>
        <v>TV Show</v>
      </c>
      <c r="C2132" s="2" t="str">
        <f>IF(A2132&lt;&gt;"", VLOOKUP(A2132, imdb_netflix_v5!A$2:H$7370, 3, FALSE), "")</f>
        <v>Action, Adventure, Animation</v>
      </c>
      <c r="D2132" s="2">
        <f>IF(A2132&lt;&gt;"", VLOOKUP(A2132, imdb_netflix_v5!A$2:H$7370, 4, FALSE), "")</f>
        <v>7.8</v>
      </c>
      <c r="E2132" s="2">
        <f>IF(A2132&lt;&gt;"", VLOOKUP(A2132, imdb_netflix_v5!A$2:H$7370, 5, FALSE), "")</f>
        <v>2021</v>
      </c>
      <c r="F2132" s="2" t="str">
        <f>IF(A2132&lt;&gt;"", VLOOKUP(A2132, imdb_netflix_v5!A$2:H$7370, 7, FALSE), "")</f>
        <v>NA</v>
      </c>
    </row>
    <row r="2133" ht="15.75" customHeight="1">
      <c r="A2133" s="1" t="str">
        <f>IFERROR(__xludf.DUMMYFUNCTION("""COMPUTED_VALUE"""),"veer-zaara")</f>
        <v>veer-zaara</v>
      </c>
      <c r="B2133" s="1" t="str">
        <f>IF(A2133&lt;&gt;"", VLOOKUP(A2133, imdb_netflix_v5!A$2:H$7370, 2, FALSE), "")</f>
        <v>Movie</v>
      </c>
      <c r="C2133" s="2" t="str">
        <f>IF(A2133&lt;&gt;"", VLOOKUP(A2133, imdb_netflix_v5!A$2:H$7370, 3, FALSE), "")</f>
        <v>Drama, Family, Musical</v>
      </c>
      <c r="D2133" s="2">
        <f>IF(A2133&lt;&gt;"", VLOOKUP(A2133, imdb_netflix_v5!A$2:H$7370, 4, FALSE), "")</f>
        <v>7.8</v>
      </c>
      <c r="E2133" s="2">
        <f>IF(A2133&lt;&gt;"", VLOOKUP(A2133, imdb_netflix_v5!A$2:H$7370, 5, FALSE), "")</f>
        <v>2004</v>
      </c>
      <c r="F2133" s="2" t="str">
        <f>IF(A2133&lt;&gt;"", VLOOKUP(A2133, imdb_netflix_v5!A$2:H$7370, 7, FALSE), "")</f>
        <v>NA</v>
      </c>
    </row>
    <row r="2134" ht="15.75" customHeight="1">
      <c r="A2134" s="1" t="str">
        <f>IFERROR(__xludf.DUMMYFUNCTION("""COMPUTED_VALUE"""),"masters of the air")</f>
        <v>masters of the air</v>
      </c>
      <c r="B2134" s="1" t="str">
        <f>IF(A2134&lt;&gt;"", VLOOKUP(A2134, imdb_netflix_v5!A$2:H$7370, 2, FALSE), "")</f>
        <v>TV Show</v>
      </c>
      <c r="C2134" s="2" t="str">
        <f>IF(A2134&lt;&gt;"", VLOOKUP(A2134, imdb_netflix_v5!A$2:H$7370, 3, FALSE), "")</f>
        <v>Action, Drama, History</v>
      </c>
      <c r="D2134" s="2">
        <f>IF(A2134&lt;&gt;"", VLOOKUP(A2134, imdb_netflix_v5!A$2:H$7370, 4, FALSE), "")</f>
        <v>7.8</v>
      </c>
      <c r="E2134" s="2">
        <f>IF(A2134&lt;&gt;"", VLOOKUP(A2134, imdb_netflix_v5!A$2:H$7370, 5, FALSE), "")</f>
        <v>2024</v>
      </c>
      <c r="F2134" s="2" t="str">
        <f>IF(A2134&lt;&gt;"", VLOOKUP(A2134, imdb_netflix_v5!A$2:H$7370, 7, FALSE), "")</f>
        <v>NA</v>
      </c>
    </row>
    <row r="2135" ht="15.75" customHeight="1">
      <c r="A2135" s="1" t="str">
        <f>IFERROR(__xludf.DUMMYFUNCTION("""COMPUTED_VALUE"""),"3rd rock from the sun")</f>
        <v>3rd rock from the sun</v>
      </c>
      <c r="B2135" s="1" t="str">
        <f>IF(A2135&lt;&gt;"", VLOOKUP(A2135, imdb_netflix_v5!A$2:H$7370, 2, FALSE), "")</f>
        <v>TV Show</v>
      </c>
      <c r="C2135" s="2" t="str">
        <f>IF(A2135&lt;&gt;"", VLOOKUP(A2135, imdb_netflix_v5!A$2:H$7370, 3, FALSE), "")</f>
        <v>Comedy, Family, Sci-Fi</v>
      </c>
      <c r="D2135" s="2">
        <f>IF(A2135&lt;&gt;"", VLOOKUP(A2135, imdb_netflix_v5!A$2:H$7370, 4, FALSE), "")</f>
        <v>7.8</v>
      </c>
      <c r="E2135" s="2">
        <f>IF(A2135&lt;&gt;"", VLOOKUP(A2135, imdb_netflix_v5!A$2:H$7370, 5, FALSE), "")</f>
        <v>1996</v>
      </c>
      <c r="F2135" s="2" t="str">
        <f>IF(A2135&lt;&gt;"", VLOOKUP(A2135, imdb_netflix_v5!A$2:H$7370, 7, FALSE), "")</f>
        <v>NA</v>
      </c>
    </row>
    <row r="2136" ht="15.75" customHeight="1">
      <c r="A2136" s="1" t="str">
        <f>IFERROR(__xludf.DUMMYFUNCTION("""COMPUTED_VALUE"""),"amy")</f>
        <v>amy</v>
      </c>
      <c r="B2136" s="1" t="str">
        <f>IF(A2136&lt;&gt;"", VLOOKUP(A2136, imdb_netflix_v5!A$2:H$7370, 2, FALSE), "")</f>
        <v>Movie</v>
      </c>
      <c r="C2136" s="2" t="str">
        <f>IF(A2136&lt;&gt;"", VLOOKUP(A2136, imdb_netflix_v5!A$2:H$7370, 3, FALSE), "")</f>
        <v>Biography, Documentary, Music</v>
      </c>
      <c r="D2136" s="2">
        <f>IF(A2136&lt;&gt;"", VLOOKUP(A2136, imdb_netflix_v5!A$2:H$7370, 4, FALSE), "")</f>
        <v>7.8</v>
      </c>
      <c r="E2136" s="2">
        <f>IF(A2136&lt;&gt;"", VLOOKUP(A2136, imdb_netflix_v5!A$2:H$7370, 5, FALSE), "")</f>
        <v>2015</v>
      </c>
      <c r="F2136" s="2" t="str">
        <f>IF(A2136&lt;&gt;"", VLOOKUP(A2136, imdb_netflix_v5!A$2:H$7370, 7, FALSE), "")</f>
        <v>NA</v>
      </c>
    </row>
    <row r="2137" ht="15.75" customHeight="1">
      <c r="A2137" s="1" t="str">
        <f>IFERROR(__xludf.DUMMYFUNCTION("""COMPUTED_VALUE"""),"stagecoach")</f>
        <v>stagecoach</v>
      </c>
      <c r="B2137" s="1" t="str">
        <f>IF(A2137&lt;&gt;"", VLOOKUP(A2137, imdb_netflix_v5!A$2:H$7370, 2, FALSE), "")</f>
        <v>Movie</v>
      </c>
      <c r="C2137" s="2" t="str">
        <f>IF(A2137&lt;&gt;"", VLOOKUP(A2137, imdb_netflix_v5!A$2:H$7370, 3, FALSE), "")</f>
        <v>Adventure, Drama, Western</v>
      </c>
      <c r="D2137" s="2">
        <f>IF(A2137&lt;&gt;"", VLOOKUP(A2137, imdb_netflix_v5!A$2:H$7370, 4, FALSE), "")</f>
        <v>7.8</v>
      </c>
      <c r="E2137" s="2">
        <f>IF(A2137&lt;&gt;"", VLOOKUP(A2137, imdb_netflix_v5!A$2:H$7370, 5, FALSE), "")</f>
        <v>1939</v>
      </c>
      <c r="F2137" s="2" t="str">
        <f>IF(A2137&lt;&gt;"", VLOOKUP(A2137, imdb_netflix_v5!A$2:H$7370, 7, FALSE), "")</f>
        <v>NA</v>
      </c>
    </row>
    <row r="2138" ht="15.75" customHeight="1">
      <c r="A2138" s="1" t="str">
        <f>IFERROR(__xludf.DUMMYFUNCTION("""COMPUTED_VALUE"""),"bride of frankenstein")</f>
        <v>bride of frankenstein</v>
      </c>
      <c r="B2138" s="1" t="str">
        <f>IF(A2138&lt;&gt;"", VLOOKUP(A2138, imdb_netflix_v5!A$2:H$7370, 2, FALSE), "")</f>
        <v>Movie</v>
      </c>
      <c r="C2138" s="2" t="str">
        <f>IF(A2138&lt;&gt;"", VLOOKUP(A2138, imdb_netflix_v5!A$2:H$7370, 3, FALSE), "")</f>
        <v>Drama, Horror, Sci-Fi</v>
      </c>
      <c r="D2138" s="2">
        <f>IF(A2138&lt;&gt;"", VLOOKUP(A2138, imdb_netflix_v5!A$2:H$7370, 4, FALSE), "")</f>
        <v>7.8</v>
      </c>
      <c r="E2138" s="2">
        <f>IF(A2138&lt;&gt;"", VLOOKUP(A2138, imdb_netflix_v5!A$2:H$7370, 5, FALSE), "")</f>
        <v>1935</v>
      </c>
      <c r="F2138" s="2" t="str">
        <f>IF(A2138&lt;&gt;"", VLOOKUP(A2138, imdb_netflix_v5!A$2:H$7370, 7, FALSE), "")</f>
        <v>NA</v>
      </c>
    </row>
    <row r="2139" ht="15.75" customHeight="1">
      <c r="A2139" s="1" t="str">
        <f>IFERROR(__xludf.DUMMYFUNCTION("""COMPUTED_VALUE"""),"cowboy bebop the movie")</f>
        <v>cowboy bebop the movie</v>
      </c>
      <c r="B2139" s="1" t="str">
        <f>IF(A2139&lt;&gt;"", VLOOKUP(A2139, imdb_netflix_v5!A$2:H$7370, 2, FALSE), "")</f>
        <v>Movie</v>
      </c>
      <c r="C2139" s="2" t="str">
        <f>IF(A2139&lt;&gt;"", VLOOKUP(A2139, imdb_netflix_v5!A$2:H$7370, 3, FALSE), "")</f>
        <v>Action, Animation, Crime</v>
      </c>
      <c r="D2139" s="2">
        <f>IF(A2139&lt;&gt;"", VLOOKUP(A2139, imdb_netflix_v5!A$2:H$7370, 4, FALSE), "")</f>
        <v>7.8</v>
      </c>
      <c r="E2139" s="2">
        <f>IF(A2139&lt;&gt;"", VLOOKUP(A2139, imdb_netflix_v5!A$2:H$7370, 5, FALSE), "")</f>
        <v>2001</v>
      </c>
      <c r="F2139" s="2" t="str">
        <f>IF(A2139&lt;&gt;"", VLOOKUP(A2139, imdb_netflix_v5!A$2:H$7370, 7, FALSE), "")</f>
        <v>NA</v>
      </c>
    </row>
    <row r="2140" ht="15.75" customHeight="1">
      <c r="A2140" s="1" t="str">
        <f>IFERROR(__xludf.DUMMYFUNCTION("""COMPUTED_VALUE"""),"food, inc.")</f>
        <v>food, inc.</v>
      </c>
      <c r="B2140" s="1" t="str">
        <f>IF(A2140&lt;&gt;"", VLOOKUP(A2140, imdb_netflix_v5!A$2:H$7370, 2, FALSE), "")</f>
        <v>Movie</v>
      </c>
      <c r="C2140" s="2" t="str">
        <f>IF(A2140&lt;&gt;"", VLOOKUP(A2140, imdb_netflix_v5!A$2:H$7370, 3, FALSE), "")</f>
        <v>Documentary, News</v>
      </c>
      <c r="D2140" s="2">
        <f>IF(A2140&lt;&gt;"", VLOOKUP(A2140, imdb_netflix_v5!A$2:H$7370, 4, FALSE), "")</f>
        <v>7.8</v>
      </c>
      <c r="E2140" s="2">
        <f>IF(A2140&lt;&gt;"", VLOOKUP(A2140, imdb_netflix_v5!A$2:H$7370, 5, FALSE), "")</f>
        <v>2008</v>
      </c>
      <c r="F2140" s="2" t="str">
        <f>IF(A2140&lt;&gt;"", VLOOKUP(A2140, imdb_netflix_v5!A$2:H$7370, 7, FALSE), "")</f>
        <v>NA</v>
      </c>
    </row>
    <row r="2141" ht="15.75" customHeight="1">
      <c r="A2141" s="1" t="str">
        <f>IFERROR(__xludf.DUMMYFUNCTION("""COMPUTED_VALUE"""),"freaks")</f>
        <v>freaks</v>
      </c>
      <c r="B2141" s="1" t="str">
        <f>IF(A2141&lt;&gt;"", VLOOKUP(A2141, imdb_netflix_v5!A$2:H$7370, 2, FALSE), "")</f>
        <v>Movie</v>
      </c>
      <c r="C2141" s="2" t="str">
        <f>IF(A2141&lt;&gt;"", VLOOKUP(A2141, imdb_netflix_v5!A$2:H$7370, 3, FALSE), "")</f>
        <v>Drama, Horror</v>
      </c>
      <c r="D2141" s="2">
        <f>IF(A2141&lt;&gt;"", VLOOKUP(A2141, imdb_netflix_v5!A$2:H$7370, 4, FALSE), "")</f>
        <v>7.8</v>
      </c>
      <c r="E2141" s="2">
        <f>IF(A2141&lt;&gt;"", VLOOKUP(A2141, imdb_netflix_v5!A$2:H$7370, 5, FALSE), "")</f>
        <v>1932</v>
      </c>
      <c r="F2141" s="2" t="str">
        <f>IF(A2141&lt;&gt;"", VLOOKUP(A2141, imdb_netflix_v5!A$2:H$7370, 7, FALSE), "")</f>
        <v>NA</v>
      </c>
    </row>
    <row r="2142" ht="15.75" customHeight="1">
      <c r="A2142" s="1" t="str">
        <f>IFERROR(__xludf.DUMMYFUNCTION("""COMPUTED_VALUE"""),"poker face")</f>
        <v>poker face</v>
      </c>
      <c r="B2142" s="1" t="str">
        <f>IF(A2142&lt;&gt;"", VLOOKUP(A2142, imdb_netflix_v5!A$2:H$7370, 2, FALSE), "")</f>
        <v>TV Show</v>
      </c>
      <c r="C2142" s="2" t="str">
        <f>IF(A2142&lt;&gt;"", VLOOKUP(A2142, imdb_netflix_v5!A$2:H$7370, 3, FALSE), "")</f>
        <v>Comedy, Crime, Drama</v>
      </c>
      <c r="D2142" s="2">
        <f>IF(A2142&lt;&gt;"", VLOOKUP(A2142, imdb_netflix_v5!A$2:H$7370, 4, FALSE), "")</f>
        <v>7.8</v>
      </c>
      <c r="E2142" s="2">
        <f>IF(A2142&lt;&gt;"", VLOOKUP(A2142, imdb_netflix_v5!A$2:H$7370, 5, FALSE), "")</f>
        <v>2023</v>
      </c>
      <c r="F2142" s="2" t="str">
        <f>IF(A2142&lt;&gt;"", VLOOKUP(A2142, imdb_netflix_v5!A$2:H$7370, 7, FALSE), "")</f>
        <v>NA</v>
      </c>
    </row>
    <row r="2143" ht="15.75" customHeight="1">
      <c r="A2143" s="1" t="str">
        <f>IFERROR(__xludf.DUMMYFUNCTION("""COMPUTED_VALUE"""),"rockstar")</f>
        <v>rockstar</v>
      </c>
      <c r="B2143" s="1" t="str">
        <f>IF(A2143&lt;&gt;"", VLOOKUP(A2143, imdb_netflix_v5!A$2:H$7370, 2, FALSE), "")</f>
        <v>Movie</v>
      </c>
      <c r="C2143" s="2" t="str">
        <f>IF(A2143&lt;&gt;"", VLOOKUP(A2143, imdb_netflix_v5!A$2:H$7370, 3, FALSE), "")</f>
        <v>Drama, Music, Romance</v>
      </c>
      <c r="D2143" s="2">
        <f>IF(A2143&lt;&gt;"", VLOOKUP(A2143, imdb_netflix_v5!A$2:H$7370, 4, FALSE), "")</f>
        <v>7.8</v>
      </c>
      <c r="E2143" s="2">
        <f>IF(A2143&lt;&gt;"", VLOOKUP(A2143, imdb_netflix_v5!A$2:H$7370, 5, FALSE), "")</f>
        <v>2011</v>
      </c>
      <c r="F2143" s="2" t="str">
        <f>IF(A2143&lt;&gt;"", VLOOKUP(A2143, imdb_netflix_v5!A$2:H$7370, 7, FALSE), "")</f>
        <v>NA</v>
      </c>
    </row>
    <row r="2144" ht="15.75" customHeight="1">
      <c r="A2144" s="1" t="str">
        <f>IFERROR(__xludf.DUMMYFUNCTION("""COMPUTED_VALUE"""),"once upon a time in anatolia")</f>
        <v>once upon a time in anatolia</v>
      </c>
      <c r="B2144" s="1" t="str">
        <f>IF(A2144&lt;&gt;"", VLOOKUP(A2144, imdb_netflix_v5!A$2:H$7370, 2, FALSE), "")</f>
        <v>Movie</v>
      </c>
      <c r="C2144" s="2" t="str">
        <f>IF(A2144&lt;&gt;"", VLOOKUP(A2144, imdb_netflix_v5!A$2:H$7370, 3, FALSE), "")</f>
        <v>Crime, Drama, Thriller</v>
      </c>
      <c r="D2144" s="2">
        <f>IF(A2144&lt;&gt;"", VLOOKUP(A2144, imdb_netflix_v5!A$2:H$7370, 4, FALSE), "")</f>
        <v>7.8</v>
      </c>
      <c r="E2144" s="2">
        <f>IF(A2144&lt;&gt;"", VLOOKUP(A2144, imdb_netflix_v5!A$2:H$7370, 5, FALSE), "")</f>
        <v>2011</v>
      </c>
      <c r="F2144" s="2" t="str">
        <f>IF(A2144&lt;&gt;"", VLOOKUP(A2144, imdb_netflix_v5!A$2:H$7370, 7, FALSE), "")</f>
        <v>NA</v>
      </c>
    </row>
    <row r="2145" ht="15.75" customHeight="1">
      <c r="A2145" s="1" t="str">
        <f>IFERROR(__xludf.DUMMYFUNCTION("""COMPUTED_VALUE"""),"lilya 4-ever")</f>
        <v>lilya 4-ever</v>
      </c>
      <c r="B2145" s="1" t="str">
        <f>IF(A2145&lt;&gt;"", VLOOKUP(A2145, imdb_netflix_v5!A$2:H$7370, 2, FALSE), "")</f>
        <v>Movie</v>
      </c>
      <c r="C2145" s="2" t="str">
        <f>IF(A2145&lt;&gt;"", VLOOKUP(A2145, imdb_netflix_v5!A$2:H$7370, 3, FALSE), "")</f>
        <v>Crime, Drama</v>
      </c>
      <c r="D2145" s="2">
        <f>IF(A2145&lt;&gt;"", VLOOKUP(A2145, imdb_netflix_v5!A$2:H$7370, 4, FALSE), "")</f>
        <v>7.8</v>
      </c>
      <c r="E2145" s="2">
        <f>IF(A2145&lt;&gt;"", VLOOKUP(A2145, imdb_netflix_v5!A$2:H$7370, 5, FALSE), "")</f>
        <v>2002</v>
      </c>
      <c r="F2145" s="2" t="str">
        <f>IF(A2145&lt;&gt;"", VLOOKUP(A2145, imdb_netflix_v5!A$2:H$7370, 7, FALSE), "")</f>
        <v>NA</v>
      </c>
    </row>
    <row r="2146" ht="15.75" customHeight="1">
      <c r="A2146" s="1" t="str">
        <f>IFERROR(__xludf.DUMMYFUNCTION("""COMPUTED_VALUE"""),"guess whos coming to dinner")</f>
        <v>guess whos coming to dinner</v>
      </c>
      <c r="B2146" s="1" t="str">
        <f>IF(A2146&lt;&gt;"", VLOOKUP(A2146, imdb_netflix_v5!A$2:H$7370, 2, FALSE), "")</f>
        <v>Movie</v>
      </c>
      <c r="C2146" s="2" t="str">
        <f>IF(A2146&lt;&gt;"", VLOOKUP(A2146, imdb_netflix_v5!A$2:H$7370, 3, FALSE), "")</f>
        <v>Comedy, Drama</v>
      </c>
      <c r="D2146" s="2">
        <f>IF(A2146&lt;&gt;"", VLOOKUP(A2146, imdb_netflix_v5!A$2:H$7370, 4, FALSE), "")</f>
        <v>7.8</v>
      </c>
      <c r="E2146" s="2">
        <f>IF(A2146&lt;&gt;"", VLOOKUP(A2146, imdb_netflix_v5!A$2:H$7370, 5, FALSE), "")</f>
        <v>1967</v>
      </c>
      <c r="F2146" s="2" t="str">
        <f>IF(A2146&lt;&gt;"", VLOOKUP(A2146, imdb_netflix_v5!A$2:H$7370, 7, FALSE), "")</f>
        <v>NA</v>
      </c>
    </row>
    <row r="2147" ht="15.75" customHeight="1">
      <c r="A2147" s="1" t="str">
        <f>IFERROR(__xludf.DUMMYFUNCTION("""COMPUTED_VALUE"""),"east of eden")</f>
        <v>east of eden</v>
      </c>
      <c r="B2147" s="1" t="str">
        <f>IF(A2147&lt;&gt;"", VLOOKUP(A2147, imdb_netflix_v5!A$2:H$7370, 2, FALSE), "")</f>
        <v>Movie</v>
      </c>
      <c r="C2147" s="2" t="str">
        <f>IF(A2147&lt;&gt;"", VLOOKUP(A2147, imdb_netflix_v5!A$2:H$7370, 3, FALSE), "")</f>
        <v>Drama</v>
      </c>
      <c r="D2147" s="2">
        <f>IF(A2147&lt;&gt;"", VLOOKUP(A2147, imdb_netflix_v5!A$2:H$7370, 4, FALSE), "")</f>
        <v>7.8</v>
      </c>
      <c r="E2147" s="2">
        <f>IF(A2147&lt;&gt;"", VLOOKUP(A2147, imdb_netflix_v5!A$2:H$7370, 5, FALSE), "")</f>
        <v>1955</v>
      </c>
      <c r="F2147" s="2" t="str">
        <f>IF(A2147&lt;&gt;"", VLOOKUP(A2147, imdb_netflix_v5!A$2:H$7370, 7, FALSE), "")</f>
        <v>NA</v>
      </c>
    </row>
    <row r="2148" ht="15.75" customHeight="1">
      <c r="A2148" s="1" t="str">
        <f>IFERROR(__xludf.DUMMYFUNCTION("""COMPUTED_VALUE"""),"tokyo godfathers")</f>
        <v>tokyo godfathers</v>
      </c>
      <c r="B2148" s="1" t="str">
        <f>IF(A2148&lt;&gt;"", VLOOKUP(A2148, imdb_netflix_v5!A$2:H$7370, 2, FALSE), "")</f>
        <v>Movie</v>
      </c>
      <c r="C2148" s="2" t="str">
        <f>IF(A2148&lt;&gt;"", VLOOKUP(A2148, imdb_netflix_v5!A$2:H$7370, 3, FALSE), "")</f>
        <v>Adventure, Animation, Comedy</v>
      </c>
      <c r="D2148" s="2">
        <f>IF(A2148&lt;&gt;"", VLOOKUP(A2148, imdb_netflix_v5!A$2:H$7370, 4, FALSE), "")</f>
        <v>7.8</v>
      </c>
      <c r="E2148" s="2">
        <f>IF(A2148&lt;&gt;"", VLOOKUP(A2148, imdb_netflix_v5!A$2:H$7370, 5, FALSE), "")</f>
        <v>2003</v>
      </c>
      <c r="F2148" s="2" t="str">
        <f>IF(A2148&lt;&gt;"", VLOOKUP(A2148, imdb_netflix_v5!A$2:H$7370, 7, FALSE), "")</f>
        <v>NA</v>
      </c>
    </row>
    <row r="2149" ht="15.75" customHeight="1">
      <c r="A2149" s="1" t="str">
        <f>IFERROR(__xludf.DUMMYFUNCTION("""COMPUTED_VALUE"""),"amarcord")</f>
        <v>amarcord</v>
      </c>
      <c r="B2149" s="1" t="str">
        <f>IF(A2149&lt;&gt;"", VLOOKUP(A2149, imdb_netflix_v5!A$2:H$7370, 2, FALSE), "")</f>
        <v>Movie</v>
      </c>
      <c r="C2149" s="2" t="str">
        <f>IF(A2149&lt;&gt;"", VLOOKUP(A2149, imdb_netflix_v5!A$2:H$7370, 3, FALSE), "")</f>
        <v>Comedy, Drama</v>
      </c>
      <c r="D2149" s="2">
        <f>IF(A2149&lt;&gt;"", VLOOKUP(A2149, imdb_netflix_v5!A$2:H$7370, 4, FALSE), "")</f>
        <v>7.8</v>
      </c>
      <c r="E2149" s="2">
        <f>IF(A2149&lt;&gt;"", VLOOKUP(A2149, imdb_netflix_v5!A$2:H$7370, 5, FALSE), "")</f>
        <v>1973</v>
      </c>
      <c r="F2149" s="2" t="str">
        <f>IF(A2149&lt;&gt;"", VLOOKUP(A2149, imdb_netflix_v5!A$2:H$7370, 7, FALSE), "")</f>
        <v>NA</v>
      </c>
    </row>
    <row r="2150" ht="15.75" customHeight="1">
      <c r="A2150" s="1" t="str">
        <f>IFERROR(__xludf.DUMMYFUNCTION("""COMPUTED_VALUE"""),"the discreet charm of the bourgeoisie")</f>
        <v>the discreet charm of the bourgeoisie</v>
      </c>
      <c r="B2150" s="1" t="str">
        <f>IF(A2150&lt;&gt;"", VLOOKUP(A2150, imdb_netflix_v5!A$2:H$7370, 2, FALSE), "")</f>
        <v>Movie</v>
      </c>
      <c r="C2150" s="2" t="str">
        <f>IF(A2150&lt;&gt;"", VLOOKUP(A2150, imdb_netflix_v5!A$2:H$7370, 3, FALSE), "")</f>
        <v>Comedy, Drama, Fantasy</v>
      </c>
      <c r="D2150" s="2">
        <f>IF(A2150&lt;&gt;"", VLOOKUP(A2150, imdb_netflix_v5!A$2:H$7370, 4, FALSE), "")</f>
        <v>7.8</v>
      </c>
      <c r="E2150" s="2">
        <f>IF(A2150&lt;&gt;"", VLOOKUP(A2150, imdb_netflix_v5!A$2:H$7370, 5, FALSE), "")</f>
        <v>1972</v>
      </c>
      <c r="F2150" s="2" t="str">
        <f>IF(A2150&lt;&gt;"", VLOOKUP(A2150, imdb_netflix_v5!A$2:H$7370, 7, FALSE), "")</f>
        <v>NA</v>
      </c>
    </row>
    <row r="2151" ht="15.75" customHeight="1">
      <c r="A2151" s="1" t="str">
        <f>IFERROR(__xludf.DUMMYFUNCTION("""COMPUTED_VALUE"""),"land of mine")</f>
        <v>land of mine</v>
      </c>
      <c r="B2151" s="1" t="str">
        <f>IF(A2151&lt;&gt;"", VLOOKUP(A2151, imdb_netflix_v5!A$2:H$7370, 2, FALSE), "")</f>
        <v>Movie</v>
      </c>
      <c r="C2151" s="2" t="str">
        <f>IF(A2151&lt;&gt;"", VLOOKUP(A2151, imdb_netflix_v5!A$2:H$7370, 3, FALSE), "")</f>
        <v>Drama, History, War</v>
      </c>
      <c r="D2151" s="2">
        <f>IF(A2151&lt;&gt;"", VLOOKUP(A2151, imdb_netflix_v5!A$2:H$7370, 4, FALSE), "")</f>
        <v>7.8</v>
      </c>
      <c r="E2151" s="2">
        <f>IF(A2151&lt;&gt;"", VLOOKUP(A2151, imdb_netflix_v5!A$2:H$7370, 5, FALSE), "")</f>
        <v>2015</v>
      </c>
      <c r="F2151" s="2" t="str">
        <f>IF(A2151&lt;&gt;"", VLOOKUP(A2151, imdb_netflix_v5!A$2:H$7370, 7, FALSE), "")</f>
        <v>NA</v>
      </c>
    </row>
    <row r="2152" ht="15.75" customHeight="1">
      <c r="A2152" s="1" t="str">
        <f>IFERROR(__xludf.DUMMYFUNCTION("""COMPUTED_VALUE"""),"law &amp; order")</f>
        <v>law &amp; order</v>
      </c>
      <c r="B2152" s="1" t="str">
        <f>IF(A2152&lt;&gt;"", VLOOKUP(A2152, imdb_netflix_v5!A$2:H$7370, 2, FALSE), "")</f>
        <v>TV Show</v>
      </c>
      <c r="C2152" s="2" t="str">
        <f>IF(A2152&lt;&gt;"", VLOOKUP(A2152, imdb_netflix_v5!A$2:H$7370, 3, FALSE), "")</f>
        <v>Crime, Drama, Mystery</v>
      </c>
      <c r="D2152" s="2">
        <f>IF(A2152&lt;&gt;"", VLOOKUP(A2152, imdb_netflix_v5!A$2:H$7370, 4, FALSE), "")</f>
        <v>7.8</v>
      </c>
      <c r="E2152" s="2">
        <f>IF(A2152&lt;&gt;"", VLOOKUP(A2152, imdb_netflix_v5!A$2:H$7370, 5, FALSE), "")</f>
        <v>1990</v>
      </c>
      <c r="F2152" s="2" t="str">
        <f>IF(A2152&lt;&gt;"", VLOOKUP(A2152, imdb_netflix_v5!A$2:H$7370, 7, FALSE), "")</f>
        <v>NA</v>
      </c>
    </row>
    <row r="2153" ht="15.75" customHeight="1">
      <c r="A2153" s="1" t="str">
        <f>IFERROR(__xludf.DUMMYFUNCTION("""COMPUTED_VALUE"""),"and then there were none")</f>
        <v>and then there were none</v>
      </c>
      <c r="B2153" s="1" t="str">
        <f>IF(A2153&lt;&gt;"", VLOOKUP(A2153, imdb_netflix_v5!A$2:H$7370, 2, FALSE), "")</f>
        <v>TV Show</v>
      </c>
      <c r="C2153" s="2" t="str">
        <f>IF(A2153&lt;&gt;"", VLOOKUP(A2153, imdb_netflix_v5!A$2:H$7370, 3, FALSE), "")</f>
        <v>Crime, Drama, Mystery</v>
      </c>
      <c r="D2153" s="2">
        <f>IF(A2153&lt;&gt;"", VLOOKUP(A2153, imdb_netflix_v5!A$2:H$7370, 4, FALSE), "")</f>
        <v>7.8</v>
      </c>
      <c r="E2153" s="2">
        <f>IF(A2153&lt;&gt;"", VLOOKUP(A2153, imdb_netflix_v5!A$2:H$7370, 5, FALSE), "")</f>
        <v>2015</v>
      </c>
      <c r="F2153" s="2" t="str">
        <f>IF(A2153&lt;&gt;"", VLOOKUP(A2153, imdb_netflix_v5!A$2:H$7370, 7, FALSE), "")</f>
        <v>NA</v>
      </c>
    </row>
    <row r="2154" ht="15.75" customHeight="1">
      <c r="A2154" s="1" t="str">
        <f>IFERROR(__xludf.DUMMYFUNCTION("""COMPUTED_VALUE"""),"jujutsu kaisen 0")</f>
        <v>jujutsu kaisen 0</v>
      </c>
      <c r="B2154" s="1" t="str">
        <f>IF(A2154&lt;&gt;"", VLOOKUP(A2154, imdb_netflix_v5!A$2:H$7370, 2, FALSE), "")</f>
        <v>Movie</v>
      </c>
      <c r="C2154" s="2" t="str">
        <f>IF(A2154&lt;&gt;"", VLOOKUP(A2154, imdb_netflix_v5!A$2:H$7370, 3, FALSE), "")</f>
        <v>Action, Animation, Fantasy</v>
      </c>
      <c r="D2154" s="2">
        <f>IF(A2154&lt;&gt;"", VLOOKUP(A2154, imdb_netflix_v5!A$2:H$7370, 4, FALSE), "")</f>
        <v>7.8</v>
      </c>
      <c r="E2154" s="2">
        <f>IF(A2154&lt;&gt;"", VLOOKUP(A2154, imdb_netflix_v5!A$2:H$7370, 5, FALSE), "")</f>
        <v>2021</v>
      </c>
      <c r="F2154" s="2" t="str">
        <f>IF(A2154&lt;&gt;"", VLOOKUP(A2154, imdb_netflix_v5!A$2:H$7370, 7, FALSE), "")</f>
        <v>NA</v>
      </c>
    </row>
    <row r="2155" ht="15.75" customHeight="1">
      <c r="A2155" s="1" t="str">
        <f>IFERROR(__xludf.DUMMYFUNCTION("""COMPUTED_VALUE"""),"evil")</f>
        <v>evil</v>
      </c>
      <c r="B2155" s="1" t="str">
        <f>IF(A2155&lt;&gt;"", VLOOKUP(A2155, imdb_netflix_v5!A$2:H$7370, 2, FALSE), "")</f>
        <v>TV Show</v>
      </c>
      <c r="C2155" s="2" t="str">
        <f>IF(A2155&lt;&gt;"", VLOOKUP(A2155, imdb_netflix_v5!A$2:H$7370, 3, FALSE), "")</f>
        <v>Crime, Drama, Horror</v>
      </c>
      <c r="D2155" s="2">
        <f>IF(A2155&lt;&gt;"", VLOOKUP(A2155, imdb_netflix_v5!A$2:H$7370, 4, FALSE), "")</f>
        <v>7.8</v>
      </c>
      <c r="E2155" s="2">
        <f>IF(A2155&lt;&gt;"", VLOOKUP(A2155, imdb_netflix_v5!A$2:H$7370, 5, FALSE), "")</f>
        <v>2019</v>
      </c>
      <c r="F2155" s="2" t="str">
        <f>IF(A2155&lt;&gt;"", VLOOKUP(A2155, imdb_netflix_v5!A$2:H$7370, 7, FALSE), "")</f>
        <v>NA</v>
      </c>
    </row>
    <row r="2156" ht="15.75" customHeight="1">
      <c r="A2156" s="1" t="str">
        <f>IFERROR(__xludf.DUMMYFUNCTION("""COMPUTED_VALUE"""),"our flag means death")</f>
        <v>our flag means death</v>
      </c>
      <c r="B2156" s="1" t="str">
        <f>IF(A2156&lt;&gt;"", VLOOKUP(A2156, imdb_netflix_v5!A$2:H$7370, 2, FALSE), "")</f>
        <v>TV Show</v>
      </c>
      <c r="C2156" s="2" t="str">
        <f>IF(A2156&lt;&gt;"", VLOOKUP(A2156, imdb_netflix_v5!A$2:H$7370, 3, FALSE), "")</f>
        <v>Action, Adventure, Biography</v>
      </c>
      <c r="D2156" s="2">
        <f>IF(A2156&lt;&gt;"", VLOOKUP(A2156, imdb_netflix_v5!A$2:H$7370, 4, FALSE), "")</f>
        <v>7.8</v>
      </c>
      <c r="E2156" s="2">
        <f>IF(A2156&lt;&gt;"", VLOOKUP(A2156, imdb_netflix_v5!A$2:H$7370, 5, FALSE), "")</f>
        <v>2022</v>
      </c>
      <c r="F2156" s="2" t="str">
        <f>IF(A2156&lt;&gt;"", VLOOKUP(A2156, imdb_netflix_v5!A$2:H$7370, 7, FALSE), "")</f>
        <v>NA</v>
      </c>
    </row>
    <row r="2157" ht="15.75" customHeight="1">
      <c r="A2157" s="1" t="str">
        <f>IFERROR(__xludf.DUMMYFUNCTION("""COMPUTED_VALUE"""),"wilfred")</f>
        <v>wilfred</v>
      </c>
      <c r="B2157" s="1" t="str">
        <f>IF(A2157&lt;&gt;"", VLOOKUP(A2157, imdb_netflix_v5!A$2:H$7370, 2, FALSE), "")</f>
        <v>TV Show</v>
      </c>
      <c r="C2157" s="2" t="str">
        <f>IF(A2157&lt;&gt;"", VLOOKUP(A2157, imdb_netflix_v5!A$2:H$7370, 3, FALSE), "")</f>
        <v>Comedy, Drama, Mystery</v>
      </c>
      <c r="D2157" s="2">
        <f>IF(A2157&lt;&gt;"", VLOOKUP(A2157, imdb_netflix_v5!A$2:H$7370, 4, FALSE), "")</f>
        <v>7.8</v>
      </c>
      <c r="E2157" s="2">
        <f>IF(A2157&lt;&gt;"", VLOOKUP(A2157, imdb_netflix_v5!A$2:H$7370, 5, FALSE), "")</f>
        <v>2011</v>
      </c>
      <c r="F2157" s="2" t="str">
        <f>IF(A2157&lt;&gt;"", VLOOKUP(A2157, imdb_netflix_v5!A$2:H$7370, 7, FALSE), "")</f>
        <v>NA</v>
      </c>
    </row>
    <row r="2158" ht="15.75" customHeight="1">
      <c r="A2158" s="1" t="str">
        <f>IFERROR(__xludf.DUMMYFUNCTION("""COMPUTED_VALUE"""),"mimi")</f>
        <v>mimi</v>
      </c>
      <c r="B2158" s="1" t="str">
        <f>IF(A2158&lt;&gt;"", VLOOKUP(A2158, imdb_netflix_v5!A$2:H$7370, 2, FALSE), "")</f>
        <v>Movie</v>
      </c>
      <c r="C2158" s="2" t="str">
        <f>IF(A2158&lt;&gt;"", VLOOKUP(A2158, imdb_netflix_v5!A$2:H$7370, 3, FALSE), "")</f>
        <v>Comedy, Drama</v>
      </c>
      <c r="D2158" s="2">
        <f>IF(A2158&lt;&gt;"", VLOOKUP(A2158, imdb_netflix_v5!A$2:H$7370, 4, FALSE), "")</f>
        <v>7.8</v>
      </c>
      <c r="E2158" s="2">
        <f>IF(A2158&lt;&gt;"", VLOOKUP(A2158, imdb_netflix_v5!A$2:H$7370, 5, FALSE), "")</f>
        <v>2021</v>
      </c>
      <c r="F2158" s="2">
        <f>IF(A2158&lt;&gt;"", VLOOKUP(A2158, imdb_netflix_v5!A$2:H$7370, 7, FALSE), "")</f>
        <v>1510000</v>
      </c>
    </row>
    <row r="2159" ht="15.75" customHeight="1">
      <c r="A2159" s="1" t="str">
        <f>IFERROR(__xludf.DUMMYFUNCTION("""COMPUTED_VALUE"""),"superman &amp; lois")</f>
        <v>superman &amp; lois</v>
      </c>
      <c r="B2159" s="1" t="str">
        <f>IF(A2159&lt;&gt;"", VLOOKUP(A2159, imdb_netflix_v5!A$2:H$7370, 2, FALSE), "")</f>
        <v>TV Show</v>
      </c>
      <c r="C2159" s="2" t="str">
        <f>IF(A2159&lt;&gt;"", VLOOKUP(A2159, imdb_netflix_v5!A$2:H$7370, 3, FALSE), "")</f>
        <v>Action, Adventure, Drama</v>
      </c>
      <c r="D2159" s="2">
        <f>IF(A2159&lt;&gt;"", VLOOKUP(A2159, imdb_netflix_v5!A$2:H$7370, 4, FALSE), "")</f>
        <v>7.8</v>
      </c>
      <c r="E2159" s="2">
        <f>IF(A2159&lt;&gt;"", VLOOKUP(A2159, imdb_netflix_v5!A$2:H$7370, 5, FALSE), "")</f>
        <v>2021</v>
      </c>
      <c r="F2159" s="2" t="str">
        <f>IF(A2159&lt;&gt;"", VLOOKUP(A2159, imdb_netflix_v5!A$2:H$7370, 7, FALSE), "")</f>
        <v>NA</v>
      </c>
    </row>
    <row r="2160" ht="15.75" customHeight="1">
      <c r="A2160" s="1" t="str">
        <f>IFERROR(__xludf.DUMMYFUNCTION("""COMPUTED_VALUE"""),"ninja scroll")</f>
        <v>ninja scroll</v>
      </c>
      <c r="B2160" s="1" t="str">
        <f>IF(A2160&lt;&gt;"", VLOOKUP(A2160, imdb_netflix_v5!A$2:H$7370, 2, FALSE), "")</f>
        <v>Movie</v>
      </c>
      <c r="C2160" s="2" t="str">
        <f>IF(A2160&lt;&gt;"", VLOOKUP(A2160, imdb_netflix_v5!A$2:H$7370, 3, FALSE), "")</f>
        <v>Action, Adventure, Animation</v>
      </c>
      <c r="D2160" s="2">
        <f>IF(A2160&lt;&gt;"", VLOOKUP(A2160, imdb_netflix_v5!A$2:H$7370, 4, FALSE), "")</f>
        <v>7.8</v>
      </c>
      <c r="E2160" s="2">
        <f>IF(A2160&lt;&gt;"", VLOOKUP(A2160, imdb_netflix_v5!A$2:H$7370, 5, FALSE), "")</f>
        <v>1993</v>
      </c>
      <c r="F2160" s="2" t="str">
        <f>IF(A2160&lt;&gt;"", VLOOKUP(A2160, imdb_netflix_v5!A$2:H$7370, 7, FALSE), "")</f>
        <v>NA</v>
      </c>
    </row>
    <row r="2161" ht="15.75" customHeight="1">
      <c r="A2161" s="1" t="str">
        <f>IFERROR(__xludf.DUMMYFUNCTION("""COMPUTED_VALUE"""),"how to sell drugs online (fast)")</f>
        <v>how to sell drugs online (fast)</v>
      </c>
      <c r="B2161" s="1" t="str">
        <f>IF(A2161&lt;&gt;"", VLOOKUP(A2161, imdb_netflix_v5!A$2:H$7370, 2, FALSE), "")</f>
        <v>TV Show</v>
      </c>
      <c r="C2161" s="2" t="str">
        <f>IF(A2161&lt;&gt;"", VLOOKUP(A2161, imdb_netflix_v5!A$2:H$7370, 3, FALSE), "")</f>
        <v>Comedy, Crime, Drama</v>
      </c>
      <c r="D2161" s="2">
        <f>IF(A2161&lt;&gt;"", VLOOKUP(A2161, imdb_netflix_v5!A$2:H$7370, 4, FALSE), "")</f>
        <v>7.8</v>
      </c>
      <c r="E2161" s="2">
        <f>IF(A2161&lt;&gt;"", VLOOKUP(A2161, imdb_netflix_v5!A$2:H$7370, 5, FALSE), "")</f>
        <v>2019</v>
      </c>
      <c r="F2161" s="2">
        <f>IF(A2161&lt;&gt;"", VLOOKUP(A2161, imdb_netflix_v5!A$2:H$7370, 7, FALSE), "")</f>
        <v>8580000</v>
      </c>
    </row>
    <row r="2162" ht="15.75" customHeight="1">
      <c r="A2162" s="1" t="str">
        <f>IFERROR(__xludf.DUMMYFUNCTION("""COMPUTED_VALUE"""),"lethal weapon")</f>
        <v>lethal weapon</v>
      </c>
      <c r="B2162" s="1" t="str">
        <f>IF(A2162&lt;&gt;"", VLOOKUP(A2162, imdb_netflix_v5!A$2:H$7370, 2, FALSE), "")</f>
        <v>TV Show</v>
      </c>
      <c r="C2162" s="2" t="str">
        <f>IF(A2162&lt;&gt;"", VLOOKUP(A2162, imdb_netflix_v5!A$2:H$7370, 3, FALSE), "")</f>
        <v>Action, Adventure, Comedy</v>
      </c>
      <c r="D2162" s="2">
        <f>IF(A2162&lt;&gt;"", VLOOKUP(A2162, imdb_netflix_v5!A$2:H$7370, 4, FALSE), "")</f>
        <v>7.8</v>
      </c>
      <c r="E2162" s="2">
        <f>IF(A2162&lt;&gt;"", VLOOKUP(A2162, imdb_netflix_v5!A$2:H$7370, 5, FALSE), "")</f>
        <v>2016</v>
      </c>
      <c r="F2162" s="2" t="str">
        <f>IF(A2162&lt;&gt;"", VLOOKUP(A2162, imdb_netflix_v5!A$2:H$7370, 7, FALSE), "")</f>
        <v>NA</v>
      </c>
    </row>
    <row r="2163" ht="15.75" customHeight="1">
      <c r="A2163" s="1" t="str">
        <f>IFERROR(__xludf.DUMMYFUNCTION("""COMPUTED_VALUE"""),"happy endings")</f>
        <v>happy endings</v>
      </c>
      <c r="B2163" s="1" t="str">
        <f>IF(A2163&lt;&gt;"", VLOOKUP(A2163, imdb_netflix_v5!A$2:H$7370, 2, FALSE), "")</f>
        <v>TV Show</v>
      </c>
      <c r="C2163" s="2" t="str">
        <f>IF(A2163&lt;&gt;"", VLOOKUP(A2163, imdb_netflix_v5!A$2:H$7370, 3, FALSE), "")</f>
        <v>Comedy, Romance</v>
      </c>
      <c r="D2163" s="2">
        <f>IF(A2163&lt;&gt;"", VLOOKUP(A2163, imdb_netflix_v5!A$2:H$7370, 4, FALSE), "")</f>
        <v>7.8</v>
      </c>
      <c r="E2163" s="2">
        <f>IF(A2163&lt;&gt;"", VLOOKUP(A2163, imdb_netflix_v5!A$2:H$7370, 5, FALSE), "")</f>
        <v>2011</v>
      </c>
      <c r="F2163" s="2" t="str">
        <f>IF(A2163&lt;&gt;"", VLOOKUP(A2163, imdb_netflix_v5!A$2:H$7370, 7, FALSE), "")</f>
        <v>NA</v>
      </c>
    </row>
    <row r="2164" ht="15.75" customHeight="1">
      <c r="A2164" s="1" t="str">
        <f>IFERROR(__xludf.DUMMYFUNCTION("""COMPUTED_VALUE"""),"english vinglish")</f>
        <v>english vinglish</v>
      </c>
      <c r="B2164" s="1" t="str">
        <f>IF(A2164&lt;&gt;"", VLOOKUP(A2164, imdb_netflix_v5!A$2:H$7370, 2, FALSE), "")</f>
        <v>Movie</v>
      </c>
      <c r="C2164" s="2" t="str">
        <f>IF(A2164&lt;&gt;"", VLOOKUP(A2164, imdb_netflix_v5!A$2:H$7370, 3, FALSE), "")</f>
        <v>Comedy, Drama, Family</v>
      </c>
      <c r="D2164" s="2">
        <f>IF(A2164&lt;&gt;"", VLOOKUP(A2164, imdb_netflix_v5!A$2:H$7370, 4, FALSE), "")</f>
        <v>7.8</v>
      </c>
      <c r="E2164" s="2">
        <f>IF(A2164&lt;&gt;"", VLOOKUP(A2164, imdb_netflix_v5!A$2:H$7370, 5, FALSE), "")</f>
        <v>2012</v>
      </c>
      <c r="F2164" s="2" t="str">
        <f>IF(A2164&lt;&gt;"", VLOOKUP(A2164, imdb_netflix_v5!A$2:H$7370, 7, FALSE), "")</f>
        <v>NA</v>
      </c>
    </row>
    <row r="2165" ht="15.75" customHeight="1">
      <c r="A2165" s="1" t="str">
        <f>IFERROR(__xludf.DUMMYFUNCTION("""COMPUTED_VALUE"""),"close")</f>
        <v>close</v>
      </c>
      <c r="B2165" s="1" t="str">
        <f>IF(A2165&lt;&gt;"", VLOOKUP(A2165, imdb_netflix_v5!A$2:H$7370, 2, FALSE), "")</f>
        <v>Movie</v>
      </c>
      <c r="C2165" s="2" t="str">
        <f>IF(A2165&lt;&gt;"", VLOOKUP(A2165, imdb_netflix_v5!A$2:H$7370, 3, FALSE), "")</f>
        <v>Drama</v>
      </c>
      <c r="D2165" s="2">
        <f>IF(A2165&lt;&gt;"", VLOOKUP(A2165, imdb_netflix_v5!A$2:H$7370, 4, FALSE), "")</f>
        <v>7.8</v>
      </c>
      <c r="E2165" s="2">
        <f>IF(A2165&lt;&gt;"", VLOOKUP(A2165, imdb_netflix_v5!A$2:H$7370, 5, FALSE), "")</f>
        <v>2022</v>
      </c>
      <c r="F2165" s="2" t="str">
        <f>IF(A2165&lt;&gt;"", VLOOKUP(A2165, imdb_netflix_v5!A$2:H$7370, 7, FALSE), "")</f>
        <v>NA</v>
      </c>
    </row>
    <row r="2166" ht="15.75" customHeight="1">
      <c r="A2166" s="1" t="str">
        <f>IFERROR(__xludf.DUMMYFUNCTION("""COMPUTED_VALUE"""),"the act")</f>
        <v>the act</v>
      </c>
      <c r="B2166" s="1" t="str">
        <f>IF(A2166&lt;&gt;"", VLOOKUP(A2166, imdb_netflix_v5!A$2:H$7370, 2, FALSE), "")</f>
        <v>TV Show</v>
      </c>
      <c r="C2166" s="2" t="str">
        <f>IF(A2166&lt;&gt;"", VLOOKUP(A2166, imdb_netflix_v5!A$2:H$7370, 3, FALSE), "")</f>
        <v>Biography, Crime, Drama</v>
      </c>
      <c r="D2166" s="2">
        <f>IF(A2166&lt;&gt;"", VLOOKUP(A2166, imdb_netflix_v5!A$2:H$7370, 4, FALSE), "")</f>
        <v>7.8</v>
      </c>
      <c r="E2166" s="2">
        <f>IF(A2166&lt;&gt;"", VLOOKUP(A2166, imdb_netflix_v5!A$2:H$7370, 5, FALSE), "")</f>
        <v>2019</v>
      </c>
      <c r="F2166" s="2" t="str">
        <f>IF(A2166&lt;&gt;"", VLOOKUP(A2166, imdb_netflix_v5!A$2:H$7370, 7, FALSE), "")</f>
        <v>NA</v>
      </c>
    </row>
    <row r="2167" ht="15.75" customHeight="1">
      <c r="A2167" s="1" t="str">
        <f>IFERROR(__xludf.DUMMYFUNCTION("""COMPUTED_VALUE"""),"the postman")</f>
        <v>the postman</v>
      </c>
      <c r="B2167" s="1" t="str">
        <f>IF(A2167&lt;&gt;"", VLOOKUP(A2167, imdb_netflix_v5!A$2:H$7370, 2, FALSE), "")</f>
        <v>Movie</v>
      </c>
      <c r="C2167" s="2" t="str">
        <f>IF(A2167&lt;&gt;"", VLOOKUP(A2167, imdb_netflix_v5!A$2:H$7370, 3, FALSE), "")</f>
        <v>Biography, Comedy, Drama</v>
      </c>
      <c r="D2167" s="2">
        <f>IF(A2167&lt;&gt;"", VLOOKUP(A2167, imdb_netflix_v5!A$2:H$7370, 4, FALSE), "")</f>
        <v>7.8</v>
      </c>
      <c r="E2167" s="2">
        <f>IF(A2167&lt;&gt;"", VLOOKUP(A2167, imdb_netflix_v5!A$2:H$7370, 5, FALSE), "")</f>
        <v>1994</v>
      </c>
      <c r="F2167" s="2" t="str">
        <f>IF(A2167&lt;&gt;"", VLOOKUP(A2167, imdb_netflix_v5!A$2:H$7370, 7, FALSE), "")</f>
        <v>NA</v>
      </c>
    </row>
    <row r="2168" ht="15.75" customHeight="1">
      <c r="A2168" s="1" t="str">
        <f>IFERROR(__xludf.DUMMYFUNCTION("""COMPUTED_VALUE"""),"the innocent")</f>
        <v>the innocent</v>
      </c>
      <c r="B2168" s="1" t="str">
        <f>IF(A2168&lt;&gt;"", VLOOKUP(A2168, imdb_netflix_v5!A$2:H$7370, 2, FALSE), "")</f>
        <v>TV Show</v>
      </c>
      <c r="C2168" s="2" t="str">
        <f>IF(A2168&lt;&gt;"", VLOOKUP(A2168, imdb_netflix_v5!A$2:H$7370, 3, FALSE), "")</f>
        <v>Crime, Drama, Mystery</v>
      </c>
      <c r="D2168" s="2">
        <f>IF(A2168&lt;&gt;"", VLOOKUP(A2168, imdb_netflix_v5!A$2:H$7370, 4, FALSE), "")</f>
        <v>7.8</v>
      </c>
      <c r="E2168" s="2">
        <f>IF(A2168&lt;&gt;"", VLOOKUP(A2168, imdb_netflix_v5!A$2:H$7370, 5, FALSE), "")</f>
        <v>2021</v>
      </c>
      <c r="F2168" s="2" t="str">
        <f>IF(A2168&lt;&gt;"", VLOOKUP(A2168, imdb_netflix_v5!A$2:H$7370, 7, FALSE), "")</f>
        <v>NA</v>
      </c>
    </row>
    <row r="2169" ht="15.75" customHeight="1">
      <c r="A2169" s="1" t="str">
        <f>IFERROR(__xludf.DUMMYFUNCTION("""COMPUTED_VALUE"""),"kai po che")</f>
        <v>kai po che</v>
      </c>
      <c r="B2169" s="1" t="str">
        <f>IF(A2169&lt;&gt;"", VLOOKUP(A2169, imdb_netflix_v5!A$2:H$7370, 2, FALSE), "")</f>
        <v>Movie</v>
      </c>
      <c r="C2169" s="2" t="str">
        <f>IF(A2169&lt;&gt;"", VLOOKUP(A2169, imdb_netflix_v5!A$2:H$7370, 3, FALSE), "")</f>
        <v>Drama, Sport</v>
      </c>
      <c r="D2169" s="2">
        <f>IF(A2169&lt;&gt;"", VLOOKUP(A2169, imdb_netflix_v5!A$2:H$7370, 4, FALSE), "")</f>
        <v>7.8</v>
      </c>
      <c r="E2169" s="2">
        <f>IF(A2169&lt;&gt;"", VLOOKUP(A2169, imdb_netflix_v5!A$2:H$7370, 5, FALSE), "")</f>
        <v>2013</v>
      </c>
      <c r="F2169" s="2" t="str">
        <f>IF(A2169&lt;&gt;"", VLOOKUP(A2169, imdb_netflix_v5!A$2:H$7370, 7, FALSE), "")</f>
        <v>NA</v>
      </c>
    </row>
    <row r="2170" ht="15.75" customHeight="1">
      <c r="A2170" s="1" t="str">
        <f>IFERROR(__xludf.DUMMYFUNCTION("""COMPUTED_VALUE"""),"to have and have not")</f>
        <v>to have and have not</v>
      </c>
      <c r="B2170" s="1" t="str">
        <f>IF(A2170&lt;&gt;"", VLOOKUP(A2170, imdb_netflix_v5!A$2:H$7370, 2, FALSE), "")</f>
        <v>Movie</v>
      </c>
      <c r="C2170" s="2" t="str">
        <f>IF(A2170&lt;&gt;"", VLOOKUP(A2170, imdb_netflix_v5!A$2:H$7370, 3, FALSE), "")</f>
        <v>Adventure, Comedy, Drama</v>
      </c>
      <c r="D2170" s="2">
        <f>IF(A2170&lt;&gt;"", VLOOKUP(A2170, imdb_netflix_v5!A$2:H$7370, 4, FALSE), "")</f>
        <v>7.8</v>
      </c>
      <c r="E2170" s="2">
        <f>IF(A2170&lt;&gt;"", VLOOKUP(A2170, imdb_netflix_v5!A$2:H$7370, 5, FALSE), "")</f>
        <v>1944</v>
      </c>
      <c r="F2170" s="2" t="str">
        <f>IF(A2170&lt;&gt;"", VLOOKUP(A2170, imdb_netflix_v5!A$2:H$7370, 7, FALSE), "")</f>
        <v>NA</v>
      </c>
    </row>
    <row r="2171" ht="15.75" customHeight="1">
      <c r="A2171" s="1" t="str">
        <f>IFERROR(__xludf.DUMMYFUNCTION("""COMPUTED_VALUE"""),"jiro dreams of sushi")</f>
        <v>jiro dreams of sushi</v>
      </c>
      <c r="B2171" s="1" t="str">
        <f>IF(A2171&lt;&gt;"", VLOOKUP(A2171, imdb_netflix_v5!A$2:H$7370, 2, FALSE), "")</f>
        <v>Movie</v>
      </c>
      <c r="C2171" s="2" t="str">
        <f>IF(A2171&lt;&gt;"", VLOOKUP(A2171, imdb_netflix_v5!A$2:H$7370, 3, FALSE), "")</f>
        <v>Documentary</v>
      </c>
      <c r="D2171" s="2">
        <f>IF(A2171&lt;&gt;"", VLOOKUP(A2171, imdb_netflix_v5!A$2:H$7370, 4, FALSE), "")</f>
        <v>7.8</v>
      </c>
      <c r="E2171" s="2">
        <f>IF(A2171&lt;&gt;"", VLOOKUP(A2171, imdb_netflix_v5!A$2:H$7370, 5, FALSE), "")</f>
        <v>2011</v>
      </c>
      <c r="F2171" s="2" t="str">
        <f>IF(A2171&lt;&gt;"", VLOOKUP(A2171, imdb_netflix_v5!A$2:H$7370, 7, FALSE), "")</f>
        <v>NA</v>
      </c>
    </row>
    <row r="2172" ht="15.75" customHeight="1">
      <c r="A2172" s="1" t="str">
        <f>IFERROR(__xludf.DUMMYFUNCTION("""COMPUTED_VALUE"""),"the resident")</f>
        <v>the resident</v>
      </c>
      <c r="B2172" s="1" t="str">
        <f>IF(A2172&lt;&gt;"", VLOOKUP(A2172, imdb_netflix_v5!A$2:H$7370, 2, FALSE), "")</f>
        <v>TV Show</v>
      </c>
      <c r="C2172" s="2" t="str">
        <f>IF(A2172&lt;&gt;"", VLOOKUP(A2172, imdb_netflix_v5!A$2:H$7370, 3, FALSE), "")</f>
        <v>Drama</v>
      </c>
      <c r="D2172" s="2">
        <f>IF(A2172&lt;&gt;"", VLOOKUP(A2172, imdb_netflix_v5!A$2:H$7370, 4, FALSE), "")</f>
        <v>7.8</v>
      </c>
      <c r="E2172" s="2">
        <f>IF(A2172&lt;&gt;"", VLOOKUP(A2172, imdb_netflix_v5!A$2:H$7370, 5, FALSE), "")</f>
        <v>2018</v>
      </c>
      <c r="F2172" s="2" t="str">
        <f>IF(A2172&lt;&gt;"", VLOOKUP(A2172, imdb_netflix_v5!A$2:H$7370, 7, FALSE), "")</f>
        <v>NA</v>
      </c>
    </row>
    <row r="2173" ht="15.75" customHeight="1">
      <c r="A2173" s="1" t="str">
        <f>IFERROR(__xludf.DUMMYFUNCTION("""COMPUTED_VALUE"""),"hiroshima mon amour")</f>
        <v>hiroshima mon amour</v>
      </c>
      <c r="B2173" s="1" t="str">
        <f>IF(A2173&lt;&gt;"", VLOOKUP(A2173, imdb_netflix_v5!A$2:H$7370, 2, FALSE), "")</f>
        <v>Movie</v>
      </c>
      <c r="C2173" s="2" t="str">
        <f>IF(A2173&lt;&gt;"", VLOOKUP(A2173, imdb_netflix_v5!A$2:H$7370, 3, FALSE), "")</f>
        <v>Drama, Romance</v>
      </c>
      <c r="D2173" s="2">
        <f>IF(A2173&lt;&gt;"", VLOOKUP(A2173, imdb_netflix_v5!A$2:H$7370, 4, FALSE), "")</f>
        <v>7.8</v>
      </c>
      <c r="E2173" s="2">
        <f>IF(A2173&lt;&gt;"", VLOOKUP(A2173, imdb_netflix_v5!A$2:H$7370, 5, FALSE), "")</f>
        <v>1959</v>
      </c>
      <c r="F2173" s="2" t="str">
        <f>IF(A2173&lt;&gt;"", VLOOKUP(A2173, imdb_netflix_v5!A$2:H$7370, 7, FALSE), "")</f>
        <v>NA</v>
      </c>
    </row>
    <row r="2174" ht="15.75" customHeight="1">
      <c r="A2174" s="1" t="str">
        <f>IFERROR(__xludf.DUMMYFUNCTION("""COMPUTED_VALUE"""),"episodes")</f>
        <v>episodes</v>
      </c>
      <c r="B2174" s="1" t="str">
        <f>IF(A2174&lt;&gt;"", VLOOKUP(A2174, imdb_netflix_v5!A$2:H$7370, 2, FALSE), "")</f>
        <v>TV Show</v>
      </c>
      <c r="C2174" s="2" t="str">
        <f>IF(A2174&lt;&gt;"", VLOOKUP(A2174, imdb_netflix_v5!A$2:H$7370, 3, FALSE), "")</f>
        <v>Comedy</v>
      </c>
      <c r="D2174" s="2">
        <f>IF(A2174&lt;&gt;"", VLOOKUP(A2174, imdb_netflix_v5!A$2:H$7370, 4, FALSE), "")</f>
        <v>7.8</v>
      </c>
      <c r="E2174" s="2">
        <f>IF(A2174&lt;&gt;"", VLOOKUP(A2174, imdb_netflix_v5!A$2:H$7370, 5, FALSE), "")</f>
        <v>2011</v>
      </c>
      <c r="F2174" s="2" t="str">
        <f>IF(A2174&lt;&gt;"", VLOOKUP(A2174, imdb_netflix_v5!A$2:H$7370, 7, FALSE), "")</f>
        <v>NA</v>
      </c>
    </row>
    <row r="2175" ht="15.75" customHeight="1">
      <c r="A2175" s="1" t="str">
        <f>IFERROR(__xludf.DUMMYFUNCTION("""COMPUTED_VALUE"""),"all that jazz")</f>
        <v>all that jazz</v>
      </c>
      <c r="B2175" s="1" t="str">
        <f>IF(A2175&lt;&gt;"", VLOOKUP(A2175, imdb_netflix_v5!A$2:H$7370, 2, FALSE), "")</f>
        <v>Movie</v>
      </c>
      <c r="C2175" s="2" t="str">
        <f>IF(A2175&lt;&gt;"", VLOOKUP(A2175, imdb_netflix_v5!A$2:H$7370, 3, FALSE), "")</f>
        <v>Drama, Music, Musical</v>
      </c>
      <c r="D2175" s="2">
        <f>IF(A2175&lt;&gt;"", VLOOKUP(A2175, imdb_netflix_v5!A$2:H$7370, 4, FALSE), "")</f>
        <v>7.8</v>
      </c>
      <c r="E2175" s="2">
        <f>IF(A2175&lt;&gt;"", VLOOKUP(A2175, imdb_netflix_v5!A$2:H$7370, 5, FALSE), "")</f>
        <v>1979</v>
      </c>
      <c r="F2175" s="2" t="str">
        <f>IF(A2175&lt;&gt;"", VLOOKUP(A2175, imdb_netflix_v5!A$2:H$7370, 7, FALSE), "")</f>
        <v>NA</v>
      </c>
    </row>
    <row r="2176" ht="15.75" customHeight="1">
      <c r="A2176" s="1" t="str">
        <f>IFERROR(__xludf.DUMMYFUNCTION("""COMPUTED_VALUE"""),"the walking dead the ones who live")</f>
        <v>the walking dead the ones who live</v>
      </c>
      <c r="B2176" s="1" t="str">
        <f>IF(A2176&lt;&gt;"", VLOOKUP(A2176, imdb_netflix_v5!A$2:H$7370, 2, FALSE), "")</f>
        <v>TV Show</v>
      </c>
      <c r="C2176" s="2" t="str">
        <f>IF(A2176&lt;&gt;"", VLOOKUP(A2176, imdb_netflix_v5!A$2:H$7370, 3, FALSE), "")</f>
        <v>Drama, Horror, Thriller</v>
      </c>
      <c r="D2176" s="2">
        <f>IF(A2176&lt;&gt;"", VLOOKUP(A2176, imdb_netflix_v5!A$2:H$7370, 4, FALSE), "")</f>
        <v>7.8</v>
      </c>
      <c r="E2176" s="2">
        <f>IF(A2176&lt;&gt;"", VLOOKUP(A2176, imdb_netflix_v5!A$2:H$7370, 5, FALSE), "")</f>
        <v>2024</v>
      </c>
      <c r="F2176" s="2" t="str">
        <f>IF(A2176&lt;&gt;"", VLOOKUP(A2176, imdb_netflix_v5!A$2:H$7370, 7, FALSE), "")</f>
        <v>NA</v>
      </c>
    </row>
    <row r="2177" ht="15.75" customHeight="1">
      <c r="A2177" s="1" t="str">
        <f>IFERROR(__xludf.DUMMYFUNCTION("""COMPUTED_VALUE"""),"seal team")</f>
        <v>seal team</v>
      </c>
      <c r="B2177" s="1" t="str">
        <f>IF(A2177&lt;&gt;"", VLOOKUP(A2177, imdb_netflix_v5!A$2:H$7370, 2, FALSE), "")</f>
        <v>TV Show</v>
      </c>
      <c r="C2177" s="2" t="str">
        <f>IF(A2177&lt;&gt;"", VLOOKUP(A2177, imdb_netflix_v5!A$2:H$7370, 3, FALSE), "")</f>
        <v>Action, Drama, War</v>
      </c>
      <c r="D2177" s="2">
        <f>IF(A2177&lt;&gt;"", VLOOKUP(A2177, imdb_netflix_v5!A$2:H$7370, 4, FALSE), "")</f>
        <v>7.8</v>
      </c>
      <c r="E2177" s="2">
        <f>IF(A2177&lt;&gt;"", VLOOKUP(A2177, imdb_netflix_v5!A$2:H$7370, 5, FALSE), "")</f>
        <v>2017</v>
      </c>
      <c r="F2177" s="2">
        <f>IF(A2177&lt;&gt;"", VLOOKUP(A2177, imdb_netflix_v5!A$2:H$7370, 7, FALSE), "")</f>
        <v>10310000</v>
      </c>
    </row>
    <row r="2178" ht="15.75" customHeight="1">
      <c r="A2178" s="1" t="str">
        <f>IFERROR(__xludf.DUMMYFUNCTION("""COMPUTED_VALUE"""),"vivre sa vie")</f>
        <v>vivre sa vie</v>
      </c>
      <c r="B2178" s="1" t="str">
        <f>IF(A2178&lt;&gt;"", VLOOKUP(A2178, imdb_netflix_v5!A$2:H$7370, 2, FALSE), "")</f>
        <v>Movie</v>
      </c>
      <c r="C2178" s="2" t="str">
        <f>IF(A2178&lt;&gt;"", VLOOKUP(A2178, imdb_netflix_v5!A$2:H$7370, 3, FALSE), "")</f>
        <v>Drama</v>
      </c>
      <c r="D2178" s="2">
        <f>IF(A2178&lt;&gt;"", VLOOKUP(A2178, imdb_netflix_v5!A$2:H$7370, 4, FALSE), "")</f>
        <v>7.8</v>
      </c>
      <c r="E2178" s="2">
        <f>IF(A2178&lt;&gt;"", VLOOKUP(A2178, imdb_netflix_v5!A$2:H$7370, 5, FALSE), "")</f>
        <v>1962</v>
      </c>
      <c r="F2178" s="2" t="str">
        <f>IF(A2178&lt;&gt;"", VLOOKUP(A2178, imdb_netflix_v5!A$2:H$7370, 7, FALSE), "")</f>
        <v>NA</v>
      </c>
    </row>
    <row r="2179" ht="15.75" customHeight="1">
      <c r="A2179" s="1" t="str">
        <f>IFERROR(__xludf.DUMMYFUNCTION("""COMPUTED_VALUE"""),"my name")</f>
        <v>my name</v>
      </c>
      <c r="B2179" s="1" t="str">
        <f>IF(A2179&lt;&gt;"", VLOOKUP(A2179, imdb_netflix_v5!A$2:H$7370, 2, FALSE), "")</f>
        <v>TV Show</v>
      </c>
      <c r="C2179" s="2" t="str">
        <f>IF(A2179&lt;&gt;"", VLOOKUP(A2179, imdb_netflix_v5!A$2:H$7370, 3, FALSE), "")</f>
        <v>Action, Crime, Drama</v>
      </c>
      <c r="D2179" s="2">
        <f>IF(A2179&lt;&gt;"", VLOOKUP(A2179, imdb_netflix_v5!A$2:H$7370, 4, FALSE), "")</f>
        <v>7.8</v>
      </c>
      <c r="E2179" s="2">
        <f>IF(A2179&lt;&gt;"", VLOOKUP(A2179, imdb_netflix_v5!A$2:H$7370, 5, FALSE), "")</f>
        <v>2021</v>
      </c>
      <c r="F2179" s="2">
        <f>IF(A2179&lt;&gt;"", VLOOKUP(A2179, imdb_netflix_v5!A$2:H$7370, 7, FALSE), "")</f>
        <v>10820000</v>
      </c>
    </row>
    <row r="2180" ht="15.75" customHeight="1">
      <c r="A2180" s="1" t="str">
        <f>IFERROR(__xludf.DUMMYFUNCTION("""COMPUTED_VALUE"""),"a night at the opera")</f>
        <v>a night at the opera</v>
      </c>
      <c r="B2180" s="1" t="str">
        <f>IF(A2180&lt;&gt;"", VLOOKUP(A2180, imdb_netflix_v5!A$2:H$7370, 2, FALSE), "")</f>
        <v>Movie</v>
      </c>
      <c r="C2180" s="2" t="str">
        <f>IF(A2180&lt;&gt;"", VLOOKUP(A2180, imdb_netflix_v5!A$2:H$7370, 3, FALSE), "")</f>
        <v>Comedy, Music, Musical</v>
      </c>
      <c r="D2180" s="2">
        <f>IF(A2180&lt;&gt;"", VLOOKUP(A2180, imdb_netflix_v5!A$2:H$7370, 4, FALSE), "")</f>
        <v>7.8</v>
      </c>
      <c r="E2180" s="2">
        <f>IF(A2180&lt;&gt;"", VLOOKUP(A2180, imdb_netflix_v5!A$2:H$7370, 5, FALSE), "")</f>
        <v>1935</v>
      </c>
      <c r="F2180" s="2" t="str">
        <f>IF(A2180&lt;&gt;"", VLOOKUP(A2180, imdb_netflix_v5!A$2:H$7370, 7, FALSE), "")</f>
        <v>NA</v>
      </c>
    </row>
    <row r="2181" ht="15.75" customHeight="1">
      <c r="A2181" s="1" t="str">
        <f>IFERROR(__xludf.DUMMYFUNCTION("""COMPUTED_VALUE"""),"gaslight")</f>
        <v>gaslight</v>
      </c>
      <c r="B2181" s="1" t="str">
        <f>IF(A2181&lt;&gt;"", VLOOKUP(A2181, imdb_netflix_v5!A$2:H$7370, 2, FALSE), "")</f>
        <v>Movie</v>
      </c>
      <c r="C2181" s="2" t="str">
        <f>IF(A2181&lt;&gt;"", VLOOKUP(A2181, imdb_netflix_v5!A$2:H$7370, 3, FALSE), "")</f>
        <v>Crime, Drama, Mystery</v>
      </c>
      <c r="D2181" s="2">
        <f>IF(A2181&lt;&gt;"", VLOOKUP(A2181, imdb_netflix_v5!A$2:H$7370, 4, FALSE), "")</f>
        <v>7.8</v>
      </c>
      <c r="E2181" s="2">
        <f>IF(A2181&lt;&gt;"", VLOOKUP(A2181, imdb_netflix_v5!A$2:H$7370, 5, FALSE), "")</f>
        <v>1944</v>
      </c>
      <c r="F2181" s="2" t="str">
        <f>IF(A2181&lt;&gt;"", VLOOKUP(A2181, imdb_netflix_v5!A$2:H$7370, 7, FALSE), "")</f>
        <v>NA</v>
      </c>
    </row>
    <row r="2182" ht="15.75" customHeight="1">
      <c r="A2182" s="1" t="str">
        <f>IFERROR(__xludf.DUMMYFUNCTION("""COMPUTED_VALUE"""),"knockin on heavens door")</f>
        <v>knockin on heavens door</v>
      </c>
      <c r="B2182" s="1" t="str">
        <f>IF(A2182&lt;&gt;"", VLOOKUP(A2182, imdb_netflix_v5!A$2:H$7370, 2, FALSE), "")</f>
        <v>Movie</v>
      </c>
      <c r="C2182" s="2" t="str">
        <f>IF(A2182&lt;&gt;"", VLOOKUP(A2182, imdb_netflix_v5!A$2:H$7370, 3, FALSE), "")</f>
        <v>Action, Comedy, Crime</v>
      </c>
      <c r="D2182" s="2">
        <f>IF(A2182&lt;&gt;"", VLOOKUP(A2182, imdb_netflix_v5!A$2:H$7370, 4, FALSE), "")</f>
        <v>7.8</v>
      </c>
      <c r="E2182" s="2">
        <f>IF(A2182&lt;&gt;"", VLOOKUP(A2182, imdb_netflix_v5!A$2:H$7370, 5, FALSE), "")</f>
        <v>1997</v>
      </c>
      <c r="F2182" s="2" t="str">
        <f>IF(A2182&lt;&gt;"", VLOOKUP(A2182, imdb_netflix_v5!A$2:H$7370, 7, FALSE), "")</f>
        <v>NA</v>
      </c>
    </row>
    <row r="2183" ht="15.75" customHeight="1">
      <c r="A2183" s="1" t="str">
        <f>IFERROR(__xludf.DUMMYFUNCTION("""COMPUTED_VALUE"""),"c.r.a.z.y.")</f>
        <v>c.r.a.z.y.</v>
      </c>
      <c r="B2183" s="1" t="str">
        <f>IF(A2183&lt;&gt;"", VLOOKUP(A2183, imdb_netflix_v5!A$2:H$7370, 2, FALSE), "")</f>
        <v>Movie</v>
      </c>
      <c r="C2183" s="2" t="str">
        <f>IF(A2183&lt;&gt;"", VLOOKUP(A2183, imdb_netflix_v5!A$2:H$7370, 3, FALSE), "")</f>
        <v>Comedy, Drama</v>
      </c>
      <c r="D2183" s="2">
        <f>IF(A2183&lt;&gt;"", VLOOKUP(A2183, imdb_netflix_v5!A$2:H$7370, 4, FALSE), "")</f>
        <v>7.8</v>
      </c>
      <c r="E2183" s="2">
        <f>IF(A2183&lt;&gt;"", VLOOKUP(A2183, imdb_netflix_v5!A$2:H$7370, 5, FALSE), "")</f>
        <v>2005</v>
      </c>
      <c r="F2183" s="2" t="str">
        <f>IF(A2183&lt;&gt;"", VLOOKUP(A2183, imdb_netflix_v5!A$2:H$7370, 7, FALSE), "")</f>
        <v>NA</v>
      </c>
    </row>
    <row r="2184" ht="15.75" customHeight="1">
      <c r="A2184" s="1" t="str">
        <f>IFERROR(__xludf.DUMMYFUNCTION("""COMPUTED_VALUE"""),"millennium actress")</f>
        <v>millennium actress</v>
      </c>
      <c r="B2184" s="1" t="str">
        <f>IF(A2184&lt;&gt;"", VLOOKUP(A2184, imdb_netflix_v5!A$2:H$7370, 2, FALSE), "")</f>
        <v>Movie</v>
      </c>
      <c r="C2184" s="2" t="str">
        <f>IF(A2184&lt;&gt;"", VLOOKUP(A2184, imdb_netflix_v5!A$2:H$7370, 3, FALSE), "")</f>
        <v>Animation, Drama, Fantasy</v>
      </c>
      <c r="D2184" s="2">
        <f>IF(A2184&lt;&gt;"", VLOOKUP(A2184, imdb_netflix_v5!A$2:H$7370, 4, FALSE), "")</f>
        <v>7.8</v>
      </c>
      <c r="E2184" s="2">
        <f>IF(A2184&lt;&gt;"", VLOOKUP(A2184, imdb_netflix_v5!A$2:H$7370, 5, FALSE), "")</f>
        <v>2001</v>
      </c>
      <c r="F2184" s="2" t="str">
        <f>IF(A2184&lt;&gt;"", VLOOKUP(A2184, imdb_netflix_v5!A$2:H$7370, 7, FALSE), "")</f>
        <v>NA</v>
      </c>
    </row>
    <row r="2185" ht="15.75" customHeight="1">
      <c r="A2185" s="1" t="str">
        <f>IFERROR(__xludf.DUMMYFUNCTION("""COMPUTED_VALUE"""),"pinky and the brain")</f>
        <v>pinky and the brain</v>
      </c>
      <c r="B2185" s="1" t="str">
        <f>IF(A2185&lt;&gt;"", VLOOKUP(A2185, imdb_netflix_v5!A$2:H$7370, 2, FALSE), "")</f>
        <v>TV Show</v>
      </c>
      <c r="C2185" s="2" t="str">
        <f>IF(A2185&lt;&gt;"", VLOOKUP(A2185, imdb_netflix_v5!A$2:H$7370, 3, FALSE), "")</f>
        <v>Adventure, Animation, Comedy</v>
      </c>
      <c r="D2185" s="2">
        <f>IF(A2185&lt;&gt;"", VLOOKUP(A2185, imdb_netflix_v5!A$2:H$7370, 4, FALSE), "")</f>
        <v>7.8</v>
      </c>
      <c r="E2185" s="2">
        <f>IF(A2185&lt;&gt;"", VLOOKUP(A2185, imdb_netflix_v5!A$2:H$7370, 5, FALSE), "")</f>
        <v>1995</v>
      </c>
      <c r="F2185" s="2" t="str">
        <f>IF(A2185&lt;&gt;"", VLOOKUP(A2185, imdb_netflix_v5!A$2:H$7370, 7, FALSE), "")</f>
        <v>NA</v>
      </c>
    </row>
    <row r="2186" ht="15.75" customHeight="1">
      <c r="A2186" s="1" t="str">
        <f>IFERROR(__xludf.DUMMYFUNCTION("""COMPUTED_VALUE"""),"minnal murali")</f>
        <v>minnal murali</v>
      </c>
      <c r="B2186" s="1" t="str">
        <f>IF(A2186&lt;&gt;"", VLOOKUP(A2186, imdb_netflix_v5!A$2:H$7370, 2, FALSE), "")</f>
        <v>Movie</v>
      </c>
      <c r="C2186" s="2" t="str">
        <f>IF(A2186&lt;&gt;"", VLOOKUP(A2186, imdb_netflix_v5!A$2:H$7370, 3, FALSE), "")</f>
        <v>Action, Comedy, Drama</v>
      </c>
      <c r="D2186" s="2">
        <f>IF(A2186&lt;&gt;"", VLOOKUP(A2186, imdb_netflix_v5!A$2:H$7370, 4, FALSE), "")</f>
        <v>7.8</v>
      </c>
      <c r="E2186" s="2">
        <f>IF(A2186&lt;&gt;"", VLOOKUP(A2186, imdb_netflix_v5!A$2:H$7370, 5, FALSE), "")</f>
        <v>2021</v>
      </c>
      <c r="F2186" s="2">
        <f>IF(A2186&lt;&gt;"", VLOOKUP(A2186, imdb_netflix_v5!A$2:H$7370, 7, FALSE), "")</f>
        <v>2510000</v>
      </c>
    </row>
    <row r="2187" ht="15.75" customHeight="1">
      <c r="A2187" s="1" t="str">
        <f>IFERROR(__xludf.DUMMYFUNCTION("""COMPUTED_VALUE"""),"hindi medium")</f>
        <v>hindi medium</v>
      </c>
      <c r="B2187" s="1" t="str">
        <f>IF(A2187&lt;&gt;"", VLOOKUP(A2187, imdb_netflix_v5!A$2:H$7370, 2, FALSE), "")</f>
        <v>Movie</v>
      </c>
      <c r="C2187" s="2" t="str">
        <f>IF(A2187&lt;&gt;"", VLOOKUP(A2187, imdb_netflix_v5!A$2:H$7370, 3, FALSE), "")</f>
        <v>Comedy, Drama</v>
      </c>
      <c r="D2187" s="2">
        <f>IF(A2187&lt;&gt;"", VLOOKUP(A2187, imdb_netflix_v5!A$2:H$7370, 4, FALSE), "")</f>
        <v>7.8</v>
      </c>
      <c r="E2187" s="2">
        <f>IF(A2187&lt;&gt;"", VLOOKUP(A2187, imdb_netflix_v5!A$2:H$7370, 5, FALSE), "")</f>
        <v>2017</v>
      </c>
      <c r="F2187" s="2" t="str">
        <f>IF(A2187&lt;&gt;"", VLOOKUP(A2187, imdb_netflix_v5!A$2:H$7370, 7, FALSE), "")</f>
        <v>NA</v>
      </c>
    </row>
    <row r="2188" ht="15.75" customHeight="1">
      <c r="A2188" s="1" t="str">
        <f>IFERROR(__xludf.DUMMYFUNCTION("""COMPUTED_VALUE"""),"chandu champion")</f>
        <v>chandu champion</v>
      </c>
      <c r="B2188" s="1" t="str">
        <f>IF(A2188&lt;&gt;"", VLOOKUP(A2188, imdb_netflix_v5!A$2:H$7370, 2, FALSE), "")</f>
        <v>Movie</v>
      </c>
      <c r="C2188" s="2" t="str">
        <f>IF(A2188&lt;&gt;"", VLOOKUP(A2188, imdb_netflix_v5!A$2:H$7370, 3, FALSE), "")</f>
        <v>Action, Biography, Drama</v>
      </c>
      <c r="D2188" s="2">
        <f>IF(A2188&lt;&gt;"", VLOOKUP(A2188, imdb_netflix_v5!A$2:H$7370, 4, FALSE), "")</f>
        <v>7.8</v>
      </c>
      <c r="E2188" s="2">
        <f>IF(A2188&lt;&gt;"", VLOOKUP(A2188, imdb_netflix_v5!A$2:H$7370, 5, FALSE), "")</f>
        <v>2024</v>
      </c>
      <c r="F2188" s="2" t="str">
        <f>IF(A2188&lt;&gt;"", VLOOKUP(A2188, imdb_netflix_v5!A$2:H$7370, 7, FALSE), "")</f>
        <v>NA</v>
      </c>
    </row>
    <row r="2189" ht="15.75" customHeight="1">
      <c r="A2189" s="1" t="str">
        <f>IFERROR(__xludf.DUMMYFUNCTION("""COMPUTED_VALUE"""),"the umbrellas of cherbourg")</f>
        <v>the umbrellas of cherbourg</v>
      </c>
      <c r="B2189" s="1" t="str">
        <f>IF(A2189&lt;&gt;"", VLOOKUP(A2189, imdb_netflix_v5!A$2:H$7370, 2, FALSE), "")</f>
        <v>Movie</v>
      </c>
      <c r="C2189" s="2" t="str">
        <f>IF(A2189&lt;&gt;"", VLOOKUP(A2189, imdb_netflix_v5!A$2:H$7370, 3, FALSE), "")</f>
        <v>Drama, Musical, Romance</v>
      </c>
      <c r="D2189" s="2">
        <f>IF(A2189&lt;&gt;"", VLOOKUP(A2189, imdb_netflix_v5!A$2:H$7370, 4, FALSE), "")</f>
        <v>7.8</v>
      </c>
      <c r="E2189" s="2">
        <f>IF(A2189&lt;&gt;"", VLOOKUP(A2189, imdb_netflix_v5!A$2:H$7370, 5, FALSE), "")</f>
        <v>1964</v>
      </c>
      <c r="F2189" s="2" t="str">
        <f>IF(A2189&lt;&gt;"", VLOOKUP(A2189, imdb_netflix_v5!A$2:H$7370, 7, FALSE), "")</f>
        <v>NA</v>
      </c>
    </row>
    <row r="2190" ht="15.75" customHeight="1">
      <c r="A2190" s="1" t="str">
        <f>IFERROR(__xludf.DUMMYFUNCTION("""COMPUTED_VALUE"""),"akame ga kill!")</f>
        <v>akame ga kill!</v>
      </c>
      <c r="B2190" s="1" t="str">
        <f>IF(A2190&lt;&gt;"", VLOOKUP(A2190, imdb_netflix_v5!A$2:H$7370, 2, FALSE), "")</f>
        <v>TV Show</v>
      </c>
      <c r="C2190" s="2" t="str">
        <f>IF(A2190&lt;&gt;"", VLOOKUP(A2190, imdb_netflix_v5!A$2:H$7370, 3, FALSE), "")</f>
        <v>Action, Animation, Comedy</v>
      </c>
      <c r="D2190" s="2">
        <f>IF(A2190&lt;&gt;"", VLOOKUP(A2190, imdb_netflix_v5!A$2:H$7370, 4, FALSE), "")</f>
        <v>7.8</v>
      </c>
      <c r="E2190" s="2">
        <f>IF(A2190&lt;&gt;"", VLOOKUP(A2190, imdb_netflix_v5!A$2:H$7370, 5, FALSE), "")</f>
        <v>2014</v>
      </c>
      <c r="F2190" s="2" t="str">
        <f>IF(A2190&lt;&gt;"", VLOOKUP(A2190, imdb_netflix_v5!A$2:H$7370, 7, FALSE), "")</f>
        <v>NA</v>
      </c>
    </row>
    <row r="2191" ht="15.75" customHeight="1">
      <c r="A2191" s="1" t="str">
        <f>IFERROR(__xludf.DUMMYFUNCTION("""COMPUTED_VALUE"""),"the asphalt jungle")</f>
        <v>the asphalt jungle</v>
      </c>
      <c r="B2191" s="1" t="str">
        <f>IF(A2191&lt;&gt;"", VLOOKUP(A2191, imdb_netflix_v5!A$2:H$7370, 2, FALSE), "")</f>
        <v>Movie</v>
      </c>
      <c r="C2191" s="2" t="str">
        <f>IF(A2191&lt;&gt;"", VLOOKUP(A2191, imdb_netflix_v5!A$2:H$7370, 3, FALSE), "")</f>
        <v>Crime, Drama, Film-Noir</v>
      </c>
      <c r="D2191" s="2">
        <f>IF(A2191&lt;&gt;"", VLOOKUP(A2191, imdb_netflix_v5!A$2:H$7370, 4, FALSE), "")</f>
        <v>7.8</v>
      </c>
      <c r="E2191" s="2">
        <f>IF(A2191&lt;&gt;"", VLOOKUP(A2191, imdb_netflix_v5!A$2:H$7370, 5, FALSE), "")</f>
        <v>1950</v>
      </c>
      <c r="F2191" s="2" t="str">
        <f>IF(A2191&lt;&gt;"", VLOOKUP(A2191, imdb_netflix_v5!A$2:H$7370, 7, FALSE), "")</f>
        <v>NA</v>
      </c>
    </row>
    <row r="2192" ht="15.75" customHeight="1">
      <c r="A2192" s="1" t="str">
        <f>IFERROR(__xludf.DUMMYFUNCTION("""COMPUTED_VALUE"""),"the dissident")</f>
        <v>the dissident</v>
      </c>
      <c r="B2192" s="1" t="str">
        <f>IF(A2192&lt;&gt;"", VLOOKUP(A2192, imdb_netflix_v5!A$2:H$7370, 2, FALSE), "")</f>
        <v>Movie</v>
      </c>
      <c r="C2192" s="2" t="str">
        <f>IF(A2192&lt;&gt;"", VLOOKUP(A2192, imdb_netflix_v5!A$2:H$7370, 3, FALSE), "")</f>
        <v>Crime, Documentary, Thriller</v>
      </c>
      <c r="D2192" s="2">
        <f>IF(A2192&lt;&gt;"", VLOOKUP(A2192, imdb_netflix_v5!A$2:H$7370, 4, FALSE), "")</f>
        <v>7.8</v>
      </c>
      <c r="E2192" s="2">
        <f>IF(A2192&lt;&gt;"", VLOOKUP(A2192, imdb_netflix_v5!A$2:H$7370, 5, FALSE), "")</f>
        <v>2020</v>
      </c>
      <c r="F2192" s="2" t="str">
        <f>IF(A2192&lt;&gt;"", VLOOKUP(A2192, imdb_netflix_v5!A$2:H$7370, 7, FALSE), "")</f>
        <v>NA</v>
      </c>
    </row>
    <row r="2193" ht="15.75" customHeight="1">
      <c r="A2193" s="1" t="str">
        <f>IFERROR(__xludf.DUMMYFUNCTION("""COMPUTED_VALUE"""),"the english")</f>
        <v>the english</v>
      </c>
      <c r="B2193" s="1" t="str">
        <f>IF(A2193&lt;&gt;"", VLOOKUP(A2193, imdb_netflix_v5!A$2:H$7370, 2, FALSE), "")</f>
        <v>TV Show</v>
      </c>
      <c r="C2193" s="2" t="str">
        <f>IF(A2193&lt;&gt;"", VLOOKUP(A2193, imdb_netflix_v5!A$2:H$7370, 3, FALSE), "")</f>
        <v>Drama, Western</v>
      </c>
      <c r="D2193" s="2">
        <f>IF(A2193&lt;&gt;"", VLOOKUP(A2193, imdb_netflix_v5!A$2:H$7370, 4, FALSE), "")</f>
        <v>7.8</v>
      </c>
      <c r="E2193" s="2">
        <f>IF(A2193&lt;&gt;"", VLOOKUP(A2193, imdb_netflix_v5!A$2:H$7370, 5, FALSE), "")</f>
        <v>2022</v>
      </c>
      <c r="F2193" s="2" t="str">
        <f>IF(A2193&lt;&gt;"", VLOOKUP(A2193, imdb_netflix_v5!A$2:H$7370, 7, FALSE), "")</f>
        <v>NA</v>
      </c>
    </row>
    <row r="2194" ht="15.75" customHeight="1">
      <c r="A2194" s="1" t="str">
        <f>IFERROR(__xludf.DUMMYFUNCTION("""COMPUTED_VALUE"""),"startup")</f>
        <v>startup</v>
      </c>
      <c r="B2194" s="1" t="str">
        <f>IF(A2194&lt;&gt;"", VLOOKUP(A2194, imdb_netflix_v5!A$2:H$7370, 2, FALSE), "")</f>
        <v>TV Show</v>
      </c>
      <c r="C2194" s="2" t="str">
        <f>IF(A2194&lt;&gt;"", VLOOKUP(A2194, imdb_netflix_v5!A$2:H$7370, 3, FALSE), "")</f>
        <v>Crime, Thriller</v>
      </c>
      <c r="D2194" s="2">
        <f>IF(A2194&lt;&gt;"", VLOOKUP(A2194, imdb_netflix_v5!A$2:H$7370, 4, FALSE), "")</f>
        <v>7.8</v>
      </c>
      <c r="E2194" s="2">
        <f>IF(A2194&lt;&gt;"", VLOOKUP(A2194, imdb_netflix_v5!A$2:H$7370, 5, FALSE), "")</f>
        <v>2016</v>
      </c>
      <c r="F2194" s="2" t="str">
        <f>IF(A2194&lt;&gt;"", VLOOKUP(A2194, imdb_netflix_v5!A$2:H$7370, 7, FALSE), "")</f>
        <v>NA</v>
      </c>
    </row>
    <row r="2195" ht="15.75" customHeight="1">
      <c r="A2195" s="1" t="str">
        <f>IFERROR(__xludf.DUMMYFUNCTION("""COMPUTED_VALUE"""),"my life as a zucchini")</f>
        <v>my life as a zucchini</v>
      </c>
      <c r="B2195" s="1" t="str">
        <f>IF(A2195&lt;&gt;"", VLOOKUP(A2195, imdb_netflix_v5!A$2:H$7370, 2, FALSE), "")</f>
        <v>Movie</v>
      </c>
      <c r="C2195" s="2" t="str">
        <f>IF(A2195&lt;&gt;"", VLOOKUP(A2195, imdb_netflix_v5!A$2:H$7370, 3, FALSE), "")</f>
        <v>Animation, Comedy, Drama</v>
      </c>
      <c r="D2195" s="2">
        <f>IF(A2195&lt;&gt;"", VLOOKUP(A2195, imdb_netflix_v5!A$2:H$7370, 4, FALSE), "")</f>
        <v>7.8</v>
      </c>
      <c r="E2195" s="2">
        <f>IF(A2195&lt;&gt;"", VLOOKUP(A2195, imdb_netflix_v5!A$2:H$7370, 5, FALSE), "")</f>
        <v>2016</v>
      </c>
      <c r="F2195" s="2" t="str">
        <f>IF(A2195&lt;&gt;"", VLOOKUP(A2195, imdb_netflix_v5!A$2:H$7370, 7, FALSE), "")</f>
        <v>NA</v>
      </c>
    </row>
    <row r="2196" ht="15.75" customHeight="1">
      <c r="A2196" s="1" t="str">
        <f>IFERROR(__xludf.DUMMYFUNCTION("""COMPUTED_VALUE"""),"secret superstar")</f>
        <v>secret superstar</v>
      </c>
      <c r="B2196" s="1" t="str">
        <f>IF(A2196&lt;&gt;"", VLOOKUP(A2196, imdb_netflix_v5!A$2:H$7370, 2, FALSE), "")</f>
        <v>Movie</v>
      </c>
      <c r="C2196" s="2" t="str">
        <f>IF(A2196&lt;&gt;"", VLOOKUP(A2196, imdb_netflix_v5!A$2:H$7370, 3, FALSE), "")</f>
        <v>Drama, Music</v>
      </c>
      <c r="D2196" s="2">
        <f>IF(A2196&lt;&gt;"", VLOOKUP(A2196, imdb_netflix_v5!A$2:H$7370, 4, FALSE), "")</f>
        <v>7.8</v>
      </c>
      <c r="E2196" s="2">
        <f>IF(A2196&lt;&gt;"", VLOOKUP(A2196, imdb_netflix_v5!A$2:H$7370, 5, FALSE), "")</f>
        <v>2017</v>
      </c>
      <c r="F2196" s="2" t="str">
        <f>IF(A2196&lt;&gt;"", VLOOKUP(A2196, imdb_netflix_v5!A$2:H$7370, 7, FALSE), "")</f>
        <v>NA</v>
      </c>
    </row>
    <row r="2197" ht="15.75" customHeight="1">
      <c r="A2197" s="1" t="str">
        <f>IFERROR(__xludf.DUMMYFUNCTION("""COMPUTED_VALUE"""),"nurse jackie")</f>
        <v>nurse jackie</v>
      </c>
      <c r="B2197" s="1" t="str">
        <f>IF(A2197&lt;&gt;"", VLOOKUP(A2197, imdb_netflix_v5!A$2:H$7370, 2, FALSE), "")</f>
        <v>TV Show</v>
      </c>
      <c r="C2197" s="2" t="str">
        <f>IF(A2197&lt;&gt;"", VLOOKUP(A2197, imdb_netflix_v5!A$2:H$7370, 3, FALSE), "")</f>
        <v>Comedy, Drama</v>
      </c>
      <c r="D2197" s="2">
        <f>IF(A2197&lt;&gt;"", VLOOKUP(A2197, imdb_netflix_v5!A$2:H$7370, 4, FALSE), "")</f>
        <v>7.8</v>
      </c>
      <c r="E2197" s="2">
        <f>IF(A2197&lt;&gt;"", VLOOKUP(A2197, imdb_netflix_v5!A$2:H$7370, 5, FALSE), "")</f>
        <v>2009</v>
      </c>
      <c r="F2197" s="2" t="str">
        <f>IF(A2197&lt;&gt;"", VLOOKUP(A2197, imdb_netflix_v5!A$2:H$7370, 7, FALSE), "")</f>
        <v>NA</v>
      </c>
    </row>
    <row r="2198" ht="15.75" customHeight="1">
      <c r="A2198" s="1" t="str">
        <f>IFERROR(__xludf.DUMMYFUNCTION("""COMPUTED_VALUE"""),"the sex lives of college girls")</f>
        <v>the sex lives of college girls</v>
      </c>
      <c r="B2198" s="1" t="str">
        <f>IF(A2198&lt;&gt;"", VLOOKUP(A2198, imdb_netflix_v5!A$2:H$7370, 2, FALSE), "")</f>
        <v>TV Show</v>
      </c>
      <c r="C2198" s="2" t="str">
        <f>IF(A2198&lt;&gt;"", VLOOKUP(A2198, imdb_netflix_v5!A$2:H$7370, 3, FALSE), "")</f>
        <v>Comedy</v>
      </c>
      <c r="D2198" s="2">
        <f>IF(A2198&lt;&gt;"", VLOOKUP(A2198, imdb_netflix_v5!A$2:H$7370, 4, FALSE), "")</f>
        <v>7.8</v>
      </c>
      <c r="E2198" s="2">
        <f>IF(A2198&lt;&gt;"", VLOOKUP(A2198, imdb_netflix_v5!A$2:H$7370, 5, FALSE), "")</f>
        <v>2021</v>
      </c>
      <c r="F2198" s="2" t="str">
        <f>IF(A2198&lt;&gt;"", VLOOKUP(A2198, imdb_netflix_v5!A$2:H$7370, 7, FALSE), "")</f>
        <v>NA</v>
      </c>
    </row>
    <row r="2199" ht="15.75" customHeight="1">
      <c r="A2199" s="1" t="str">
        <f>IFERROR(__xludf.DUMMYFUNCTION("""COMPUTED_VALUE"""),"the closer")</f>
        <v>the closer</v>
      </c>
      <c r="B2199" s="1" t="str">
        <f>IF(A2199&lt;&gt;"", VLOOKUP(A2199, imdb_netflix_v5!A$2:H$7370, 2, FALSE), "")</f>
        <v>TV Show</v>
      </c>
      <c r="C2199" s="2" t="str">
        <f>IF(A2199&lt;&gt;"", VLOOKUP(A2199, imdb_netflix_v5!A$2:H$7370, 3, FALSE), "")</f>
        <v>Crime, Drama, Mystery</v>
      </c>
      <c r="D2199" s="2">
        <f>IF(A2199&lt;&gt;"", VLOOKUP(A2199, imdb_netflix_v5!A$2:H$7370, 4, FALSE), "")</f>
        <v>7.8</v>
      </c>
      <c r="E2199" s="2">
        <f>IF(A2199&lt;&gt;"", VLOOKUP(A2199, imdb_netflix_v5!A$2:H$7370, 5, FALSE), "")</f>
        <v>2005</v>
      </c>
      <c r="F2199" s="2" t="str">
        <f>IF(A2199&lt;&gt;"", VLOOKUP(A2199, imdb_netflix_v5!A$2:H$7370, 7, FALSE), "")</f>
        <v>NA</v>
      </c>
    </row>
    <row r="2200" ht="15.75" customHeight="1">
      <c r="A2200" s="1" t="str">
        <f>IFERROR(__xludf.DUMMYFUNCTION("""COMPUTED_VALUE"""),"star wars clone wars")</f>
        <v>star wars clone wars</v>
      </c>
      <c r="B2200" s="1" t="str">
        <f>IF(A2200&lt;&gt;"", VLOOKUP(A2200, imdb_netflix_v5!A$2:H$7370, 2, FALSE), "")</f>
        <v>TV Show</v>
      </c>
      <c r="C2200" s="2" t="str">
        <f>IF(A2200&lt;&gt;"", VLOOKUP(A2200, imdb_netflix_v5!A$2:H$7370, 3, FALSE), "")</f>
        <v>Action, Adventure, Animation</v>
      </c>
      <c r="D2200" s="2">
        <f>IF(A2200&lt;&gt;"", VLOOKUP(A2200, imdb_netflix_v5!A$2:H$7370, 4, FALSE), "")</f>
        <v>7.8</v>
      </c>
      <c r="E2200" s="2">
        <f>IF(A2200&lt;&gt;"", VLOOKUP(A2200, imdb_netflix_v5!A$2:H$7370, 5, FALSE), "")</f>
        <v>2003</v>
      </c>
      <c r="F2200" s="2" t="str">
        <f>IF(A2200&lt;&gt;"", VLOOKUP(A2200, imdb_netflix_v5!A$2:H$7370, 7, FALSE), "")</f>
        <v>NA</v>
      </c>
    </row>
    <row r="2201" ht="15.75" customHeight="1">
      <c r="A2201" s="1" t="str">
        <f>IFERROR(__xludf.DUMMYFUNCTION("""COMPUTED_VALUE"""),"fresh off the boat")</f>
        <v>fresh off the boat</v>
      </c>
      <c r="B2201" s="1" t="str">
        <f>IF(A2201&lt;&gt;"", VLOOKUP(A2201, imdb_netflix_v5!A$2:H$7370, 2, FALSE), "")</f>
        <v>TV Show</v>
      </c>
      <c r="C2201" s="2" t="str">
        <f>IF(A2201&lt;&gt;"", VLOOKUP(A2201, imdb_netflix_v5!A$2:H$7370, 3, FALSE), "")</f>
        <v>Comedy</v>
      </c>
      <c r="D2201" s="2">
        <f>IF(A2201&lt;&gt;"", VLOOKUP(A2201, imdb_netflix_v5!A$2:H$7370, 4, FALSE), "")</f>
        <v>7.8</v>
      </c>
      <c r="E2201" s="2">
        <f>IF(A2201&lt;&gt;"", VLOOKUP(A2201, imdb_netflix_v5!A$2:H$7370, 5, FALSE), "")</f>
        <v>2015</v>
      </c>
      <c r="F2201" s="2" t="str">
        <f>IF(A2201&lt;&gt;"", VLOOKUP(A2201, imdb_netflix_v5!A$2:H$7370, 7, FALSE), "")</f>
        <v>NA</v>
      </c>
    </row>
    <row r="2202" ht="15.75" customHeight="1">
      <c r="A2202" s="1" t="str">
        <f>IFERROR(__xludf.DUMMYFUNCTION("""COMPUTED_VALUE"""),"death in paradise")</f>
        <v>death in paradise</v>
      </c>
      <c r="B2202" s="1" t="str">
        <f>IF(A2202&lt;&gt;"", VLOOKUP(A2202, imdb_netflix_v5!A$2:H$7370, 2, FALSE), "")</f>
        <v>TV Show</v>
      </c>
      <c r="C2202" s="2" t="str">
        <f>IF(A2202&lt;&gt;"", VLOOKUP(A2202, imdb_netflix_v5!A$2:H$7370, 3, FALSE), "")</f>
        <v>Comedy, Crime, Drama</v>
      </c>
      <c r="D2202" s="2">
        <f>IF(A2202&lt;&gt;"", VLOOKUP(A2202, imdb_netflix_v5!A$2:H$7370, 4, FALSE), "")</f>
        <v>7.8</v>
      </c>
      <c r="E2202" s="2">
        <f>IF(A2202&lt;&gt;"", VLOOKUP(A2202, imdb_netflix_v5!A$2:H$7370, 5, FALSE), "")</f>
        <v>2011</v>
      </c>
      <c r="F2202" s="2" t="str">
        <f>IF(A2202&lt;&gt;"", VLOOKUP(A2202, imdb_netflix_v5!A$2:H$7370, 7, FALSE), "")</f>
        <v>NA</v>
      </c>
    </row>
    <row r="2203" ht="15.75" customHeight="1">
      <c r="A2203" s="1" t="str">
        <f>IFERROR(__xludf.DUMMYFUNCTION("""COMPUTED_VALUE"""),"like father, like son")</f>
        <v>like father, like son</v>
      </c>
      <c r="B2203" s="1" t="str">
        <f>IF(A2203&lt;&gt;"", VLOOKUP(A2203, imdb_netflix_v5!A$2:H$7370, 2, FALSE), "")</f>
        <v>Movie</v>
      </c>
      <c r="C2203" s="2" t="str">
        <f>IF(A2203&lt;&gt;"", VLOOKUP(A2203, imdb_netflix_v5!A$2:H$7370, 3, FALSE), "")</f>
        <v>Drama</v>
      </c>
      <c r="D2203" s="2">
        <f>IF(A2203&lt;&gt;"", VLOOKUP(A2203, imdb_netflix_v5!A$2:H$7370, 4, FALSE), "")</f>
        <v>7.8</v>
      </c>
      <c r="E2203" s="2">
        <f>IF(A2203&lt;&gt;"", VLOOKUP(A2203, imdb_netflix_v5!A$2:H$7370, 5, FALSE), "")</f>
        <v>2013</v>
      </c>
      <c r="F2203" s="2" t="str">
        <f>IF(A2203&lt;&gt;"", VLOOKUP(A2203, imdb_netflix_v5!A$2:H$7370, 7, FALSE), "")</f>
        <v>NA</v>
      </c>
    </row>
    <row r="2204" ht="15.75" customHeight="1">
      <c r="A2204" s="1" t="str">
        <f>IFERROR(__xludf.DUMMYFUNCTION("""COMPUTED_VALUE"""),"recess")</f>
        <v>recess</v>
      </c>
      <c r="B2204" s="1" t="str">
        <f>IF(A2204&lt;&gt;"", VLOOKUP(A2204, imdb_netflix_v5!A$2:H$7370, 2, FALSE), "")</f>
        <v>TV Show</v>
      </c>
      <c r="C2204" s="2" t="str">
        <f>IF(A2204&lt;&gt;"", VLOOKUP(A2204, imdb_netflix_v5!A$2:H$7370, 3, FALSE), "")</f>
        <v>Adventure, Animation, Comedy</v>
      </c>
      <c r="D2204" s="2">
        <f>IF(A2204&lt;&gt;"", VLOOKUP(A2204, imdb_netflix_v5!A$2:H$7370, 4, FALSE), "")</f>
        <v>7.8</v>
      </c>
      <c r="E2204" s="2">
        <f>IF(A2204&lt;&gt;"", VLOOKUP(A2204, imdb_netflix_v5!A$2:H$7370, 5, FALSE), "")</f>
        <v>1997</v>
      </c>
      <c r="F2204" s="2" t="str">
        <f>IF(A2204&lt;&gt;"", VLOOKUP(A2204, imdb_netflix_v5!A$2:H$7370, 7, FALSE), "")</f>
        <v>NA</v>
      </c>
    </row>
    <row r="2205" ht="15.75" customHeight="1">
      <c r="A2205" s="1" t="str">
        <f>IFERROR(__xludf.DUMMYFUNCTION("""COMPUTED_VALUE"""),"you cant take it with you")</f>
        <v>you cant take it with you</v>
      </c>
      <c r="B2205" s="1" t="str">
        <f>IF(A2205&lt;&gt;"", VLOOKUP(A2205, imdb_netflix_v5!A$2:H$7370, 2, FALSE), "")</f>
        <v>Movie</v>
      </c>
      <c r="C2205" s="2" t="str">
        <f>IF(A2205&lt;&gt;"", VLOOKUP(A2205, imdb_netflix_v5!A$2:H$7370, 3, FALSE), "")</f>
        <v>Comedy, Drama, Romance</v>
      </c>
      <c r="D2205" s="2">
        <f>IF(A2205&lt;&gt;"", VLOOKUP(A2205, imdb_netflix_v5!A$2:H$7370, 4, FALSE), "")</f>
        <v>7.8</v>
      </c>
      <c r="E2205" s="2">
        <f>IF(A2205&lt;&gt;"", VLOOKUP(A2205, imdb_netflix_v5!A$2:H$7370, 5, FALSE), "")</f>
        <v>1938</v>
      </c>
      <c r="F2205" s="2" t="str">
        <f>IF(A2205&lt;&gt;"", VLOOKUP(A2205, imdb_netflix_v5!A$2:H$7370, 7, FALSE), "")</f>
        <v>NA</v>
      </c>
    </row>
    <row r="2206" ht="15.75" customHeight="1">
      <c r="A2206" s="1" t="str">
        <f>IFERROR(__xludf.DUMMYFUNCTION("""COMPUTED_VALUE"""),"cléo from 5 to 7")</f>
        <v>cléo from 5 to 7</v>
      </c>
      <c r="B2206" s="1" t="str">
        <f>IF(A2206&lt;&gt;"", VLOOKUP(A2206, imdb_netflix_v5!A$2:H$7370, 2, FALSE), "")</f>
        <v>Movie</v>
      </c>
      <c r="C2206" s="2" t="str">
        <f>IF(A2206&lt;&gt;"", VLOOKUP(A2206, imdb_netflix_v5!A$2:H$7370, 3, FALSE), "")</f>
        <v>Comedy, Drama, Music</v>
      </c>
      <c r="D2206" s="2">
        <f>IF(A2206&lt;&gt;"", VLOOKUP(A2206, imdb_netflix_v5!A$2:H$7370, 4, FALSE), "")</f>
        <v>7.8</v>
      </c>
      <c r="E2206" s="2">
        <f>IF(A2206&lt;&gt;"", VLOOKUP(A2206, imdb_netflix_v5!A$2:H$7370, 5, FALSE), "")</f>
        <v>1962</v>
      </c>
      <c r="F2206" s="2" t="str">
        <f>IF(A2206&lt;&gt;"", VLOOKUP(A2206, imdb_netflix_v5!A$2:H$7370, 7, FALSE), "")</f>
        <v>NA</v>
      </c>
    </row>
    <row r="2207" ht="15.75" customHeight="1">
      <c r="A2207" s="1" t="str">
        <f>IFERROR(__xludf.DUMMYFUNCTION("""COMPUTED_VALUE"""),"hanu man")</f>
        <v>hanu man</v>
      </c>
      <c r="B2207" s="1" t="str">
        <f>IF(A2207&lt;&gt;"", VLOOKUP(A2207, imdb_netflix_v5!A$2:H$7370, 2, FALSE), "")</f>
        <v>Movie</v>
      </c>
      <c r="C2207" s="2" t="str">
        <f>IF(A2207&lt;&gt;"", VLOOKUP(A2207, imdb_netflix_v5!A$2:H$7370, 3, FALSE), "")</f>
        <v>Action, Adventure, Fantasy</v>
      </c>
      <c r="D2207" s="2">
        <f>IF(A2207&lt;&gt;"", VLOOKUP(A2207, imdb_netflix_v5!A$2:H$7370, 4, FALSE), "")</f>
        <v>7.8</v>
      </c>
      <c r="E2207" s="2">
        <f>IF(A2207&lt;&gt;"", VLOOKUP(A2207, imdb_netflix_v5!A$2:H$7370, 5, FALSE), "")</f>
        <v>2024</v>
      </c>
      <c r="F2207" s="2" t="str">
        <f>IF(A2207&lt;&gt;"", VLOOKUP(A2207, imdb_netflix_v5!A$2:H$7370, 7, FALSE), "")</f>
        <v>NA</v>
      </c>
    </row>
    <row r="2208" ht="15.75" customHeight="1">
      <c r="A2208" s="1" t="str">
        <f>IFERROR(__xludf.DUMMYFUNCTION("""COMPUTED_VALUE"""),"the staircase")</f>
        <v>the staircase</v>
      </c>
      <c r="B2208" s="1" t="str">
        <f>IF(A2208&lt;&gt;"", VLOOKUP(A2208, imdb_netflix_v5!A$2:H$7370, 2, FALSE), "")</f>
        <v>TV Show</v>
      </c>
      <c r="C2208" s="2" t="str">
        <f>IF(A2208&lt;&gt;"", VLOOKUP(A2208, imdb_netflix_v5!A$2:H$7370, 3, FALSE), "")</f>
        <v>Crime, Documentary, Drama</v>
      </c>
      <c r="D2208" s="2">
        <f>IF(A2208&lt;&gt;"", VLOOKUP(A2208, imdb_netflix_v5!A$2:H$7370, 4, FALSE), "")</f>
        <v>7.8</v>
      </c>
      <c r="E2208" s="2">
        <f>IF(A2208&lt;&gt;"", VLOOKUP(A2208, imdb_netflix_v5!A$2:H$7370, 5, FALSE), "")</f>
        <v>2004</v>
      </c>
      <c r="F2208" s="2" t="str">
        <f>IF(A2208&lt;&gt;"", VLOOKUP(A2208, imdb_netflix_v5!A$2:H$7370, 7, FALSE), "")</f>
        <v>NA</v>
      </c>
    </row>
    <row r="2209" ht="15.75" customHeight="1">
      <c r="A2209" s="1" t="str">
        <f>IFERROR(__xludf.DUMMYFUNCTION("""COMPUTED_VALUE"""),"mr. mercedes")</f>
        <v>mr. mercedes</v>
      </c>
      <c r="B2209" s="1" t="str">
        <f>IF(A2209&lt;&gt;"", VLOOKUP(A2209, imdb_netflix_v5!A$2:H$7370, 2, FALSE), "")</f>
        <v>TV Show</v>
      </c>
      <c r="C2209" s="2" t="str">
        <f>IF(A2209&lt;&gt;"", VLOOKUP(A2209, imdb_netflix_v5!A$2:H$7370, 3, FALSE), "")</f>
        <v>Crime, Drama, Mystery</v>
      </c>
      <c r="D2209" s="2">
        <f>IF(A2209&lt;&gt;"", VLOOKUP(A2209, imdb_netflix_v5!A$2:H$7370, 4, FALSE), "")</f>
        <v>7.8</v>
      </c>
      <c r="E2209" s="2">
        <f>IF(A2209&lt;&gt;"", VLOOKUP(A2209, imdb_netflix_v5!A$2:H$7370, 5, FALSE), "")</f>
        <v>2017</v>
      </c>
      <c r="F2209" s="2" t="str">
        <f>IF(A2209&lt;&gt;"", VLOOKUP(A2209, imdb_netflix_v5!A$2:H$7370, 7, FALSE), "")</f>
        <v>NA</v>
      </c>
    </row>
    <row r="2210" ht="15.75" customHeight="1">
      <c r="A2210" s="1" t="str">
        <f>IFERROR(__xludf.DUMMYFUNCTION("""COMPUTED_VALUE"""),"madam secretary")</f>
        <v>madam secretary</v>
      </c>
      <c r="B2210" s="1" t="str">
        <f>IF(A2210&lt;&gt;"", VLOOKUP(A2210, imdb_netflix_v5!A$2:H$7370, 2, FALSE), "")</f>
        <v>TV Show</v>
      </c>
      <c r="C2210" s="2" t="str">
        <f>IF(A2210&lt;&gt;"", VLOOKUP(A2210, imdb_netflix_v5!A$2:H$7370, 3, FALSE), "")</f>
        <v>Drama, Thriller</v>
      </c>
      <c r="D2210" s="2">
        <f>IF(A2210&lt;&gt;"", VLOOKUP(A2210, imdb_netflix_v5!A$2:H$7370, 4, FALSE), "")</f>
        <v>7.8</v>
      </c>
      <c r="E2210" s="2">
        <f>IF(A2210&lt;&gt;"", VLOOKUP(A2210, imdb_netflix_v5!A$2:H$7370, 5, FALSE), "")</f>
        <v>2014</v>
      </c>
      <c r="F2210" s="2" t="str">
        <f>IF(A2210&lt;&gt;"", VLOOKUP(A2210, imdb_netflix_v5!A$2:H$7370, 7, FALSE), "")</f>
        <v>NA</v>
      </c>
    </row>
    <row r="2211" ht="15.75" customHeight="1">
      <c r="A2211" s="1" t="str">
        <f>IFERROR(__xludf.DUMMYFUNCTION("""COMPUTED_VALUE"""),"tokyo revengers")</f>
        <v>tokyo revengers</v>
      </c>
      <c r="B2211" s="1" t="str">
        <f>IF(A2211&lt;&gt;"", VLOOKUP(A2211, imdb_netflix_v5!A$2:H$7370, 2, FALSE), "")</f>
        <v>TV Show</v>
      </c>
      <c r="C2211" s="2" t="str">
        <f>IF(A2211&lt;&gt;"", VLOOKUP(A2211, imdb_netflix_v5!A$2:H$7370, 3, FALSE), "")</f>
        <v>Action, Animation, Drama</v>
      </c>
      <c r="D2211" s="2">
        <f>IF(A2211&lt;&gt;"", VLOOKUP(A2211, imdb_netflix_v5!A$2:H$7370, 4, FALSE), "")</f>
        <v>7.8</v>
      </c>
      <c r="E2211" s="2">
        <f>IF(A2211&lt;&gt;"", VLOOKUP(A2211, imdb_netflix_v5!A$2:H$7370, 5, FALSE), "")</f>
        <v>2021</v>
      </c>
      <c r="F2211" s="2" t="str">
        <f>IF(A2211&lt;&gt;"", VLOOKUP(A2211, imdb_netflix_v5!A$2:H$7370, 7, FALSE), "")</f>
        <v>NA</v>
      </c>
    </row>
    <row r="2212" ht="15.75" customHeight="1">
      <c r="A2212" s="1" t="str">
        <f>IFERROR(__xludf.DUMMYFUNCTION("""COMPUTED_VALUE"""),"great expectations")</f>
        <v>great expectations</v>
      </c>
      <c r="B2212" s="1" t="str">
        <f>IF(A2212&lt;&gt;"", VLOOKUP(A2212, imdb_netflix_v5!A$2:H$7370, 2, FALSE), "")</f>
        <v>Movie</v>
      </c>
      <c r="C2212" s="2" t="str">
        <f>IF(A2212&lt;&gt;"", VLOOKUP(A2212, imdb_netflix_v5!A$2:H$7370, 3, FALSE), "")</f>
        <v>Adventure, Drama, Mystery</v>
      </c>
      <c r="D2212" s="2">
        <f>IF(A2212&lt;&gt;"", VLOOKUP(A2212, imdb_netflix_v5!A$2:H$7370, 4, FALSE), "")</f>
        <v>7.8</v>
      </c>
      <c r="E2212" s="2">
        <f>IF(A2212&lt;&gt;"", VLOOKUP(A2212, imdb_netflix_v5!A$2:H$7370, 5, FALSE), "")</f>
        <v>1946</v>
      </c>
      <c r="F2212" s="2" t="str">
        <f>IF(A2212&lt;&gt;"", VLOOKUP(A2212, imdb_netflix_v5!A$2:H$7370, 7, FALSE), "")</f>
        <v>NA</v>
      </c>
    </row>
    <row r="2213" ht="15.75" customHeight="1">
      <c r="A2213" s="1" t="str">
        <f>IFERROR(__xludf.DUMMYFUNCTION("""COMPUTED_VALUE"""),"being human")</f>
        <v>being human</v>
      </c>
      <c r="B2213" s="1" t="str">
        <f>IF(A2213&lt;&gt;"", VLOOKUP(A2213, imdb_netflix_v5!A$2:H$7370, 2, FALSE), "")</f>
        <v>TV Show</v>
      </c>
      <c r="C2213" s="2" t="str">
        <f>IF(A2213&lt;&gt;"", VLOOKUP(A2213, imdb_netflix_v5!A$2:H$7370, 3, FALSE), "")</f>
        <v>Comedy, Drama, Fantasy</v>
      </c>
      <c r="D2213" s="2">
        <f>IF(A2213&lt;&gt;"", VLOOKUP(A2213, imdb_netflix_v5!A$2:H$7370, 4, FALSE), "")</f>
        <v>7.8</v>
      </c>
      <c r="E2213" s="2">
        <f>IF(A2213&lt;&gt;"", VLOOKUP(A2213, imdb_netflix_v5!A$2:H$7370, 5, FALSE), "")</f>
        <v>2008</v>
      </c>
      <c r="F2213" s="2" t="str">
        <f>IF(A2213&lt;&gt;"", VLOOKUP(A2213, imdb_netflix_v5!A$2:H$7370, 7, FALSE), "")</f>
        <v>NA</v>
      </c>
    </row>
    <row r="2214" ht="15.75" customHeight="1">
      <c r="A2214" s="1" t="str">
        <f>IFERROR(__xludf.DUMMYFUNCTION("""COMPUTED_VALUE"""),"playtime")</f>
        <v>playtime</v>
      </c>
      <c r="B2214" s="1" t="str">
        <f>IF(A2214&lt;&gt;"", VLOOKUP(A2214, imdb_netflix_v5!A$2:H$7370, 2, FALSE), "")</f>
        <v>Movie</v>
      </c>
      <c r="C2214" s="2" t="str">
        <f>IF(A2214&lt;&gt;"", VLOOKUP(A2214, imdb_netflix_v5!A$2:H$7370, 3, FALSE), "")</f>
        <v>Comedy</v>
      </c>
      <c r="D2214" s="2">
        <f>IF(A2214&lt;&gt;"", VLOOKUP(A2214, imdb_netflix_v5!A$2:H$7370, 4, FALSE), "")</f>
        <v>7.8</v>
      </c>
      <c r="E2214" s="2">
        <f>IF(A2214&lt;&gt;"", VLOOKUP(A2214, imdb_netflix_v5!A$2:H$7370, 5, FALSE), "")</f>
        <v>1967</v>
      </c>
      <c r="F2214" s="2" t="str">
        <f>IF(A2214&lt;&gt;"", VLOOKUP(A2214, imdb_netflix_v5!A$2:H$7370, 7, FALSE), "")</f>
        <v>NA</v>
      </c>
    </row>
    <row r="2215" ht="15.75" customHeight="1">
      <c r="A2215" s="1" t="str">
        <f>IFERROR(__xludf.DUMMYFUNCTION("""COMPUTED_VALUE"""),"star trek lower decks")</f>
        <v>star trek lower decks</v>
      </c>
      <c r="B2215" s="1" t="str">
        <f>IF(A2215&lt;&gt;"", VLOOKUP(A2215, imdb_netflix_v5!A$2:H$7370, 2, FALSE), "")</f>
        <v>TV Show</v>
      </c>
      <c r="C2215" s="2" t="str">
        <f>IF(A2215&lt;&gt;"", VLOOKUP(A2215, imdb_netflix_v5!A$2:H$7370, 3, FALSE), "")</f>
        <v>Action, Adventure, Animation</v>
      </c>
      <c r="D2215" s="2">
        <f>IF(A2215&lt;&gt;"", VLOOKUP(A2215, imdb_netflix_v5!A$2:H$7370, 4, FALSE), "")</f>
        <v>7.8</v>
      </c>
      <c r="E2215" s="2">
        <f>IF(A2215&lt;&gt;"", VLOOKUP(A2215, imdb_netflix_v5!A$2:H$7370, 5, FALSE), "")</f>
        <v>2020</v>
      </c>
      <c r="F2215" s="2" t="str">
        <f>IF(A2215&lt;&gt;"", VLOOKUP(A2215, imdb_netflix_v5!A$2:H$7370, 7, FALSE), "")</f>
        <v>NA</v>
      </c>
    </row>
    <row r="2216" ht="15.75" customHeight="1">
      <c r="A2216" s="1" t="str">
        <f>IFERROR(__xludf.DUMMYFUNCTION("""COMPUTED_VALUE"""),"lakshya")</f>
        <v>lakshya</v>
      </c>
      <c r="B2216" s="1" t="str">
        <f>IF(A2216&lt;&gt;"", VLOOKUP(A2216, imdb_netflix_v5!A$2:H$7370, 2, FALSE), "")</f>
        <v>Movie</v>
      </c>
      <c r="C2216" s="2" t="str">
        <f>IF(A2216&lt;&gt;"", VLOOKUP(A2216, imdb_netflix_v5!A$2:H$7370, 3, FALSE), "")</f>
        <v>Action, Drama, Romance</v>
      </c>
      <c r="D2216" s="2">
        <f>IF(A2216&lt;&gt;"", VLOOKUP(A2216, imdb_netflix_v5!A$2:H$7370, 4, FALSE), "")</f>
        <v>7.8</v>
      </c>
      <c r="E2216" s="2">
        <f>IF(A2216&lt;&gt;"", VLOOKUP(A2216, imdb_netflix_v5!A$2:H$7370, 5, FALSE), "")</f>
        <v>2004</v>
      </c>
      <c r="F2216" s="2" t="str">
        <f>IF(A2216&lt;&gt;"", VLOOKUP(A2216, imdb_netflix_v5!A$2:H$7370, 7, FALSE), "")</f>
        <v>NA</v>
      </c>
    </row>
    <row r="2217" ht="15.75" customHeight="1">
      <c r="A2217" s="1" t="str">
        <f>IFERROR(__xludf.DUMMYFUNCTION("""COMPUTED_VALUE"""),"devious maids")</f>
        <v>devious maids</v>
      </c>
      <c r="B2217" s="1" t="str">
        <f>IF(A2217&lt;&gt;"", VLOOKUP(A2217, imdb_netflix_v5!A$2:H$7370, 2, FALSE), "")</f>
        <v>TV Show</v>
      </c>
      <c r="C2217" s="2" t="str">
        <f>IF(A2217&lt;&gt;"", VLOOKUP(A2217, imdb_netflix_v5!A$2:H$7370, 3, FALSE), "")</f>
        <v>Comedy, Drama, Mystery</v>
      </c>
      <c r="D2217" s="2">
        <f>IF(A2217&lt;&gt;"", VLOOKUP(A2217, imdb_netflix_v5!A$2:H$7370, 4, FALSE), "")</f>
        <v>7.8</v>
      </c>
      <c r="E2217" s="2">
        <f>IF(A2217&lt;&gt;"", VLOOKUP(A2217, imdb_netflix_v5!A$2:H$7370, 5, FALSE), "")</f>
        <v>2013</v>
      </c>
      <c r="F2217" s="2" t="str">
        <f>IF(A2217&lt;&gt;"", VLOOKUP(A2217, imdb_netflix_v5!A$2:H$7370, 7, FALSE), "")</f>
        <v>NA</v>
      </c>
    </row>
    <row r="2218" ht="15.75" customHeight="1">
      <c r="A2218" s="1" t="str">
        <f>IFERROR(__xludf.DUMMYFUNCTION("""COMPUTED_VALUE"""),"younger")</f>
        <v>younger</v>
      </c>
      <c r="B2218" s="1" t="str">
        <f>IF(A2218&lt;&gt;"", VLOOKUP(A2218, imdb_netflix_v5!A$2:H$7370, 2, FALSE), "")</f>
        <v>TV Show</v>
      </c>
      <c r="C2218" s="2" t="str">
        <f>IF(A2218&lt;&gt;"", VLOOKUP(A2218, imdb_netflix_v5!A$2:H$7370, 3, FALSE), "")</f>
        <v>Comedy, Romance</v>
      </c>
      <c r="D2218" s="2">
        <f>IF(A2218&lt;&gt;"", VLOOKUP(A2218, imdb_netflix_v5!A$2:H$7370, 4, FALSE), "")</f>
        <v>7.8</v>
      </c>
      <c r="E2218" s="2">
        <f>IF(A2218&lt;&gt;"", VLOOKUP(A2218, imdb_netflix_v5!A$2:H$7370, 5, FALSE), "")</f>
        <v>2015</v>
      </c>
      <c r="F2218" s="2" t="str">
        <f>IF(A2218&lt;&gt;"", VLOOKUP(A2218, imdb_netflix_v5!A$2:H$7370, 7, FALSE), "")</f>
        <v>NA</v>
      </c>
    </row>
    <row r="2219" ht="15.75" customHeight="1">
      <c r="A2219" s="1" t="str">
        <f>IFERROR(__xludf.DUMMYFUNCTION("""COMPUTED_VALUE"""),"brother")</f>
        <v>brother</v>
      </c>
      <c r="B2219" s="1" t="str">
        <f>IF(A2219&lt;&gt;"", VLOOKUP(A2219, imdb_netflix_v5!A$2:H$7370, 2, FALSE), "")</f>
        <v>Movie</v>
      </c>
      <c r="C2219" s="2" t="str">
        <f>IF(A2219&lt;&gt;"", VLOOKUP(A2219, imdb_netflix_v5!A$2:H$7370, 3, FALSE), "")</f>
        <v>Crime, Drama, Thriller</v>
      </c>
      <c r="D2219" s="2">
        <f>IF(A2219&lt;&gt;"", VLOOKUP(A2219, imdb_netflix_v5!A$2:H$7370, 4, FALSE), "")</f>
        <v>7.8</v>
      </c>
      <c r="E2219" s="2">
        <f>IF(A2219&lt;&gt;"", VLOOKUP(A2219, imdb_netflix_v5!A$2:H$7370, 5, FALSE), "")</f>
        <v>1997</v>
      </c>
      <c r="F2219" s="2" t="str">
        <f>IF(A2219&lt;&gt;"", VLOOKUP(A2219, imdb_netflix_v5!A$2:H$7370, 7, FALSE), "")</f>
        <v>NA</v>
      </c>
    </row>
    <row r="2220" ht="15.75" customHeight="1">
      <c r="A2220" s="1" t="str">
        <f>IFERROR(__xludf.DUMMYFUNCTION("""COMPUTED_VALUE"""),"that obscure object of desire")</f>
        <v>that obscure object of desire</v>
      </c>
      <c r="B2220" s="1" t="str">
        <f>IF(A2220&lt;&gt;"", VLOOKUP(A2220, imdb_netflix_v5!A$2:H$7370, 2, FALSE), "")</f>
        <v>Movie</v>
      </c>
      <c r="C2220" s="2" t="str">
        <f>IF(A2220&lt;&gt;"", VLOOKUP(A2220, imdb_netflix_v5!A$2:H$7370, 3, FALSE), "")</f>
        <v>Comedy, Drama, Romance</v>
      </c>
      <c r="D2220" s="2">
        <f>IF(A2220&lt;&gt;"", VLOOKUP(A2220, imdb_netflix_v5!A$2:H$7370, 4, FALSE), "")</f>
        <v>7.8</v>
      </c>
      <c r="E2220" s="2">
        <f>IF(A2220&lt;&gt;"", VLOOKUP(A2220, imdb_netflix_v5!A$2:H$7370, 5, FALSE), "")</f>
        <v>1977</v>
      </c>
      <c r="F2220" s="2" t="str">
        <f>IF(A2220&lt;&gt;"", VLOOKUP(A2220, imdb_netflix_v5!A$2:H$7370, 7, FALSE), "")</f>
        <v>NA</v>
      </c>
    </row>
    <row r="2221" ht="15.75" customHeight="1">
      <c r="A2221" s="1" t="str">
        <f>IFERROR(__xludf.DUMMYFUNCTION("""COMPUTED_VALUE"""),"embrace of the serpent")</f>
        <v>embrace of the serpent</v>
      </c>
      <c r="B2221" s="1" t="str">
        <f>IF(A2221&lt;&gt;"", VLOOKUP(A2221, imdb_netflix_v5!A$2:H$7370, 2, FALSE), "")</f>
        <v>Movie</v>
      </c>
      <c r="C2221" s="2" t="str">
        <f>IF(A2221&lt;&gt;"", VLOOKUP(A2221, imdb_netflix_v5!A$2:H$7370, 3, FALSE), "")</f>
        <v>Adventure, Biography, Drama</v>
      </c>
      <c r="D2221" s="2">
        <f>IF(A2221&lt;&gt;"", VLOOKUP(A2221, imdb_netflix_v5!A$2:H$7370, 4, FALSE), "")</f>
        <v>7.8</v>
      </c>
      <c r="E2221" s="2">
        <f>IF(A2221&lt;&gt;"", VLOOKUP(A2221, imdb_netflix_v5!A$2:H$7370, 5, FALSE), "")</f>
        <v>2015</v>
      </c>
      <c r="F2221" s="2" t="str">
        <f>IF(A2221&lt;&gt;"", VLOOKUP(A2221, imdb_netflix_v5!A$2:H$7370, 7, FALSE), "")</f>
        <v>NA</v>
      </c>
    </row>
    <row r="2222" ht="15.75" customHeight="1">
      <c r="A2222" s="1" t="str">
        <f>IFERROR(__xludf.DUMMYFUNCTION("""COMPUTED_VALUE"""),"the bold type")</f>
        <v>the bold type</v>
      </c>
      <c r="B2222" s="1" t="str">
        <f>IF(A2222&lt;&gt;"", VLOOKUP(A2222, imdb_netflix_v5!A$2:H$7370, 2, FALSE), "")</f>
        <v>TV Show</v>
      </c>
      <c r="C2222" s="2" t="str">
        <f>IF(A2222&lt;&gt;"", VLOOKUP(A2222, imdb_netflix_v5!A$2:H$7370, 3, FALSE), "")</f>
        <v>Comedy, Drama</v>
      </c>
      <c r="D2222" s="2">
        <f>IF(A2222&lt;&gt;"", VLOOKUP(A2222, imdb_netflix_v5!A$2:H$7370, 4, FALSE), "")</f>
        <v>7.8</v>
      </c>
      <c r="E2222" s="2">
        <f>IF(A2222&lt;&gt;"", VLOOKUP(A2222, imdb_netflix_v5!A$2:H$7370, 5, FALSE), "")</f>
        <v>2017</v>
      </c>
      <c r="F2222" s="2" t="str">
        <f>IF(A2222&lt;&gt;"", VLOOKUP(A2222, imdb_netflix_v5!A$2:H$7370, 7, FALSE), "")</f>
        <v>NA</v>
      </c>
    </row>
    <row r="2223" ht="15.75" customHeight="1">
      <c r="A2223" s="1" t="str">
        <f>IFERROR(__xludf.DUMMYFUNCTION("""COMPUTED_VALUE"""),"for love and honor")</f>
        <v>for love and honor</v>
      </c>
      <c r="B2223" s="1" t="str">
        <f>IF(A2223&lt;&gt;"", VLOOKUP(A2223, imdb_netflix_v5!A$2:H$7370, 2, FALSE), "")</f>
        <v>Movie</v>
      </c>
      <c r="C2223" s="2" t="str">
        <f>IF(A2223&lt;&gt;"", VLOOKUP(A2223, imdb_netflix_v5!A$2:H$7370, 3, FALSE), "")</f>
        <v>Crime, Drama</v>
      </c>
      <c r="D2223" s="2">
        <f>IF(A2223&lt;&gt;"", VLOOKUP(A2223, imdb_netflix_v5!A$2:H$7370, 4, FALSE), "")</f>
        <v>7.8</v>
      </c>
      <c r="E2223" s="2">
        <f>IF(A2223&lt;&gt;"", VLOOKUP(A2223, imdb_netflix_v5!A$2:H$7370, 5, FALSE), "")</f>
        <v>2007</v>
      </c>
      <c r="F2223" s="2" t="str">
        <f>IF(A2223&lt;&gt;"", VLOOKUP(A2223, imdb_netflix_v5!A$2:H$7370, 7, FALSE), "")</f>
        <v>NA</v>
      </c>
    </row>
    <row r="2224" ht="15.75" customHeight="1">
      <c r="A2224" s="1" t="str">
        <f>IFERROR(__xludf.DUMMYFUNCTION("""COMPUTED_VALUE"""),"hud")</f>
        <v>hud</v>
      </c>
      <c r="B2224" s="1" t="str">
        <f>IF(A2224&lt;&gt;"", VLOOKUP(A2224, imdb_netflix_v5!A$2:H$7370, 2, FALSE), "")</f>
        <v>Movie</v>
      </c>
      <c r="C2224" s="2" t="str">
        <f>IF(A2224&lt;&gt;"", VLOOKUP(A2224, imdb_netflix_v5!A$2:H$7370, 3, FALSE), "")</f>
        <v>Drama, Western</v>
      </c>
      <c r="D2224" s="2">
        <f>IF(A2224&lt;&gt;"", VLOOKUP(A2224, imdb_netflix_v5!A$2:H$7370, 4, FALSE), "")</f>
        <v>7.8</v>
      </c>
      <c r="E2224" s="2">
        <f>IF(A2224&lt;&gt;"", VLOOKUP(A2224, imdb_netflix_v5!A$2:H$7370, 5, FALSE), "")</f>
        <v>1963</v>
      </c>
      <c r="F2224" s="2" t="str">
        <f>IF(A2224&lt;&gt;"", VLOOKUP(A2224, imdb_netflix_v5!A$2:H$7370, 7, FALSE), "")</f>
        <v>NA</v>
      </c>
    </row>
    <row r="2225" ht="15.75" customHeight="1">
      <c r="A2225" s="1" t="str">
        <f>IFERROR(__xludf.DUMMYFUNCTION("""COMPUTED_VALUE"""),"the musketeers")</f>
        <v>the musketeers</v>
      </c>
      <c r="B2225" s="1" t="str">
        <f>IF(A2225&lt;&gt;"", VLOOKUP(A2225, imdb_netflix_v5!A$2:H$7370, 2, FALSE), "")</f>
        <v>TV Show</v>
      </c>
      <c r="C2225" s="2" t="str">
        <f>IF(A2225&lt;&gt;"", VLOOKUP(A2225, imdb_netflix_v5!A$2:H$7370, 3, FALSE), "")</f>
        <v>Action, Adventure, Drama</v>
      </c>
      <c r="D2225" s="2">
        <f>IF(A2225&lt;&gt;"", VLOOKUP(A2225, imdb_netflix_v5!A$2:H$7370, 4, FALSE), "")</f>
        <v>7.8</v>
      </c>
      <c r="E2225" s="2">
        <f>IF(A2225&lt;&gt;"", VLOOKUP(A2225, imdb_netflix_v5!A$2:H$7370, 5, FALSE), "")</f>
        <v>2014</v>
      </c>
      <c r="F2225" s="2" t="str">
        <f>IF(A2225&lt;&gt;"", VLOOKUP(A2225, imdb_netflix_v5!A$2:H$7370, 7, FALSE), "")</f>
        <v>NA</v>
      </c>
    </row>
    <row r="2226" ht="15.75" customHeight="1">
      <c r="A2226" s="1" t="str">
        <f>IFERROR(__xludf.DUMMYFUNCTION("""COMPUTED_VALUE"""),"workin moms")</f>
        <v>workin moms</v>
      </c>
      <c r="B2226" s="1" t="str">
        <f>IF(A2226&lt;&gt;"", VLOOKUP(A2226, imdb_netflix_v5!A$2:H$7370, 2, FALSE), "")</f>
        <v>TV Show</v>
      </c>
      <c r="C2226" s="2" t="str">
        <f>IF(A2226&lt;&gt;"", VLOOKUP(A2226, imdb_netflix_v5!A$2:H$7370, 3, FALSE), "")</f>
        <v>Comedy, Drama</v>
      </c>
      <c r="D2226" s="2">
        <f>IF(A2226&lt;&gt;"", VLOOKUP(A2226, imdb_netflix_v5!A$2:H$7370, 4, FALSE), "")</f>
        <v>7.8</v>
      </c>
      <c r="E2226" s="2">
        <f>IF(A2226&lt;&gt;"", VLOOKUP(A2226, imdb_netflix_v5!A$2:H$7370, 5, FALSE), "")</f>
        <v>2017</v>
      </c>
      <c r="F2226" s="2">
        <f>IF(A2226&lt;&gt;"", VLOOKUP(A2226, imdb_netflix_v5!A$2:H$7370, 7, FALSE), "")</f>
        <v>15110000</v>
      </c>
    </row>
    <row r="2227" ht="15.75" customHeight="1">
      <c r="A2227" s="1" t="str">
        <f>IFERROR(__xludf.DUMMYFUNCTION("""COMPUTED_VALUE"""),"transparent")</f>
        <v>transparent</v>
      </c>
      <c r="B2227" s="1" t="str">
        <f>IF(A2227&lt;&gt;"", VLOOKUP(A2227, imdb_netflix_v5!A$2:H$7370, 2, FALSE), "")</f>
        <v>TV Show</v>
      </c>
      <c r="C2227" s="2" t="str">
        <f>IF(A2227&lt;&gt;"", VLOOKUP(A2227, imdb_netflix_v5!A$2:H$7370, 3, FALSE), "")</f>
        <v>Comedy, Drama</v>
      </c>
      <c r="D2227" s="2">
        <f>IF(A2227&lt;&gt;"", VLOOKUP(A2227, imdb_netflix_v5!A$2:H$7370, 4, FALSE), "")</f>
        <v>7.8</v>
      </c>
      <c r="E2227" s="2">
        <f>IF(A2227&lt;&gt;"", VLOOKUP(A2227, imdb_netflix_v5!A$2:H$7370, 5, FALSE), "")</f>
        <v>2014</v>
      </c>
      <c r="F2227" s="2" t="str">
        <f>IF(A2227&lt;&gt;"", VLOOKUP(A2227, imdb_netflix_v5!A$2:H$7370, 7, FALSE), "")</f>
        <v>NA</v>
      </c>
    </row>
    <row r="2228" ht="15.75" customHeight="1">
      <c r="A2228" s="1" t="str">
        <f>IFERROR(__xludf.DUMMYFUNCTION("""COMPUTED_VALUE"""),"eat drink man woman")</f>
        <v>eat drink man woman</v>
      </c>
      <c r="B2228" s="1" t="str">
        <f>IF(A2228&lt;&gt;"", VLOOKUP(A2228, imdb_netflix_v5!A$2:H$7370, 2, FALSE), "")</f>
        <v>Movie</v>
      </c>
      <c r="C2228" s="2" t="str">
        <f>IF(A2228&lt;&gt;"", VLOOKUP(A2228, imdb_netflix_v5!A$2:H$7370, 3, FALSE), "")</f>
        <v>Comedy, Drama, Romance</v>
      </c>
      <c r="D2228" s="2">
        <f>IF(A2228&lt;&gt;"", VLOOKUP(A2228, imdb_netflix_v5!A$2:H$7370, 4, FALSE), "")</f>
        <v>7.8</v>
      </c>
      <c r="E2228" s="2">
        <f>IF(A2228&lt;&gt;"", VLOOKUP(A2228, imdb_netflix_v5!A$2:H$7370, 5, FALSE), "")</f>
        <v>1994</v>
      </c>
      <c r="F2228" s="2" t="str">
        <f>IF(A2228&lt;&gt;"", VLOOKUP(A2228, imdb_netflix_v5!A$2:H$7370, 7, FALSE), "")</f>
        <v>NA</v>
      </c>
    </row>
    <row r="2229" ht="15.75" customHeight="1">
      <c r="A2229" s="1" t="str">
        <f>IFERROR(__xludf.DUMMYFUNCTION("""COMPUTED_VALUE"""),"mr. deeds goes to town")</f>
        <v>mr. deeds goes to town</v>
      </c>
      <c r="B2229" s="1" t="str">
        <f>IF(A2229&lt;&gt;"", VLOOKUP(A2229, imdb_netflix_v5!A$2:H$7370, 2, FALSE), "")</f>
        <v>Movie</v>
      </c>
      <c r="C2229" s="2" t="str">
        <f>IF(A2229&lt;&gt;"", VLOOKUP(A2229, imdb_netflix_v5!A$2:H$7370, 3, FALSE), "")</f>
        <v>Comedy, Drama, Romance</v>
      </c>
      <c r="D2229" s="2">
        <f>IF(A2229&lt;&gt;"", VLOOKUP(A2229, imdb_netflix_v5!A$2:H$7370, 4, FALSE), "")</f>
        <v>7.8</v>
      </c>
      <c r="E2229" s="2">
        <f>IF(A2229&lt;&gt;"", VLOOKUP(A2229, imdb_netflix_v5!A$2:H$7370, 5, FALSE), "")</f>
        <v>1936</v>
      </c>
      <c r="F2229" s="2" t="str">
        <f>IF(A2229&lt;&gt;"", VLOOKUP(A2229, imdb_netflix_v5!A$2:H$7370, 7, FALSE), "")</f>
        <v>NA</v>
      </c>
    </row>
    <row r="2230" ht="15.75" customHeight="1">
      <c r="A2230" s="1" t="str">
        <f>IFERROR(__xludf.DUMMYFUNCTION("""COMPUTED_VALUE"""),"portlandia")</f>
        <v>portlandia</v>
      </c>
      <c r="B2230" s="1" t="str">
        <f>IF(A2230&lt;&gt;"", VLOOKUP(A2230, imdb_netflix_v5!A$2:H$7370, 2, FALSE), "")</f>
        <v>TV Show</v>
      </c>
      <c r="C2230" s="2" t="str">
        <f>IF(A2230&lt;&gt;"", VLOOKUP(A2230, imdb_netflix_v5!A$2:H$7370, 3, FALSE), "")</f>
        <v>Comedy</v>
      </c>
      <c r="D2230" s="2">
        <f>IF(A2230&lt;&gt;"", VLOOKUP(A2230, imdb_netflix_v5!A$2:H$7370, 4, FALSE), "")</f>
        <v>7.8</v>
      </c>
      <c r="E2230" s="2">
        <f>IF(A2230&lt;&gt;"", VLOOKUP(A2230, imdb_netflix_v5!A$2:H$7370, 5, FALSE), "")</f>
        <v>2011</v>
      </c>
      <c r="F2230" s="2" t="str">
        <f>IF(A2230&lt;&gt;"", VLOOKUP(A2230, imdb_netflix_v5!A$2:H$7370, 7, FALSE), "")</f>
        <v>NA</v>
      </c>
    </row>
    <row r="2231" ht="15.75" customHeight="1">
      <c r="A2231" s="1" t="str">
        <f>IFERROR(__xludf.DUMMYFUNCTION("""COMPUTED_VALUE"""),"article 370")</f>
        <v>article 370</v>
      </c>
      <c r="B2231" s="1" t="str">
        <f>IF(A2231&lt;&gt;"", VLOOKUP(A2231, imdb_netflix_v5!A$2:H$7370, 2, FALSE), "")</f>
        <v>Movie</v>
      </c>
      <c r="C2231" s="2" t="str">
        <f>IF(A2231&lt;&gt;"", VLOOKUP(A2231, imdb_netflix_v5!A$2:H$7370, 3, FALSE), "")</f>
        <v>Action, Drama, Thriller</v>
      </c>
      <c r="D2231" s="2">
        <f>IF(A2231&lt;&gt;"", VLOOKUP(A2231, imdb_netflix_v5!A$2:H$7370, 4, FALSE), "")</f>
        <v>7.8</v>
      </c>
      <c r="E2231" s="2">
        <f>IF(A2231&lt;&gt;"", VLOOKUP(A2231, imdb_netflix_v5!A$2:H$7370, 5, FALSE), "")</f>
        <v>2024</v>
      </c>
      <c r="F2231" s="2" t="str">
        <f>IF(A2231&lt;&gt;"", VLOOKUP(A2231, imdb_netflix_v5!A$2:H$7370, 7, FALSE), "")</f>
        <v>NA</v>
      </c>
    </row>
    <row r="2232" ht="15.75" customHeight="1">
      <c r="A2232" s="1" t="str">
        <f>IFERROR(__xludf.DUMMYFUNCTION("""COMPUTED_VALUE"""),"ninotchka")</f>
        <v>ninotchka</v>
      </c>
      <c r="B2232" s="1" t="str">
        <f>IF(A2232&lt;&gt;"", VLOOKUP(A2232, imdb_netflix_v5!A$2:H$7370, 2, FALSE), "")</f>
        <v>Movie</v>
      </c>
      <c r="C2232" s="2" t="str">
        <f>IF(A2232&lt;&gt;"", VLOOKUP(A2232, imdb_netflix_v5!A$2:H$7370, 3, FALSE), "")</f>
        <v>Comedy, Romance</v>
      </c>
      <c r="D2232" s="2">
        <f>IF(A2232&lt;&gt;"", VLOOKUP(A2232, imdb_netflix_v5!A$2:H$7370, 4, FALSE), "")</f>
        <v>7.8</v>
      </c>
      <c r="E2232" s="2">
        <f>IF(A2232&lt;&gt;"", VLOOKUP(A2232, imdb_netflix_v5!A$2:H$7370, 5, FALSE), "")</f>
        <v>1939</v>
      </c>
      <c r="F2232" s="2" t="str">
        <f>IF(A2232&lt;&gt;"", VLOOKUP(A2232, imdb_netflix_v5!A$2:H$7370, 7, FALSE), "")</f>
        <v>NA</v>
      </c>
    </row>
    <row r="2233" ht="15.75" customHeight="1">
      <c r="A2233" s="1" t="str">
        <f>IFERROR(__xludf.DUMMYFUNCTION("""COMPUTED_VALUE"""),"one, two, three")</f>
        <v>one, two, three</v>
      </c>
      <c r="B2233" s="1" t="str">
        <f>IF(A2233&lt;&gt;"", VLOOKUP(A2233, imdb_netflix_v5!A$2:H$7370, 2, FALSE), "")</f>
        <v>Movie</v>
      </c>
      <c r="C2233" s="2" t="str">
        <f>IF(A2233&lt;&gt;"", VLOOKUP(A2233, imdb_netflix_v5!A$2:H$7370, 3, FALSE), "")</f>
        <v>Comedy</v>
      </c>
      <c r="D2233" s="2">
        <f>IF(A2233&lt;&gt;"", VLOOKUP(A2233, imdb_netflix_v5!A$2:H$7370, 4, FALSE), "")</f>
        <v>7.8</v>
      </c>
      <c r="E2233" s="2">
        <f>IF(A2233&lt;&gt;"", VLOOKUP(A2233, imdb_netflix_v5!A$2:H$7370, 5, FALSE), "")</f>
        <v>1961</v>
      </c>
      <c r="F2233" s="2" t="str">
        <f>IF(A2233&lt;&gt;"", VLOOKUP(A2233, imdb_netflix_v5!A$2:H$7370, 7, FALSE), "")</f>
        <v>NA</v>
      </c>
    </row>
    <row r="2234" ht="15.75" customHeight="1">
      <c r="A2234" s="1" t="str">
        <f>IFERROR(__xludf.DUMMYFUNCTION("""COMPUTED_VALUE"""),"aavesham")</f>
        <v>aavesham</v>
      </c>
      <c r="B2234" s="1" t="str">
        <f>IF(A2234&lt;&gt;"", VLOOKUP(A2234, imdb_netflix_v5!A$2:H$7370, 2, FALSE), "")</f>
        <v>Movie</v>
      </c>
      <c r="C2234" s="2" t="str">
        <f>IF(A2234&lt;&gt;"", VLOOKUP(A2234, imdb_netflix_v5!A$2:H$7370, 3, FALSE), "")</f>
        <v>Action, Comedy</v>
      </c>
      <c r="D2234" s="2">
        <f>IF(A2234&lt;&gt;"", VLOOKUP(A2234, imdb_netflix_v5!A$2:H$7370, 4, FALSE), "")</f>
        <v>7.8</v>
      </c>
      <c r="E2234" s="2">
        <f>IF(A2234&lt;&gt;"", VLOOKUP(A2234, imdb_netflix_v5!A$2:H$7370, 5, FALSE), "")</f>
        <v>2024</v>
      </c>
      <c r="F2234" s="2" t="str">
        <f>IF(A2234&lt;&gt;"", VLOOKUP(A2234, imdb_netflix_v5!A$2:H$7370, 7, FALSE), "")</f>
        <v>NA</v>
      </c>
    </row>
    <row r="2235" ht="15.75" customHeight="1">
      <c r="A2235" s="1" t="str">
        <f>IFERROR(__xludf.DUMMYFUNCTION("""COMPUTED_VALUE"""),"medici")</f>
        <v>medici</v>
      </c>
      <c r="B2235" s="1" t="str">
        <f>IF(A2235&lt;&gt;"", VLOOKUP(A2235, imdb_netflix_v5!A$2:H$7370, 2, FALSE), "")</f>
        <v>TV Show</v>
      </c>
      <c r="C2235" s="2" t="str">
        <f>IF(A2235&lt;&gt;"", VLOOKUP(A2235, imdb_netflix_v5!A$2:H$7370, 3, FALSE), "")</f>
        <v>Biography, Drama, History</v>
      </c>
      <c r="D2235" s="2">
        <f>IF(A2235&lt;&gt;"", VLOOKUP(A2235, imdb_netflix_v5!A$2:H$7370, 4, FALSE), "")</f>
        <v>7.8</v>
      </c>
      <c r="E2235" s="2">
        <f>IF(A2235&lt;&gt;"", VLOOKUP(A2235, imdb_netflix_v5!A$2:H$7370, 5, FALSE), "")</f>
        <v>2016</v>
      </c>
      <c r="F2235" s="2" t="str">
        <f>IF(A2235&lt;&gt;"", VLOOKUP(A2235, imdb_netflix_v5!A$2:H$7370, 7, FALSE), "")</f>
        <v>NA</v>
      </c>
    </row>
    <row r="2236" ht="15.75" customHeight="1">
      <c r="A2236" s="1" t="str">
        <f>IFERROR(__xludf.DUMMYFUNCTION("""COMPUTED_VALUE"""),"to the forest of firefly lights")</f>
        <v>to the forest of firefly lights</v>
      </c>
      <c r="B2236" s="1" t="str">
        <f>IF(A2236&lt;&gt;"", VLOOKUP(A2236, imdb_netflix_v5!A$2:H$7370, 2, FALSE), "")</f>
        <v>Movie</v>
      </c>
      <c r="C2236" s="2" t="str">
        <f>IF(A2236&lt;&gt;"", VLOOKUP(A2236, imdb_netflix_v5!A$2:H$7370, 3, FALSE), "")</f>
        <v>Animation, Drama, Fantasy</v>
      </c>
      <c r="D2236" s="2">
        <f>IF(A2236&lt;&gt;"", VLOOKUP(A2236, imdb_netflix_v5!A$2:H$7370, 4, FALSE), "")</f>
        <v>7.8</v>
      </c>
      <c r="E2236" s="2">
        <f>IF(A2236&lt;&gt;"", VLOOKUP(A2236, imdb_netflix_v5!A$2:H$7370, 5, FALSE), "")</f>
        <v>2011</v>
      </c>
      <c r="F2236" s="2" t="str">
        <f>IF(A2236&lt;&gt;"", VLOOKUP(A2236, imdb_netflix_v5!A$2:H$7370, 7, FALSE), "")</f>
        <v>NA</v>
      </c>
    </row>
    <row r="2237" ht="15.75" customHeight="1">
      <c r="A2237" s="1" t="str">
        <f>IFERROR(__xludf.DUMMYFUNCTION("""COMPUTED_VALUE"""),"ernest &amp; celestine")</f>
        <v>ernest &amp; celestine</v>
      </c>
      <c r="B2237" s="1" t="str">
        <f>IF(A2237&lt;&gt;"", VLOOKUP(A2237, imdb_netflix_v5!A$2:H$7370, 2, FALSE), "")</f>
        <v>Movie</v>
      </c>
      <c r="C2237" s="2" t="str">
        <f>IF(A2237&lt;&gt;"", VLOOKUP(A2237, imdb_netflix_v5!A$2:H$7370, 3, FALSE), "")</f>
        <v>Adventure, Animation, Comedy</v>
      </c>
      <c r="D2237" s="2">
        <f>IF(A2237&lt;&gt;"", VLOOKUP(A2237, imdb_netflix_v5!A$2:H$7370, 4, FALSE), "")</f>
        <v>7.8</v>
      </c>
      <c r="E2237" s="2">
        <f>IF(A2237&lt;&gt;"", VLOOKUP(A2237, imdb_netflix_v5!A$2:H$7370, 5, FALSE), "")</f>
        <v>2012</v>
      </c>
      <c r="F2237" s="2" t="str">
        <f>IF(A2237&lt;&gt;"", VLOOKUP(A2237, imdb_netflix_v5!A$2:H$7370, 7, FALSE), "")</f>
        <v>NA</v>
      </c>
    </row>
    <row r="2238" ht="15.75" customHeight="1">
      <c r="A2238" s="1" t="str">
        <f>IFERROR(__xludf.DUMMYFUNCTION("""COMPUTED_VALUE"""),"babettes feast")</f>
        <v>babettes feast</v>
      </c>
      <c r="B2238" s="1" t="str">
        <f>IF(A2238&lt;&gt;"", VLOOKUP(A2238, imdb_netflix_v5!A$2:H$7370, 2, FALSE), "")</f>
        <v>Movie</v>
      </c>
      <c r="C2238" s="2" t="str">
        <f>IF(A2238&lt;&gt;"", VLOOKUP(A2238, imdb_netflix_v5!A$2:H$7370, 3, FALSE), "")</f>
        <v>Drama</v>
      </c>
      <c r="D2238" s="2">
        <f>IF(A2238&lt;&gt;"", VLOOKUP(A2238, imdb_netflix_v5!A$2:H$7370, 4, FALSE), "")</f>
        <v>7.8</v>
      </c>
      <c r="E2238" s="2">
        <f>IF(A2238&lt;&gt;"", VLOOKUP(A2238, imdb_netflix_v5!A$2:H$7370, 5, FALSE), "")</f>
        <v>1987</v>
      </c>
      <c r="F2238" s="2" t="str">
        <f>IF(A2238&lt;&gt;"", VLOOKUP(A2238, imdb_netflix_v5!A$2:H$7370, 7, FALSE), "")</f>
        <v>NA</v>
      </c>
    </row>
    <row r="2239" ht="15.75" customHeight="1">
      <c r="A2239" s="1" t="str">
        <f>IFERROR(__xludf.DUMMYFUNCTION("""COMPUTED_VALUE"""),"the game changers")</f>
        <v>the game changers</v>
      </c>
      <c r="B2239" s="1" t="str">
        <f>IF(A2239&lt;&gt;"", VLOOKUP(A2239, imdb_netflix_v5!A$2:H$7370, 2, FALSE), "")</f>
        <v>Movie</v>
      </c>
      <c r="C2239" s="2" t="str">
        <f>IF(A2239&lt;&gt;"", VLOOKUP(A2239, imdb_netflix_v5!A$2:H$7370, 3, FALSE), "")</f>
        <v>Documentary, Sport</v>
      </c>
      <c r="D2239" s="2">
        <f>IF(A2239&lt;&gt;"", VLOOKUP(A2239, imdb_netflix_v5!A$2:H$7370, 4, FALSE), "")</f>
        <v>7.8</v>
      </c>
      <c r="E2239" s="2">
        <f>IF(A2239&lt;&gt;"", VLOOKUP(A2239, imdb_netflix_v5!A$2:H$7370, 5, FALSE), "")</f>
        <v>2018</v>
      </c>
      <c r="F2239" s="2" t="str">
        <f>IF(A2239&lt;&gt;"", VLOOKUP(A2239, imdb_netflix_v5!A$2:H$7370, 7, FALSE), "")</f>
        <v>NA</v>
      </c>
    </row>
    <row r="2240" ht="15.75" customHeight="1">
      <c r="A2240" s="1" t="str">
        <f>IFERROR(__xludf.DUMMYFUNCTION("""COMPUTED_VALUE"""),"fi")</f>
        <v>fi</v>
      </c>
      <c r="B2240" s="1" t="str">
        <f>IF(A2240&lt;&gt;"", VLOOKUP(A2240, imdb_netflix_v5!A$2:H$7370, 2, FALSE), "")</f>
        <v>TV Show</v>
      </c>
      <c r="C2240" s="2" t="str">
        <f>IF(A2240&lt;&gt;"", VLOOKUP(A2240, imdb_netflix_v5!A$2:H$7370, 3, FALSE), "")</f>
        <v>Drama, Romance</v>
      </c>
      <c r="D2240" s="2">
        <f>IF(A2240&lt;&gt;"", VLOOKUP(A2240, imdb_netflix_v5!A$2:H$7370, 4, FALSE), "")</f>
        <v>7.8</v>
      </c>
      <c r="E2240" s="2">
        <f>IF(A2240&lt;&gt;"", VLOOKUP(A2240, imdb_netflix_v5!A$2:H$7370, 5, FALSE), "")</f>
        <v>2017</v>
      </c>
      <c r="F2240" s="2" t="str">
        <f>IF(A2240&lt;&gt;"", VLOOKUP(A2240, imdb_netflix_v5!A$2:H$7370, 7, FALSE), "")</f>
        <v>NA</v>
      </c>
    </row>
    <row r="2241" ht="15.75" customHeight="1">
      <c r="A2241" s="1" t="str">
        <f>IFERROR(__xludf.DUMMYFUNCTION("""COMPUTED_VALUE"""),"awake")</f>
        <v>awake</v>
      </c>
      <c r="B2241" s="1" t="str">
        <f>IF(A2241&lt;&gt;"", VLOOKUP(A2241, imdb_netflix_v5!A$2:H$7370, 2, FALSE), "")</f>
        <v>TV Show</v>
      </c>
      <c r="C2241" s="2" t="str">
        <f>IF(A2241&lt;&gt;"", VLOOKUP(A2241, imdb_netflix_v5!A$2:H$7370, 3, FALSE), "")</f>
        <v>Drama, Fantasy, Mystery</v>
      </c>
      <c r="D2241" s="2">
        <f>IF(A2241&lt;&gt;"", VLOOKUP(A2241, imdb_netflix_v5!A$2:H$7370, 4, FALSE), "")</f>
        <v>7.8</v>
      </c>
      <c r="E2241" s="2">
        <f>IF(A2241&lt;&gt;"", VLOOKUP(A2241, imdb_netflix_v5!A$2:H$7370, 5, FALSE), "")</f>
        <v>2012</v>
      </c>
      <c r="F2241" s="2" t="str">
        <f>IF(A2241&lt;&gt;"", VLOOKUP(A2241, imdb_netflix_v5!A$2:H$7370, 7, FALSE), "")</f>
        <v>NA</v>
      </c>
    </row>
    <row r="2242" ht="15.75" customHeight="1">
      <c r="A2242" s="1" t="str">
        <f>IFERROR(__xludf.DUMMYFUNCTION("""COMPUTED_VALUE"""),"death parade")</f>
        <v>death parade</v>
      </c>
      <c r="B2242" s="1" t="str">
        <f>IF(A2242&lt;&gt;"", VLOOKUP(A2242, imdb_netflix_v5!A$2:H$7370, 2, FALSE), "")</f>
        <v>TV Show</v>
      </c>
      <c r="C2242" s="2" t="str">
        <f>IF(A2242&lt;&gt;"", VLOOKUP(A2242, imdb_netflix_v5!A$2:H$7370, 3, FALSE), "")</f>
        <v>Animation, Drama, Mystery</v>
      </c>
      <c r="D2242" s="2">
        <f>IF(A2242&lt;&gt;"", VLOOKUP(A2242, imdb_netflix_v5!A$2:H$7370, 4, FALSE), "")</f>
        <v>7.8</v>
      </c>
      <c r="E2242" s="2">
        <f>IF(A2242&lt;&gt;"", VLOOKUP(A2242, imdb_netflix_v5!A$2:H$7370, 5, FALSE), "")</f>
        <v>2015</v>
      </c>
      <c r="F2242" s="2" t="str">
        <f>IF(A2242&lt;&gt;"", VLOOKUP(A2242, imdb_netflix_v5!A$2:H$7370, 7, FALSE), "")</f>
        <v>NA</v>
      </c>
    </row>
    <row r="2243" ht="15.75" customHeight="1">
      <c r="A2243" s="1" t="str">
        <f>IFERROR(__xludf.DUMMYFUNCTION("""COMPUTED_VALUE"""),"they shoot horses, dont they?")</f>
        <v>they shoot horses, dont they?</v>
      </c>
      <c r="B2243" s="1" t="str">
        <f>IF(A2243&lt;&gt;"", VLOOKUP(A2243, imdb_netflix_v5!A$2:H$7370, 2, FALSE), "")</f>
        <v>Movie</v>
      </c>
      <c r="C2243" s="2" t="str">
        <f>IF(A2243&lt;&gt;"", VLOOKUP(A2243, imdb_netflix_v5!A$2:H$7370, 3, FALSE), "")</f>
        <v>Drama</v>
      </c>
      <c r="D2243" s="2">
        <f>IF(A2243&lt;&gt;"", VLOOKUP(A2243, imdb_netflix_v5!A$2:H$7370, 4, FALSE), "")</f>
        <v>7.8</v>
      </c>
      <c r="E2243" s="2">
        <f>IF(A2243&lt;&gt;"", VLOOKUP(A2243, imdb_netflix_v5!A$2:H$7370, 5, FALSE), "")</f>
        <v>1969</v>
      </c>
      <c r="F2243" s="2" t="str">
        <f>IF(A2243&lt;&gt;"", VLOOKUP(A2243, imdb_netflix_v5!A$2:H$7370, 7, FALSE), "")</f>
        <v>NA</v>
      </c>
    </row>
    <row r="2244" ht="15.75" customHeight="1">
      <c r="A2244" s="1" t="str">
        <f>IFERROR(__xludf.DUMMYFUNCTION("""COMPUTED_VALUE"""),"the ghost and mrs. muir")</f>
        <v>the ghost and mrs. muir</v>
      </c>
      <c r="B2244" s="1" t="str">
        <f>IF(A2244&lt;&gt;"", VLOOKUP(A2244, imdb_netflix_v5!A$2:H$7370, 2, FALSE), "")</f>
        <v>Movie</v>
      </c>
      <c r="C2244" s="2" t="str">
        <f>IF(A2244&lt;&gt;"", VLOOKUP(A2244, imdb_netflix_v5!A$2:H$7370, 3, FALSE), "")</f>
        <v>Comedy, Drama, Fantasy</v>
      </c>
      <c r="D2244" s="2">
        <f>IF(A2244&lt;&gt;"", VLOOKUP(A2244, imdb_netflix_v5!A$2:H$7370, 4, FALSE), "")</f>
        <v>7.8</v>
      </c>
      <c r="E2244" s="2">
        <f>IF(A2244&lt;&gt;"", VLOOKUP(A2244, imdb_netflix_v5!A$2:H$7370, 5, FALSE), "")</f>
        <v>1947</v>
      </c>
      <c r="F2244" s="2" t="str">
        <f>IF(A2244&lt;&gt;"", VLOOKUP(A2244, imdb_netflix_v5!A$2:H$7370, 7, FALSE), "")</f>
        <v>NA</v>
      </c>
    </row>
    <row r="2245" ht="15.75" customHeight="1">
      <c r="A2245" s="1" t="str">
        <f>IFERROR(__xludf.DUMMYFUNCTION("""COMPUTED_VALUE"""),"the spirit of the beehive")</f>
        <v>the spirit of the beehive</v>
      </c>
      <c r="B2245" s="1" t="str">
        <f>IF(A2245&lt;&gt;"", VLOOKUP(A2245, imdb_netflix_v5!A$2:H$7370, 2, FALSE), "")</f>
        <v>Movie</v>
      </c>
      <c r="C2245" s="2" t="str">
        <f>IF(A2245&lt;&gt;"", VLOOKUP(A2245, imdb_netflix_v5!A$2:H$7370, 3, FALSE), "")</f>
        <v>Drama, Fantasy</v>
      </c>
      <c r="D2245" s="2">
        <f>IF(A2245&lt;&gt;"", VLOOKUP(A2245, imdb_netflix_v5!A$2:H$7370, 4, FALSE), "")</f>
        <v>7.8</v>
      </c>
      <c r="E2245" s="2">
        <f>IF(A2245&lt;&gt;"", VLOOKUP(A2245, imdb_netflix_v5!A$2:H$7370, 5, FALSE), "")</f>
        <v>1973</v>
      </c>
      <c r="F2245" s="2" t="str">
        <f>IF(A2245&lt;&gt;"", VLOOKUP(A2245, imdb_netflix_v5!A$2:H$7370, 7, FALSE), "")</f>
        <v>NA</v>
      </c>
    </row>
    <row r="2246" ht="15.75" customHeight="1">
      <c r="A2246" s="1" t="str">
        <f>IFERROR(__xludf.DUMMYFUNCTION("""COMPUTED_VALUE"""),"taken")</f>
        <v>taken</v>
      </c>
      <c r="B2246" s="1" t="str">
        <f>IF(A2246&lt;&gt;"", VLOOKUP(A2246, imdb_netflix_v5!A$2:H$7370, 2, FALSE), "")</f>
        <v>TV Show</v>
      </c>
      <c r="C2246" s="2" t="str">
        <f>IF(A2246&lt;&gt;"", VLOOKUP(A2246, imdb_netflix_v5!A$2:H$7370, 3, FALSE), "")</f>
        <v>Drama, Mystery, Sci-Fi</v>
      </c>
      <c r="D2246" s="2">
        <f>IF(A2246&lt;&gt;"", VLOOKUP(A2246, imdb_netflix_v5!A$2:H$7370, 4, FALSE), "")</f>
        <v>7.8</v>
      </c>
      <c r="E2246" s="2">
        <f>IF(A2246&lt;&gt;"", VLOOKUP(A2246, imdb_netflix_v5!A$2:H$7370, 5, FALSE), "")</f>
        <v>2002</v>
      </c>
      <c r="F2246" s="2" t="str">
        <f>IF(A2246&lt;&gt;"", VLOOKUP(A2246, imdb_netflix_v5!A$2:H$7370, 7, FALSE), "")</f>
        <v>NA</v>
      </c>
    </row>
    <row r="2247" ht="15.75" customHeight="1">
      <c r="A2247" s="1" t="str">
        <f>IFERROR(__xludf.DUMMYFUNCTION("""COMPUTED_VALUE"""),"el chapo")</f>
        <v>el chapo</v>
      </c>
      <c r="B2247" s="1" t="str">
        <f>IF(A2247&lt;&gt;"", VLOOKUP(A2247, imdb_netflix_v5!A$2:H$7370, 2, FALSE), "")</f>
        <v>TV Show</v>
      </c>
      <c r="C2247" s="2" t="str">
        <f>IF(A2247&lt;&gt;"", VLOOKUP(A2247, imdb_netflix_v5!A$2:H$7370, 3, FALSE), "")</f>
        <v>Biography, Crime, Drama</v>
      </c>
      <c r="D2247" s="2">
        <f>IF(A2247&lt;&gt;"", VLOOKUP(A2247, imdb_netflix_v5!A$2:H$7370, 4, FALSE), "")</f>
        <v>7.8</v>
      </c>
      <c r="E2247" s="2">
        <f>IF(A2247&lt;&gt;"", VLOOKUP(A2247, imdb_netflix_v5!A$2:H$7370, 5, FALSE), "")</f>
        <v>2017</v>
      </c>
      <c r="F2247" s="2" t="str">
        <f>IF(A2247&lt;&gt;"", VLOOKUP(A2247, imdb_netflix_v5!A$2:H$7370, 7, FALSE), "")</f>
        <v>NA</v>
      </c>
    </row>
    <row r="2248" ht="15.75" customHeight="1">
      <c r="A2248" s="1" t="str">
        <f>IFERROR(__xludf.DUMMYFUNCTION("""COMPUTED_VALUE"""),"i vitelloni")</f>
        <v>i vitelloni</v>
      </c>
      <c r="B2248" s="1" t="str">
        <f>IF(A2248&lt;&gt;"", VLOOKUP(A2248, imdb_netflix_v5!A$2:H$7370, 2, FALSE), "")</f>
        <v>Movie</v>
      </c>
      <c r="C2248" s="2" t="str">
        <f>IF(A2248&lt;&gt;"", VLOOKUP(A2248, imdb_netflix_v5!A$2:H$7370, 3, FALSE), "")</f>
        <v>Comedy, Drama</v>
      </c>
      <c r="D2248" s="2">
        <f>IF(A2248&lt;&gt;"", VLOOKUP(A2248, imdb_netflix_v5!A$2:H$7370, 4, FALSE), "")</f>
        <v>7.8</v>
      </c>
      <c r="E2248" s="2">
        <f>IF(A2248&lt;&gt;"", VLOOKUP(A2248, imdb_netflix_v5!A$2:H$7370, 5, FALSE), "")</f>
        <v>1953</v>
      </c>
      <c r="F2248" s="2" t="str">
        <f>IF(A2248&lt;&gt;"", VLOOKUP(A2248, imdb_netflix_v5!A$2:H$7370, 7, FALSE), "")</f>
        <v>NA</v>
      </c>
    </row>
    <row r="2249" ht="15.75" customHeight="1">
      <c r="A2249" s="1" t="str">
        <f>IFERROR(__xludf.DUMMYFUNCTION("""COMPUTED_VALUE"""),"the mick")</f>
        <v>the mick</v>
      </c>
      <c r="B2249" s="1" t="str">
        <f>IF(A2249&lt;&gt;"", VLOOKUP(A2249, imdb_netflix_v5!A$2:H$7370, 2, FALSE), "")</f>
        <v>TV Show</v>
      </c>
      <c r="C2249" s="2" t="str">
        <f>IF(A2249&lt;&gt;"", VLOOKUP(A2249, imdb_netflix_v5!A$2:H$7370, 3, FALSE), "")</f>
        <v>Comedy</v>
      </c>
      <c r="D2249" s="2">
        <f>IF(A2249&lt;&gt;"", VLOOKUP(A2249, imdb_netflix_v5!A$2:H$7370, 4, FALSE), "")</f>
        <v>7.8</v>
      </c>
      <c r="E2249" s="2">
        <f>IF(A2249&lt;&gt;"", VLOOKUP(A2249, imdb_netflix_v5!A$2:H$7370, 5, FALSE), "")</f>
        <v>2017</v>
      </c>
      <c r="F2249" s="2" t="str">
        <f>IF(A2249&lt;&gt;"", VLOOKUP(A2249, imdb_netflix_v5!A$2:H$7370, 7, FALSE), "")</f>
        <v>NA</v>
      </c>
    </row>
    <row r="2250" ht="15.75" customHeight="1">
      <c r="A2250" s="1" t="str">
        <f>IFERROR(__xludf.DUMMYFUNCTION("""COMPUTED_VALUE"""),"on my block")</f>
        <v>on my block</v>
      </c>
      <c r="B2250" s="1" t="str">
        <f>IF(A2250&lt;&gt;"", VLOOKUP(A2250, imdb_netflix_v5!A$2:H$7370, 2, FALSE), "")</f>
        <v>TV Show</v>
      </c>
      <c r="C2250" s="2" t="str">
        <f>IF(A2250&lt;&gt;"", VLOOKUP(A2250, imdb_netflix_v5!A$2:H$7370, 3, FALSE), "")</f>
        <v>Comedy, Drama</v>
      </c>
      <c r="D2250" s="2">
        <f>IF(A2250&lt;&gt;"", VLOOKUP(A2250, imdb_netflix_v5!A$2:H$7370, 4, FALSE), "")</f>
        <v>7.8</v>
      </c>
      <c r="E2250" s="2">
        <f>IF(A2250&lt;&gt;"", VLOOKUP(A2250, imdb_netflix_v5!A$2:H$7370, 5, FALSE), "")</f>
        <v>2018</v>
      </c>
      <c r="F2250" s="2">
        <f>IF(A2250&lt;&gt;"", VLOOKUP(A2250, imdb_netflix_v5!A$2:H$7370, 7, FALSE), "")</f>
        <v>17360000</v>
      </c>
    </row>
    <row r="2251" ht="15.75" customHeight="1">
      <c r="A2251" s="1" t="str">
        <f>IFERROR(__xludf.DUMMYFUNCTION("""COMPUTED_VALUE"""),"american movie")</f>
        <v>american movie</v>
      </c>
      <c r="B2251" s="1" t="str">
        <f>IF(A2251&lt;&gt;"", VLOOKUP(A2251, imdb_netflix_v5!A$2:H$7370, 2, FALSE), "")</f>
        <v>Movie</v>
      </c>
      <c r="C2251" s="2" t="str">
        <f>IF(A2251&lt;&gt;"", VLOOKUP(A2251, imdb_netflix_v5!A$2:H$7370, 3, FALSE), "")</f>
        <v>Comedy, Documentary</v>
      </c>
      <c r="D2251" s="2">
        <f>IF(A2251&lt;&gt;"", VLOOKUP(A2251, imdb_netflix_v5!A$2:H$7370, 4, FALSE), "")</f>
        <v>7.8</v>
      </c>
      <c r="E2251" s="2">
        <f>IF(A2251&lt;&gt;"", VLOOKUP(A2251, imdb_netflix_v5!A$2:H$7370, 5, FALSE), "")</f>
        <v>1999</v>
      </c>
      <c r="F2251" s="2" t="str">
        <f>IF(A2251&lt;&gt;"", VLOOKUP(A2251, imdb_netflix_v5!A$2:H$7370, 7, FALSE), "")</f>
        <v>NA</v>
      </c>
    </row>
    <row r="2252" ht="15.75" customHeight="1">
      <c r="A2252" s="1" t="str">
        <f>IFERROR(__xludf.DUMMYFUNCTION("""COMPUTED_VALUE"""),"noragami")</f>
        <v>noragami</v>
      </c>
      <c r="B2252" s="1" t="str">
        <f>IF(A2252&lt;&gt;"", VLOOKUP(A2252, imdb_netflix_v5!A$2:H$7370, 2, FALSE), "")</f>
        <v>TV Show</v>
      </c>
      <c r="C2252" s="2" t="str">
        <f>IF(A2252&lt;&gt;"", VLOOKUP(A2252, imdb_netflix_v5!A$2:H$7370, 3, FALSE), "")</f>
        <v>Action, Adventure, Animation</v>
      </c>
      <c r="D2252" s="2">
        <f>IF(A2252&lt;&gt;"", VLOOKUP(A2252, imdb_netflix_v5!A$2:H$7370, 4, FALSE), "")</f>
        <v>7.8</v>
      </c>
      <c r="E2252" s="2">
        <f>IF(A2252&lt;&gt;"", VLOOKUP(A2252, imdb_netflix_v5!A$2:H$7370, 5, FALSE), "")</f>
        <v>2014</v>
      </c>
      <c r="F2252" s="2" t="str">
        <f>IF(A2252&lt;&gt;"", VLOOKUP(A2252, imdb_netflix_v5!A$2:H$7370, 7, FALSE), "")</f>
        <v>NA</v>
      </c>
    </row>
    <row r="2253" ht="15.75" customHeight="1">
      <c r="A2253" s="1" t="str">
        <f>IFERROR(__xludf.DUMMYFUNCTION("""COMPUTED_VALUE"""),"fresh meat")</f>
        <v>fresh meat</v>
      </c>
      <c r="B2253" s="1" t="str">
        <f>IF(A2253&lt;&gt;"", VLOOKUP(A2253, imdb_netflix_v5!A$2:H$7370, 2, FALSE), "")</f>
        <v>TV Show</v>
      </c>
      <c r="C2253" s="2" t="str">
        <f>IF(A2253&lt;&gt;"", VLOOKUP(A2253, imdb_netflix_v5!A$2:H$7370, 3, FALSE), "")</f>
        <v>Comedy, Drama</v>
      </c>
      <c r="D2253" s="2">
        <f>IF(A2253&lt;&gt;"", VLOOKUP(A2253, imdb_netflix_v5!A$2:H$7370, 4, FALSE), "")</f>
        <v>7.8</v>
      </c>
      <c r="E2253" s="2">
        <f>IF(A2253&lt;&gt;"", VLOOKUP(A2253, imdb_netflix_v5!A$2:H$7370, 5, FALSE), "")</f>
        <v>2011</v>
      </c>
      <c r="F2253" s="2" t="str">
        <f>IF(A2253&lt;&gt;"", VLOOKUP(A2253, imdb_netflix_v5!A$2:H$7370, 7, FALSE), "")</f>
        <v>NA</v>
      </c>
    </row>
    <row r="2254" ht="15.75" customHeight="1">
      <c r="A2254" s="1" t="str">
        <f>IFERROR(__xludf.DUMMYFUNCTION("""COMPUTED_VALUE"""),"the train")</f>
        <v>the train</v>
      </c>
      <c r="B2254" s="1" t="str">
        <f>IF(A2254&lt;&gt;"", VLOOKUP(A2254, imdb_netflix_v5!A$2:H$7370, 2, FALSE), "")</f>
        <v>Movie</v>
      </c>
      <c r="C2254" s="2" t="str">
        <f>IF(A2254&lt;&gt;"", VLOOKUP(A2254, imdb_netflix_v5!A$2:H$7370, 3, FALSE), "")</f>
        <v>Thriller, War</v>
      </c>
      <c r="D2254" s="2">
        <f>IF(A2254&lt;&gt;"", VLOOKUP(A2254, imdb_netflix_v5!A$2:H$7370, 4, FALSE), "")</f>
        <v>7.8</v>
      </c>
      <c r="E2254" s="2">
        <f>IF(A2254&lt;&gt;"", VLOOKUP(A2254, imdb_netflix_v5!A$2:H$7370, 5, FALSE), "")</f>
        <v>1964</v>
      </c>
      <c r="F2254" s="2" t="str">
        <f>IF(A2254&lt;&gt;"", VLOOKUP(A2254, imdb_netflix_v5!A$2:H$7370, 7, FALSE), "")</f>
        <v>NA</v>
      </c>
    </row>
    <row r="2255" ht="15.75" customHeight="1">
      <c r="A2255" s="1" t="str">
        <f>IFERROR(__xludf.DUMMYFUNCTION("""COMPUTED_VALUE"""),"birdman of alcatraz")</f>
        <v>birdman of alcatraz</v>
      </c>
      <c r="B2255" s="1" t="str">
        <f>IF(A2255&lt;&gt;"", VLOOKUP(A2255, imdb_netflix_v5!A$2:H$7370, 2, FALSE), "")</f>
        <v>Movie</v>
      </c>
      <c r="C2255" s="2" t="str">
        <f>IF(A2255&lt;&gt;"", VLOOKUP(A2255, imdb_netflix_v5!A$2:H$7370, 3, FALSE), "")</f>
        <v>Biography, Crime, Drama</v>
      </c>
      <c r="D2255" s="2">
        <f>IF(A2255&lt;&gt;"", VLOOKUP(A2255, imdb_netflix_v5!A$2:H$7370, 4, FALSE), "")</f>
        <v>7.8</v>
      </c>
      <c r="E2255" s="2">
        <f>IF(A2255&lt;&gt;"", VLOOKUP(A2255, imdb_netflix_v5!A$2:H$7370, 5, FALSE), "")</f>
        <v>1962</v>
      </c>
      <c r="F2255" s="2" t="str">
        <f>IF(A2255&lt;&gt;"", VLOOKUP(A2255, imdb_netflix_v5!A$2:H$7370, 7, FALSE), "")</f>
        <v>NA</v>
      </c>
    </row>
    <row r="2256" ht="15.75" customHeight="1">
      <c r="A2256" s="1" t="str">
        <f>IFERROR(__xludf.DUMMYFUNCTION("""COMPUTED_VALUE"""),"monsieur verdoux")</f>
        <v>monsieur verdoux</v>
      </c>
      <c r="B2256" s="1" t="str">
        <f>IF(A2256&lt;&gt;"", VLOOKUP(A2256, imdb_netflix_v5!A$2:H$7370, 2, FALSE), "")</f>
        <v>Movie</v>
      </c>
      <c r="C2256" s="2" t="str">
        <f>IF(A2256&lt;&gt;"", VLOOKUP(A2256, imdb_netflix_v5!A$2:H$7370, 3, FALSE), "")</f>
        <v>Comedy, Crime, Drama</v>
      </c>
      <c r="D2256" s="2">
        <f>IF(A2256&lt;&gt;"", VLOOKUP(A2256, imdb_netflix_v5!A$2:H$7370, 4, FALSE), "")</f>
        <v>7.8</v>
      </c>
      <c r="E2256" s="2">
        <f>IF(A2256&lt;&gt;"", VLOOKUP(A2256, imdb_netflix_v5!A$2:H$7370, 5, FALSE), "")</f>
        <v>1947</v>
      </c>
      <c r="F2256" s="2" t="str">
        <f>IF(A2256&lt;&gt;"", VLOOKUP(A2256, imdb_netflix_v5!A$2:H$7370, 7, FALSE), "")</f>
        <v>NA</v>
      </c>
    </row>
    <row r="2257" ht="15.75" customHeight="1">
      <c r="A2257" s="1" t="str">
        <f>IFERROR(__xludf.DUMMYFUNCTION("""COMPUTED_VALUE"""),"law of tehran")</f>
        <v>law of tehran</v>
      </c>
      <c r="B2257" s="1" t="str">
        <f>IF(A2257&lt;&gt;"", VLOOKUP(A2257, imdb_netflix_v5!A$2:H$7370, 2, FALSE), "")</f>
        <v>Movie</v>
      </c>
      <c r="C2257" s="2" t="str">
        <f>IF(A2257&lt;&gt;"", VLOOKUP(A2257, imdb_netflix_v5!A$2:H$7370, 3, FALSE), "")</f>
        <v>Action, Crime, Drama</v>
      </c>
      <c r="D2257" s="2">
        <f>IF(A2257&lt;&gt;"", VLOOKUP(A2257, imdb_netflix_v5!A$2:H$7370, 4, FALSE), "")</f>
        <v>7.8</v>
      </c>
      <c r="E2257" s="2">
        <f>IF(A2257&lt;&gt;"", VLOOKUP(A2257, imdb_netflix_v5!A$2:H$7370, 5, FALSE), "")</f>
        <v>2019</v>
      </c>
      <c r="F2257" s="2" t="str">
        <f>IF(A2257&lt;&gt;"", VLOOKUP(A2257, imdb_netflix_v5!A$2:H$7370, 7, FALSE), "")</f>
        <v>NA</v>
      </c>
    </row>
    <row r="2258" ht="15.75" customHeight="1">
      <c r="A2258" s="1" t="str">
        <f>IFERROR(__xludf.DUMMYFUNCTION("""COMPUTED_VALUE"""),"stray dog")</f>
        <v>stray dog</v>
      </c>
      <c r="B2258" s="1" t="str">
        <f>IF(A2258&lt;&gt;"", VLOOKUP(A2258, imdb_netflix_v5!A$2:H$7370, 2, FALSE), "")</f>
        <v>Movie</v>
      </c>
      <c r="C2258" s="2" t="str">
        <f>IF(A2258&lt;&gt;"", VLOOKUP(A2258, imdb_netflix_v5!A$2:H$7370, 3, FALSE), "")</f>
        <v>Crime, Drama, Mystery</v>
      </c>
      <c r="D2258" s="2">
        <f>IF(A2258&lt;&gt;"", VLOOKUP(A2258, imdb_netflix_v5!A$2:H$7370, 4, FALSE), "")</f>
        <v>7.8</v>
      </c>
      <c r="E2258" s="2">
        <f>IF(A2258&lt;&gt;"", VLOOKUP(A2258, imdb_netflix_v5!A$2:H$7370, 5, FALSE), "")</f>
        <v>1949</v>
      </c>
      <c r="F2258" s="2" t="str">
        <f>IF(A2258&lt;&gt;"", VLOOKUP(A2258, imdb_netflix_v5!A$2:H$7370, 7, FALSE), "")</f>
        <v>NA</v>
      </c>
    </row>
    <row r="2259" ht="15.75" customHeight="1">
      <c r="A2259" s="1" t="str">
        <f>IFERROR(__xludf.DUMMYFUNCTION("""COMPUTED_VALUE"""),"the childrens hour")</f>
        <v>the childrens hour</v>
      </c>
      <c r="B2259" s="1" t="str">
        <f>IF(A2259&lt;&gt;"", VLOOKUP(A2259, imdb_netflix_v5!A$2:H$7370, 2, FALSE), "")</f>
        <v>Movie</v>
      </c>
      <c r="C2259" s="2" t="str">
        <f>IF(A2259&lt;&gt;"", VLOOKUP(A2259, imdb_netflix_v5!A$2:H$7370, 3, FALSE), "")</f>
        <v>Drama, Romance</v>
      </c>
      <c r="D2259" s="2">
        <f>IF(A2259&lt;&gt;"", VLOOKUP(A2259, imdb_netflix_v5!A$2:H$7370, 4, FALSE), "")</f>
        <v>7.8</v>
      </c>
      <c r="E2259" s="2">
        <f>IF(A2259&lt;&gt;"", VLOOKUP(A2259, imdb_netflix_v5!A$2:H$7370, 5, FALSE), "")</f>
        <v>1961</v>
      </c>
      <c r="F2259" s="2" t="str">
        <f>IF(A2259&lt;&gt;"", VLOOKUP(A2259, imdb_netflix_v5!A$2:H$7370, 7, FALSE), "")</f>
        <v>NA</v>
      </c>
    </row>
    <row r="2260" ht="15.75" customHeight="1">
      <c r="A2260" s="1" t="str">
        <f>IFERROR(__xludf.DUMMYFUNCTION("""COMPUTED_VALUE"""),"johnny got his gun")</f>
        <v>johnny got his gun</v>
      </c>
      <c r="B2260" s="1" t="str">
        <f>IF(A2260&lt;&gt;"", VLOOKUP(A2260, imdb_netflix_v5!A$2:H$7370, 2, FALSE), "")</f>
        <v>Movie</v>
      </c>
      <c r="C2260" s="2" t="str">
        <f>IF(A2260&lt;&gt;"", VLOOKUP(A2260, imdb_netflix_v5!A$2:H$7370, 3, FALSE), "")</f>
        <v>Drama, War</v>
      </c>
      <c r="D2260" s="2">
        <f>IF(A2260&lt;&gt;"", VLOOKUP(A2260, imdb_netflix_v5!A$2:H$7370, 4, FALSE), "")</f>
        <v>7.8</v>
      </c>
      <c r="E2260" s="2">
        <f>IF(A2260&lt;&gt;"", VLOOKUP(A2260, imdb_netflix_v5!A$2:H$7370, 5, FALSE), "")</f>
        <v>1971</v>
      </c>
      <c r="F2260" s="2" t="str">
        <f>IF(A2260&lt;&gt;"", VLOOKUP(A2260, imdb_netflix_v5!A$2:H$7370, 7, FALSE), "")</f>
        <v>NA</v>
      </c>
    </row>
    <row r="2261" ht="15.75" customHeight="1">
      <c r="A2261" s="1" t="str">
        <f>IFERROR(__xludf.DUMMYFUNCTION("""COMPUTED_VALUE"""),"the rising of the shield hero")</f>
        <v>the rising of the shield hero</v>
      </c>
      <c r="B2261" s="1" t="str">
        <f>IF(A2261&lt;&gt;"", VLOOKUP(A2261, imdb_netflix_v5!A$2:H$7370, 2, FALSE), "")</f>
        <v>TV Show</v>
      </c>
      <c r="C2261" s="2" t="str">
        <f>IF(A2261&lt;&gt;"", VLOOKUP(A2261, imdb_netflix_v5!A$2:H$7370, 3, FALSE), "")</f>
        <v>Action, Adventure, Animation</v>
      </c>
      <c r="D2261" s="2">
        <f>IF(A2261&lt;&gt;"", VLOOKUP(A2261, imdb_netflix_v5!A$2:H$7370, 4, FALSE), "")</f>
        <v>7.8</v>
      </c>
      <c r="E2261" s="2">
        <f>IF(A2261&lt;&gt;"", VLOOKUP(A2261, imdb_netflix_v5!A$2:H$7370, 5, FALSE), "")</f>
        <v>2019</v>
      </c>
      <c r="F2261" s="2" t="str">
        <f>IF(A2261&lt;&gt;"", VLOOKUP(A2261, imdb_netflix_v5!A$2:H$7370, 7, FALSE), "")</f>
        <v>NA</v>
      </c>
    </row>
    <row r="2262" ht="15.75" customHeight="1">
      <c r="A2262" s="1" t="str">
        <f>IFERROR(__xludf.DUMMYFUNCTION("""COMPUTED_VALUE"""),"flashpoint")</f>
        <v>flashpoint</v>
      </c>
      <c r="B2262" s="1" t="str">
        <f>IF(A2262&lt;&gt;"", VLOOKUP(A2262, imdb_netflix_v5!A$2:H$7370, 2, FALSE), "")</f>
        <v>TV Show</v>
      </c>
      <c r="C2262" s="2" t="str">
        <f>IF(A2262&lt;&gt;"", VLOOKUP(A2262, imdb_netflix_v5!A$2:H$7370, 3, FALSE), "")</f>
        <v>Action, Crime, Drama</v>
      </c>
      <c r="D2262" s="2">
        <f>IF(A2262&lt;&gt;"", VLOOKUP(A2262, imdb_netflix_v5!A$2:H$7370, 4, FALSE), "")</f>
        <v>7.8</v>
      </c>
      <c r="E2262" s="2">
        <f>IF(A2262&lt;&gt;"", VLOOKUP(A2262, imdb_netflix_v5!A$2:H$7370, 5, FALSE), "")</f>
        <v>2008</v>
      </c>
      <c r="F2262" s="2" t="str">
        <f>IF(A2262&lt;&gt;"", VLOOKUP(A2262, imdb_netflix_v5!A$2:H$7370, 7, FALSE), "")</f>
        <v>NA</v>
      </c>
    </row>
    <row r="2263" ht="15.75" customHeight="1">
      <c r="A2263" s="1" t="str">
        <f>IFERROR(__xludf.DUMMYFUNCTION("""COMPUTED_VALUE"""),"imitation of life")</f>
        <v>imitation of life</v>
      </c>
      <c r="B2263" s="1" t="str">
        <f>IF(A2263&lt;&gt;"", VLOOKUP(A2263, imdb_netflix_v5!A$2:H$7370, 2, FALSE), "")</f>
        <v>Movie</v>
      </c>
      <c r="C2263" s="2" t="str">
        <f>IF(A2263&lt;&gt;"", VLOOKUP(A2263, imdb_netflix_v5!A$2:H$7370, 3, FALSE), "")</f>
        <v>Drama</v>
      </c>
      <c r="D2263" s="2">
        <f>IF(A2263&lt;&gt;"", VLOOKUP(A2263, imdb_netflix_v5!A$2:H$7370, 4, FALSE), "")</f>
        <v>7.8</v>
      </c>
      <c r="E2263" s="2">
        <f>IF(A2263&lt;&gt;"", VLOOKUP(A2263, imdb_netflix_v5!A$2:H$7370, 5, FALSE), "")</f>
        <v>1959</v>
      </c>
      <c r="F2263" s="2" t="str">
        <f>IF(A2263&lt;&gt;"", VLOOKUP(A2263, imdb_netflix_v5!A$2:H$7370, 7, FALSE), "")</f>
        <v>NA</v>
      </c>
    </row>
    <row r="2264" ht="15.75" customHeight="1">
      <c r="A2264" s="1" t="str">
        <f>IFERROR(__xludf.DUMMYFUNCTION("""COMPUTED_VALUE"""),"pennyworth")</f>
        <v>pennyworth</v>
      </c>
      <c r="B2264" s="1" t="str">
        <f>IF(A2264&lt;&gt;"", VLOOKUP(A2264, imdb_netflix_v5!A$2:H$7370, 2, FALSE), "")</f>
        <v>TV Show</v>
      </c>
      <c r="C2264" s="2" t="str">
        <f>IF(A2264&lt;&gt;"", VLOOKUP(A2264, imdb_netflix_v5!A$2:H$7370, 3, FALSE), "")</f>
        <v>Action, Crime, Drama</v>
      </c>
      <c r="D2264" s="2">
        <f>IF(A2264&lt;&gt;"", VLOOKUP(A2264, imdb_netflix_v5!A$2:H$7370, 4, FALSE), "")</f>
        <v>7.8</v>
      </c>
      <c r="E2264" s="2">
        <f>IF(A2264&lt;&gt;"", VLOOKUP(A2264, imdb_netflix_v5!A$2:H$7370, 5, FALSE), "")</f>
        <v>2019</v>
      </c>
      <c r="F2264" s="2" t="str">
        <f>IF(A2264&lt;&gt;"", VLOOKUP(A2264, imdb_netflix_v5!A$2:H$7370, 7, FALSE), "")</f>
        <v>NA</v>
      </c>
    </row>
    <row r="2265" ht="15.75" customHeight="1">
      <c r="A2265" s="1" t="str">
        <f>IFERROR(__xludf.DUMMYFUNCTION("""COMPUTED_VALUE"""),"gangaajal")</f>
        <v>gangaajal</v>
      </c>
      <c r="B2265" s="1" t="str">
        <f>IF(A2265&lt;&gt;"", VLOOKUP(A2265, imdb_netflix_v5!A$2:H$7370, 2, FALSE), "")</f>
        <v>Movie</v>
      </c>
      <c r="C2265" s="2" t="str">
        <f>IF(A2265&lt;&gt;"", VLOOKUP(A2265, imdb_netflix_v5!A$2:H$7370, 3, FALSE), "")</f>
        <v>Action, Crime, Drama</v>
      </c>
      <c r="D2265" s="2">
        <f>IF(A2265&lt;&gt;"", VLOOKUP(A2265, imdb_netflix_v5!A$2:H$7370, 4, FALSE), "")</f>
        <v>7.8</v>
      </c>
      <c r="E2265" s="2">
        <f>IF(A2265&lt;&gt;"", VLOOKUP(A2265, imdb_netflix_v5!A$2:H$7370, 5, FALSE), "")</f>
        <v>2003</v>
      </c>
      <c r="F2265" s="2" t="str">
        <f>IF(A2265&lt;&gt;"", VLOOKUP(A2265, imdb_netflix_v5!A$2:H$7370, 7, FALSE), "")</f>
        <v>NA</v>
      </c>
    </row>
    <row r="2266" ht="15.75" customHeight="1">
      <c r="A2266" s="1" t="str">
        <f>IFERROR(__xludf.DUMMYFUNCTION("""COMPUTED_VALUE"""),"nayak the real hero")</f>
        <v>nayak the real hero</v>
      </c>
      <c r="B2266" s="1" t="str">
        <f>IF(A2266&lt;&gt;"", VLOOKUP(A2266, imdb_netflix_v5!A$2:H$7370, 2, FALSE), "")</f>
        <v>Movie</v>
      </c>
      <c r="C2266" s="2" t="str">
        <f>IF(A2266&lt;&gt;"", VLOOKUP(A2266, imdb_netflix_v5!A$2:H$7370, 3, FALSE), "")</f>
        <v>Action, Drama, Thriller</v>
      </c>
      <c r="D2266" s="2">
        <f>IF(A2266&lt;&gt;"", VLOOKUP(A2266, imdb_netflix_v5!A$2:H$7370, 4, FALSE), "")</f>
        <v>7.8</v>
      </c>
      <c r="E2266" s="2">
        <f>IF(A2266&lt;&gt;"", VLOOKUP(A2266, imdb_netflix_v5!A$2:H$7370, 5, FALSE), "")</f>
        <v>2001</v>
      </c>
      <c r="F2266" s="2" t="str">
        <f>IF(A2266&lt;&gt;"", VLOOKUP(A2266, imdb_netflix_v5!A$2:H$7370, 7, FALSE), "")</f>
        <v>NA</v>
      </c>
    </row>
    <row r="2267" ht="15.75" customHeight="1">
      <c r="A2267" s="1" t="str">
        <f>IFERROR(__xludf.DUMMYFUNCTION("""COMPUTED_VALUE"""),"seven days in may")</f>
        <v>seven days in may</v>
      </c>
      <c r="B2267" s="1" t="str">
        <f>IF(A2267&lt;&gt;"", VLOOKUP(A2267, imdb_netflix_v5!A$2:H$7370, 2, FALSE), "")</f>
        <v>Movie</v>
      </c>
      <c r="C2267" s="2" t="str">
        <f>IF(A2267&lt;&gt;"", VLOOKUP(A2267, imdb_netflix_v5!A$2:H$7370, 3, FALSE), "")</f>
        <v>Drama, Thriller</v>
      </c>
      <c r="D2267" s="2">
        <f>IF(A2267&lt;&gt;"", VLOOKUP(A2267, imdb_netflix_v5!A$2:H$7370, 4, FALSE), "")</f>
        <v>7.8</v>
      </c>
      <c r="E2267" s="2">
        <f>IF(A2267&lt;&gt;"", VLOOKUP(A2267, imdb_netflix_v5!A$2:H$7370, 5, FALSE), "")</f>
        <v>1964</v>
      </c>
      <c r="F2267" s="2" t="str">
        <f>IF(A2267&lt;&gt;"", VLOOKUP(A2267, imdb_netflix_v5!A$2:H$7370, 7, FALSE), "")</f>
        <v>NA</v>
      </c>
    </row>
    <row r="2268" ht="15.75" customHeight="1">
      <c r="A2268" s="1" t="str">
        <f>IFERROR(__xludf.DUMMYFUNCTION("""COMPUTED_VALUE"""),"v")</f>
        <v>v</v>
      </c>
      <c r="B2268" s="1" t="str">
        <f>IF(A2268&lt;&gt;"", VLOOKUP(A2268, imdb_netflix_v5!A$2:H$7370, 2, FALSE), "")</f>
        <v>TV Show</v>
      </c>
      <c r="C2268" s="2" t="str">
        <f>IF(A2268&lt;&gt;"", VLOOKUP(A2268, imdb_netflix_v5!A$2:H$7370, 3, FALSE), "")</f>
        <v>Action, Adventure, Sci-Fi</v>
      </c>
      <c r="D2268" s="2">
        <f>IF(A2268&lt;&gt;"", VLOOKUP(A2268, imdb_netflix_v5!A$2:H$7370, 4, FALSE), "")</f>
        <v>7.8</v>
      </c>
      <c r="E2268" s="2">
        <f>IF(A2268&lt;&gt;"", VLOOKUP(A2268, imdb_netflix_v5!A$2:H$7370, 5, FALSE), "")</f>
        <v>1983</v>
      </c>
      <c r="F2268" s="2" t="str">
        <f>IF(A2268&lt;&gt;"", VLOOKUP(A2268, imdb_netflix_v5!A$2:H$7370, 7, FALSE), "")</f>
        <v>NA</v>
      </c>
    </row>
    <row r="2269" ht="15.75" customHeight="1">
      <c r="A2269" s="1" t="str">
        <f>IFERROR(__xludf.DUMMYFUNCTION("""COMPUTED_VALUE"""),"girls of the sun")</f>
        <v>girls of the sun</v>
      </c>
      <c r="B2269" s="1" t="str">
        <f>IF(A2269&lt;&gt;"", VLOOKUP(A2269, imdb_netflix_v5!A$2:H$7370, 2, FALSE), "")</f>
        <v>TV Show</v>
      </c>
      <c r="C2269" s="2" t="str">
        <f>IF(A2269&lt;&gt;"", VLOOKUP(A2269, imdb_netflix_v5!A$2:H$7370, 3, FALSE), "")</f>
        <v>Drama, Romance</v>
      </c>
      <c r="D2269" s="2">
        <f>IF(A2269&lt;&gt;"", VLOOKUP(A2269, imdb_netflix_v5!A$2:H$7370, 4, FALSE), "")</f>
        <v>7.8</v>
      </c>
      <c r="E2269" s="2">
        <f>IF(A2269&lt;&gt;"", VLOOKUP(A2269, imdb_netflix_v5!A$2:H$7370, 5, FALSE), "")</f>
        <v>2015</v>
      </c>
      <c r="F2269" s="2" t="str">
        <f>IF(A2269&lt;&gt;"", VLOOKUP(A2269, imdb_netflix_v5!A$2:H$7370, 7, FALSE), "")</f>
        <v>NA</v>
      </c>
    </row>
    <row r="2270" ht="15.75" customHeight="1">
      <c r="A2270" s="1" t="str">
        <f>IFERROR(__xludf.DUMMYFUNCTION("""COMPUTED_VALUE"""),"the phantom of liberty")</f>
        <v>the phantom of liberty</v>
      </c>
      <c r="B2270" s="1" t="str">
        <f>IF(A2270&lt;&gt;"", VLOOKUP(A2270, imdb_netflix_v5!A$2:H$7370, 2, FALSE), "")</f>
        <v>Movie</v>
      </c>
      <c r="C2270" s="2" t="str">
        <f>IF(A2270&lt;&gt;"", VLOOKUP(A2270, imdb_netflix_v5!A$2:H$7370, 3, FALSE), "")</f>
        <v>Comedy</v>
      </c>
      <c r="D2270" s="2">
        <f>IF(A2270&lt;&gt;"", VLOOKUP(A2270, imdb_netflix_v5!A$2:H$7370, 4, FALSE), "")</f>
        <v>7.8</v>
      </c>
      <c r="E2270" s="2">
        <f>IF(A2270&lt;&gt;"", VLOOKUP(A2270, imdb_netflix_v5!A$2:H$7370, 5, FALSE), "")</f>
        <v>1974</v>
      </c>
      <c r="F2270" s="2" t="str">
        <f>IF(A2270&lt;&gt;"", VLOOKUP(A2270, imdb_netflix_v5!A$2:H$7370, 7, FALSE), "")</f>
        <v>NA</v>
      </c>
    </row>
    <row r="2271" ht="15.75" customHeight="1">
      <c r="A2271" s="1" t="str">
        <f>IFERROR(__xludf.DUMMYFUNCTION("""COMPUTED_VALUE"""),"giri/haji")</f>
        <v>giri/haji</v>
      </c>
      <c r="B2271" s="1" t="str">
        <f>IF(A2271&lt;&gt;"", VLOOKUP(A2271, imdb_netflix_v5!A$2:H$7370, 2, FALSE), "")</f>
        <v>TV Show</v>
      </c>
      <c r="C2271" s="2" t="str">
        <f>IF(A2271&lt;&gt;"", VLOOKUP(A2271, imdb_netflix_v5!A$2:H$7370, 3, FALSE), "")</f>
        <v>Crime, Drama, Mystery</v>
      </c>
      <c r="D2271" s="2">
        <f>IF(A2271&lt;&gt;"", VLOOKUP(A2271, imdb_netflix_v5!A$2:H$7370, 4, FALSE), "")</f>
        <v>7.8</v>
      </c>
      <c r="E2271" s="2">
        <f>IF(A2271&lt;&gt;"", VLOOKUP(A2271, imdb_netflix_v5!A$2:H$7370, 5, FALSE), "")</f>
        <v>2019</v>
      </c>
      <c r="F2271" s="2" t="str">
        <f>IF(A2271&lt;&gt;"", VLOOKUP(A2271, imdb_netflix_v5!A$2:H$7370, 7, FALSE), "")</f>
        <v>NA</v>
      </c>
    </row>
    <row r="2272" ht="15.75" customHeight="1">
      <c r="A2272" s="1" t="str">
        <f>IFERROR(__xludf.DUMMYFUNCTION("""COMPUTED_VALUE"""),"the second mother")</f>
        <v>the second mother</v>
      </c>
      <c r="B2272" s="1" t="str">
        <f>IF(A2272&lt;&gt;"", VLOOKUP(A2272, imdb_netflix_v5!A$2:H$7370, 2, FALSE), "")</f>
        <v>Movie</v>
      </c>
      <c r="C2272" s="2" t="str">
        <f>IF(A2272&lt;&gt;"", VLOOKUP(A2272, imdb_netflix_v5!A$2:H$7370, 3, FALSE), "")</f>
        <v>Comedy, Drama</v>
      </c>
      <c r="D2272" s="2">
        <f>IF(A2272&lt;&gt;"", VLOOKUP(A2272, imdb_netflix_v5!A$2:H$7370, 4, FALSE), "")</f>
        <v>7.8</v>
      </c>
      <c r="E2272" s="2">
        <f>IF(A2272&lt;&gt;"", VLOOKUP(A2272, imdb_netflix_v5!A$2:H$7370, 5, FALSE), "")</f>
        <v>2015</v>
      </c>
      <c r="F2272" s="2" t="str">
        <f>IF(A2272&lt;&gt;"", VLOOKUP(A2272, imdb_netflix_v5!A$2:H$7370, 7, FALSE), "")</f>
        <v>NA</v>
      </c>
    </row>
    <row r="2273" ht="15.75" customHeight="1">
      <c r="A2273" s="1" t="str">
        <f>IFERROR(__xludf.DUMMYFUNCTION("""COMPUTED_VALUE"""),"the munsters")</f>
        <v>the munsters</v>
      </c>
      <c r="B2273" s="1" t="str">
        <f>IF(A2273&lt;&gt;"", VLOOKUP(A2273, imdb_netflix_v5!A$2:H$7370, 2, FALSE), "")</f>
        <v>TV Show</v>
      </c>
      <c r="C2273" s="2" t="str">
        <f>IF(A2273&lt;&gt;"", VLOOKUP(A2273, imdb_netflix_v5!A$2:H$7370, 3, FALSE), "")</f>
        <v>Comedy, Family, Fantasy</v>
      </c>
      <c r="D2273" s="2">
        <f>IF(A2273&lt;&gt;"", VLOOKUP(A2273, imdb_netflix_v5!A$2:H$7370, 4, FALSE), "")</f>
        <v>7.8</v>
      </c>
      <c r="E2273" s="2">
        <f>IF(A2273&lt;&gt;"", VLOOKUP(A2273, imdb_netflix_v5!A$2:H$7370, 5, FALSE), "")</f>
        <v>1964</v>
      </c>
      <c r="F2273" s="2" t="str">
        <f>IF(A2273&lt;&gt;"", VLOOKUP(A2273, imdb_netflix_v5!A$2:H$7370, 7, FALSE), "")</f>
        <v>NA</v>
      </c>
    </row>
    <row r="2274" ht="15.75" customHeight="1">
      <c r="A2274" s="1" t="str">
        <f>IFERROR(__xludf.DUMMYFUNCTION("""COMPUTED_VALUE"""),"the empress")</f>
        <v>the empress</v>
      </c>
      <c r="B2274" s="1" t="str">
        <f>IF(A2274&lt;&gt;"", VLOOKUP(A2274, imdb_netflix_v5!A$2:H$7370, 2, FALSE), "")</f>
        <v>TV Show</v>
      </c>
      <c r="C2274" s="2" t="str">
        <f>IF(A2274&lt;&gt;"", VLOOKUP(A2274, imdb_netflix_v5!A$2:H$7370, 3, FALSE), "")</f>
        <v>Drama, History, Romance</v>
      </c>
      <c r="D2274" s="2">
        <f>IF(A2274&lt;&gt;"", VLOOKUP(A2274, imdb_netflix_v5!A$2:H$7370, 4, FALSE), "")</f>
        <v>7.8</v>
      </c>
      <c r="E2274" s="2">
        <f>IF(A2274&lt;&gt;"", VLOOKUP(A2274, imdb_netflix_v5!A$2:H$7370, 5, FALSE), "")</f>
        <v>2022</v>
      </c>
      <c r="F2274" s="2">
        <f>IF(A2274&lt;&gt;"", VLOOKUP(A2274, imdb_netflix_v5!A$2:H$7370, 7, FALSE), "")</f>
        <v>9990000</v>
      </c>
    </row>
    <row r="2275" ht="15.75" customHeight="1">
      <c r="A2275" s="1" t="str">
        <f>IFERROR(__xludf.DUMMYFUNCTION("""COMPUTED_VALUE"""),"nanban")</f>
        <v>nanban</v>
      </c>
      <c r="B2275" s="1" t="str">
        <f>IF(A2275&lt;&gt;"", VLOOKUP(A2275, imdb_netflix_v5!A$2:H$7370, 2, FALSE), "")</f>
        <v>Movie</v>
      </c>
      <c r="C2275" s="2" t="str">
        <f>IF(A2275&lt;&gt;"", VLOOKUP(A2275, imdb_netflix_v5!A$2:H$7370, 3, FALSE), "")</f>
        <v>Comedy, Drama</v>
      </c>
      <c r="D2275" s="2">
        <f>IF(A2275&lt;&gt;"", VLOOKUP(A2275, imdb_netflix_v5!A$2:H$7370, 4, FALSE), "")</f>
        <v>7.8</v>
      </c>
      <c r="E2275" s="2">
        <f>IF(A2275&lt;&gt;"", VLOOKUP(A2275, imdb_netflix_v5!A$2:H$7370, 5, FALSE), "")</f>
        <v>2012</v>
      </c>
      <c r="F2275" s="2" t="str">
        <f>IF(A2275&lt;&gt;"", VLOOKUP(A2275, imdb_netflix_v5!A$2:H$7370, 7, FALSE), "")</f>
        <v>NA</v>
      </c>
    </row>
    <row r="2276" ht="15.75" customHeight="1">
      <c r="A2276" s="1" t="str">
        <f>IFERROR(__xludf.DUMMYFUNCTION("""COMPUTED_VALUE"""),"kenan &amp; kel")</f>
        <v>kenan &amp; kel</v>
      </c>
      <c r="B2276" s="1" t="str">
        <f>IF(A2276&lt;&gt;"", VLOOKUP(A2276, imdb_netflix_v5!A$2:H$7370, 2, FALSE), "")</f>
        <v>TV Show</v>
      </c>
      <c r="C2276" s="2" t="str">
        <f>IF(A2276&lt;&gt;"", VLOOKUP(A2276, imdb_netflix_v5!A$2:H$7370, 3, FALSE), "")</f>
        <v>Comedy, Family</v>
      </c>
      <c r="D2276" s="2">
        <f>IF(A2276&lt;&gt;"", VLOOKUP(A2276, imdb_netflix_v5!A$2:H$7370, 4, FALSE), "")</f>
        <v>7.8</v>
      </c>
      <c r="E2276" s="2">
        <f>IF(A2276&lt;&gt;"", VLOOKUP(A2276, imdb_netflix_v5!A$2:H$7370, 5, FALSE), "")</f>
        <v>1996</v>
      </c>
      <c r="F2276" s="2" t="str">
        <f>IF(A2276&lt;&gt;"", VLOOKUP(A2276, imdb_netflix_v5!A$2:H$7370, 7, FALSE), "")</f>
        <v>NA</v>
      </c>
    </row>
    <row r="2277" ht="15.75" customHeight="1">
      <c r="A2277" s="1" t="str">
        <f>IFERROR(__xludf.DUMMYFUNCTION("""COMPUTED_VALUE"""),"a man on the inside")</f>
        <v>a man on the inside</v>
      </c>
      <c r="B2277" s="1" t="str">
        <f>IF(A2277&lt;&gt;"", VLOOKUP(A2277, imdb_netflix_v5!A$2:H$7370, 2, FALSE), "")</f>
        <v>TV Show</v>
      </c>
      <c r="C2277" s="2" t="str">
        <f>IF(A2277&lt;&gt;"", VLOOKUP(A2277, imdb_netflix_v5!A$2:H$7370, 3, FALSE), "")</f>
        <v>Comedy, Crime</v>
      </c>
      <c r="D2277" s="2">
        <f>IF(A2277&lt;&gt;"", VLOOKUP(A2277, imdb_netflix_v5!A$2:H$7370, 4, FALSE), "")</f>
        <v>7.8</v>
      </c>
      <c r="E2277" s="2">
        <f>IF(A2277&lt;&gt;"", VLOOKUP(A2277, imdb_netflix_v5!A$2:H$7370, 5, FALSE), "")</f>
        <v>2024</v>
      </c>
      <c r="F2277" s="2" t="str">
        <f>IF(A2277&lt;&gt;"", VLOOKUP(A2277, imdb_netflix_v5!A$2:H$7370, 7, FALSE), "")</f>
        <v>NA</v>
      </c>
    </row>
    <row r="2278" ht="15.75" customHeight="1">
      <c r="A2278" s="1" t="str">
        <f>IFERROR(__xludf.DUMMYFUNCTION("""COMPUTED_VALUE"""),"nypd blue")</f>
        <v>nypd blue</v>
      </c>
      <c r="B2278" s="1" t="str">
        <f>IF(A2278&lt;&gt;"", VLOOKUP(A2278, imdb_netflix_v5!A$2:H$7370, 2, FALSE), "")</f>
        <v>TV Show</v>
      </c>
      <c r="C2278" s="2" t="str">
        <f>IF(A2278&lt;&gt;"", VLOOKUP(A2278, imdb_netflix_v5!A$2:H$7370, 3, FALSE), "")</f>
        <v>Crime, Drama, Mystery</v>
      </c>
      <c r="D2278" s="2">
        <f>IF(A2278&lt;&gt;"", VLOOKUP(A2278, imdb_netflix_v5!A$2:H$7370, 4, FALSE), "")</f>
        <v>7.8</v>
      </c>
      <c r="E2278" s="2">
        <f>IF(A2278&lt;&gt;"", VLOOKUP(A2278, imdb_netflix_v5!A$2:H$7370, 5, FALSE), "")</f>
        <v>1993</v>
      </c>
      <c r="F2278" s="2" t="str">
        <f>IF(A2278&lt;&gt;"", VLOOKUP(A2278, imdb_netflix_v5!A$2:H$7370, 7, FALSE), "")</f>
        <v>NA</v>
      </c>
    </row>
    <row r="2279" ht="15.75" customHeight="1">
      <c r="A2279" s="1" t="str">
        <f>IFERROR(__xludf.DUMMYFUNCTION("""COMPUTED_VALUE"""),"wallander")</f>
        <v>wallander</v>
      </c>
      <c r="B2279" s="1" t="str">
        <f>IF(A2279&lt;&gt;"", VLOOKUP(A2279, imdb_netflix_v5!A$2:H$7370, 2, FALSE), "")</f>
        <v>TV Show</v>
      </c>
      <c r="C2279" s="2" t="str">
        <f>IF(A2279&lt;&gt;"", VLOOKUP(A2279, imdb_netflix_v5!A$2:H$7370, 3, FALSE), "")</f>
        <v>Crime, Drama, Mystery</v>
      </c>
      <c r="D2279" s="2">
        <f>IF(A2279&lt;&gt;"", VLOOKUP(A2279, imdb_netflix_v5!A$2:H$7370, 4, FALSE), "")</f>
        <v>7.8</v>
      </c>
      <c r="E2279" s="2">
        <f>IF(A2279&lt;&gt;"", VLOOKUP(A2279, imdb_netflix_v5!A$2:H$7370, 5, FALSE), "")</f>
        <v>2008</v>
      </c>
      <c r="F2279" s="2" t="str">
        <f>IF(A2279&lt;&gt;"", VLOOKUP(A2279, imdb_netflix_v5!A$2:H$7370, 7, FALSE), "")</f>
        <v>NA</v>
      </c>
    </row>
    <row r="2280" ht="15.75" customHeight="1">
      <c r="A2280" s="1" t="str">
        <f>IFERROR(__xludf.DUMMYFUNCTION("""COMPUTED_VALUE"""),"the bad and the beautiful")</f>
        <v>the bad and the beautiful</v>
      </c>
      <c r="B2280" s="1" t="str">
        <f>IF(A2280&lt;&gt;"", VLOOKUP(A2280, imdb_netflix_v5!A$2:H$7370, 2, FALSE), "")</f>
        <v>Movie</v>
      </c>
      <c r="C2280" s="2" t="str">
        <f>IF(A2280&lt;&gt;"", VLOOKUP(A2280, imdb_netflix_v5!A$2:H$7370, 3, FALSE), "")</f>
        <v>Drama, Romance</v>
      </c>
      <c r="D2280" s="2">
        <f>IF(A2280&lt;&gt;"", VLOOKUP(A2280, imdb_netflix_v5!A$2:H$7370, 4, FALSE), "")</f>
        <v>7.8</v>
      </c>
      <c r="E2280" s="2">
        <f>IF(A2280&lt;&gt;"", VLOOKUP(A2280, imdb_netflix_v5!A$2:H$7370, 5, FALSE), "")</f>
        <v>1952</v>
      </c>
      <c r="F2280" s="2" t="str">
        <f>IF(A2280&lt;&gt;"", VLOOKUP(A2280, imdb_netflix_v5!A$2:H$7370, 7, FALSE), "")</f>
        <v>NA</v>
      </c>
    </row>
    <row r="2281" ht="15.75" customHeight="1">
      <c r="A2281" s="1" t="str">
        <f>IFERROR(__xludf.DUMMYFUNCTION("""COMPUTED_VALUE"""),"son of the bride")</f>
        <v>son of the bride</v>
      </c>
      <c r="B2281" s="1" t="str">
        <f>IF(A2281&lt;&gt;"", VLOOKUP(A2281, imdb_netflix_v5!A$2:H$7370, 2, FALSE), "")</f>
        <v>Movie</v>
      </c>
      <c r="C2281" s="2" t="str">
        <f>IF(A2281&lt;&gt;"", VLOOKUP(A2281, imdb_netflix_v5!A$2:H$7370, 3, FALSE), "")</f>
        <v>Comedy, Drama</v>
      </c>
      <c r="D2281" s="2">
        <f>IF(A2281&lt;&gt;"", VLOOKUP(A2281, imdb_netflix_v5!A$2:H$7370, 4, FALSE), "")</f>
        <v>7.8</v>
      </c>
      <c r="E2281" s="2">
        <f>IF(A2281&lt;&gt;"", VLOOKUP(A2281, imdb_netflix_v5!A$2:H$7370, 5, FALSE), "")</f>
        <v>2001</v>
      </c>
      <c r="F2281" s="2" t="str">
        <f>IF(A2281&lt;&gt;"", VLOOKUP(A2281, imdb_netflix_v5!A$2:H$7370, 7, FALSE), "")</f>
        <v>NA</v>
      </c>
    </row>
    <row r="2282" ht="15.75" customHeight="1">
      <c r="A2282" s="1" t="str">
        <f>IFERROR(__xludf.DUMMYFUNCTION("""COMPUTED_VALUE"""),"premalu")</f>
        <v>premalu</v>
      </c>
      <c r="B2282" s="1" t="str">
        <f>IF(A2282&lt;&gt;"", VLOOKUP(A2282, imdb_netflix_v5!A$2:H$7370, 2, FALSE), "")</f>
        <v>Movie</v>
      </c>
      <c r="C2282" s="2" t="str">
        <f>IF(A2282&lt;&gt;"", VLOOKUP(A2282, imdb_netflix_v5!A$2:H$7370, 3, FALSE), "")</f>
        <v>Comedy, Romance</v>
      </c>
      <c r="D2282" s="2">
        <f>IF(A2282&lt;&gt;"", VLOOKUP(A2282, imdb_netflix_v5!A$2:H$7370, 4, FALSE), "")</f>
        <v>7.8</v>
      </c>
      <c r="E2282" s="2">
        <f>IF(A2282&lt;&gt;"", VLOOKUP(A2282, imdb_netflix_v5!A$2:H$7370, 5, FALSE), "")</f>
        <v>2024</v>
      </c>
      <c r="F2282" s="2" t="str">
        <f>IF(A2282&lt;&gt;"", VLOOKUP(A2282, imdb_netflix_v5!A$2:H$7370, 7, FALSE), "")</f>
        <v>NA</v>
      </c>
    </row>
    <row r="2283" ht="15.75" customHeight="1">
      <c r="A2283" s="1" t="str">
        <f>IFERROR(__xludf.DUMMYFUNCTION("""COMPUTED_VALUE"""),"the marvelous misadventures of flapjack")</f>
        <v>the marvelous misadventures of flapjack</v>
      </c>
      <c r="B2283" s="1" t="str">
        <f>IF(A2283&lt;&gt;"", VLOOKUP(A2283, imdb_netflix_v5!A$2:H$7370, 2, FALSE), "")</f>
        <v>TV Show</v>
      </c>
      <c r="C2283" s="2" t="str">
        <f>IF(A2283&lt;&gt;"", VLOOKUP(A2283, imdb_netflix_v5!A$2:H$7370, 3, FALSE), "")</f>
        <v>Adventure, Animation, Comedy</v>
      </c>
      <c r="D2283" s="2">
        <f>IF(A2283&lt;&gt;"", VLOOKUP(A2283, imdb_netflix_v5!A$2:H$7370, 4, FALSE), "")</f>
        <v>7.8</v>
      </c>
      <c r="E2283" s="2">
        <f>IF(A2283&lt;&gt;"", VLOOKUP(A2283, imdb_netflix_v5!A$2:H$7370, 5, FALSE), "")</f>
        <v>2008</v>
      </c>
      <c r="F2283" s="2" t="str">
        <f>IF(A2283&lt;&gt;"", VLOOKUP(A2283, imdb_netflix_v5!A$2:H$7370, 7, FALSE), "")</f>
        <v>NA</v>
      </c>
    </row>
    <row r="2284" ht="15.75" customHeight="1">
      <c r="A2284" s="1" t="str">
        <f>IFERROR(__xludf.DUMMYFUNCTION("""COMPUTED_VALUE"""),"burnt by the sun")</f>
        <v>burnt by the sun</v>
      </c>
      <c r="B2284" s="1" t="str">
        <f>IF(A2284&lt;&gt;"", VLOOKUP(A2284, imdb_netflix_v5!A$2:H$7370, 2, FALSE), "")</f>
        <v>Movie</v>
      </c>
      <c r="C2284" s="2" t="str">
        <f>IF(A2284&lt;&gt;"", VLOOKUP(A2284, imdb_netflix_v5!A$2:H$7370, 3, FALSE), "")</f>
        <v>Drama, War</v>
      </c>
      <c r="D2284" s="2">
        <f>IF(A2284&lt;&gt;"", VLOOKUP(A2284, imdb_netflix_v5!A$2:H$7370, 4, FALSE), "")</f>
        <v>7.8</v>
      </c>
      <c r="E2284" s="2">
        <f>IF(A2284&lt;&gt;"", VLOOKUP(A2284, imdb_netflix_v5!A$2:H$7370, 5, FALSE), "")</f>
        <v>1994</v>
      </c>
      <c r="F2284" s="2" t="str">
        <f>IF(A2284&lt;&gt;"", VLOOKUP(A2284, imdb_netflix_v5!A$2:H$7370, 7, FALSE), "")</f>
        <v>NA</v>
      </c>
    </row>
    <row r="2285" ht="15.75" customHeight="1">
      <c r="A2285" s="1" t="str">
        <f>IFERROR(__xludf.DUMMYFUNCTION("""COMPUTED_VALUE"""),"major crimes")</f>
        <v>major crimes</v>
      </c>
      <c r="B2285" s="1" t="str">
        <f>IF(A2285&lt;&gt;"", VLOOKUP(A2285, imdb_netflix_v5!A$2:H$7370, 2, FALSE), "")</f>
        <v>TV Show</v>
      </c>
      <c r="C2285" s="2" t="str">
        <f>IF(A2285&lt;&gt;"", VLOOKUP(A2285, imdb_netflix_v5!A$2:H$7370, 3, FALSE), "")</f>
        <v>Action, Crime, Drama</v>
      </c>
      <c r="D2285" s="2">
        <f>IF(A2285&lt;&gt;"", VLOOKUP(A2285, imdb_netflix_v5!A$2:H$7370, 4, FALSE), "")</f>
        <v>7.8</v>
      </c>
      <c r="E2285" s="2">
        <f>IF(A2285&lt;&gt;"", VLOOKUP(A2285, imdb_netflix_v5!A$2:H$7370, 5, FALSE), "")</f>
        <v>2012</v>
      </c>
      <c r="F2285" s="2" t="str">
        <f>IF(A2285&lt;&gt;"", VLOOKUP(A2285, imdb_netflix_v5!A$2:H$7370, 7, FALSE), "")</f>
        <v>NA</v>
      </c>
    </row>
    <row r="2286" ht="15.75" customHeight="1">
      <c r="A2286" s="1" t="str">
        <f>IFERROR(__xludf.DUMMYFUNCTION("""COMPUTED_VALUE"""),"steamboat bill, jr.")</f>
        <v>steamboat bill, jr.</v>
      </c>
      <c r="B2286" s="1" t="str">
        <f>IF(A2286&lt;&gt;"", VLOOKUP(A2286, imdb_netflix_v5!A$2:H$7370, 2, FALSE), "")</f>
        <v>Movie</v>
      </c>
      <c r="C2286" s="2" t="str">
        <f>IF(A2286&lt;&gt;"", VLOOKUP(A2286, imdb_netflix_v5!A$2:H$7370, 3, FALSE), "")</f>
        <v>Action, Comedy, Drama</v>
      </c>
      <c r="D2286" s="2">
        <f>IF(A2286&lt;&gt;"", VLOOKUP(A2286, imdb_netflix_v5!A$2:H$7370, 4, FALSE), "")</f>
        <v>7.8</v>
      </c>
      <c r="E2286" s="2">
        <f>IF(A2286&lt;&gt;"", VLOOKUP(A2286, imdb_netflix_v5!A$2:H$7370, 5, FALSE), "")</f>
        <v>1928</v>
      </c>
      <c r="F2286" s="2" t="str">
        <f>IF(A2286&lt;&gt;"", VLOOKUP(A2286, imdb_netflix_v5!A$2:H$7370, 7, FALSE), "")</f>
        <v>NA</v>
      </c>
    </row>
    <row r="2287" ht="15.75" customHeight="1">
      <c r="A2287" s="1" t="str">
        <f>IFERROR(__xludf.DUMMYFUNCTION("""COMPUTED_VALUE"""),"interstella 5555 the 5tory of the 5ecret 5tar 5ystem")</f>
        <v>interstella 5555 the 5tory of the 5ecret 5tar 5ystem</v>
      </c>
      <c r="B2287" s="1" t="str">
        <f>IF(A2287&lt;&gt;"", VLOOKUP(A2287, imdb_netflix_v5!A$2:H$7370, 2, FALSE), "")</f>
        <v>Movie</v>
      </c>
      <c r="C2287" s="2" t="str">
        <f>IF(A2287&lt;&gt;"", VLOOKUP(A2287, imdb_netflix_v5!A$2:H$7370, 3, FALSE), "")</f>
        <v>Adventure, Animation, Music</v>
      </c>
      <c r="D2287" s="2">
        <f>IF(A2287&lt;&gt;"", VLOOKUP(A2287, imdb_netflix_v5!A$2:H$7370, 4, FALSE), "")</f>
        <v>7.8</v>
      </c>
      <c r="E2287" s="2">
        <f>IF(A2287&lt;&gt;"", VLOOKUP(A2287, imdb_netflix_v5!A$2:H$7370, 5, FALSE), "")</f>
        <v>2003</v>
      </c>
      <c r="F2287" s="2" t="str">
        <f>IF(A2287&lt;&gt;"", VLOOKUP(A2287, imdb_netflix_v5!A$2:H$7370, 7, FALSE), "")</f>
        <v>NA</v>
      </c>
    </row>
    <row r="2288" ht="15.75" customHeight="1">
      <c r="A2288" s="1" t="str">
        <f>IFERROR(__xludf.DUMMYFUNCTION("""COMPUTED_VALUE"""),"konosuba gods blessing on this wonderful world!")</f>
        <v>konosuba gods blessing on this wonderful world!</v>
      </c>
      <c r="B2288" s="1" t="str">
        <f>IF(A2288&lt;&gt;"", VLOOKUP(A2288, imdb_netflix_v5!A$2:H$7370, 2, FALSE), "")</f>
        <v>TV Show</v>
      </c>
      <c r="C2288" s="2" t="str">
        <f>IF(A2288&lt;&gt;"", VLOOKUP(A2288, imdb_netflix_v5!A$2:H$7370, 3, FALSE), "")</f>
        <v>Adventure, Animation, Comedy</v>
      </c>
      <c r="D2288" s="2">
        <f>IF(A2288&lt;&gt;"", VLOOKUP(A2288, imdb_netflix_v5!A$2:H$7370, 4, FALSE), "")</f>
        <v>7.8</v>
      </c>
      <c r="E2288" s="2">
        <f>IF(A2288&lt;&gt;"", VLOOKUP(A2288, imdb_netflix_v5!A$2:H$7370, 5, FALSE), "")</f>
        <v>2016</v>
      </c>
      <c r="F2288" s="2" t="str">
        <f>IF(A2288&lt;&gt;"", VLOOKUP(A2288, imdb_netflix_v5!A$2:H$7370, 7, FALSE), "")</f>
        <v>NA</v>
      </c>
    </row>
    <row r="2289" ht="15.75" customHeight="1">
      <c r="A2289" s="1" t="str">
        <f>IFERROR(__xludf.DUMMYFUNCTION("""COMPUTED_VALUE"""),"life itself")</f>
        <v>life itself</v>
      </c>
      <c r="B2289" s="1" t="str">
        <f>IF(A2289&lt;&gt;"", VLOOKUP(A2289, imdb_netflix_v5!A$2:H$7370, 2, FALSE), "")</f>
        <v>Movie</v>
      </c>
      <c r="C2289" s="2" t="str">
        <f>IF(A2289&lt;&gt;"", VLOOKUP(A2289, imdb_netflix_v5!A$2:H$7370, 3, FALSE), "")</f>
        <v>Biography, Documentary</v>
      </c>
      <c r="D2289" s="2">
        <f>IF(A2289&lt;&gt;"", VLOOKUP(A2289, imdb_netflix_v5!A$2:H$7370, 4, FALSE), "")</f>
        <v>7.8</v>
      </c>
      <c r="E2289" s="2">
        <f>IF(A2289&lt;&gt;"", VLOOKUP(A2289, imdb_netflix_v5!A$2:H$7370, 5, FALSE), "")</f>
        <v>2014</v>
      </c>
      <c r="F2289" s="2" t="str">
        <f>IF(A2289&lt;&gt;"", VLOOKUP(A2289, imdb_netflix_v5!A$2:H$7370, 7, FALSE), "")</f>
        <v>NA</v>
      </c>
    </row>
    <row r="2290" ht="15.75" customHeight="1">
      <c r="A2290" s="1" t="str">
        <f>IFERROR(__xludf.DUMMYFUNCTION("""COMPUTED_VALUE"""),"the looney tunes show")</f>
        <v>the looney tunes show</v>
      </c>
      <c r="B2290" s="1" t="str">
        <f>IF(A2290&lt;&gt;"", VLOOKUP(A2290, imdb_netflix_v5!A$2:H$7370, 2, FALSE), "")</f>
        <v>TV Show</v>
      </c>
      <c r="C2290" s="2" t="str">
        <f>IF(A2290&lt;&gt;"", VLOOKUP(A2290, imdb_netflix_v5!A$2:H$7370, 3, FALSE), "")</f>
        <v>Adventure, Animation, Comedy</v>
      </c>
      <c r="D2290" s="2">
        <f>IF(A2290&lt;&gt;"", VLOOKUP(A2290, imdb_netflix_v5!A$2:H$7370, 4, FALSE), "")</f>
        <v>7.8</v>
      </c>
      <c r="E2290" s="2">
        <f>IF(A2290&lt;&gt;"", VLOOKUP(A2290, imdb_netflix_v5!A$2:H$7370, 5, FALSE), "")</f>
        <v>2011</v>
      </c>
      <c r="F2290" s="2" t="str">
        <f>IF(A2290&lt;&gt;"", VLOOKUP(A2290, imdb_netflix_v5!A$2:H$7370, 7, FALSE), "")</f>
        <v>NA</v>
      </c>
    </row>
    <row r="2291" ht="15.75" customHeight="1">
      <c r="A2291" s="1" t="str">
        <f>IFERROR(__xludf.DUMMYFUNCTION("""COMPUTED_VALUE"""),"becket")</f>
        <v>becket</v>
      </c>
      <c r="B2291" s="1" t="str">
        <f>IF(A2291&lt;&gt;"", VLOOKUP(A2291, imdb_netflix_v5!A$2:H$7370, 2, FALSE), "")</f>
        <v>Movie</v>
      </c>
      <c r="C2291" s="2" t="str">
        <f>IF(A2291&lt;&gt;"", VLOOKUP(A2291, imdb_netflix_v5!A$2:H$7370, 3, FALSE), "")</f>
        <v>Biography, Drama, History</v>
      </c>
      <c r="D2291" s="2">
        <f>IF(A2291&lt;&gt;"", VLOOKUP(A2291, imdb_netflix_v5!A$2:H$7370, 4, FALSE), "")</f>
        <v>7.8</v>
      </c>
      <c r="E2291" s="2">
        <f>IF(A2291&lt;&gt;"", VLOOKUP(A2291, imdb_netflix_v5!A$2:H$7370, 5, FALSE), "")</f>
        <v>1964</v>
      </c>
      <c r="F2291" s="2" t="str">
        <f>IF(A2291&lt;&gt;"", VLOOKUP(A2291, imdb_netflix_v5!A$2:H$7370, 7, FALSE), "")</f>
        <v>NA</v>
      </c>
    </row>
    <row r="2292" ht="15.75" customHeight="1">
      <c r="A2292" s="1" t="str">
        <f>IFERROR(__xludf.DUMMYFUNCTION("""COMPUTED_VALUE"""),"the death of mr. lazarescu")</f>
        <v>the death of mr. lazarescu</v>
      </c>
      <c r="B2292" s="1" t="str">
        <f>IF(A2292&lt;&gt;"", VLOOKUP(A2292, imdb_netflix_v5!A$2:H$7370, 2, FALSE), "")</f>
        <v>Movie</v>
      </c>
      <c r="C2292" s="2" t="str">
        <f>IF(A2292&lt;&gt;"", VLOOKUP(A2292, imdb_netflix_v5!A$2:H$7370, 3, FALSE), "")</f>
        <v>Comedy, Drama</v>
      </c>
      <c r="D2292" s="2">
        <f>IF(A2292&lt;&gt;"", VLOOKUP(A2292, imdb_netflix_v5!A$2:H$7370, 4, FALSE), "")</f>
        <v>7.8</v>
      </c>
      <c r="E2292" s="2">
        <f>IF(A2292&lt;&gt;"", VLOOKUP(A2292, imdb_netflix_v5!A$2:H$7370, 5, FALSE), "")</f>
        <v>2005</v>
      </c>
      <c r="F2292" s="2" t="str">
        <f>IF(A2292&lt;&gt;"", VLOOKUP(A2292, imdb_netflix_v5!A$2:H$7370, 7, FALSE), "")</f>
        <v>NA</v>
      </c>
    </row>
    <row r="2293" ht="15.75" customHeight="1">
      <c r="A2293" s="1" t="str">
        <f>IFERROR(__xludf.DUMMYFUNCTION("""COMPUTED_VALUE"""),"before the rain")</f>
        <v>before the rain</v>
      </c>
      <c r="B2293" s="1" t="str">
        <f>IF(A2293&lt;&gt;"", VLOOKUP(A2293, imdb_netflix_v5!A$2:H$7370, 2, FALSE), "")</f>
        <v>Movie</v>
      </c>
      <c r="C2293" s="2" t="str">
        <f>IF(A2293&lt;&gt;"", VLOOKUP(A2293, imdb_netflix_v5!A$2:H$7370, 3, FALSE), "")</f>
        <v>Drama, Romance, War</v>
      </c>
      <c r="D2293" s="2">
        <f>IF(A2293&lt;&gt;"", VLOOKUP(A2293, imdb_netflix_v5!A$2:H$7370, 4, FALSE), "")</f>
        <v>7.8</v>
      </c>
      <c r="E2293" s="2">
        <f>IF(A2293&lt;&gt;"", VLOOKUP(A2293, imdb_netflix_v5!A$2:H$7370, 5, FALSE), "")</f>
        <v>1994</v>
      </c>
      <c r="F2293" s="2" t="str">
        <f>IF(A2293&lt;&gt;"", VLOOKUP(A2293, imdb_netflix_v5!A$2:H$7370, 7, FALSE), "")</f>
        <v>NA</v>
      </c>
    </row>
    <row r="2294" ht="15.75" customHeight="1">
      <c r="A2294" s="1" t="str">
        <f>IFERROR(__xludf.DUMMYFUNCTION("""COMPUTED_VALUE"""),"monty python live at the hollywood bowl")</f>
        <v>monty python live at the hollywood bowl</v>
      </c>
      <c r="B2294" s="1" t="str">
        <f>IF(A2294&lt;&gt;"", VLOOKUP(A2294, imdb_netflix_v5!A$2:H$7370, 2, FALSE), "")</f>
        <v>Movie</v>
      </c>
      <c r="C2294" s="2" t="str">
        <f>IF(A2294&lt;&gt;"", VLOOKUP(A2294, imdb_netflix_v5!A$2:H$7370, 3, FALSE), "")</f>
        <v>Comedy, Documentary, Musical</v>
      </c>
      <c r="D2294" s="2">
        <f>IF(A2294&lt;&gt;"", VLOOKUP(A2294, imdb_netflix_v5!A$2:H$7370, 4, FALSE), "")</f>
        <v>7.8</v>
      </c>
      <c r="E2294" s="2">
        <f>IF(A2294&lt;&gt;"", VLOOKUP(A2294, imdb_netflix_v5!A$2:H$7370, 5, FALSE), "")</f>
        <v>1982</v>
      </c>
      <c r="F2294" s="2" t="str">
        <f>IF(A2294&lt;&gt;"", VLOOKUP(A2294, imdb_netflix_v5!A$2:H$7370, 7, FALSE), "")</f>
        <v>NA</v>
      </c>
    </row>
    <row r="2295" ht="15.75" customHeight="1">
      <c r="A2295" s="1" t="str">
        <f>IFERROR(__xludf.DUMMYFUNCTION("""COMPUTED_VALUE"""),"father brown")</f>
        <v>father brown</v>
      </c>
      <c r="B2295" s="1" t="str">
        <f>IF(A2295&lt;&gt;"", VLOOKUP(A2295, imdb_netflix_v5!A$2:H$7370, 2, FALSE), "")</f>
        <v>TV Show</v>
      </c>
      <c r="C2295" s="2" t="str">
        <f>IF(A2295&lt;&gt;"", VLOOKUP(A2295, imdb_netflix_v5!A$2:H$7370, 3, FALSE), "")</f>
        <v>Crime, Drama, Mystery</v>
      </c>
      <c r="D2295" s="2">
        <f>IF(A2295&lt;&gt;"", VLOOKUP(A2295, imdb_netflix_v5!A$2:H$7370, 4, FALSE), "")</f>
        <v>7.8</v>
      </c>
      <c r="E2295" s="2">
        <f>IF(A2295&lt;&gt;"", VLOOKUP(A2295, imdb_netflix_v5!A$2:H$7370, 5, FALSE), "")</f>
        <v>2013</v>
      </c>
      <c r="F2295" s="2" t="str">
        <f>IF(A2295&lt;&gt;"", VLOOKUP(A2295, imdb_netflix_v5!A$2:H$7370, 7, FALSE), "")</f>
        <v>NA</v>
      </c>
    </row>
    <row r="2296" ht="15.75" customHeight="1">
      <c r="A2296" s="1" t="str">
        <f>IFERROR(__xludf.DUMMYFUNCTION("""COMPUTED_VALUE"""),"the amazing race")</f>
        <v>the amazing race</v>
      </c>
      <c r="B2296" s="1" t="str">
        <f>IF(A2296&lt;&gt;"", VLOOKUP(A2296, imdb_netflix_v5!A$2:H$7370, 2, FALSE), "")</f>
        <v>TV Show</v>
      </c>
      <c r="C2296" s="2" t="str">
        <f>IF(A2296&lt;&gt;"", VLOOKUP(A2296, imdb_netflix_v5!A$2:H$7370, 3, FALSE), "")</f>
        <v>Adventure, Family, Reality-TV</v>
      </c>
      <c r="D2296" s="2">
        <f>IF(A2296&lt;&gt;"", VLOOKUP(A2296, imdb_netflix_v5!A$2:H$7370, 4, FALSE), "")</f>
        <v>7.8</v>
      </c>
      <c r="E2296" s="2">
        <f>IF(A2296&lt;&gt;"", VLOOKUP(A2296, imdb_netflix_v5!A$2:H$7370, 5, FALSE), "")</f>
        <v>2001</v>
      </c>
      <c r="F2296" s="2" t="str">
        <f>IF(A2296&lt;&gt;"", VLOOKUP(A2296, imdb_netflix_v5!A$2:H$7370, 7, FALSE), "")</f>
        <v>NA</v>
      </c>
    </row>
    <row r="2297" ht="15.75" customHeight="1">
      <c r="A2297" s="1" t="str">
        <f>IFERROR(__xludf.DUMMYFUNCTION("""COMPUTED_VALUE"""),"the hill")</f>
        <v>the hill</v>
      </c>
      <c r="B2297" s="1" t="str">
        <f>IF(A2297&lt;&gt;"", VLOOKUP(A2297, imdb_netflix_v5!A$2:H$7370, 2, FALSE), "")</f>
        <v>Movie</v>
      </c>
      <c r="C2297" s="2" t="str">
        <f>IF(A2297&lt;&gt;"", VLOOKUP(A2297, imdb_netflix_v5!A$2:H$7370, 3, FALSE), "")</f>
        <v>Drama, War</v>
      </c>
      <c r="D2297" s="2">
        <f>IF(A2297&lt;&gt;"", VLOOKUP(A2297, imdb_netflix_v5!A$2:H$7370, 4, FALSE), "")</f>
        <v>7.8</v>
      </c>
      <c r="E2297" s="2">
        <f>IF(A2297&lt;&gt;"", VLOOKUP(A2297, imdb_netflix_v5!A$2:H$7370, 5, FALSE), "")</f>
        <v>1965</v>
      </c>
      <c r="F2297" s="2" t="str">
        <f>IF(A2297&lt;&gt;"", VLOOKUP(A2297, imdb_netflix_v5!A$2:H$7370, 7, FALSE), "")</f>
        <v>NA</v>
      </c>
    </row>
    <row r="2298" ht="15.75" customHeight="1">
      <c r="A2298" s="1" t="str">
        <f>IFERROR(__xludf.DUMMYFUNCTION("""COMPUTED_VALUE"""),"amar singh chamkila")</f>
        <v>amar singh chamkila</v>
      </c>
      <c r="B2298" s="1" t="str">
        <f>IF(A2298&lt;&gt;"", VLOOKUP(A2298, imdb_netflix_v5!A$2:H$7370, 2, FALSE), "")</f>
        <v>Movie</v>
      </c>
      <c r="C2298" s="2" t="str">
        <f>IF(A2298&lt;&gt;"", VLOOKUP(A2298, imdb_netflix_v5!A$2:H$7370, 3, FALSE), "")</f>
        <v>Biography, Drama, Music</v>
      </c>
      <c r="D2298" s="2">
        <f>IF(A2298&lt;&gt;"", VLOOKUP(A2298, imdb_netflix_v5!A$2:H$7370, 4, FALSE), "")</f>
        <v>7.8</v>
      </c>
      <c r="E2298" s="2">
        <f>IF(A2298&lt;&gt;"", VLOOKUP(A2298, imdb_netflix_v5!A$2:H$7370, 5, FALSE), "")</f>
        <v>2024</v>
      </c>
      <c r="F2298" s="2" t="str">
        <f>IF(A2298&lt;&gt;"", VLOOKUP(A2298, imdb_netflix_v5!A$2:H$7370, 7, FALSE), "")</f>
        <v>NA</v>
      </c>
    </row>
    <row r="2299" ht="15.75" customHeight="1">
      <c r="A2299" s="1" t="str">
        <f>IFERROR(__xludf.DUMMYFUNCTION("""COMPUTED_VALUE"""),"imposters")</f>
        <v>imposters</v>
      </c>
      <c r="B2299" s="1" t="str">
        <f>IF(A2299&lt;&gt;"", VLOOKUP(A2299, imdb_netflix_v5!A$2:H$7370, 2, FALSE), "")</f>
        <v>TV Show</v>
      </c>
      <c r="C2299" s="2" t="str">
        <f>IF(A2299&lt;&gt;"", VLOOKUP(A2299, imdb_netflix_v5!A$2:H$7370, 3, FALSE), "")</f>
        <v>Comedy, Crime, Drama</v>
      </c>
      <c r="D2299" s="2">
        <f>IF(A2299&lt;&gt;"", VLOOKUP(A2299, imdb_netflix_v5!A$2:H$7370, 4, FALSE), "")</f>
        <v>7.8</v>
      </c>
      <c r="E2299" s="2">
        <f>IF(A2299&lt;&gt;"", VLOOKUP(A2299, imdb_netflix_v5!A$2:H$7370, 5, FALSE), "")</f>
        <v>2017</v>
      </c>
      <c r="F2299" s="2" t="str">
        <f>IF(A2299&lt;&gt;"", VLOOKUP(A2299, imdb_netflix_v5!A$2:H$7370, 7, FALSE), "")</f>
        <v>NA</v>
      </c>
    </row>
    <row r="2300" ht="15.75" customHeight="1">
      <c r="A2300" s="1" t="str">
        <f>IFERROR(__xludf.DUMMYFUNCTION("""COMPUTED_VALUE"""),"ghost in the shell 2.0")</f>
        <v>ghost in the shell 2.0</v>
      </c>
      <c r="B2300" s="1" t="str">
        <f>IF(A2300&lt;&gt;"", VLOOKUP(A2300, imdb_netflix_v5!A$2:H$7370, 2, FALSE), "")</f>
        <v>Movie</v>
      </c>
      <c r="C2300" s="2" t="str">
        <f>IF(A2300&lt;&gt;"", VLOOKUP(A2300, imdb_netflix_v5!A$2:H$7370, 3, FALSE), "")</f>
        <v>Action, Animation, Crime</v>
      </c>
      <c r="D2300" s="2">
        <f>IF(A2300&lt;&gt;"", VLOOKUP(A2300, imdb_netflix_v5!A$2:H$7370, 4, FALSE), "")</f>
        <v>7.8</v>
      </c>
      <c r="E2300" s="2">
        <f>IF(A2300&lt;&gt;"", VLOOKUP(A2300, imdb_netflix_v5!A$2:H$7370, 5, FALSE), "")</f>
        <v>2008</v>
      </c>
      <c r="F2300" s="2" t="str">
        <f>IF(A2300&lt;&gt;"", VLOOKUP(A2300, imdb_netflix_v5!A$2:H$7370, 7, FALSE), "")</f>
        <v>NA</v>
      </c>
    </row>
    <row r="2301" ht="15.75" customHeight="1">
      <c r="A2301" s="1" t="str">
        <f>IFERROR(__xludf.DUMMYFUNCTION("""COMPUTED_VALUE"""),"bhaukaal")</f>
        <v>bhaukaal</v>
      </c>
      <c r="B2301" s="1" t="str">
        <f>IF(A2301&lt;&gt;"", VLOOKUP(A2301, imdb_netflix_v5!A$2:H$7370, 2, FALSE), "")</f>
        <v>TV Show</v>
      </c>
      <c r="C2301" s="2" t="str">
        <f>IF(A2301&lt;&gt;"", VLOOKUP(A2301, imdb_netflix_v5!A$2:H$7370, 3, FALSE), "")</f>
        <v>Action, Crime</v>
      </c>
      <c r="D2301" s="2">
        <f>IF(A2301&lt;&gt;"", VLOOKUP(A2301, imdb_netflix_v5!A$2:H$7370, 4, FALSE), "")</f>
        <v>7.8</v>
      </c>
      <c r="E2301" s="2">
        <f>IF(A2301&lt;&gt;"", VLOOKUP(A2301, imdb_netflix_v5!A$2:H$7370, 5, FALSE), "")</f>
        <v>2020</v>
      </c>
      <c r="F2301" s="2" t="str">
        <f>IF(A2301&lt;&gt;"", VLOOKUP(A2301, imdb_netflix_v5!A$2:H$7370, 7, FALSE), "")</f>
        <v>NA</v>
      </c>
    </row>
    <row r="2302" ht="15.75" customHeight="1">
      <c r="A2302" s="1" t="str">
        <f>IFERROR(__xludf.DUMMYFUNCTION("""COMPUTED_VALUE"""),"system crasher")</f>
        <v>system crasher</v>
      </c>
      <c r="B2302" s="1" t="str">
        <f>IF(A2302&lt;&gt;"", VLOOKUP(A2302, imdb_netflix_v5!A$2:H$7370, 2, FALSE), "")</f>
        <v>Movie</v>
      </c>
      <c r="C2302" s="2" t="str">
        <f>IF(A2302&lt;&gt;"", VLOOKUP(A2302, imdb_netflix_v5!A$2:H$7370, 3, FALSE), "")</f>
        <v>Drama</v>
      </c>
      <c r="D2302" s="2">
        <f>IF(A2302&lt;&gt;"", VLOOKUP(A2302, imdb_netflix_v5!A$2:H$7370, 4, FALSE), "")</f>
        <v>7.8</v>
      </c>
      <c r="E2302" s="2">
        <f>IF(A2302&lt;&gt;"", VLOOKUP(A2302, imdb_netflix_v5!A$2:H$7370, 5, FALSE), "")</f>
        <v>2019</v>
      </c>
      <c r="F2302" s="2" t="str">
        <f>IF(A2302&lt;&gt;"", VLOOKUP(A2302, imdb_netflix_v5!A$2:H$7370, 7, FALSE), "")</f>
        <v>NA</v>
      </c>
    </row>
    <row r="2303" ht="15.75" customHeight="1">
      <c r="A2303" s="1" t="str">
        <f>IFERROR(__xludf.DUMMYFUNCTION("""COMPUTED_VALUE"""),"whitechapel")</f>
        <v>whitechapel</v>
      </c>
      <c r="B2303" s="1" t="str">
        <f>IF(A2303&lt;&gt;"", VLOOKUP(A2303, imdb_netflix_v5!A$2:H$7370, 2, FALSE), "")</f>
        <v>TV Show</v>
      </c>
      <c r="C2303" s="2" t="str">
        <f>IF(A2303&lt;&gt;"", VLOOKUP(A2303, imdb_netflix_v5!A$2:H$7370, 3, FALSE), "")</f>
        <v>Crime, Mystery, Thriller</v>
      </c>
      <c r="D2303" s="2">
        <f>IF(A2303&lt;&gt;"", VLOOKUP(A2303, imdb_netflix_v5!A$2:H$7370, 4, FALSE), "")</f>
        <v>7.8</v>
      </c>
      <c r="E2303" s="2">
        <f>IF(A2303&lt;&gt;"", VLOOKUP(A2303, imdb_netflix_v5!A$2:H$7370, 5, FALSE), "")</f>
        <v>2009</v>
      </c>
      <c r="F2303" s="2" t="str">
        <f>IF(A2303&lt;&gt;"", VLOOKUP(A2303, imdb_netflix_v5!A$2:H$7370, 7, FALSE), "")</f>
        <v>NA</v>
      </c>
    </row>
    <row r="2304" ht="15.75" customHeight="1">
      <c r="A2304" s="1" t="str">
        <f>IFERROR(__xludf.DUMMYFUNCTION("""COMPUTED_VALUE"""),"boys over flowers")</f>
        <v>boys over flowers</v>
      </c>
      <c r="B2304" s="1" t="str">
        <f>IF(A2304&lt;&gt;"", VLOOKUP(A2304, imdb_netflix_v5!A$2:H$7370, 2, FALSE), "")</f>
        <v>TV Show</v>
      </c>
      <c r="C2304" s="2" t="str">
        <f>IF(A2304&lt;&gt;"", VLOOKUP(A2304, imdb_netflix_v5!A$2:H$7370, 3, FALSE), "")</f>
        <v>Comedy, Drama, Romance</v>
      </c>
      <c r="D2304" s="2">
        <f>IF(A2304&lt;&gt;"", VLOOKUP(A2304, imdb_netflix_v5!A$2:H$7370, 4, FALSE), "")</f>
        <v>7.8</v>
      </c>
      <c r="E2304" s="2">
        <f>IF(A2304&lt;&gt;"", VLOOKUP(A2304, imdb_netflix_v5!A$2:H$7370, 5, FALSE), "")</f>
        <v>2009</v>
      </c>
      <c r="F2304" s="2" t="str">
        <f>IF(A2304&lt;&gt;"", VLOOKUP(A2304, imdb_netflix_v5!A$2:H$7370, 7, FALSE), "")</f>
        <v>NA</v>
      </c>
    </row>
    <row r="2305" ht="15.75" customHeight="1">
      <c r="A2305" s="1" t="str">
        <f>IFERROR(__xludf.DUMMYFUNCTION("""COMPUTED_VALUE"""),"soul eater")</f>
        <v>soul eater</v>
      </c>
      <c r="B2305" s="1" t="str">
        <f>IF(A2305&lt;&gt;"", VLOOKUP(A2305, imdb_netflix_v5!A$2:H$7370, 2, FALSE), "")</f>
        <v>TV Show</v>
      </c>
      <c r="C2305" s="2" t="str">
        <f>IF(A2305&lt;&gt;"", VLOOKUP(A2305, imdb_netflix_v5!A$2:H$7370, 3, FALSE), "")</f>
        <v>Action, Adventure, Animation</v>
      </c>
      <c r="D2305" s="2">
        <f>IF(A2305&lt;&gt;"", VLOOKUP(A2305, imdb_netflix_v5!A$2:H$7370, 4, FALSE), "")</f>
        <v>7.8</v>
      </c>
      <c r="E2305" s="2">
        <f>IF(A2305&lt;&gt;"", VLOOKUP(A2305, imdb_netflix_v5!A$2:H$7370, 5, FALSE), "")</f>
        <v>2008</v>
      </c>
      <c r="F2305" s="2" t="str">
        <f>IF(A2305&lt;&gt;"", VLOOKUP(A2305, imdb_netflix_v5!A$2:H$7370, 7, FALSE), "")</f>
        <v>NA</v>
      </c>
    </row>
    <row r="2306" ht="15.75" customHeight="1">
      <c r="A2306" s="1" t="str">
        <f>IFERROR(__xludf.DUMMYFUNCTION("""COMPUTED_VALUE"""),"my night at mauds")</f>
        <v>my night at mauds</v>
      </c>
      <c r="B2306" s="1" t="str">
        <f>IF(A2306&lt;&gt;"", VLOOKUP(A2306, imdb_netflix_v5!A$2:H$7370, 2, FALSE), "")</f>
        <v>Movie</v>
      </c>
      <c r="C2306" s="2" t="str">
        <f>IF(A2306&lt;&gt;"", VLOOKUP(A2306, imdb_netflix_v5!A$2:H$7370, 3, FALSE), "")</f>
        <v>Comedy, Drama, Romance</v>
      </c>
      <c r="D2306" s="2">
        <f>IF(A2306&lt;&gt;"", VLOOKUP(A2306, imdb_netflix_v5!A$2:H$7370, 4, FALSE), "")</f>
        <v>7.8</v>
      </c>
      <c r="E2306" s="2">
        <f>IF(A2306&lt;&gt;"", VLOOKUP(A2306, imdb_netflix_v5!A$2:H$7370, 5, FALSE), "")</f>
        <v>1969</v>
      </c>
      <c r="F2306" s="2" t="str">
        <f>IF(A2306&lt;&gt;"", VLOOKUP(A2306, imdb_netflix_v5!A$2:H$7370, 7, FALSE), "")</f>
        <v>NA</v>
      </c>
    </row>
    <row r="2307" ht="15.75" customHeight="1">
      <c r="A2307" s="1" t="str">
        <f>IFERROR(__xludf.DUMMYFUNCTION("""COMPUTED_VALUE"""),"breaker morant")</f>
        <v>breaker morant</v>
      </c>
      <c r="B2307" s="1" t="str">
        <f>IF(A2307&lt;&gt;"", VLOOKUP(A2307, imdb_netflix_v5!A$2:H$7370, 2, FALSE), "")</f>
        <v>Movie</v>
      </c>
      <c r="C2307" s="2" t="str">
        <f>IF(A2307&lt;&gt;"", VLOOKUP(A2307, imdb_netflix_v5!A$2:H$7370, 3, FALSE), "")</f>
        <v>Drama, History, War</v>
      </c>
      <c r="D2307" s="2">
        <f>IF(A2307&lt;&gt;"", VLOOKUP(A2307, imdb_netflix_v5!A$2:H$7370, 4, FALSE), "")</f>
        <v>7.8</v>
      </c>
      <c r="E2307" s="2">
        <f>IF(A2307&lt;&gt;"", VLOOKUP(A2307, imdb_netflix_v5!A$2:H$7370, 5, FALSE), "")</f>
        <v>1980</v>
      </c>
      <c r="F2307" s="2" t="str">
        <f>IF(A2307&lt;&gt;"", VLOOKUP(A2307, imdb_netflix_v5!A$2:H$7370, 7, FALSE), "")</f>
        <v>NA</v>
      </c>
    </row>
    <row r="2308" ht="15.75" customHeight="1">
      <c r="A2308" s="1" t="str">
        <f>IFERROR(__xludf.DUMMYFUNCTION("""COMPUTED_VALUE"""),"terror in resonance")</f>
        <v>terror in resonance</v>
      </c>
      <c r="B2308" s="1" t="str">
        <f>IF(A2308&lt;&gt;"", VLOOKUP(A2308, imdb_netflix_v5!A$2:H$7370, 2, FALSE), "")</f>
        <v>TV Show</v>
      </c>
      <c r="C2308" s="2" t="str">
        <f>IF(A2308&lt;&gt;"", VLOOKUP(A2308, imdb_netflix_v5!A$2:H$7370, 3, FALSE), "")</f>
        <v>Animation, Crime, Drama</v>
      </c>
      <c r="D2308" s="2">
        <f>IF(A2308&lt;&gt;"", VLOOKUP(A2308, imdb_netflix_v5!A$2:H$7370, 4, FALSE), "")</f>
        <v>7.8</v>
      </c>
      <c r="E2308" s="2">
        <f>IF(A2308&lt;&gt;"", VLOOKUP(A2308, imdb_netflix_v5!A$2:H$7370, 5, FALSE), "")</f>
        <v>2014</v>
      </c>
      <c r="F2308" s="2" t="str">
        <f>IF(A2308&lt;&gt;"", VLOOKUP(A2308, imdb_netflix_v5!A$2:H$7370, 7, FALSE), "")</f>
        <v>NA</v>
      </c>
    </row>
    <row r="2309" ht="15.75" customHeight="1">
      <c r="A2309" s="1" t="str">
        <f>IFERROR(__xludf.DUMMYFUNCTION("""COMPUTED_VALUE"""),"the servant")</f>
        <v>the servant</v>
      </c>
      <c r="B2309" s="1" t="str">
        <f>IF(A2309&lt;&gt;"", VLOOKUP(A2309, imdb_netflix_v5!A$2:H$7370, 2, FALSE), "")</f>
        <v>Movie</v>
      </c>
      <c r="C2309" s="2" t="str">
        <f>IF(A2309&lt;&gt;"", VLOOKUP(A2309, imdb_netflix_v5!A$2:H$7370, 3, FALSE), "")</f>
        <v>Drama</v>
      </c>
      <c r="D2309" s="2">
        <f>IF(A2309&lt;&gt;"", VLOOKUP(A2309, imdb_netflix_v5!A$2:H$7370, 4, FALSE), "")</f>
        <v>7.8</v>
      </c>
      <c r="E2309" s="2">
        <f>IF(A2309&lt;&gt;"", VLOOKUP(A2309, imdb_netflix_v5!A$2:H$7370, 5, FALSE), "")</f>
        <v>1963</v>
      </c>
      <c r="F2309" s="2" t="str">
        <f>IF(A2309&lt;&gt;"", VLOOKUP(A2309, imdb_netflix_v5!A$2:H$7370, 7, FALSE), "")</f>
        <v>NA</v>
      </c>
    </row>
    <row r="2310" ht="15.75" customHeight="1">
      <c r="A2310" s="1" t="str">
        <f>IFERROR(__xludf.DUMMYFUNCTION("""COMPUTED_VALUE"""),"days of wine and roses")</f>
        <v>days of wine and roses</v>
      </c>
      <c r="B2310" s="1" t="str">
        <f>IF(A2310&lt;&gt;"", VLOOKUP(A2310, imdb_netflix_v5!A$2:H$7370, 2, FALSE), "")</f>
        <v>Movie</v>
      </c>
      <c r="C2310" s="2" t="str">
        <f>IF(A2310&lt;&gt;"", VLOOKUP(A2310, imdb_netflix_v5!A$2:H$7370, 3, FALSE), "")</f>
        <v>Drama</v>
      </c>
      <c r="D2310" s="2">
        <f>IF(A2310&lt;&gt;"", VLOOKUP(A2310, imdb_netflix_v5!A$2:H$7370, 4, FALSE), "")</f>
        <v>7.8</v>
      </c>
      <c r="E2310" s="2">
        <f>IF(A2310&lt;&gt;"", VLOOKUP(A2310, imdb_netflix_v5!A$2:H$7370, 5, FALSE), "")</f>
        <v>1962</v>
      </c>
      <c r="F2310" s="2" t="str">
        <f>IF(A2310&lt;&gt;"", VLOOKUP(A2310, imdb_netflix_v5!A$2:H$7370, 7, FALSE), "")</f>
        <v>NA</v>
      </c>
    </row>
    <row r="2311" ht="15.75" customHeight="1">
      <c r="A2311" s="1" t="str">
        <f>IFERROR(__xludf.DUMMYFUNCTION("""COMPUTED_VALUE"""),"the court jester")</f>
        <v>the court jester</v>
      </c>
      <c r="B2311" s="1" t="str">
        <f>IF(A2311&lt;&gt;"", VLOOKUP(A2311, imdb_netflix_v5!A$2:H$7370, 2, FALSE), "")</f>
        <v>Movie</v>
      </c>
      <c r="C2311" s="2" t="str">
        <f>IF(A2311&lt;&gt;"", VLOOKUP(A2311, imdb_netflix_v5!A$2:H$7370, 3, FALSE), "")</f>
        <v>Adventure, Comedy, Family</v>
      </c>
      <c r="D2311" s="2">
        <f>IF(A2311&lt;&gt;"", VLOOKUP(A2311, imdb_netflix_v5!A$2:H$7370, 4, FALSE), "")</f>
        <v>7.8</v>
      </c>
      <c r="E2311" s="2">
        <f>IF(A2311&lt;&gt;"", VLOOKUP(A2311, imdb_netflix_v5!A$2:H$7370, 5, FALSE), "")</f>
        <v>1955</v>
      </c>
      <c r="F2311" s="2" t="str">
        <f>IF(A2311&lt;&gt;"", VLOOKUP(A2311, imdb_netflix_v5!A$2:H$7370, 7, FALSE), "")</f>
        <v>NA</v>
      </c>
    </row>
    <row r="2312" ht="15.75" customHeight="1">
      <c r="A2312" s="1" t="str">
        <f>IFERROR(__xludf.DUMMYFUNCTION("""COMPUTED_VALUE"""),"germany year zero")</f>
        <v>germany year zero</v>
      </c>
      <c r="B2312" s="1" t="str">
        <f>IF(A2312&lt;&gt;"", VLOOKUP(A2312, imdb_netflix_v5!A$2:H$7370, 2, FALSE), "")</f>
        <v>Movie</v>
      </c>
      <c r="C2312" s="2" t="str">
        <f>IF(A2312&lt;&gt;"", VLOOKUP(A2312, imdb_netflix_v5!A$2:H$7370, 3, FALSE), "")</f>
        <v>Drama</v>
      </c>
      <c r="D2312" s="2">
        <f>IF(A2312&lt;&gt;"", VLOOKUP(A2312, imdb_netflix_v5!A$2:H$7370, 4, FALSE), "")</f>
        <v>7.8</v>
      </c>
      <c r="E2312" s="2">
        <f>IF(A2312&lt;&gt;"", VLOOKUP(A2312, imdb_netflix_v5!A$2:H$7370, 5, FALSE), "")</f>
        <v>1948</v>
      </c>
      <c r="F2312" s="2" t="str">
        <f>IF(A2312&lt;&gt;"", VLOOKUP(A2312, imdb_netflix_v5!A$2:H$7370, 7, FALSE), "")</f>
        <v>NA</v>
      </c>
    </row>
    <row r="2313" ht="15.75" customHeight="1">
      <c r="A2313" s="1" t="str">
        <f>IFERROR(__xludf.DUMMYFUNCTION("""COMPUTED_VALUE"""),"oliver twist")</f>
        <v>oliver twist</v>
      </c>
      <c r="B2313" s="1" t="str">
        <f>IF(A2313&lt;&gt;"", VLOOKUP(A2313, imdb_netflix_v5!A$2:H$7370, 2, FALSE), "")</f>
        <v>Movie</v>
      </c>
      <c r="C2313" s="2" t="str">
        <f>IF(A2313&lt;&gt;"", VLOOKUP(A2313, imdb_netflix_v5!A$2:H$7370, 3, FALSE), "")</f>
        <v>Drama</v>
      </c>
      <c r="D2313" s="2">
        <f>IF(A2313&lt;&gt;"", VLOOKUP(A2313, imdb_netflix_v5!A$2:H$7370, 4, FALSE), "")</f>
        <v>7.8</v>
      </c>
      <c r="E2313" s="2">
        <f>IF(A2313&lt;&gt;"", VLOOKUP(A2313, imdb_netflix_v5!A$2:H$7370, 5, FALSE), "")</f>
        <v>1948</v>
      </c>
      <c r="F2313" s="2" t="str">
        <f>IF(A2313&lt;&gt;"", VLOOKUP(A2313, imdb_netflix_v5!A$2:H$7370, 7, FALSE), "")</f>
        <v>NA</v>
      </c>
    </row>
    <row r="2314" ht="15.75" customHeight="1">
      <c r="A2314" s="1" t="str">
        <f>IFERROR(__xludf.DUMMYFUNCTION("""COMPUTED_VALUE"""),"the beatles eight days a week - the touring years")</f>
        <v>the beatles eight days a week - the touring years</v>
      </c>
      <c r="B2314" s="1" t="str">
        <f>IF(A2314&lt;&gt;"", VLOOKUP(A2314, imdb_netflix_v5!A$2:H$7370, 2, FALSE), "")</f>
        <v>Movie</v>
      </c>
      <c r="C2314" s="2" t="str">
        <f>IF(A2314&lt;&gt;"", VLOOKUP(A2314, imdb_netflix_v5!A$2:H$7370, 3, FALSE), "")</f>
        <v>Documentary, History, Music</v>
      </c>
      <c r="D2314" s="2">
        <f>IF(A2314&lt;&gt;"", VLOOKUP(A2314, imdb_netflix_v5!A$2:H$7370, 4, FALSE), "")</f>
        <v>7.8</v>
      </c>
      <c r="E2314" s="2">
        <f>IF(A2314&lt;&gt;"", VLOOKUP(A2314, imdb_netflix_v5!A$2:H$7370, 5, FALSE), "")</f>
        <v>2016</v>
      </c>
      <c r="F2314" s="2" t="str">
        <f>IF(A2314&lt;&gt;"", VLOOKUP(A2314, imdb_netflix_v5!A$2:H$7370, 7, FALSE), "")</f>
        <v>NA</v>
      </c>
    </row>
    <row r="2315" ht="15.75" customHeight="1">
      <c r="A2315" s="1" t="str">
        <f>IFERROR(__xludf.DUMMYFUNCTION("""COMPUTED_VALUE"""),"the lost flowers of alice hart")</f>
        <v>the lost flowers of alice hart</v>
      </c>
      <c r="B2315" s="1" t="str">
        <f>IF(A2315&lt;&gt;"", VLOOKUP(A2315, imdb_netflix_v5!A$2:H$7370, 2, FALSE), "")</f>
        <v>TV Show</v>
      </c>
      <c r="C2315" s="2" t="str">
        <f>IF(A2315&lt;&gt;"", VLOOKUP(A2315, imdb_netflix_v5!A$2:H$7370, 3, FALSE), "")</f>
        <v>Drama</v>
      </c>
      <c r="D2315" s="2">
        <f>IF(A2315&lt;&gt;"", VLOOKUP(A2315, imdb_netflix_v5!A$2:H$7370, 4, FALSE), "")</f>
        <v>7.8</v>
      </c>
      <c r="E2315" s="2">
        <f>IF(A2315&lt;&gt;"", VLOOKUP(A2315, imdb_netflix_v5!A$2:H$7370, 5, FALSE), "")</f>
        <v>2023</v>
      </c>
      <c r="F2315" s="2" t="str">
        <f>IF(A2315&lt;&gt;"", VLOOKUP(A2315, imdb_netflix_v5!A$2:H$7370, 7, FALSE), "")</f>
        <v>NA</v>
      </c>
    </row>
    <row r="2316" ht="15.75" customHeight="1">
      <c r="A2316" s="1" t="str">
        <f>IFERROR(__xludf.DUMMYFUNCTION("""COMPUTED_VALUE"""),"fury")</f>
        <v>fury</v>
      </c>
      <c r="B2316" s="1" t="str">
        <f>IF(A2316&lt;&gt;"", VLOOKUP(A2316, imdb_netflix_v5!A$2:H$7370, 2, FALSE), "")</f>
        <v>Movie</v>
      </c>
      <c r="C2316" s="2" t="str">
        <f>IF(A2316&lt;&gt;"", VLOOKUP(A2316, imdb_netflix_v5!A$2:H$7370, 3, FALSE), "")</f>
        <v>Crime, Drama, Film-Noir</v>
      </c>
      <c r="D2316" s="2">
        <f>IF(A2316&lt;&gt;"", VLOOKUP(A2316, imdb_netflix_v5!A$2:H$7370, 4, FALSE), "")</f>
        <v>7.8</v>
      </c>
      <c r="E2316" s="2">
        <f>IF(A2316&lt;&gt;"", VLOOKUP(A2316, imdb_netflix_v5!A$2:H$7370, 5, FALSE), "")</f>
        <v>1936</v>
      </c>
      <c r="F2316" s="2" t="str">
        <f>IF(A2316&lt;&gt;"", VLOOKUP(A2316, imdb_netflix_v5!A$2:H$7370, 7, FALSE), "")</f>
        <v>NA</v>
      </c>
    </row>
    <row r="2317" ht="15.75" customHeight="1">
      <c r="A2317" s="1" t="str">
        <f>IFERROR(__xludf.DUMMYFUNCTION("""COMPUTED_VALUE"""),"poetry")</f>
        <v>poetry</v>
      </c>
      <c r="B2317" s="1" t="str">
        <f>IF(A2317&lt;&gt;"", VLOOKUP(A2317, imdb_netflix_v5!A$2:H$7370, 2, FALSE), "")</f>
        <v>Movie</v>
      </c>
      <c r="C2317" s="2" t="str">
        <f>IF(A2317&lt;&gt;"", VLOOKUP(A2317, imdb_netflix_v5!A$2:H$7370, 3, FALSE), "")</f>
        <v>Drama</v>
      </c>
      <c r="D2317" s="2">
        <f>IF(A2317&lt;&gt;"", VLOOKUP(A2317, imdb_netflix_v5!A$2:H$7370, 4, FALSE), "")</f>
        <v>7.8</v>
      </c>
      <c r="E2317" s="2">
        <f>IF(A2317&lt;&gt;"", VLOOKUP(A2317, imdb_netflix_v5!A$2:H$7370, 5, FALSE), "")</f>
        <v>2010</v>
      </c>
      <c r="F2317" s="2" t="str">
        <f>IF(A2317&lt;&gt;"", VLOOKUP(A2317, imdb_netflix_v5!A$2:H$7370, 7, FALSE), "")</f>
        <v>NA</v>
      </c>
    </row>
    <row r="2318" ht="15.75" customHeight="1">
      <c r="A2318" s="1" t="str">
        <f>IFERROR(__xludf.DUMMYFUNCTION("""COMPUTED_VALUE"""),"alice in the cities")</f>
        <v>alice in the cities</v>
      </c>
      <c r="B2318" s="1" t="str">
        <f>IF(A2318&lt;&gt;"", VLOOKUP(A2318, imdb_netflix_v5!A$2:H$7370, 2, FALSE), "")</f>
        <v>Movie</v>
      </c>
      <c r="C2318" s="2" t="str">
        <f>IF(A2318&lt;&gt;"", VLOOKUP(A2318, imdb_netflix_v5!A$2:H$7370, 3, FALSE), "")</f>
        <v>Drama</v>
      </c>
      <c r="D2318" s="2">
        <f>IF(A2318&lt;&gt;"", VLOOKUP(A2318, imdb_netflix_v5!A$2:H$7370, 4, FALSE), "")</f>
        <v>7.8</v>
      </c>
      <c r="E2318" s="2">
        <f>IF(A2318&lt;&gt;"", VLOOKUP(A2318, imdb_netflix_v5!A$2:H$7370, 5, FALSE), "")</f>
        <v>1974</v>
      </c>
      <c r="F2318" s="2" t="str">
        <f>IF(A2318&lt;&gt;"", VLOOKUP(A2318, imdb_netflix_v5!A$2:H$7370, 7, FALSE), "")</f>
        <v>NA</v>
      </c>
    </row>
    <row r="2319" ht="15.75" customHeight="1">
      <c r="A2319" s="1" t="str">
        <f>IFERROR(__xludf.DUMMYFUNCTION("""COMPUTED_VALUE"""),"faces places")</f>
        <v>faces places</v>
      </c>
      <c r="B2319" s="1" t="str">
        <f>IF(A2319&lt;&gt;"", VLOOKUP(A2319, imdb_netflix_v5!A$2:H$7370, 2, FALSE), "")</f>
        <v>Movie</v>
      </c>
      <c r="C2319" s="2" t="str">
        <f>IF(A2319&lt;&gt;"", VLOOKUP(A2319, imdb_netflix_v5!A$2:H$7370, 3, FALSE), "")</f>
        <v>Adventure, Documentary</v>
      </c>
      <c r="D2319" s="2">
        <f>IF(A2319&lt;&gt;"", VLOOKUP(A2319, imdb_netflix_v5!A$2:H$7370, 4, FALSE), "")</f>
        <v>7.8</v>
      </c>
      <c r="E2319" s="2">
        <f>IF(A2319&lt;&gt;"", VLOOKUP(A2319, imdb_netflix_v5!A$2:H$7370, 5, FALSE), "")</f>
        <v>2017</v>
      </c>
      <c r="F2319" s="2" t="str">
        <f>IF(A2319&lt;&gt;"", VLOOKUP(A2319, imdb_netflix_v5!A$2:H$7370, 7, FALSE), "")</f>
        <v>NA</v>
      </c>
    </row>
    <row r="2320" ht="15.75" customHeight="1">
      <c r="A2320" s="1" t="str">
        <f>IFERROR(__xludf.DUMMYFUNCTION("""COMPUTED_VALUE"""),"x-men evolution")</f>
        <v>x-men evolution</v>
      </c>
      <c r="B2320" s="1" t="str">
        <f>IF(A2320&lt;&gt;"", VLOOKUP(A2320, imdb_netflix_v5!A$2:H$7370, 2, FALSE), "")</f>
        <v>TV Show</v>
      </c>
      <c r="C2320" s="2" t="str">
        <f>IF(A2320&lt;&gt;"", VLOOKUP(A2320, imdb_netflix_v5!A$2:H$7370, 3, FALSE), "")</f>
        <v>Action, Adventure, Animation</v>
      </c>
      <c r="D2320" s="2">
        <f>IF(A2320&lt;&gt;"", VLOOKUP(A2320, imdb_netflix_v5!A$2:H$7370, 4, FALSE), "")</f>
        <v>7.8</v>
      </c>
      <c r="E2320" s="2">
        <f>IF(A2320&lt;&gt;"", VLOOKUP(A2320, imdb_netflix_v5!A$2:H$7370, 5, FALSE), "")</f>
        <v>2000</v>
      </c>
      <c r="F2320" s="2" t="str">
        <f>IF(A2320&lt;&gt;"", VLOOKUP(A2320, imdb_netflix_v5!A$2:H$7370, 7, FALSE), "")</f>
        <v>NA</v>
      </c>
    </row>
    <row r="2321" ht="15.75" customHeight="1">
      <c r="A2321" s="1" t="str">
        <f>IFERROR(__xludf.DUMMYFUNCTION("""COMPUTED_VALUE"""),"close enough")</f>
        <v>close enough</v>
      </c>
      <c r="B2321" s="1" t="str">
        <f>IF(A2321&lt;&gt;"", VLOOKUP(A2321, imdb_netflix_v5!A$2:H$7370, 2, FALSE), "")</f>
        <v>TV Show</v>
      </c>
      <c r="C2321" s="2" t="str">
        <f>IF(A2321&lt;&gt;"", VLOOKUP(A2321, imdb_netflix_v5!A$2:H$7370, 3, FALSE), "")</f>
        <v>Action, Adventure, Animation</v>
      </c>
      <c r="D2321" s="2">
        <f>IF(A2321&lt;&gt;"", VLOOKUP(A2321, imdb_netflix_v5!A$2:H$7370, 4, FALSE), "")</f>
        <v>7.8</v>
      </c>
      <c r="E2321" s="2">
        <f>IF(A2321&lt;&gt;"", VLOOKUP(A2321, imdb_netflix_v5!A$2:H$7370, 5, FALSE), "")</f>
        <v>2020</v>
      </c>
      <c r="F2321" s="2" t="str">
        <f>IF(A2321&lt;&gt;"", VLOOKUP(A2321, imdb_netflix_v5!A$2:H$7370, 7, FALSE), "")</f>
        <v>NA</v>
      </c>
    </row>
    <row r="2322" ht="15.75" customHeight="1">
      <c r="A2322" s="1" t="str">
        <f>IFERROR(__xludf.DUMMYFUNCTION("""COMPUTED_VALUE"""),"sound city")</f>
        <v>sound city</v>
      </c>
      <c r="B2322" s="1" t="str">
        <f>IF(A2322&lt;&gt;"", VLOOKUP(A2322, imdb_netflix_v5!A$2:H$7370, 2, FALSE), "")</f>
        <v>Movie</v>
      </c>
      <c r="C2322" s="2" t="str">
        <f>IF(A2322&lt;&gt;"", VLOOKUP(A2322, imdb_netflix_v5!A$2:H$7370, 3, FALSE), "")</f>
        <v>Documentary, Music</v>
      </c>
      <c r="D2322" s="2">
        <f>IF(A2322&lt;&gt;"", VLOOKUP(A2322, imdb_netflix_v5!A$2:H$7370, 4, FALSE), "")</f>
        <v>7.8</v>
      </c>
      <c r="E2322" s="2">
        <f>IF(A2322&lt;&gt;"", VLOOKUP(A2322, imdb_netflix_v5!A$2:H$7370, 5, FALSE), "")</f>
        <v>2013</v>
      </c>
      <c r="F2322" s="2" t="str">
        <f>IF(A2322&lt;&gt;"", VLOOKUP(A2322, imdb_netflix_v5!A$2:H$7370, 7, FALSE), "")</f>
        <v>NA</v>
      </c>
    </row>
    <row r="2323" ht="15.75" customHeight="1">
      <c r="A2323" s="1" t="str">
        <f>IFERROR(__xludf.DUMMYFUNCTION("""COMPUTED_VALUE"""),"gimme shelter")</f>
        <v>gimme shelter</v>
      </c>
      <c r="B2323" s="1" t="str">
        <f>IF(A2323&lt;&gt;"", VLOOKUP(A2323, imdb_netflix_v5!A$2:H$7370, 2, FALSE), "")</f>
        <v>Movie</v>
      </c>
      <c r="C2323" s="2" t="str">
        <f>IF(A2323&lt;&gt;"", VLOOKUP(A2323, imdb_netflix_v5!A$2:H$7370, 3, FALSE), "")</f>
        <v>Documentary, Music, Thriller</v>
      </c>
      <c r="D2323" s="2">
        <f>IF(A2323&lt;&gt;"", VLOOKUP(A2323, imdb_netflix_v5!A$2:H$7370, 4, FALSE), "")</f>
        <v>7.8</v>
      </c>
      <c r="E2323" s="2">
        <f>IF(A2323&lt;&gt;"", VLOOKUP(A2323, imdb_netflix_v5!A$2:H$7370, 5, FALSE), "")</f>
        <v>1970</v>
      </c>
      <c r="F2323" s="2" t="str">
        <f>IF(A2323&lt;&gt;"", VLOOKUP(A2323, imdb_netflix_v5!A$2:H$7370, 7, FALSE), "")</f>
        <v>NA</v>
      </c>
    </row>
    <row r="2324" ht="15.75" customHeight="1">
      <c r="A2324" s="1" t="str">
        <f>IFERROR(__xludf.DUMMYFUNCTION("""COMPUTED_VALUE"""),"drunk history")</f>
        <v>drunk history</v>
      </c>
      <c r="B2324" s="1" t="str">
        <f>IF(A2324&lt;&gt;"", VLOOKUP(A2324, imdb_netflix_v5!A$2:H$7370, 2, FALSE), "")</f>
        <v>TV Show</v>
      </c>
      <c r="C2324" s="2" t="str">
        <f>IF(A2324&lt;&gt;"", VLOOKUP(A2324, imdb_netflix_v5!A$2:H$7370, 3, FALSE), "")</f>
        <v>Comedy, History</v>
      </c>
      <c r="D2324" s="2">
        <f>IF(A2324&lt;&gt;"", VLOOKUP(A2324, imdb_netflix_v5!A$2:H$7370, 4, FALSE), "")</f>
        <v>7.8</v>
      </c>
      <c r="E2324" s="2">
        <f>IF(A2324&lt;&gt;"", VLOOKUP(A2324, imdb_netflix_v5!A$2:H$7370, 5, FALSE), "")</f>
        <v>2013</v>
      </c>
      <c r="F2324" s="2" t="str">
        <f>IF(A2324&lt;&gt;"", VLOOKUP(A2324, imdb_netflix_v5!A$2:H$7370, 7, FALSE), "")</f>
        <v>NA</v>
      </c>
    </row>
    <row r="2325" ht="15.75" customHeight="1">
      <c r="A2325" s="1" t="str">
        <f>IFERROR(__xludf.DUMMYFUNCTION("""COMPUTED_VALUE"""),"oasis supersonic")</f>
        <v>oasis supersonic</v>
      </c>
      <c r="B2325" s="1" t="str">
        <f>IF(A2325&lt;&gt;"", VLOOKUP(A2325, imdb_netflix_v5!A$2:H$7370, 2, FALSE), "")</f>
        <v>Movie</v>
      </c>
      <c r="C2325" s="2" t="str">
        <f>IF(A2325&lt;&gt;"", VLOOKUP(A2325, imdb_netflix_v5!A$2:H$7370, 3, FALSE), "")</f>
        <v>Biography, Documentary, Music</v>
      </c>
      <c r="D2325" s="2">
        <f>IF(A2325&lt;&gt;"", VLOOKUP(A2325, imdb_netflix_v5!A$2:H$7370, 4, FALSE), "")</f>
        <v>7.8</v>
      </c>
      <c r="E2325" s="2">
        <f>IF(A2325&lt;&gt;"", VLOOKUP(A2325, imdb_netflix_v5!A$2:H$7370, 5, FALSE), "")</f>
        <v>2016</v>
      </c>
      <c r="F2325" s="2" t="str">
        <f>IF(A2325&lt;&gt;"", VLOOKUP(A2325, imdb_netflix_v5!A$2:H$7370, 7, FALSE), "")</f>
        <v>NA</v>
      </c>
    </row>
    <row r="2326" ht="15.75" customHeight="1">
      <c r="A2326" s="1" t="str">
        <f>IFERROR(__xludf.DUMMYFUNCTION("""COMPUTED_VALUE"""),"in this corner (and other corners) of the world")</f>
        <v>in this corner (and other corners) of the world</v>
      </c>
      <c r="B2326" s="1" t="str">
        <f>IF(A2326&lt;&gt;"", VLOOKUP(A2326, imdb_netflix_v5!A$2:H$7370, 2, FALSE), "")</f>
        <v>Movie</v>
      </c>
      <c r="C2326" s="2" t="str">
        <f>IF(A2326&lt;&gt;"", VLOOKUP(A2326, imdb_netflix_v5!A$2:H$7370, 3, FALSE), "")</f>
        <v>Animation, Drama, History</v>
      </c>
      <c r="D2326" s="2">
        <f>IF(A2326&lt;&gt;"", VLOOKUP(A2326, imdb_netflix_v5!A$2:H$7370, 4, FALSE), "")</f>
        <v>7.8</v>
      </c>
      <c r="E2326" s="2">
        <f>IF(A2326&lt;&gt;"", VLOOKUP(A2326, imdb_netflix_v5!A$2:H$7370, 5, FALSE), "")</f>
        <v>2016</v>
      </c>
      <c r="F2326" s="2" t="str">
        <f>IF(A2326&lt;&gt;"", VLOOKUP(A2326, imdb_netflix_v5!A$2:H$7370, 7, FALSE), "")</f>
        <v>NA</v>
      </c>
    </row>
    <row r="2327" ht="15.75" customHeight="1">
      <c r="A2327" s="1" t="str">
        <f>IFERROR(__xludf.DUMMYFUNCTION("""COMPUTED_VALUE"""),"hogans heroes")</f>
        <v>hogans heroes</v>
      </c>
      <c r="B2327" s="1" t="str">
        <f>IF(A2327&lt;&gt;"", VLOOKUP(A2327, imdb_netflix_v5!A$2:H$7370, 2, FALSE), "")</f>
        <v>TV Show</v>
      </c>
      <c r="C2327" s="2" t="str">
        <f>IF(A2327&lt;&gt;"", VLOOKUP(A2327, imdb_netflix_v5!A$2:H$7370, 3, FALSE), "")</f>
        <v>Comedy, War</v>
      </c>
      <c r="D2327" s="2">
        <f>IF(A2327&lt;&gt;"", VLOOKUP(A2327, imdb_netflix_v5!A$2:H$7370, 4, FALSE), "")</f>
        <v>7.8</v>
      </c>
      <c r="E2327" s="2">
        <f>IF(A2327&lt;&gt;"", VLOOKUP(A2327, imdb_netflix_v5!A$2:H$7370, 5, FALSE), "")</f>
        <v>1965</v>
      </c>
      <c r="F2327" s="2" t="str">
        <f>IF(A2327&lt;&gt;"", VLOOKUP(A2327, imdb_netflix_v5!A$2:H$7370, 7, FALSE), "")</f>
        <v>NA</v>
      </c>
    </row>
    <row r="2328" ht="15.75" customHeight="1">
      <c r="A2328" s="1" t="str">
        <f>IFERROR(__xludf.DUMMYFUNCTION("""COMPUTED_VALUE"""),"brave and beautiful")</f>
        <v>brave and beautiful</v>
      </c>
      <c r="B2328" s="1" t="str">
        <f>IF(A2328&lt;&gt;"", VLOOKUP(A2328, imdb_netflix_v5!A$2:H$7370, 2, FALSE), "")</f>
        <v>TV Show</v>
      </c>
      <c r="C2328" s="2" t="str">
        <f>IF(A2328&lt;&gt;"", VLOOKUP(A2328, imdb_netflix_v5!A$2:H$7370, 3, FALSE), "")</f>
        <v>Crime, Drama, Romance</v>
      </c>
      <c r="D2328" s="2">
        <f>IF(A2328&lt;&gt;"", VLOOKUP(A2328, imdb_netflix_v5!A$2:H$7370, 4, FALSE), "")</f>
        <v>7.8</v>
      </c>
      <c r="E2328" s="2">
        <f>IF(A2328&lt;&gt;"", VLOOKUP(A2328, imdb_netflix_v5!A$2:H$7370, 5, FALSE), "")</f>
        <v>2016</v>
      </c>
      <c r="F2328" s="2" t="str">
        <f>IF(A2328&lt;&gt;"", VLOOKUP(A2328, imdb_netflix_v5!A$2:H$7370, 7, FALSE), "")</f>
        <v>NA</v>
      </c>
    </row>
    <row r="2329" ht="15.75" customHeight="1">
      <c r="A2329" s="1" t="str">
        <f>IFERROR(__xludf.DUMMYFUNCTION("""COMPUTED_VALUE"""),"south wind")</f>
        <v>south wind</v>
      </c>
      <c r="B2329" s="1" t="str">
        <f>IF(A2329&lt;&gt;"", VLOOKUP(A2329, imdb_netflix_v5!A$2:H$7370, 2, FALSE), "")</f>
        <v>Movie</v>
      </c>
      <c r="C2329" s="2" t="str">
        <f>IF(A2329&lt;&gt;"", VLOOKUP(A2329, imdb_netflix_v5!A$2:H$7370, 3, FALSE), "")</f>
        <v>Crime, Drama, Thriller</v>
      </c>
      <c r="D2329" s="2">
        <f>IF(A2329&lt;&gt;"", VLOOKUP(A2329, imdb_netflix_v5!A$2:H$7370, 4, FALSE), "")</f>
        <v>7.8</v>
      </c>
      <c r="E2329" s="2">
        <f>IF(A2329&lt;&gt;"", VLOOKUP(A2329, imdb_netflix_v5!A$2:H$7370, 5, FALSE), "")</f>
        <v>2018</v>
      </c>
      <c r="F2329" s="2" t="str">
        <f>IF(A2329&lt;&gt;"", VLOOKUP(A2329, imdb_netflix_v5!A$2:H$7370, 7, FALSE), "")</f>
        <v>NA</v>
      </c>
    </row>
    <row r="2330" ht="15.75" customHeight="1">
      <c r="A2330" s="1" t="str">
        <f>IFERROR(__xludf.DUMMYFUNCTION("""COMPUTED_VALUE"""),"the island")</f>
        <v>the island</v>
      </c>
      <c r="B2330" s="1" t="str">
        <f>IF(A2330&lt;&gt;"", VLOOKUP(A2330, imdb_netflix_v5!A$2:H$7370, 2, FALSE), "")</f>
        <v>Movie</v>
      </c>
      <c r="C2330" s="2" t="str">
        <f>IF(A2330&lt;&gt;"", VLOOKUP(A2330, imdb_netflix_v5!A$2:H$7370, 3, FALSE), "")</f>
        <v>Comedy, Drama</v>
      </c>
      <c r="D2330" s="2">
        <f>IF(A2330&lt;&gt;"", VLOOKUP(A2330, imdb_netflix_v5!A$2:H$7370, 4, FALSE), "")</f>
        <v>7.8</v>
      </c>
      <c r="E2330" s="2">
        <f>IF(A2330&lt;&gt;"", VLOOKUP(A2330, imdb_netflix_v5!A$2:H$7370, 5, FALSE), "")</f>
        <v>2006</v>
      </c>
      <c r="F2330" s="2" t="str">
        <f>IF(A2330&lt;&gt;"", VLOOKUP(A2330, imdb_netflix_v5!A$2:H$7370, 7, FALSE), "")</f>
        <v>NA</v>
      </c>
    </row>
    <row r="2331" ht="15.75" customHeight="1">
      <c r="A2331" s="1" t="str">
        <f>IFERROR(__xludf.DUMMYFUNCTION("""COMPUTED_VALUE"""),"the hunchback of notre dame")</f>
        <v>the hunchback of notre dame</v>
      </c>
      <c r="B2331" s="1" t="str">
        <f>IF(A2331&lt;&gt;"", VLOOKUP(A2331, imdb_netflix_v5!A$2:H$7370, 2, FALSE), "")</f>
        <v>Movie</v>
      </c>
      <c r="C2331" s="2" t="str">
        <f>IF(A2331&lt;&gt;"", VLOOKUP(A2331, imdb_netflix_v5!A$2:H$7370, 3, FALSE), "")</f>
        <v>Drama, Romance</v>
      </c>
      <c r="D2331" s="2">
        <f>IF(A2331&lt;&gt;"", VLOOKUP(A2331, imdb_netflix_v5!A$2:H$7370, 4, FALSE), "")</f>
        <v>7.8</v>
      </c>
      <c r="E2331" s="2">
        <f>IF(A2331&lt;&gt;"", VLOOKUP(A2331, imdb_netflix_v5!A$2:H$7370, 5, FALSE), "")</f>
        <v>1939</v>
      </c>
      <c r="F2331" s="2" t="str">
        <f>IF(A2331&lt;&gt;"", VLOOKUP(A2331, imdb_netflix_v5!A$2:H$7370, 7, FALSE), "")</f>
        <v>NA</v>
      </c>
    </row>
    <row r="2332" ht="15.75" customHeight="1">
      <c r="A2332" s="1" t="str">
        <f>IFERROR(__xludf.DUMMYFUNCTION("""COMPUTED_VALUE"""),"bramayugam")</f>
        <v>bramayugam</v>
      </c>
      <c r="B2332" s="1" t="str">
        <f>IF(A2332&lt;&gt;"", VLOOKUP(A2332, imdb_netflix_v5!A$2:H$7370, 2, FALSE), "")</f>
        <v>Movie</v>
      </c>
      <c r="C2332" s="2" t="str">
        <f>IF(A2332&lt;&gt;"", VLOOKUP(A2332, imdb_netflix_v5!A$2:H$7370, 3, FALSE), "")</f>
        <v>Drama, Horror, Thriller</v>
      </c>
      <c r="D2332" s="2">
        <f>IF(A2332&lt;&gt;"", VLOOKUP(A2332, imdb_netflix_v5!A$2:H$7370, 4, FALSE), "")</f>
        <v>7.8</v>
      </c>
      <c r="E2332" s="2">
        <f>IF(A2332&lt;&gt;"", VLOOKUP(A2332, imdb_netflix_v5!A$2:H$7370, 5, FALSE), "")</f>
        <v>2024</v>
      </c>
      <c r="F2332" s="2" t="str">
        <f>IF(A2332&lt;&gt;"", VLOOKUP(A2332, imdb_netflix_v5!A$2:H$7370, 7, FALSE), "")</f>
        <v>NA</v>
      </c>
    </row>
    <row r="2333" ht="15.75" customHeight="1">
      <c r="A2333" s="1" t="str">
        <f>IFERROR(__xludf.DUMMYFUNCTION("""COMPUTED_VALUE"""),"my best fiend")</f>
        <v>my best fiend</v>
      </c>
      <c r="B2333" s="1" t="str">
        <f>IF(A2333&lt;&gt;"", VLOOKUP(A2333, imdb_netflix_v5!A$2:H$7370, 2, FALSE), "")</f>
        <v>Movie</v>
      </c>
      <c r="C2333" s="2" t="str">
        <f>IF(A2333&lt;&gt;"", VLOOKUP(A2333, imdb_netflix_v5!A$2:H$7370, 3, FALSE), "")</f>
        <v>Biography, Documentary</v>
      </c>
      <c r="D2333" s="2">
        <f>IF(A2333&lt;&gt;"", VLOOKUP(A2333, imdb_netflix_v5!A$2:H$7370, 4, FALSE), "")</f>
        <v>7.8</v>
      </c>
      <c r="E2333" s="2">
        <f>IF(A2333&lt;&gt;"", VLOOKUP(A2333, imdb_netflix_v5!A$2:H$7370, 5, FALSE), "")</f>
        <v>1999</v>
      </c>
      <c r="F2333" s="2" t="str">
        <f>IF(A2333&lt;&gt;"", VLOOKUP(A2333, imdb_netflix_v5!A$2:H$7370, 7, FALSE), "")</f>
        <v>NA</v>
      </c>
    </row>
    <row r="2334" ht="15.75" customHeight="1">
      <c r="A2334" s="1" t="str">
        <f>IFERROR(__xludf.DUMMYFUNCTION("""COMPUTED_VALUE"""),"ben 10 ultimate alien")</f>
        <v>ben 10 ultimate alien</v>
      </c>
      <c r="B2334" s="1" t="str">
        <f>IF(A2334&lt;&gt;"", VLOOKUP(A2334, imdb_netflix_v5!A$2:H$7370, 2, FALSE), "")</f>
        <v>TV Show</v>
      </c>
      <c r="C2334" s="2" t="str">
        <f>IF(A2334&lt;&gt;"", VLOOKUP(A2334, imdb_netflix_v5!A$2:H$7370, 3, FALSE), "")</f>
        <v>Action, Adventure, Animation</v>
      </c>
      <c r="D2334" s="2">
        <f>IF(A2334&lt;&gt;"", VLOOKUP(A2334, imdb_netflix_v5!A$2:H$7370, 4, FALSE), "")</f>
        <v>7.8</v>
      </c>
      <c r="E2334" s="2">
        <f>IF(A2334&lt;&gt;"", VLOOKUP(A2334, imdb_netflix_v5!A$2:H$7370, 5, FALSE), "")</f>
        <v>2010</v>
      </c>
      <c r="F2334" s="2" t="str">
        <f>IF(A2334&lt;&gt;"", VLOOKUP(A2334, imdb_netflix_v5!A$2:H$7370, 7, FALSE), "")</f>
        <v>NA</v>
      </c>
    </row>
    <row r="2335" ht="15.75" customHeight="1">
      <c r="A2335" s="1" t="str">
        <f>IFERROR(__xludf.DUMMYFUNCTION("""COMPUTED_VALUE"""),"goodachari")</f>
        <v>goodachari</v>
      </c>
      <c r="B2335" s="1" t="str">
        <f>IF(A2335&lt;&gt;"", VLOOKUP(A2335, imdb_netflix_v5!A$2:H$7370, 2, FALSE), "")</f>
        <v>Movie</v>
      </c>
      <c r="C2335" s="2" t="str">
        <f>IF(A2335&lt;&gt;"", VLOOKUP(A2335, imdb_netflix_v5!A$2:H$7370, 3, FALSE), "")</f>
        <v>Action, Thriller</v>
      </c>
      <c r="D2335" s="2">
        <f>IF(A2335&lt;&gt;"", VLOOKUP(A2335, imdb_netflix_v5!A$2:H$7370, 4, FALSE), "")</f>
        <v>7.8</v>
      </c>
      <c r="E2335" s="2">
        <f>IF(A2335&lt;&gt;"", VLOOKUP(A2335, imdb_netflix_v5!A$2:H$7370, 5, FALSE), "")</f>
        <v>2018</v>
      </c>
      <c r="F2335" s="2" t="str">
        <f>IF(A2335&lt;&gt;"", VLOOKUP(A2335, imdb_netflix_v5!A$2:H$7370, 7, FALSE), "")</f>
        <v>NA</v>
      </c>
    </row>
    <row r="2336" ht="15.75" customHeight="1">
      <c r="A2336" s="1" t="str">
        <f>IFERROR(__xludf.DUMMYFUNCTION("""COMPUTED_VALUE"""),"berserk the golden age arc iii - the advent")</f>
        <v>berserk the golden age arc iii - the advent</v>
      </c>
      <c r="B2336" s="1" t="str">
        <f>IF(A2336&lt;&gt;"", VLOOKUP(A2336, imdb_netflix_v5!A$2:H$7370, 2, FALSE), "")</f>
        <v>Movie</v>
      </c>
      <c r="C2336" s="2" t="str">
        <f>IF(A2336&lt;&gt;"", VLOOKUP(A2336, imdb_netflix_v5!A$2:H$7370, 3, FALSE), "")</f>
        <v>Action, Adventure, Animation</v>
      </c>
      <c r="D2336" s="2">
        <f>IF(A2336&lt;&gt;"", VLOOKUP(A2336, imdb_netflix_v5!A$2:H$7370, 4, FALSE), "")</f>
        <v>7.8</v>
      </c>
      <c r="E2336" s="2">
        <f>IF(A2336&lt;&gt;"", VLOOKUP(A2336, imdb_netflix_v5!A$2:H$7370, 5, FALSE), "")</f>
        <v>2013</v>
      </c>
      <c r="F2336" s="2" t="str">
        <f>IF(A2336&lt;&gt;"", VLOOKUP(A2336, imdb_netflix_v5!A$2:H$7370, 7, FALSE), "")</f>
        <v>NA</v>
      </c>
    </row>
    <row r="2337" ht="15.75" customHeight="1">
      <c r="A2337" s="1" t="str">
        <f>IFERROR(__xludf.DUMMYFUNCTION("""COMPUTED_VALUE"""),"the club")</f>
        <v>the club</v>
      </c>
      <c r="B2337" s="1" t="str">
        <f>IF(A2337&lt;&gt;"", VLOOKUP(A2337, imdb_netflix_v5!A$2:H$7370, 2, FALSE), "")</f>
        <v>TV Show</v>
      </c>
      <c r="C2337" s="2" t="str">
        <f>IF(A2337&lt;&gt;"", VLOOKUP(A2337, imdb_netflix_v5!A$2:H$7370, 3, FALSE), "")</f>
        <v>Drama, History</v>
      </c>
      <c r="D2337" s="2">
        <f>IF(A2337&lt;&gt;"", VLOOKUP(A2337, imdb_netflix_v5!A$2:H$7370, 4, FALSE), "")</f>
        <v>7.8</v>
      </c>
      <c r="E2337" s="2">
        <f>IF(A2337&lt;&gt;"", VLOOKUP(A2337, imdb_netflix_v5!A$2:H$7370, 5, FALSE), "")</f>
        <v>2021</v>
      </c>
      <c r="F2337" s="2">
        <f>IF(A2337&lt;&gt;"", VLOOKUP(A2337, imdb_netflix_v5!A$2:H$7370, 7, FALSE), "")</f>
        <v>7860000</v>
      </c>
    </row>
    <row r="2338" ht="15.75" customHeight="1">
      <c r="A2338" s="1" t="str">
        <f>IFERROR(__xludf.DUMMYFUNCTION("""COMPUTED_VALUE"""),"cardinal")</f>
        <v>cardinal</v>
      </c>
      <c r="B2338" s="1" t="str">
        <f>IF(A2338&lt;&gt;"", VLOOKUP(A2338, imdb_netflix_v5!A$2:H$7370, 2, FALSE), "")</f>
        <v>TV Show</v>
      </c>
      <c r="C2338" s="2" t="str">
        <f>IF(A2338&lt;&gt;"", VLOOKUP(A2338, imdb_netflix_v5!A$2:H$7370, 3, FALSE), "")</f>
        <v>Crime, Drama, Mystery</v>
      </c>
      <c r="D2338" s="2">
        <f>IF(A2338&lt;&gt;"", VLOOKUP(A2338, imdb_netflix_v5!A$2:H$7370, 4, FALSE), "")</f>
        <v>7.8</v>
      </c>
      <c r="E2338" s="2">
        <f>IF(A2338&lt;&gt;"", VLOOKUP(A2338, imdb_netflix_v5!A$2:H$7370, 5, FALSE), "")</f>
        <v>2017</v>
      </c>
      <c r="F2338" s="2" t="str">
        <f>IF(A2338&lt;&gt;"", VLOOKUP(A2338, imdb_netflix_v5!A$2:H$7370, 7, FALSE), "")</f>
        <v>NA</v>
      </c>
    </row>
    <row r="2339" ht="15.75" customHeight="1">
      <c r="A2339" s="1" t="str">
        <f>IFERROR(__xludf.DUMMYFUNCTION("""COMPUTED_VALUE"""),"seven chances")</f>
        <v>seven chances</v>
      </c>
      <c r="B2339" s="1" t="str">
        <f>IF(A2339&lt;&gt;"", VLOOKUP(A2339, imdb_netflix_v5!A$2:H$7370, 2, FALSE), "")</f>
        <v>Movie</v>
      </c>
      <c r="C2339" s="2" t="str">
        <f>IF(A2339&lt;&gt;"", VLOOKUP(A2339, imdb_netflix_v5!A$2:H$7370, 3, FALSE), "")</f>
        <v>Comedy, Romance</v>
      </c>
      <c r="D2339" s="2">
        <f>IF(A2339&lt;&gt;"", VLOOKUP(A2339, imdb_netflix_v5!A$2:H$7370, 4, FALSE), "")</f>
        <v>7.8</v>
      </c>
      <c r="E2339" s="2">
        <f>IF(A2339&lt;&gt;"", VLOOKUP(A2339, imdb_netflix_v5!A$2:H$7370, 5, FALSE), "")</f>
        <v>1925</v>
      </c>
      <c r="F2339" s="2" t="str">
        <f>IF(A2339&lt;&gt;"", VLOOKUP(A2339, imdb_netflix_v5!A$2:H$7370, 7, FALSE), "")</f>
        <v>NA</v>
      </c>
    </row>
    <row r="2340" ht="15.75" customHeight="1">
      <c r="A2340" s="1" t="str">
        <f>IFERROR(__xludf.DUMMYFUNCTION("""COMPUTED_VALUE"""),"inside bills brain decoding bill gates")</f>
        <v>inside bills brain decoding bill gates</v>
      </c>
      <c r="B2340" s="1" t="str">
        <f>IF(A2340&lt;&gt;"", VLOOKUP(A2340, imdb_netflix_v5!A$2:H$7370, 2, FALSE), "")</f>
        <v>TV Show</v>
      </c>
      <c r="C2340" s="2" t="str">
        <f>IF(A2340&lt;&gt;"", VLOOKUP(A2340, imdb_netflix_v5!A$2:H$7370, 3, FALSE), "")</f>
        <v>Biography, Documentary</v>
      </c>
      <c r="D2340" s="2">
        <f>IF(A2340&lt;&gt;"", VLOOKUP(A2340, imdb_netflix_v5!A$2:H$7370, 4, FALSE), "")</f>
        <v>7.8</v>
      </c>
      <c r="E2340" s="2">
        <f>IF(A2340&lt;&gt;"", VLOOKUP(A2340, imdb_netflix_v5!A$2:H$7370, 5, FALSE), "")</f>
        <v>2019</v>
      </c>
      <c r="F2340" s="2" t="str">
        <f>IF(A2340&lt;&gt;"", VLOOKUP(A2340, imdb_netflix_v5!A$2:H$7370, 7, FALSE), "")</f>
        <v>NA</v>
      </c>
    </row>
    <row r="2341" ht="15.75" customHeight="1">
      <c r="A2341" s="1" t="str">
        <f>IFERROR(__xludf.DUMMYFUNCTION("""COMPUTED_VALUE"""),"parking")</f>
        <v>parking</v>
      </c>
      <c r="B2341" s="1" t="str">
        <f>IF(A2341&lt;&gt;"", VLOOKUP(A2341, imdb_netflix_v5!A$2:H$7370, 2, FALSE), "")</f>
        <v>Movie</v>
      </c>
      <c r="C2341" s="2" t="str">
        <f>IF(A2341&lt;&gt;"", VLOOKUP(A2341, imdb_netflix_v5!A$2:H$7370, 3, FALSE), "")</f>
        <v>Drama, Thriller</v>
      </c>
      <c r="D2341" s="2">
        <f>IF(A2341&lt;&gt;"", VLOOKUP(A2341, imdb_netflix_v5!A$2:H$7370, 4, FALSE), "")</f>
        <v>7.8</v>
      </c>
      <c r="E2341" s="2">
        <f>IF(A2341&lt;&gt;"", VLOOKUP(A2341, imdb_netflix_v5!A$2:H$7370, 5, FALSE), "")</f>
        <v>2023</v>
      </c>
      <c r="F2341" s="2" t="str">
        <f>IF(A2341&lt;&gt;"", VLOOKUP(A2341, imdb_netflix_v5!A$2:H$7370, 7, FALSE), "")</f>
        <v>NA</v>
      </c>
    </row>
    <row r="2342" ht="15.75" customHeight="1">
      <c r="A2342" s="1" t="str">
        <f>IFERROR(__xludf.DUMMYFUNCTION("""COMPUTED_VALUE"""),"the magic school bus")</f>
        <v>the magic school bus</v>
      </c>
      <c r="B2342" s="1" t="str">
        <f>IF(A2342&lt;&gt;"", VLOOKUP(A2342, imdb_netflix_v5!A$2:H$7370, 2, FALSE), "")</f>
        <v>TV Show</v>
      </c>
      <c r="C2342" s="2" t="str">
        <f>IF(A2342&lt;&gt;"", VLOOKUP(A2342, imdb_netflix_v5!A$2:H$7370, 3, FALSE), "")</f>
        <v>Adventure, Animation, Comedy</v>
      </c>
      <c r="D2342" s="2">
        <f>IF(A2342&lt;&gt;"", VLOOKUP(A2342, imdb_netflix_v5!A$2:H$7370, 4, FALSE), "")</f>
        <v>7.8</v>
      </c>
      <c r="E2342" s="2">
        <f>IF(A2342&lt;&gt;"", VLOOKUP(A2342, imdb_netflix_v5!A$2:H$7370, 5, FALSE), "")</f>
        <v>1994</v>
      </c>
      <c r="F2342" s="2" t="str">
        <f>IF(A2342&lt;&gt;"", VLOOKUP(A2342, imdb_netflix_v5!A$2:H$7370, 7, FALSE), "")</f>
        <v>NA</v>
      </c>
    </row>
    <row r="2343" ht="15.75" customHeight="1">
      <c r="A2343" s="1" t="str">
        <f>IFERROR(__xludf.DUMMYFUNCTION("""COMPUTED_VALUE"""),"happiness")</f>
        <v>happiness</v>
      </c>
      <c r="B2343" s="1" t="str">
        <f>IF(A2343&lt;&gt;"", VLOOKUP(A2343, imdb_netflix_v5!A$2:H$7370, 2, FALSE), "")</f>
        <v>TV Show</v>
      </c>
      <c r="C2343" s="2" t="str">
        <f>IF(A2343&lt;&gt;"", VLOOKUP(A2343, imdb_netflix_v5!A$2:H$7370, 3, FALSE), "")</f>
        <v>Action, Fantasy, Horror</v>
      </c>
      <c r="D2343" s="2">
        <f>IF(A2343&lt;&gt;"", VLOOKUP(A2343, imdb_netflix_v5!A$2:H$7370, 4, FALSE), "")</f>
        <v>7.8</v>
      </c>
      <c r="E2343" s="2">
        <f>IF(A2343&lt;&gt;"", VLOOKUP(A2343, imdb_netflix_v5!A$2:H$7370, 5, FALSE), "")</f>
        <v>2021</v>
      </c>
      <c r="F2343" s="2">
        <f>IF(A2343&lt;&gt;"", VLOOKUP(A2343, imdb_netflix_v5!A$2:H$7370, 7, FALSE), "")</f>
        <v>10820000</v>
      </c>
    </row>
    <row r="2344" ht="15.75" customHeight="1">
      <c r="A2344" s="1" t="str">
        <f>IFERROR(__xludf.DUMMYFUNCTION("""COMPUTED_VALUE"""),"good morning")</f>
        <v>good morning</v>
      </c>
      <c r="B2344" s="1" t="str">
        <f>IF(A2344&lt;&gt;"", VLOOKUP(A2344, imdb_netflix_v5!A$2:H$7370, 2, FALSE), "")</f>
        <v>Movie</v>
      </c>
      <c r="C2344" s="2" t="str">
        <f>IF(A2344&lt;&gt;"", VLOOKUP(A2344, imdb_netflix_v5!A$2:H$7370, 3, FALSE), "")</f>
        <v>Comedy, Drama, Family</v>
      </c>
      <c r="D2344" s="2">
        <f>IF(A2344&lt;&gt;"", VLOOKUP(A2344, imdb_netflix_v5!A$2:H$7370, 4, FALSE), "")</f>
        <v>7.8</v>
      </c>
      <c r="E2344" s="2">
        <f>IF(A2344&lt;&gt;"", VLOOKUP(A2344, imdb_netflix_v5!A$2:H$7370, 5, FALSE), "")</f>
        <v>1959</v>
      </c>
      <c r="F2344" s="2" t="str">
        <f>IF(A2344&lt;&gt;"", VLOOKUP(A2344, imdb_netflix_v5!A$2:H$7370, 7, FALSE), "")</f>
        <v>NA</v>
      </c>
    </row>
    <row r="2345" ht="15.75" customHeight="1">
      <c r="A2345" s="1" t="str">
        <f>IFERROR(__xludf.DUMMYFUNCTION("""COMPUTED_VALUE"""),"flesh and bone")</f>
        <v>flesh and bone</v>
      </c>
      <c r="B2345" s="1" t="str">
        <f>IF(A2345&lt;&gt;"", VLOOKUP(A2345, imdb_netflix_v5!A$2:H$7370, 2, FALSE), "")</f>
        <v>TV Show</v>
      </c>
      <c r="C2345" s="2" t="str">
        <f>IF(A2345&lt;&gt;"", VLOOKUP(A2345, imdb_netflix_v5!A$2:H$7370, 3, FALSE), "")</f>
        <v>Drama</v>
      </c>
      <c r="D2345" s="2">
        <f>IF(A2345&lt;&gt;"", VLOOKUP(A2345, imdb_netflix_v5!A$2:H$7370, 4, FALSE), "")</f>
        <v>7.8</v>
      </c>
      <c r="E2345" s="2">
        <f>IF(A2345&lt;&gt;"", VLOOKUP(A2345, imdb_netflix_v5!A$2:H$7370, 5, FALSE), "")</f>
        <v>2015</v>
      </c>
      <c r="F2345" s="2" t="str">
        <f>IF(A2345&lt;&gt;"", VLOOKUP(A2345, imdb_netflix_v5!A$2:H$7370, 7, FALSE), "")</f>
        <v>NA</v>
      </c>
    </row>
    <row r="2346" ht="15.75" customHeight="1">
      <c r="A2346" s="1" t="str">
        <f>IFERROR(__xludf.DUMMYFUNCTION("""COMPUTED_VALUE"""),"joji")</f>
        <v>joji</v>
      </c>
      <c r="B2346" s="1" t="str">
        <f>IF(A2346&lt;&gt;"", VLOOKUP(A2346, imdb_netflix_v5!A$2:H$7370, 2, FALSE), "")</f>
        <v>Movie</v>
      </c>
      <c r="C2346" s="2" t="str">
        <f>IF(A2346&lt;&gt;"", VLOOKUP(A2346, imdb_netflix_v5!A$2:H$7370, 3, FALSE), "")</f>
        <v>Crime, Drama</v>
      </c>
      <c r="D2346" s="2">
        <f>IF(A2346&lt;&gt;"", VLOOKUP(A2346, imdb_netflix_v5!A$2:H$7370, 4, FALSE), "")</f>
        <v>7.8</v>
      </c>
      <c r="E2346" s="2">
        <f>IF(A2346&lt;&gt;"", VLOOKUP(A2346, imdb_netflix_v5!A$2:H$7370, 5, FALSE), "")</f>
        <v>2021</v>
      </c>
      <c r="F2346" s="2" t="str">
        <f>IF(A2346&lt;&gt;"", VLOOKUP(A2346, imdb_netflix_v5!A$2:H$7370, 7, FALSE), "")</f>
        <v>NA</v>
      </c>
    </row>
    <row r="2347" ht="15.75" customHeight="1">
      <c r="A2347" s="1" t="str">
        <f>IFERROR(__xludf.DUMMYFUNCTION("""COMPUTED_VALUE"""),"the other two")</f>
        <v>the other two</v>
      </c>
      <c r="B2347" s="1" t="str">
        <f>IF(A2347&lt;&gt;"", VLOOKUP(A2347, imdb_netflix_v5!A$2:H$7370, 2, FALSE), "")</f>
        <v>TV Show</v>
      </c>
      <c r="C2347" s="2" t="str">
        <f>IF(A2347&lt;&gt;"", VLOOKUP(A2347, imdb_netflix_v5!A$2:H$7370, 3, FALSE), "")</f>
        <v>Comedy</v>
      </c>
      <c r="D2347" s="2">
        <f>IF(A2347&lt;&gt;"", VLOOKUP(A2347, imdb_netflix_v5!A$2:H$7370, 4, FALSE), "")</f>
        <v>7.8</v>
      </c>
      <c r="E2347" s="2">
        <f>IF(A2347&lt;&gt;"", VLOOKUP(A2347, imdb_netflix_v5!A$2:H$7370, 5, FALSE), "")</f>
        <v>2019</v>
      </c>
      <c r="F2347" s="2" t="str">
        <f>IF(A2347&lt;&gt;"", VLOOKUP(A2347, imdb_netflix_v5!A$2:H$7370, 7, FALSE), "")</f>
        <v>NA</v>
      </c>
    </row>
    <row r="2348" ht="15.75" customHeight="1">
      <c r="A2348" s="1" t="str">
        <f>IFERROR(__xludf.DUMMYFUNCTION("""COMPUTED_VALUE"""),"le corbeau")</f>
        <v>le corbeau</v>
      </c>
      <c r="B2348" s="1" t="str">
        <f>IF(A2348&lt;&gt;"", VLOOKUP(A2348, imdb_netflix_v5!A$2:H$7370, 2, FALSE), "")</f>
        <v>Movie</v>
      </c>
      <c r="C2348" s="2" t="str">
        <f>IF(A2348&lt;&gt;"", VLOOKUP(A2348, imdb_netflix_v5!A$2:H$7370, 3, FALSE), "")</f>
        <v>Crime, Drama, Horror</v>
      </c>
      <c r="D2348" s="2">
        <f>IF(A2348&lt;&gt;"", VLOOKUP(A2348, imdb_netflix_v5!A$2:H$7370, 4, FALSE), "")</f>
        <v>7.8</v>
      </c>
      <c r="E2348" s="2">
        <f>IF(A2348&lt;&gt;"", VLOOKUP(A2348, imdb_netflix_v5!A$2:H$7370, 5, FALSE), "")</f>
        <v>1943</v>
      </c>
      <c r="F2348" s="2" t="str">
        <f>IF(A2348&lt;&gt;"", VLOOKUP(A2348, imdb_netflix_v5!A$2:H$7370, 7, FALSE), "")</f>
        <v>NA</v>
      </c>
    </row>
    <row r="2349" ht="15.75" customHeight="1">
      <c r="A2349" s="1" t="str">
        <f>IFERROR(__xludf.DUMMYFUNCTION("""COMPUTED_VALUE"""),"man seeking woman")</f>
        <v>man seeking woman</v>
      </c>
      <c r="B2349" s="1" t="str">
        <f>IF(A2349&lt;&gt;"", VLOOKUP(A2349, imdb_netflix_v5!A$2:H$7370, 2, FALSE), "")</f>
        <v>TV Show</v>
      </c>
      <c r="C2349" s="2" t="str">
        <f>IF(A2349&lt;&gt;"", VLOOKUP(A2349, imdb_netflix_v5!A$2:H$7370, 3, FALSE), "")</f>
        <v>Comedy, Fantasy, Romance</v>
      </c>
      <c r="D2349" s="2">
        <f>IF(A2349&lt;&gt;"", VLOOKUP(A2349, imdb_netflix_v5!A$2:H$7370, 4, FALSE), "")</f>
        <v>7.8</v>
      </c>
      <c r="E2349" s="2">
        <f>IF(A2349&lt;&gt;"", VLOOKUP(A2349, imdb_netflix_v5!A$2:H$7370, 5, FALSE), "")</f>
        <v>2015</v>
      </c>
      <c r="F2349" s="2" t="str">
        <f>IF(A2349&lt;&gt;"", VLOOKUP(A2349, imdb_netflix_v5!A$2:H$7370, 7, FALSE), "")</f>
        <v>NA</v>
      </c>
    </row>
    <row r="2350" ht="15.75" customHeight="1">
      <c r="A2350" s="1" t="str">
        <f>IFERROR(__xludf.DUMMYFUNCTION("""COMPUTED_VALUE"""),"who killed captain alex?")</f>
        <v>who killed captain alex?</v>
      </c>
      <c r="B2350" s="1" t="str">
        <f>IF(A2350&lt;&gt;"", VLOOKUP(A2350, imdb_netflix_v5!A$2:H$7370, 2, FALSE), "")</f>
        <v>Movie</v>
      </c>
      <c r="C2350" s="2" t="str">
        <f>IF(A2350&lt;&gt;"", VLOOKUP(A2350, imdb_netflix_v5!A$2:H$7370, 3, FALSE), "")</f>
        <v>Action, Comedy, Crime</v>
      </c>
      <c r="D2350" s="2">
        <f>IF(A2350&lt;&gt;"", VLOOKUP(A2350, imdb_netflix_v5!A$2:H$7370, 4, FALSE), "")</f>
        <v>7.8</v>
      </c>
      <c r="E2350" s="2">
        <f>IF(A2350&lt;&gt;"", VLOOKUP(A2350, imdb_netflix_v5!A$2:H$7370, 5, FALSE), "")</f>
        <v>2010</v>
      </c>
      <c r="F2350" s="2" t="str">
        <f>IF(A2350&lt;&gt;"", VLOOKUP(A2350, imdb_netflix_v5!A$2:H$7370, 7, FALSE), "")</f>
        <v>NA</v>
      </c>
    </row>
    <row r="2351" ht="15.75" customHeight="1">
      <c r="A2351" s="1" t="str">
        <f>IFERROR(__xludf.DUMMYFUNCTION("""COMPUTED_VALUE"""),"simon of the desert")</f>
        <v>simon of the desert</v>
      </c>
      <c r="B2351" s="1" t="str">
        <f>IF(A2351&lt;&gt;"", VLOOKUP(A2351, imdb_netflix_v5!A$2:H$7370, 2, FALSE), "")</f>
        <v>Movie</v>
      </c>
      <c r="C2351" s="2" t="str">
        <f>IF(A2351&lt;&gt;"", VLOOKUP(A2351, imdb_netflix_v5!A$2:H$7370, 3, FALSE), "")</f>
        <v>Comedy, Drama, Fantasy</v>
      </c>
      <c r="D2351" s="2">
        <f>IF(A2351&lt;&gt;"", VLOOKUP(A2351, imdb_netflix_v5!A$2:H$7370, 4, FALSE), "")</f>
        <v>7.8</v>
      </c>
      <c r="E2351" s="2">
        <f>IF(A2351&lt;&gt;"", VLOOKUP(A2351, imdb_netflix_v5!A$2:H$7370, 5, FALSE), "")</f>
        <v>1965</v>
      </c>
      <c r="F2351" s="2" t="str">
        <f>IF(A2351&lt;&gt;"", VLOOKUP(A2351, imdb_netflix_v5!A$2:H$7370, 7, FALSE), "")</f>
        <v>NA</v>
      </c>
    </row>
    <row r="2352" ht="15.75" customHeight="1">
      <c r="A2352" s="1" t="str">
        <f>IFERROR(__xludf.DUMMYFUNCTION("""COMPUTED_VALUE"""),"battlestar galactica the resistance")</f>
        <v>battlestar galactica the resistance</v>
      </c>
      <c r="B2352" s="1" t="str">
        <f>IF(A2352&lt;&gt;"", VLOOKUP(A2352, imdb_netflix_v5!A$2:H$7370, 2, FALSE), "")</f>
        <v>TV Show</v>
      </c>
      <c r="C2352" s="2" t="str">
        <f>IF(A2352&lt;&gt;"", VLOOKUP(A2352, imdb_netflix_v5!A$2:H$7370, 3, FALSE), "")</f>
        <v>Drama, Sci-Fi, Short</v>
      </c>
      <c r="D2352" s="2">
        <f>IF(A2352&lt;&gt;"", VLOOKUP(A2352, imdb_netflix_v5!A$2:H$7370, 4, FALSE), "")</f>
        <v>7.8</v>
      </c>
      <c r="E2352" s="2">
        <f>IF(A2352&lt;&gt;"", VLOOKUP(A2352, imdb_netflix_v5!A$2:H$7370, 5, FALSE), "")</f>
        <v>2006</v>
      </c>
      <c r="F2352" s="2" t="str">
        <f>IF(A2352&lt;&gt;"", VLOOKUP(A2352, imdb_netflix_v5!A$2:H$7370, 7, FALSE), "")</f>
        <v>NA</v>
      </c>
    </row>
    <row r="2353" ht="15.75" customHeight="1">
      <c r="A2353" s="1" t="str">
        <f>IFERROR(__xludf.DUMMYFUNCTION("""COMPUTED_VALUE"""),"lucky louie")</f>
        <v>lucky louie</v>
      </c>
      <c r="B2353" s="1" t="str">
        <f>IF(A2353&lt;&gt;"", VLOOKUP(A2353, imdb_netflix_v5!A$2:H$7370, 2, FALSE), "")</f>
        <v>TV Show</v>
      </c>
      <c r="C2353" s="2" t="str">
        <f>IF(A2353&lt;&gt;"", VLOOKUP(A2353, imdb_netflix_v5!A$2:H$7370, 3, FALSE), "")</f>
        <v>Comedy</v>
      </c>
      <c r="D2353" s="2">
        <f>IF(A2353&lt;&gt;"", VLOOKUP(A2353, imdb_netflix_v5!A$2:H$7370, 4, FALSE), "")</f>
        <v>7.8</v>
      </c>
      <c r="E2353" s="2">
        <f>IF(A2353&lt;&gt;"", VLOOKUP(A2353, imdb_netflix_v5!A$2:H$7370, 5, FALSE), "")</f>
        <v>2006</v>
      </c>
      <c r="F2353" s="2" t="str">
        <f>IF(A2353&lt;&gt;"", VLOOKUP(A2353, imdb_netflix_v5!A$2:H$7370, 7, FALSE), "")</f>
        <v>NA</v>
      </c>
    </row>
    <row r="2354" ht="15.75" customHeight="1">
      <c r="A2354" s="1" t="str">
        <f>IFERROR(__xludf.DUMMYFUNCTION("""COMPUTED_VALUE"""),"the fire within")</f>
        <v>the fire within</v>
      </c>
      <c r="B2354" s="1" t="str">
        <f>IF(A2354&lt;&gt;"", VLOOKUP(A2354, imdb_netflix_v5!A$2:H$7370, 2, FALSE), "")</f>
        <v>Movie</v>
      </c>
      <c r="C2354" s="2" t="str">
        <f>IF(A2354&lt;&gt;"", VLOOKUP(A2354, imdb_netflix_v5!A$2:H$7370, 3, FALSE), "")</f>
        <v>Drama</v>
      </c>
      <c r="D2354" s="2">
        <f>IF(A2354&lt;&gt;"", VLOOKUP(A2354, imdb_netflix_v5!A$2:H$7370, 4, FALSE), "")</f>
        <v>7.8</v>
      </c>
      <c r="E2354" s="2">
        <f>IF(A2354&lt;&gt;"", VLOOKUP(A2354, imdb_netflix_v5!A$2:H$7370, 5, FALSE), "")</f>
        <v>1963</v>
      </c>
      <c r="F2354" s="2" t="str">
        <f>IF(A2354&lt;&gt;"", VLOOKUP(A2354, imdb_netflix_v5!A$2:H$7370, 7, FALSE), "")</f>
        <v>NA</v>
      </c>
    </row>
    <row r="2355" ht="15.75" customHeight="1">
      <c r="A2355" s="1" t="str">
        <f>IFERROR(__xludf.DUMMYFUNCTION("""COMPUTED_VALUE"""),"bungo stray dogs")</f>
        <v>bungo stray dogs</v>
      </c>
      <c r="B2355" s="1" t="str">
        <f>IF(A2355&lt;&gt;"", VLOOKUP(A2355, imdb_netflix_v5!A$2:H$7370, 2, FALSE), "")</f>
        <v>TV Show</v>
      </c>
      <c r="C2355" s="2" t="str">
        <f>IF(A2355&lt;&gt;"", VLOOKUP(A2355, imdb_netflix_v5!A$2:H$7370, 3, FALSE), "")</f>
        <v>Action, Animation, Comedy</v>
      </c>
      <c r="D2355" s="2">
        <f>IF(A2355&lt;&gt;"", VLOOKUP(A2355, imdb_netflix_v5!A$2:H$7370, 4, FALSE), "")</f>
        <v>7.8</v>
      </c>
      <c r="E2355" s="2">
        <f>IF(A2355&lt;&gt;"", VLOOKUP(A2355, imdb_netflix_v5!A$2:H$7370, 5, FALSE), "")</f>
        <v>2016</v>
      </c>
      <c r="F2355" s="2" t="str">
        <f>IF(A2355&lt;&gt;"", VLOOKUP(A2355, imdb_netflix_v5!A$2:H$7370, 7, FALSE), "")</f>
        <v>NA</v>
      </c>
    </row>
    <row r="2356" ht="15.75" customHeight="1">
      <c r="A2356" s="1" t="str">
        <f>IFERROR(__xludf.DUMMYFUNCTION("""COMPUTED_VALUE"""),"mamma roma")</f>
        <v>mamma roma</v>
      </c>
      <c r="B2356" s="1" t="str">
        <f>IF(A2356&lt;&gt;"", VLOOKUP(A2356, imdb_netflix_v5!A$2:H$7370, 2, FALSE), "")</f>
        <v>Movie</v>
      </c>
      <c r="C2356" s="2" t="str">
        <f>IF(A2356&lt;&gt;"", VLOOKUP(A2356, imdb_netflix_v5!A$2:H$7370, 3, FALSE), "")</f>
        <v>Drama</v>
      </c>
      <c r="D2356" s="2">
        <f>IF(A2356&lt;&gt;"", VLOOKUP(A2356, imdb_netflix_v5!A$2:H$7370, 4, FALSE), "")</f>
        <v>7.8</v>
      </c>
      <c r="E2356" s="2">
        <f>IF(A2356&lt;&gt;"", VLOOKUP(A2356, imdb_netflix_v5!A$2:H$7370, 5, FALSE), "")</f>
        <v>1962</v>
      </c>
      <c r="F2356" s="2" t="str">
        <f>IF(A2356&lt;&gt;"", VLOOKUP(A2356, imdb_netflix_v5!A$2:H$7370, 7, FALSE), "")</f>
        <v>NA</v>
      </c>
    </row>
    <row r="2357" ht="15.75" customHeight="1">
      <c r="A2357" s="1" t="str">
        <f>IFERROR(__xludf.DUMMYFUNCTION("""COMPUTED_VALUE"""),"take care of maya")</f>
        <v>take care of maya</v>
      </c>
      <c r="B2357" s="1" t="str">
        <f>IF(A2357&lt;&gt;"", VLOOKUP(A2357, imdb_netflix_v5!A$2:H$7370, 2, FALSE), "")</f>
        <v>Movie</v>
      </c>
      <c r="C2357" s="2" t="str">
        <f>IF(A2357&lt;&gt;"", VLOOKUP(A2357, imdb_netflix_v5!A$2:H$7370, 3, FALSE), "")</f>
        <v>Documentary</v>
      </c>
      <c r="D2357" s="2">
        <f>IF(A2357&lt;&gt;"", VLOOKUP(A2357, imdb_netflix_v5!A$2:H$7370, 4, FALSE), "")</f>
        <v>7.8</v>
      </c>
      <c r="E2357" s="2">
        <f>IF(A2357&lt;&gt;"", VLOOKUP(A2357, imdb_netflix_v5!A$2:H$7370, 5, FALSE), "")</f>
        <v>2023</v>
      </c>
      <c r="F2357" s="2">
        <f>IF(A2357&lt;&gt;"", VLOOKUP(A2357, imdb_netflix_v5!A$2:H$7370, 7, FALSE), "")</f>
        <v>7900000</v>
      </c>
    </row>
    <row r="2358" ht="15.75" customHeight="1">
      <c r="A2358" s="1" t="str">
        <f>IFERROR(__xludf.DUMMYFUNCTION("""COMPUTED_VALUE"""),"oasis")</f>
        <v>oasis</v>
      </c>
      <c r="B2358" s="1" t="str">
        <f>IF(A2358&lt;&gt;"", VLOOKUP(A2358, imdb_netflix_v5!A$2:H$7370, 2, FALSE), "")</f>
        <v>Movie</v>
      </c>
      <c r="C2358" s="2" t="str">
        <f>IF(A2358&lt;&gt;"", VLOOKUP(A2358, imdb_netflix_v5!A$2:H$7370, 3, FALSE), "")</f>
        <v>Drama, Romance</v>
      </c>
      <c r="D2358" s="2">
        <f>IF(A2358&lt;&gt;"", VLOOKUP(A2358, imdb_netflix_v5!A$2:H$7370, 4, FALSE), "")</f>
        <v>7.8</v>
      </c>
      <c r="E2358" s="2">
        <f>IF(A2358&lt;&gt;"", VLOOKUP(A2358, imdb_netflix_v5!A$2:H$7370, 5, FALSE), "")</f>
        <v>2002</v>
      </c>
      <c r="F2358" s="2" t="str">
        <f>IF(A2358&lt;&gt;"", VLOOKUP(A2358, imdb_netflix_v5!A$2:H$7370, 7, FALSE), "")</f>
        <v>NA</v>
      </c>
    </row>
    <row r="2359" ht="15.75" customHeight="1">
      <c r="A2359" s="1" t="str">
        <f>IFERROR(__xludf.DUMMYFUNCTION("""COMPUTED_VALUE"""),"taali")</f>
        <v>taali</v>
      </c>
      <c r="B2359" s="1" t="str">
        <f>IF(A2359&lt;&gt;"", VLOOKUP(A2359, imdb_netflix_v5!A$2:H$7370, 2, FALSE), "")</f>
        <v>TV Show</v>
      </c>
      <c r="C2359" s="2" t="str">
        <f>IF(A2359&lt;&gt;"", VLOOKUP(A2359, imdb_netflix_v5!A$2:H$7370, 3, FALSE), "")</f>
        <v>Drama</v>
      </c>
      <c r="D2359" s="2">
        <f>IF(A2359&lt;&gt;"", VLOOKUP(A2359, imdb_netflix_v5!A$2:H$7370, 4, FALSE), "")</f>
        <v>7.8</v>
      </c>
      <c r="E2359" s="2">
        <f>IF(A2359&lt;&gt;"", VLOOKUP(A2359, imdb_netflix_v5!A$2:H$7370, 5, FALSE), "")</f>
        <v>2023</v>
      </c>
      <c r="F2359" s="2" t="str">
        <f>IF(A2359&lt;&gt;"", VLOOKUP(A2359, imdb_netflix_v5!A$2:H$7370, 7, FALSE), "")</f>
        <v>NA</v>
      </c>
    </row>
    <row r="2360" ht="15.75" customHeight="1">
      <c r="A2360" s="1" t="str">
        <f>IFERROR(__xludf.DUMMYFUNCTION("""COMPUTED_VALUE"""),"lovelorn")</f>
        <v>lovelorn</v>
      </c>
      <c r="B2360" s="1" t="str">
        <f>IF(A2360&lt;&gt;"", VLOOKUP(A2360, imdb_netflix_v5!A$2:H$7370, 2, FALSE), "")</f>
        <v>Movie</v>
      </c>
      <c r="C2360" s="2" t="str">
        <f>IF(A2360&lt;&gt;"", VLOOKUP(A2360, imdb_netflix_v5!A$2:H$7370, 3, FALSE), "")</f>
        <v>Drama</v>
      </c>
      <c r="D2360" s="2">
        <f>IF(A2360&lt;&gt;"", VLOOKUP(A2360, imdb_netflix_v5!A$2:H$7370, 4, FALSE), "")</f>
        <v>7.8</v>
      </c>
      <c r="E2360" s="2">
        <f>IF(A2360&lt;&gt;"", VLOOKUP(A2360, imdb_netflix_v5!A$2:H$7370, 5, FALSE), "")</f>
        <v>2005</v>
      </c>
      <c r="F2360" s="2" t="str">
        <f>IF(A2360&lt;&gt;"", VLOOKUP(A2360, imdb_netflix_v5!A$2:H$7370, 7, FALSE), "")</f>
        <v>NA</v>
      </c>
    </row>
    <row r="2361" ht="15.75" customHeight="1">
      <c r="A2361" s="1" t="str">
        <f>IFERROR(__xludf.DUMMYFUNCTION("""COMPUTED_VALUE"""),"my hero academia heroes rising")</f>
        <v>my hero academia heroes rising</v>
      </c>
      <c r="B2361" s="1" t="str">
        <f>IF(A2361&lt;&gt;"", VLOOKUP(A2361, imdb_netflix_v5!A$2:H$7370, 2, FALSE), "")</f>
        <v>Movie</v>
      </c>
      <c r="C2361" s="2" t="str">
        <f>IF(A2361&lt;&gt;"", VLOOKUP(A2361, imdb_netflix_v5!A$2:H$7370, 3, FALSE), "")</f>
        <v>Action, Adventure, Animation</v>
      </c>
      <c r="D2361" s="2">
        <f>IF(A2361&lt;&gt;"", VLOOKUP(A2361, imdb_netflix_v5!A$2:H$7370, 4, FALSE), "")</f>
        <v>7.8</v>
      </c>
      <c r="E2361" s="2">
        <f>IF(A2361&lt;&gt;"", VLOOKUP(A2361, imdb_netflix_v5!A$2:H$7370, 5, FALSE), "")</f>
        <v>2019</v>
      </c>
      <c r="F2361" s="2" t="str">
        <f>IF(A2361&lt;&gt;"", VLOOKUP(A2361, imdb_netflix_v5!A$2:H$7370, 7, FALSE), "")</f>
        <v>NA</v>
      </c>
    </row>
    <row r="2362" ht="15.75" customHeight="1">
      <c r="A2362" s="1" t="str">
        <f>IFERROR(__xludf.DUMMYFUNCTION("""COMPUTED_VALUE"""),"the k2")</f>
        <v>the k2</v>
      </c>
      <c r="B2362" s="1" t="str">
        <f>IF(A2362&lt;&gt;"", VLOOKUP(A2362, imdb_netflix_v5!A$2:H$7370, 2, FALSE), "")</f>
        <v>TV Show</v>
      </c>
      <c r="C2362" s="2" t="str">
        <f>IF(A2362&lt;&gt;"", VLOOKUP(A2362, imdb_netflix_v5!A$2:H$7370, 3, FALSE), "")</f>
        <v>Drama, Romance, Thriller</v>
      </c>
      <c r="D2362" s="2">
        <f>IF(A2362&lt;&gt;"", VLOOKUP(A2362, imdb_netflix_v5!A$2:H$7370, 4, FALSE), "")</f>
        <v>7.8</v>
      </c>
      <c r="E2362" s="2">
        <f>IF(A2362&lt;&gt;"", VLOOKUP(A2362, imdb_netflix_v5!A$2:H$7370, 5, FALSE), "")</f>
        <v>2016</v>
      </c>
      <c r="F2362" s="2" t="str">
        <f>IF(A2362&lt;&gt;"", VLOOKUP(A2362, imdb_netflix_v5!A$2:H$7370, 7, FALSE), "")</f>
        <v>NA</v>
      </c>
    </row>
    <row r="2363" ht="15.75" customHeight="1">
      <c r="A2363" s="1" t="str">
        <f>IFERROR(__xludf.DUMMYFUNCTION("""COMPUTED_VALUE"""),"the new tom &amp; jerry show")</f>
        <v>the new tom &amp; jerry show</v>
      </c>
      <c r="B2363" s="1" t="str">
        <f>IF(A2363&lt;&gt;"", VLOOKUP(A2363, imdb_netflix_v5!A$2:H$7370, 2, FALSE), "")</f>
        <v>TV Show</v>
      </c>
      <c r="C2363" s="2" t="str">
        <f>IF(A2363&lt;&gt;"", VLOOKUP(A2363, imdb_netflix_v5!A$2:H$7370, 3, FALSE), "")</f>
        <v>Adventure, Animation, Comedy</v>
      </c>
      <c r="D2363" s="2">
        <f>IF(A2363&lt;&gt;"", VLOOKUP(A2363, imdb_netflix_v5!A$2:H$7370, 4, FALSE), "")</f>
        <v>7.8</v>
      </c>
      <c r="E2363" s="2">
        <f>IF(A2363&lt;&gt;"", VLOOKUP(A2363, imdb_netflix_v5!A$2:H$7370, 5, FALSE), "")</f>
        <v>1975</v>
      </c>
      <c r="F2363" s="2" t="str">
        <f>IF(A2363&lt;&gt;"", VLOOKUP(A2363, imdb_netflix_v5!A$2:H$7370, 7, FALSE), "")</f>
        <v>NA</v>
      </c>
    </row>
    <row r="2364" ht="15.75" customHeight="1">
      <c r="A2364" s="1" t="str">
        <f>IFERROR(__xludf.DUMMYFUNCTION("""COMPUTED_VALUE"""),"the set-up")</f>
        <v>the set-up</v>
      </c>
      <c r="B2364" s="1" t="str">
        <f>IF(A2364&lt;&gt;"", VLOOKUP(A2364, imdb_netflix_v5!A$2:H$7370, 2, FALSE), "")</f>
        <v>Movie</v>
      </c>
      <c r="C2364" s="2" t="str">
        <f>IF(A2364&lt;&gt;"", VLOOKUP(A2364, imdb_netflix_v5!A$2:H$7370, 3, FALSE), "")</f>
        <v>Crime, Film-Noir, Sport</v>
      </c>
      <c r="D2364" s="2">
        <f>IF(A2364&lt;&gt;"", VLOOKUP(A2364, imdb_netflix_v5!A$2:H$7370, 4, FALSE), "")</f>
        <v>7.8</v>
      </c>
      <c r="E2364" s="2">
        <f>IF(A2364&lt;&gt;"", VLOOKUP(A2364, imdb_netflix_v5!A$2:H$7370, 5, FALSE), "")</f>
        <v>1949</v>
      </c>
      <c r="F2364" s="2" t="str">
        <f>IF(A2364&lt;&gt;"", VLOOKUP(A2364, imdb_netflix_v5!A$2:H$7370, 7, FALSE), "")</f>
        <v>NA</v>
      </c>
    </row>
    <row r="2365" ht="15.75" customHeight="1">
      <c r="A2365" s="1" t="str">
        <f>IFERROR(__xludf.DUMMYFUNCTION("""COMPUTED_VALUE"""),"the tick")</f>
        <v>the tick</v>
      </c>
      <c r="B2365" s="1" t="str">
        <f>IF(A2365&lt;&gt;"", VLOOKUP(A2365, imdb_netflix_v5!A$2:H$7370, 2, FALSE), "")</f>
        <v>TV Show</v>
      </c>
      <c r="C2365" s="2" t="str">
        <f>IF(A2365&lt;&gt;"", VLOOKUP(A2365, imdb_netflix_v5!A$2:H$7370, 3, FALSE), "")</f>
        <v>Action, Adventure, Animation</v>
      </c>
      <c r="D2365" s="2">
        <f>IF(A2365&lt;&gt;"", VLOOKUP(A2365, imdb_netflix_v5!A$2:H$7370, 4, FALSE), "")</f>
        <v>7.8</v>
      </c>
      <c r="E2365" s="2">
        <f>IF(A2365&lt;&gt;"", VLOOKUP(A2365, imdb_netflix_v5!A$2:H$7370, 5, FALSE), "")</f>
        <v>1994</v>
      </c>
      <c r="F2365" s="2" t="str">
        <f>IF(A2365&lt;&gt;"", VLOOKUP(A2365, imdb_netflix_v5!A$2:H$7370, 7, FALSE), "")</f>
        <v>NA</v>
      </c>
    </row>
    <row r="2366" ht="15.75" customHeight="1">
      <c r="A2366" s="1" t="str">
        <f>IFERROR(__xludf.DUMMYFUNCTION("""COMPUTED_VALUE"""),"tanaav")</f>
        <v>tanaav</v>
      </c>
      <c r="B2366" s="1" t="str">
        <f>IF(A2366&lt;&gt;"", VLOOKUP(A2366, imdb_netflix_v5!A$2:H$7370, 2, FALSE), "")</f>
        <v>TV Show</v>
      </c>
      <c r="C2366" s="2" t="str">
        <f>IF(A2366&lt;&gt;"", VLOOKUP(A2366, imdb_netflix_v5!A$2:H$7370, 3, FALSE), "")</f>
        <v>Action, Crime, Drama</v>
      </c>
      <c r="D2366" s="2">
        <f>IF(A2366&lt;&gt;"", VLOOKUP(A2366, imdb_netflix_v5!A$2:H$7370, 4, FALSE), "")</f>
        <v>7.8</v>
      </c>
      <c r="E2366" s="2">
        <f>IF(A2366&lt;&gt;"", VLOOKUP(A2366, imdb_netflix_v5!A$2:H$7370, 5, FALSE), "")</f>
        <v>2022</v>
      </c>
      <c r="F2366" s="2" t="str">
        <f>IF(A2366&lt;&gt;"", VLOOKUP(A2366, imdb_netflix_v5!A$2:H$7370, 7, FALSE), "")</f>
        <v>NA</v>
      </c>
    </row>
    <row r="2367" ht="15.75" customHeight="1">
      <c r="A2367" s="1" t="str">
        <f>IFERROR(__xludf.DUMMYFUNCTION("""COMPUTED_VALUE"""),"hit-monkey")</f>
        <v>hit-monkey</v>
      </c>
      <c r="B2367" s="1" t="str">
        <f>IF(A2367&lt;&gt;"", VLOOKUP(A2367, imdb_netflix_v5!A$2:H$7370, 2, FALSE), "")</f>
        <v>TV Show</v>
      </c>
      <c r="C2367" s="2" t="str">
        <f>IF(A2367&lt;&gt;"", VLOOKUP(A2367, imdb_netflix_v5!A$2:H$7370, 3, FALSE), "")</f>
        <v>Action, Adventure, Animation</v>
      </c>
      <c r="D2367" s="2">
        <f>IF(A2367&lt;&gt;"", VLOOKUP(A2367, imdb_netflix_v5!A$2:H$7370, 4, FALSE), "")</f>
        <v>7.8</v>
      </c>
      <c r="E2367" s="2">
        <f>IF(A2367&lt;&gt;"", VLOOKUP(A2367, imdb_netflix_v5!A$2:H$7370, 5, FALSE), "")</f>
        <v>2021</v>
      </c>
      <c r="F2367" s="2" t="str">
        <f>IF(A2367&lt;&gt;"", VLOOKUP(A2367, imdb_netflix_v5!A$2:H$7370, 7, FALSE), "")</f>
        <v>NA</v>
      </c>
    </row>
    <row r="2368" ht="15.75" customHeight="1">
      <c r="A2368" s="1" t="str">
        <f>IFERROR(__xludf.DUMMYFUNCTION("""COMPUTED_VALUE"""),"steins;gate the movie - load region of déjà vu")</f>
        <v>steins;gate the movie - load region of déjà vu</v>
      </c>
      <c r="B2368" s="1" t="str">
        <f>IF(A2368&lt;&gt;"", VLOOKUP(A2368, imdb_netflix_v5!A$2:H$7370, 2, FALSE), "")</f>
        <v>Movie</v>
      </c>
      <c r="C2368" s="2" t="str">
        <f>IF(A2368&lt;&gt;"", VLOOKUP(A2368, imdb_netflix_v5!A$2:H$7370, 3, FALSE), "")</f>
        <v>Animation, Mystery, Sci-Fi</v>
      </c>
      <c r="D2368" s="2">
        <f>IF(A2368&lt;&gt;"", VLOOKUP(A2368, imdb_netflix_v5!A$2:H$7370, 4, FALSE), "")</f>
        <v>7.8</v>
      </c>
      <c r="E2368" s="2">
        <f>IF(A2368&lt;&gt;"", VLOOKUP(A2368, imdb_netflix_v5!A$2:H$7370, 5, FALSE), "")</f>
        <v>2013</v>
      </c>
      <c r="F2368" s="2" t="str">
        <f>IF(A2368&lt;&gt;"", VLOOKUP(A2368, imdb_netflix_v5!A$2:H$7370, 7, FALSE), "")</f>
        <v>NA</v>
      </c>
    </row>
    <row r="2369" ht="15.75" customHeight="1">
      <c r="A2369" s="1" t="str">
        <f>IFERROR(__xludf.DUMMYFUNCTION("""COMPUTED_VALUE"""),"mother india")</f>
        <v>mother india</v>
      </c>
      <c r="B2369" s="1" t="str">
        <f>IF(A2369&lt;&gt;"", VLOOKUP(A2369, imdb_netflix_v5!A$2:H$7370, 2, FALSE), "")</f>
        <v>Movie</v>
      </c>
      <c r="C2369" s="2" t="str">
        <f>IF(A2369&lt;&gt;"", VLOOKUP(A2369, imdb_netflix_v5!A$2:H$7370, 3, FALSE), "")</f>
        <v>Action, Comedy, Drama</v>
      </c>
      <c r="D2369" s="2">
        <f>IF(A2369&lt;&gt;"", VLOOKUP(A2369, imdb_netflix_v5!A$2:H$7370, 4, FALSE), "")</f>
        <v>7.8</v>
      </c>
      <c r="E2369" s="2">
        <f>IF(A2369&lt;&gt;"", VLOOKUP(A2369, imdb_netflix_v5!A$2:H$7370, 5, FALSE), "")</f>
        <v>1957</v>
      </c>
      <c r="F2369" s="2" t="str">
        <f>IF(A2369&lt;&gt;"", VLOOKUP(A2369, imdb_netflix_v5!A$2:H$7370, 7, FALSE), "")</f>
        <v>NA</v>
      </c>
    </row>
    <row r="2370" ht="15.75" customHeight="1">
      <c r="A2370" s="1" t="str">
        <f>IFERROR(__xludf.DUMMYFUNCTION("""COMPUTED_VALUE"""),"captain america the winter soldier")</f>
        <v>captain america the winter soldier</v>
      </c>
      <c r="B2370" s="1" t="str">
        <f>IF(A2370&lt;&gt;"", VLOOKUP(A2370, imdb_netflix_v5!A$2:H$7370, 2, FALSE), "")</f>
        <v>Movie</v>
      </c>
      <c r="C2370" s="2" t="str">
        <f>IF(A2370&lt;&gt;"", VLOOKUP(A2370, imdb_netflix_v5!A$2:H$7370, 3, FALSE), "")</f>
        <v>Action, Adventure, Sci-Fi</v>
      </c>
      <c r="D2370" s="2">
        <f>IF(A2370&lt;&gt;"", VLOOKUP(A2370, imdb_netflix_v5!A$2:H$7370, 4, FALSE), "")</f>
        <v>7.7</v>
      </c>
      <c r="E2370" s="2">
        <f>IF(A2370&lt;&gt;"", VLOOKUP(A2370, imdb_netflix_v5!A$2:H$7370, 5, FALSE), "")</f>
        <v>2014</v>
      </c>
      <c r="F2370" s="2" t="str">
        <f>IF(A2370&lt;&gt;"", VLOOKUP(A2370, imdb_netflix_v5!A$2:H$7370, 7, FALSE), "")</f>
        <v>NA</v>
      </c>
    </row>
    <row r="2371" ht="15.75" customHeight="1">
      <c r="A2371" s="1" t="str">
        <f>IFERROR(__xludf.DUMMYFUNCTION("""COMPUTED_VALUE"""),"harry potter and the sorcerers stone")</f>
        <v>harry potter and the sorcerers stone</v>
      </c>
      <c r="B2371" s="1" t="str">
        <f>IF(A2371&lt;&gt;"", VLOOKUP(A2371, imdb_netflix_v5!A$2:H$7370, 2, FALSE), "")</f>
        <v>Movie</v>
      </c>
      <c r="C2371" s="2" t="str">
        <f>IF(A2371&lt;&gt;"", VLOOKUP(A2371, imdb_netflix_v5!A$2:H$7370, 3, FALSE), "")</f>
        <v>Adventure, Family, Fantasy</v>
      </c>
      <c r="D2371" s="2">
        <f>IF(A2371&lt;&gt;"", VLOOKUP(A2371, imdb_netflix_v5!A$2:H$7370, 4, FALSE), "")</f>
        <v>7.7</v>
      </c>
      <c r="E2371" s="2">
        <f>IF(A2371&lt;&gt;"", VLOOKUP(A2371, imdb_netflix_v5!A$2:H$7370, 5, FALSE), "")</f>
        <v>2001</v>
      </c>
      <c r="F2371" s="2">
        <f>IF(A2371&lt;&gt;"", VLOOKUP(A2371, imdb_netflix_v5!A$2:H$7370, 7, FALSE), "")</f>
        <v>4790000</v>
      </c>
    </row>
    <row r="2372" ht="15.75" customHeight="1">
      <c r="A2372" s="1" t="str">
        <f>IFERROR(__xludf.DUMMYFUNCTION("""COMPUTED_VALUE"""),"gravity")</f>
        <v>gravity</v>
      </c>
      <c r="B2372" s="1" t="str">
        <f>IF(A2372&lt;&gt;"", VLOOKUP(A2372, imdb_netflix_v5!A$2:H$7370, 2, FALSE), "")</f>
        <v>Movie</v>
      </c>
      <c r="C2372" s="2" t="str">
        <f>IF(A2372&lt;&gt;"", VLOOKUP(A2372, imdb_netflix_v5!A$2:H$7370, 3, FALSE), "")</f>
        <v>Drama, Sci-Fi, Thriller</v>
      </c>
      <c r="D2372" s="2">
        <f>IF(A2372&lt;&gt;"", VLOOKUP(A2372, imdb_netflix_v5!A$2:H$7370, 4, FALSE), "")</f>
        <v>7.7</v>
      </c>
      <c r="E2372" s="2">
        <f>IF(A2372&lt;&gt;"", VLOOKUP(A2372, imdb_netflix_v5!A$2:H$7370, 5, FALSE), "")</f>
        <v>2013</v>
      </c>
      <c r="F2372" s="2" t="str">
        <f>IF(A2372&lt;&gt;"", VLOOKUP(A2372, imdb_netflix_v5!A$2:H$7370, 7, FALSE), "")</f>
        <v>NA</v>
      </c>
    </row>
    <row r="2373" ht="15.75" customHeight="1">
      <c r="A2373" s="1" t="str">
        <f>IFERROR(__xludf.DUMMYFUNCTION("""COMPUTED_VALUE"""),"the hangover")</f>
        <v>the hangover</v>
      </c>
      <c r="B2373" s="1" t="str">
        <f>IF(A2373&lt;&gt;"", VLOOKUP(A2373, imdb_netflix_v5!A$2:H$7370, 2, FALSE), "")</f>
        <v>Movie</v>
      </c>
      <c r="C2373" s="2" t="str">
        <f>IF(A2373&lt;&gt;"", VLOOKUP(A2373, imdb_netflix_v5!A$2:H$7370, 3, FALSE), "")</f>
        <v>Comedy</v>
      </c>
      <c r="D2373" s="2">
        <f>IF(A2373&lt;&gt;"", VLOOKUP(A2373, imdb_netflix_v5!A$2:H$7370, 4, FALSE), "")</f>
        <v>7.7</v>
      </c>
      <c r="E2373" s="2">
        <f>IF(A2373&lt;&gt;"", VLOOKUP(A2373, imdb_netflix_v5!A$2:H$7370, 5, FALSE), "")</f>
        <v>2009</v>
      </c>
      <c r="F2373" s="2" t="str">
        <f>IF(A2373&lt;&gt;"", VLOOKUP(A2373, imdb_netflix_v5!A$2:H$7370, 7, FALSE), "")</f>
        <v>NA</v>
      </c>
    </row>
    <row r="2374" ht="15.75" customHeight="1">
      <c r="A2374" s="1" t="str">
        <f>IFERROR(__xludf.DUMMYFUNCTION("""COMPUTED_VALUE"""),"silver linings playbook")</f>
        <v>silver linings playbook</v>
      </c>
      <c r="B2374" s="1" t="str">
        <f>IF(A2374&lt;&gt;"", VLOOKUP(A2374, imdb_netflix_v5!A$2:H$7370, 2, FALSE), "")</f>
        <v>Movie</v>
      </c>
      <c r="C2374" s="2" t="str">
        <f>IF(A2374&lt;&gt;"", VLOOKUP(A2374, imdb_netflix_v5!A$2:H$7370, 3, FALSE), "")</f>
        <v>Comedy, Drama, Romance</v>
      </c>
      <c r="D2374" s="2">
        <f>IF(A2374&lt;&gt;"", VLOOKUP(A2374, imdb_netflix_v5!A$2:H$7370, 4, FALSE), "")</f>
        <v>7.7</v>
      </c>
      <c r="E2374" s="2">
        <f>IF(A2374&lt;&gt;"", VLOOKUP(A2374, imdb_netflix_v5!A$2:H$7370, 5, FALSE), "")</f>
        <v>2012</v>
      </c>
      <c r="F2374" s="2" t="str">
        <f>IF(A2374&lt;&gt;"", VLOOKUP(A2374, imdb_netflix_v5!A$2:H$7370, 7, FALSE), "")</f>
        <v>NA</v>
      </c>
    </row>
    <row r="2375" ht="15.75" customHeight="1">
      <c r="A2375" s="1" t="str">
        <f>IFERROR(__xludf.DUMMYFUNCTION("""COMPUTED_VALUE"""),"x-men first class")</f>
        <v>x-men first class</v>
      </c>
      <c r="B2375" s="1" t="str">
        <f>IF(A2375&lt;&gt;"", VLOOKUP(A2375, imdb_netflix_v5!A$2:H$7370, 2, FALSE), "")</f>
        <v>Movie</v>
      </c>
      <c r="C2375" s="2" t="str">
        <f>IF(A2375&lt;&gt;"", VLOOKUP(A2375, imdb_netflix_v5!A$2:H$7370, 3, FALSE), "")</f>
        <v>Action, Sci-Fi</v>
      </c>
      <c r="D2375" s="2">
        <f>IF(A2375&lt;&gt;"", VLOOKUP(A2375, imdb_netflix_v5!A$2:H$7370, 4, FALSE), "")</f>
        <v>7.7</v>
      </c>
      <c r="E2375" s="2">
        <f>IF(A2375&lt;&gt;"", VLOOKUP(A2375, imdb_netflix_v5!A$2:H$7370, 5, FALSE), "")</f>
        <v>2011</v>
      </c>
      <c r="F2375" s="2" t="str">
        <f>IF(A2375&lt;&gt;"", VLOOKUP(A2375, imdb_netflix_v5!A$2:H$7370, 7, FALSE), "")</f>
        <v>NA</v>
      </c>
    </row>
    <row r="2376" ht="15.75" customHeight="1">
      <c r="A2376" s="1" t="str">
        <f>IFERROR(__xludf.DUMMYFUNCTION("""COMPUTED_VALUE"""),"kingsman the secret service")</f>
        <v>kingsman the secret service</v>
      </c>
      <c r="B2376" s="1" t="str">
        <f>IF(A2376&lt;&gt;"", VLOOKUP(A2376, imdb_netflix_v5!A$2:H$7370, 2, FALSE), "")</f>
        <v>Movie</v>
      </c>
      <c r="C2376" s="2" t="str">
        <f>IF(A2376&lt;&gt;"", VLOOKUP(A2376, imdb_netflix_v5!A$2:H$7370, 3, FALSE), "")</f>
        <v>Action, Adventure, Comedy</v>
      </c>
      <c r="D2376" s="2">
        <f>IF(A2376&lt;&gt;"", VLOOKUP(A2376, imdb_netflix_v5!A$2:H$7370, 4, FALSE), "")</f>
        <v>7.7</v>
      </c>
      <c r="E2376" s="2">
        <f>IF(A2376&lt;&gt;"", VLOOKUP(A2376, imdb_netflix_v5!A$2:H$7370, 5, FALSE), "")</f>
        <v>2014</v>
      </c>
      <c r="F2376" s="2" t="str">
        <f>IF(A2376&lt;&gt;"", VLOOKUP(A2376, imdb_netflix_v5!A$2:H$7370, 7, FALSE), "")</f>
        <v>NA</v>
      </c>
    </row>
    <row r="2377" ht="15.75" customHeight="1">
      <c r="A2377" s="1" t="str">
        <f>IFERROR(__xludf.DUMMYFUNCTION("""COMPUTED_VALUE"""),"harry potter and the goblet of fire")</f>
        <v>harry potter and the goblet of fire</v>
      </c>
      <c r="B2377" s="1" t="str">
        <f>IF(A2377&lt;&gt;"", VLOOKUP(A2377, imdb_netflix_v5!A$2:H$7370, 2, FALSE), "")</f>
        <v>Movie</v>
      </c>
      <c r="C2377" s="2" t="str">
        <f>IF(A2377&lt;&gt;"", VLOOKUP(A2377, imdb_netflix_v5!A$2:H$7370, 3, FALSE), "")</f>
        <v>Adventure, Family, Fantasy</v>
      </c>
      <c r="D2377" s="2">
        <f>IF(A2377&lt;&gt;"", VLOOKUP(A2377, imdb_netflix_v5!A$2:H$7370, 4, FALSE), "")</f>
        <v>7.7</v>
      </c>
      <c r="E2377" s="2">
        <f>IF(A2377&lt;&gt;"", VLOOKUP(A2377, imdb_netflix_v5!A$2:H$7370, 5, FALSE), "")</f>
        <v>2005</v>
      </c>
      <c r="F2377" s="2" t="str">
        <f>IF(A2377&lt;&gt;"", VLOOKUP(A2377, imdb_netflix_v5!A$2:H$7370, 7, FALSE), "")</f>
        <v>NA</v>
      </c>
    </row>
    <row r="2378" ht="15.75" customHeight="1">
      <c r="A2378" s="1" t="str">
        <f>IFERROR(__xludf.DUMMYFUNCTION("""COMPUTED_VALUE"""),"birdman or (the unexpected virtue of ignorance)")</f>
        <v>birdman or (the unexpected virtue of ignorance)</v>
      </c>
      <c r="B2378" s="1" t="str">
        <f>IF(A2378&lt;&gt;"", VLOOKUP(A2378, imdb_netflix_v5!A$2:H$7370, 2, FALSE), "")</f>
        <v>Movie</v>
      </c>
      <c r="C2378" s="2" t="str">
        <f>IF(A2378&lt;&gt;"", VLOOKUP(A2378, imdb_netflix_v5!A$2:H$7370, 3, FALSE), "")</f>
        <v>Comedy, Drama</v>
      </c>
      <c r="D2378" s="2">
        <f>IF(A2378&lt;&gt;"", VLOOKUP(A2378, imdb_netflix_v5!A$2:H$7370, 4, FALSE), "")</f>
        <v>7.7</v>
      </c>
      <c r="E2378" s="2">
        <f>IF(A2378&lt;&gt;"", VLOOKUP(A2378, imdb_netflix_v5!A$2:H$7370, 5, FALSE), "")</f>
        <v>2014</v>
      </c>
      <c r="F2378" s="2" t="str">
        <f>IF(A2378&lt;&gt;"", VLOOKUP(A2378, imdb_netflix_v5!A$2:H$7370, 7, FALSE), "")</f>
        <v>NA</v>
      </c>
    </row>
    <row r="2379" ht="15.75" customHeight="1">
      <c r="A2379" s="1" t="str">
        <f>IFERROR(__xludf.DUMMYFUNCTION("""COMPUTED_VALUE"""),"home alone")</f>
        <v>home alone</v>
      </c>
      <c r="B2379" s="1" t="str">
        <f>IF(A2379&lt;&gt;"", VLOOKUP(A2379, imdb_netflix_v5!A$2:H$7370, 2, FALSE), "")</f>
        <v>Movie</v>
      </c>
      <c r="C2379" s="2" t="str">
        <f>IF(A2379&lt;&gt;"", VLOOKUP(A2379, imdb_netflix_v5!A$2:H$7370, 3, FALSE), "")</f>
        <v>Comedy, Family</v>
      </c>
      <c r="D2379" s="2">
        <f>IF(A2379&lt;&gt;"", VLOOKUP(A2379, imdb_netflix_v5!A$2:H$7370, 4, FALSE), "")</f>
        <v>7.7</v>
      </c>
      <c r="E2379" s="2">
        <f>IF(A2379&lt;&gt;"", VLOOKUP(A2379, imdb_netflix_v5!A$2:H$7370, 5, FALSE), "")</f>
        <v>1990</v>
      </c>
      <c r="F2379" s="2" t="str">
        <f>IF(A2379&lt;&gt;"", VLOOKUP(A2379, imdb_netflix_v5!A$2:H$7370, 7, FALSE), "")</f>
        <v>NA</v>
      </c>
    </row>
    <row r="2380" ht="15.75" customHeight="1">
      <c r="A2380" s="1" t="str">
        <f>IFERROR(__xludf.DUMMYFUNCTION("""COMPUTED_VALUE"""),"argo")</f>
        <v>argo</v>
      </c>
      <c r="B2380" s="1" t="str">
        <f>IF(A2380&lt;&gt;"", VLOOKUP(A2380, imdb_netflix_v5!A$2:H$7370, 2, FALSE), "")</f>
        <v>Movie</v>
      </c>
      <c r="C2380" s="2" t="str">
        <f>IF(A2380&lt;&gt;"", VLOOKUP(A2380, imdb_netflix_v5!A$2:H$7370, 3, FALSE), "")</f>
        <v>Biography, Drama, History</v>
      </c>
      <c r="D2380" s="2">
        <f>IF(A2380&lt;&gt;"", VLOOKUP(A2380, imdb_netflix_v5!A$2:H$7370, 4, FALSE), "")</f>
        <v>7.7</v>
      </c>
      <c r="E2380" s="2">
        <f>IF(A2380&lt;&gt;"", VLOOKUP(A2380, imdb_netflix_v5!A$2:H$7370, 5, FALSE), "")</f>
        <v>2012</v>
      </c>
      <c r="F2380" s="2" t="str">
        <f>IF(A2380&lt;&gt;"", VLOOKUP(A2380, imdb_netflix_v5!A$2:H$7370, 7, FALSE), "")</f>
        <v>NA</v>
      </c>
    </row>
    <row r="2381" ht="15.75" customHeight="1">
      <c r="A2381" s="1" t="str">
        <f>IFERROR(__xludf.DUMMYFUNCTION("""COMPUTED_VALUE"""),"oceans eleven")</f>
        <v>oceans eleven</v>
      </c>
      <c r="B2381" s="1" t="str">
        <f>IF(A2381&lt;&gt;"", VLOOKUP(A2381, imdb_netflix_v5!A$2:H$7370, 2, FALSE), "")</f>
        <v>Movie</v>
      </c>
      <c r="C2381" s="2" t="str">
        <f>IF(A2381&lt;&gt;"", VLOOKUP(A2381, imdb_netflix_v5!A$2:H$7370, 3, FALSE), "")</f>
        <v>Crime, Thriller</v>
      </c>
      <c r="D2381" s="2">
        <f>IF(A2381&lt;&gt;"", VLOOKUP(A2381, imdb_netflix_v5!A$2:H$7370, 4, FALSE), "")</f>
        <v>7.7</v>
      </c>
      <c r="E2381" s="2">
        <f>IF(A2381&lt;&gt;"", VLOOKUP(A2381, imdb_netflix_v5!A$2:H$7370, 5, FALSE), "")</f>
        <v>2001</v>
      </c>
      <c r="F2381" s="2" t="str">
        <f>IF(A2381&lt;&gt;"", VLOOKUP(A2381, imdb_netflix_v5!A$2:H$7370, 7, FALSE), "")</f>
        <v>NA</v>
      </c>
    </row>
    <row r="2382" ht="15.75" customHeight="1">
      <c r="A2382" s="1" t="str">
        <f>IFERROR(__xludf.DUMMYFUNCTION("""COMPUTED_VALUE"""),"zodiac")</f>
        <v>zodiac</v>
      </c>
      <c r="B2382" s="1" t="str">
        <f>IF(A2382&lt;&gt;"", VLOOKUP(A2382, imdb_netflix_v5!A$2:H$7370, 2, FALSE), "")</f>
        <v>Movie</v>
      </c>
      <c r="C2382" s="2" t="str">
        <f>IF(A2382&lt;&gt;"", VLOOKUP(A2382, imdb_netflix_v5!A$2:H$7370, 3, FALSE), "")</f>
        <v>Crime, Drama, Mystery</v>
      </c>
      <c r="D2382" s="2">
        <f>IF(A2382&lt;&gt;"", VLOOKUP(A2382, imdb_netflix_v5!A$2:H$7370, 4, FALSE), "")</f>
        <v>7.7</v>
      </c>
      <c r="E2382" s="2">
        <f>IF(A2382&lt;&gt;"", VLOOKUP(A2382, imdb_netflix_v5!A$2:H$7370, 5, FALSE), "")</f>
        <v>2007</v>
      </c>
      <c r="F2382" s="2" t="str">
        <f>IF(A2382&lt;&gt;"", VLOOKUP(A2382, imdb_netflix_v5!A$2:H$7370, 7, FALSE), "")</f>
        <v>NA</v>
      </c>
    </row>
    <row r="2383" ht="15.75" customHeight="1">
      <c r="A2383" s="1" t="str">
        <f>IFERROR(__xludf.DUMMYFUNCTION("""COMPUTED_VALUE"""),"harry potter and the deathly hallows part 1")</f>
        <v>harry potter and the deathly hallows part 1</v>
      </c>
      <c r="B2383" s="1" t="str">
        <f>IF(A2383&lt;&gt;"", VLOOKUP(A2383, imdb_netflix_v5!A$2:H$7370, 2, FALSE), "")</f>
        <v>Movie</v>
      </c>
      <c r="C2383" s="2" t="str">
        <f>IF(A2383&lt;&gt;"", VLOOKUP(A2383, imdb_netflix_v5!A$2:H$7370, 3, FALSE), "")</f>
        <v>Adventure, Family, Fantasy</v>
      </c>
      <c r="D2383" s="2">
        <f>IF(A2383&lt;&gt;"", VLOOKUP(A2383, imdb_netflix_v5!A$2:H$7370, 4, FALSE), "")</f>
        <v>7.7</v>
      </c>
      <c r="E2383" s="2">
        <f>IF(A2383&lt;&gt;"", VLOOKUP(A2383, imdb_netflix_v5!A$2:H$7370, 5, FALSE), "")</f>
        <v>2010</v>
      </c>
      <c r="F2383" s="2" t="str">
        <f>IF(A2383&lt;&gt;"", VLOOKUP(A2383, imdb_netflix_v5!A$2:H$7370, 7, FALSE), "")</f>
        <v>NA</v>
      </c>
    </row>
    <row r="2384" ht="15.75" customHeight="1">
      <c r="A2384" s="1" t="str">
        <f>IFERROR(__xludf.DUMMYFUNCTION("""COMPUTED_VALUE"""),"ex machina")</f>
        <v>ex machina</v>
      </c>
      <c r="B2384" s="1" t="str">
        <f>IF(A2384&lt;&gt;"", VLOOKUP(A2384, imdb_netflix_v5!A$2:H$7370, 2, FALSE), "")</f>
        <v>Movie</v>
      </c>
      <c r="C2384" s="2" t="str">
        <f>IF(A2384&lt;&gt;"", VLOOKUP(A2384, imdb_netflix_v5!A$2:H$7370, 3, FALSE), "")</f>
        <v>Drama, Sci-Fi, Thriller</v>
      </c>
      <c r="D2384" s="2">
        <f>IF(A2384&lt;&gt;"", VLOOKUP(A2384, imdb_netflix_v5!A$2:H$7370, 4, FALSE), "")</f>
        <v>7.7</v>
      </c>
      <c r="E2384" s="2">
        <f>IF(A2384&lt;&gt;"", VLOOKUP(A2384, imdb_netflix_v5!A$2:H$7370, 5, FALSE), "")</f>
        <v>2014</v>
      </c>
      <c r="F2384" s="2" t="str">
        <f>IF(A2384&lt;&gt;"", VLOOKUP(A2384, imdb_netflix_v5!A$2:H$7370, 7, FALSE), "")</f>
        <v>NA</v>
      </c>
    </row>
    <row r="2385" ht="15.75" customHeight="1">
      <c r="A2385" s="1" t="str">
        <f>IFERROR(__xludf.DUMMYFUNCTION("""COMPUTED_VALUE"""),"500 days of summer")</f>
        <v>500 days of summer</v>
      </c>
      <c r="B2385" s="1" t="str">
        <f>IF(A2385&lt;&gt;"", VLOOKUP(A2385, imdb_netflix_v5!A$2:H$7370, 2, FALSE), "")</f>
        <v>Movie</v>
      </c>
      <c r="C2385" s="2" t="str">
        <f>IF(A2385&lt;&gt;"", VLOOKUP(A2385, imdb_netflix_v5!A$2:H$7370, 3, FALSE), "")</f>
        <v>Comedy, Drama, Romance</v>
      </c>
      <c r="D2385" s="2">
        <f>IF(A2385&lt;&gt;"", VLOOKUP(A2385, imdb_netflix_v5!A$2:H$7370, 4, FALSE), "")</f>
        <v>7.7</v>
      </c>
      <c r="E2385" s="2">
        <f>IF(A2385&lt;&gt;"", VLOOKUP(A2385, imdb_netflix_v5!A$2:H$7370, 5, FALSE), "")</f>
        <v>2009</v>
      </c>
      <c r="F2385" s="2" t="str">
        <f>IF(A2385&lt;&gt;"", VLOOKUP(A2385, imdb_netflix_v5!A$2:H$7370, 7, FALSE), "")</f>
        <v>NA</v>
      </c>
    </row>
    <row r="2386" ht="15.75" customHeight="1">
      <c r="A2386" s="1" t="str">
        <f>IFERROR(__xludf.DUMMYFUNCTION("""COMPUTED_VALUE"""),"tangled")</f>
        <v>tangled</v>
      </c>
      <c r="B2386" s="1" t="str">
        <f>IF(A2386&lt;&gt;"", VLOOKUP(A2386, imdb_netflix_v5!A$2:H$7370, 2, FALSE), "")</f>
        <v>Movie</v>
      </c>
      <c r="C2386" s="2" t="str">
        <f>IF(A2386&lt;&gt;"", VLOOKUP(A2386, imdb_netflix_v5!A$2:H$7370, 3, FALSE), "")</f>
        <v>Adventure, Animation, Comedy</v>
      </c>
      <c r="D2386" s="2">
        <f>IF(A2386&lt;&gt;"", VLOOKUP(A2386, imdb_netflix_v5!A$2:H$7370, 4, FALSE), "")</f>
        <v>7.7</v>
      </c>
      <c r="E2386" s="2">
        <f>IF(A2386&lt;&gt;"", VLOOKUP(A2386, imdb_netflix_v5!A$2:H$7370, 5, FALSE), "")</f>
        <v>2010</v>
      </c>
      <c r="F2386" s="2" t="str">
        <f>IF(A2386&lt;&gt;"", VLOOKUP(A2386, imdb_netflix_v5!A$2:H$7370, 7, FALSE), "")</f>
        <v>NA</v>
      </c>
    </row>
    <row r="2387" ht="15.75" customHeight="1">
      <c r="A2387" s="1" t="str">
        <f>IFERROR(__xludf.DUMMYFUNCTION("""COMPUTED_VALUE"""),"lost in translation")</f>
        <v>lost in translation</v>
      </c>
      <c r="B2387" s="1" t="str">
        <f>IF(A2387&lt;&gt;"", VLOOKUP(A2387, imdb_netflix_v5!A$2:H$7370, 2, FALSE), "")</f>
        <v>Movie</v>
      </c>
      <c r="C2387" s="2" t="str">
        <f>IF(A2387&lt;&gt;"", VLOOKUP(A2387, imdb_netflix_v5!A$2:H$7370, 3, FALSE), "")</f>
        <v>Comedy, Drama</v>
      </c>
      <c r="D2387" s="2">
        <f>IF(A2387&lt;&gt;"", VLOOKUP(A2387, imdb_netflix_v5!A$2:H$7370, 4, FALSE), "")</f>
        <v>7.7</v>
      </c>
      <c r="E2387" s="2">
        <f>IF(A2387&lt;&gt;"", VLOOKUP(A2387, imdb_netflix_v5!A$2:H$7370, 5, FALSE), "")</f>
        <v>2003</v>
      </c>
      <c r="F2387" s="2" t="str">
        <f>IF(A2387&lt;&gt;"", VLOOKUP(A2387, imdb_netflix_v5!A$2:H$7370, 7, FALSE), "")</f>
        <v>NA</v>
      </c>
    </row>
    <row r="2388" ht="15.75" customHeight="1">
      <c r="A2388" s="1" t="str">
        <f>IFERROR(__xludf.DUMMYFUNCTION("""COMPUTED_VALUE"""),"star trek into darkness")</f>
        <v>star trek into darkness</v>
      </c>
      <c r="B2388" s="1" t="str">
        <f>IF(A2388&lt;&gt;"", VLOOKUP(A2388, imdb_netflix_v5!A$2:H$7370, 2, FALSE), "")</f>
        <v>Movie</v>
      </c>
      <c r="C2388" s="2" t="str">
        <f>IF(A2388&lt;&gt;"", VLOOKUP(A2388, imdb_netflix_v5!A$2:H$7370, 3, FALSE), "")</f>
        <v>Action, Adventure, Sci-Fi</v>
      </c>
      <c r="D2388" s="2">
        <f>IF(A2388&lt;&gt;"", VLOOKUP(A2388, imdb_netflix_v5!A$2:H$7370, 4, FALSE), "")</f>
        <v>7.7</v>
      </c>
      <c r="E2388" s="2">
        <f>IF(A2388&lt;&gt;"", VLOOKUP(A2388, imdb_netflix_v5!A$2:H$7370, 5, FALSE), "")</f>
        <v>2013</v>
      </c>
      <c r="F2388" s="2" t="str">
        <f>IF(A2388&lt;&gt;"", VLOOKUP(A2388, imdb_netflix_v5!A$2:H$7370, 7, FALSE), "")</f>
        <v>NA</v>
      </c>
    </row>
    <row r="2389" ht="15.75" customHeight="1">
      <c r="A2389" s="1" t="str">
        <f>IFERROR(__xludf.DUMMYFUNCTION("""COMPUTED_VALUE"""),"the bourne supremacy")</f>
        <v>the bourne supremacy</v>
      </c>
      <c r="B2389" s="1" t="str">
        <f>IF(A2389&lt;&gt;"", VLOOKUP(A2389, imdb_netflix_v5!A$2:H$7370, 2, FALSE), "")</f>
        <v>Movie</v>
      </c>
      <c r="C2389" s="2" t="str">
        <f>IF(A2389&lt;&gt;"", VLOOKUP(A2389, imdb_netflix_v5!A$2:H$7370, 3, FALSE), "")</f>
        <v>Action, Thriller</v>
      </c>
      <c r="D2389" s="2">
        <f>IF(A2389&lt;&gt;"", VLOOKUP(A2389, imdb_netflix_v5!A$2:H$7370, 4, FALSE), "")</f>
        <v>7.7</v>
      </c>
      <c r="E2389" s="2">
        <f>IF(A2389&lt;&gt;"", VLOOKUP(A2389, imdb_netflix_v5!A$2:H$7370, 5, FALSE), "")</f>
        <v>2004</v>
      </c>
      <c r="F2389" s="2" t="str">
        <f>IF(A2389&lt;&gt;"", VLOOKUP(A2389, imdb_netflix_v5!A$2:H$7370, 7, FALSE), "")</f>
        <v>NA</v>
      </c>
    </row>
    <row r="2390" ht="15.75" customHeight="1">
      <c r="A2390" s="1" t="str">
        <f>IFERROR(__xludf.DUMMYFUNCTION("""COMPUTED_VALUE"""),"sicario")</f>
        <v>sicario</v>
      </c>
      <c r="B2390" s="1" t="str">
        <f>IF(A2390&lt;&gt;"", VLOOKUP(A2390, imdb_netflix_v5!A$2:H$7370, 2, FALSE), "")</f>
        <v>Movie</v>
      </c>
      <c r="C2390" s="2" t="str">
        <f>IF(A2390&lt;&gt;"", VLOOKUP(A2390, imdb_netflix_v5!A$2:H$7370, 3, FALSE), "")</f>
        <v>Action, Crime, Drama</v>
      </c>
      <c r="D2390" s="2">
        <f>IF(A2390&lt;&gt;"", VLOOKUP(A2390, imdb_netflix_v5!A$2:H$7370, 4, FALSE), "")</f>
        <v>7.7</v>
      </c>
      <c r="E2390" s="2">
        <f>IF(A2390&lt;&gt;"", VLOOKUP(A2390, imdb_netflix_v5!A$2:H$7370, 5, FALSE), "")</f>
        <v>2015</v>
      </c>
      <c r="F2390" s="2" t="str">
        <f>IF(A2390&lt;&gt;"", VLOOKUP(A2390, imdb_netflix_v5!A$2:H$7370, 7, FALSE), "")</f>
        <v>NA</v>
      </c>
    </row>
    <row r="2391" ht="15.75" customHeight="1">
      <c r="A2391" s="1" t="str">
        <f>IFERROR(__xludf.DUMMYFUNCTION("""COMPUTED_VALUE"""),"the theory of everything")</f>
        <v>the theory of everything</v>
      </c>
      <c r="B2391" s="1" t="str">
        <f>IF(A2391&lt;&gt;"", VLOOKUP(A2391, imdb_netflix_v5!A$2:H$7370, 2, FALSE), "")</f>
        <v>Movie</v>
      </c>
      <c r="C2391" s="2" t="str">
        <f>IF(A2391&lt;&gt;"", VLOOKUP(A2391, imdb_netflix_v5!A$2:H$7370, 3, FALSE), "")</f>
        <v>Biography, Drama, Romance</v>
      </c>
      <c r="D2391" s="2">
        <f>IF(A2391&lt;&gt;"", VLOOKUP(A2391, imdb_netflix_v5!A$2:H$7370, 4, FALSE), "")</f>
        <v>7.7</v>
      </c>
      <c r="E2391" s="2">
        <f>IF(A2391&lt;&gt;"", VLOOKUP(A2391, imdb_netflix_v5!A$2:H$7370, 5, FALSE), "")</f>
        <v>2014</v>
      </c>
      <c r="F2391" s="2" t="str">
        <f>IF(A2391&lt;&gt;"", VLOOKUP(A2391, imdb_netflix_v5!A$2:H$7370, 7, FALSE), "")</f>
        <v>NA</v>
      </c>
    </row>
    <row r="2392" ht="15.75" customHeight="1">
      <c r="A2392" s="1" t="str">
        <f>IFERROR(__xludf.DUMMYFUNCTION("""COMPUTED_VALUE"""),"wreck-it ralph")</f>
        <v>wreck-it ralph</v>
      </c>
      <c r="B2392" s="1" t="str">
        <f>IF(A2392&lt;&gt;"", VLOOKUP(A2392, imdb_netflix_v5!A$2:H$7370, 2, FALSE), "")</f>
        <v>Movie</v>
      </c>
      <c r="C2392" s="2" t="str">
        <f>IF(A2392&lt;&gt;"", VLOOKUP(A2392, imdb_netflix_v5!A$2:H$7370, 3, FALSE), "")</f>
        <v>Adventure, Animation, Comedy</v>
      </c>
      <c r="D2392" s="2">
        <f>IF(A2392&lt;&gt;"", VLOOKUP(A2392, imdb_netflix_v5!A$2:H$7370, 4, FALSE), "")</f>
        <v>7.7</v>
      </c>
      <c r="E2392" s="2">
        <f>IF(A2392&lt;&gt;"", VLOOKUP(A2392, imdb_netflix_v5!A$2:H$7370, 5, FALSE), "")</f>
        <v>2012</v>
      </c>
      <c r="F2392" s="2" t="str">
        <f>IF(A2392&lt;&gt;"", VLOOKUP(A2392, imdb_netflix_v5!A$2:H$7370, 7, FALSE), "")</f>
        <v>NA</v>
      </c>
    </row>
    <row r="2393" ht="15.75" customHeight="1">
      <c r="A2393" s="1" t="str">
        <f>IFERROR(__xludf.DUMMYFUNCTION("""COMPUTED_VALUE"""),"crash")</f>
        <v>crash</v>
      </c>
      <c r="B2393" s="1" t="str">
        <f>IF(A2393&lt;&gt;"", VLOOKUP(A2393, imdb_netflix_v5!A$2:H$7370, 2, FALSE), "")</f>
        <v>Movie</v>
      </c>
      <c r="C2393" s="2" t="str">
        <f>IF(A2393&lt;&gt;"", VLOOKUP(A2393, imdb_netflix_v5!A$2:H$7370, 3, FALSE), "")</f>
        <v>Crime, Drama, Thriller</v>
      </c>
      <c r="D2393" s="2">
        <f>IF(A2393&lt;&gt;"", VLOOKUP(A2393, imdb_netflix_v5!A$2:H$7370, 4, FALSE), "")</f>
        <v>7.7</v>
      </c>
      <c r="E2393" s="2">
        <f>IF(A2393&lt;&gt;"", VLOOKUP(A2393, imdb_netflix_v5!A$2:H$7370, 5, FALSE), "")</f>
        <v>2004</v>
      </c>
      <c r="F2393" s="2" t="str">
        <f>IF(A2393&lt;&gt;"", VLOOKUP(A2393, imdb_netflix_v5!A$2:H$7370, 7, FALSE), "")</f>
        <v>NA</v>
      </c>
    </row>
    <row r="2394" ht="15.75" customHeight="1">
      <c r="A2394" s="1" t="str">
        <f>IFERROR(__xludf.DUMMYFUNCTION("""COMPUTED_VALUE"""),"the game")</f>
        <v>the game</v>
      </c>
      <c r="B2394" s="1" t="str">
        <f>IF(A2394&lt;&gt;"", VLOOKUP(A2394, imdb_netflix_v5!A$2:H$7370, 2, FALSE), "")</f>
        <v>Movie</v>
      </c>
      <c r="C2394" s="2" t="str">
        <f>IF(A2394&lt;&gt;"", VLOOKUP(A2394, imdb_netflix_v5!A$2:H$7370, 3, FALSE), "")</f>
        <v>Drama, Mystery, Thriller</v>
      </c>
      <c r="D2394" s="2">
        <f>IF(A2394&lt;&gt;"", VLOOKUP(A2394, imdb_netflix_v5!A$2:H$7370, 4, FALSE), "")</f>
        <v>7.7</v>
      </c>
      <c r="E2394" s="2">
        <f>IF(A2394&lt;&gt;"", VLOOKUP(A2394, imdb_netflix_v5!A$2:H$7370, 5, FALSE), "")</f>
        <v>1997</v>
      </c>
      <c r="F2394" s="2" t="str">
        <f>IF(A2394&lt;&gt;"", VLOOKUP(A2394, imdb_netflix_v5!A$2:H$7370, 7, FALSE), "")</f>
        <v>NA</v>
      </c>
    </row>
    <row r="2395" ht="15.75" customHeight="1">
      <c r="A2395" s="1" t="str">
        <f>IFERROR(__xludf.DUMMYFUNCTION("""COMPUTED_VALUE"""),"the fault in our stars")</f>
        <v>the fault in our stars</v>
      </c>
      <c r="B2395" s="1" t="str">
        <f>IF(A2395&lt;&gt;"", VLOOKUP(A2395, imdb_netflix_v5!A$2:H$7370, 2, FALSE), "")</f>
        <v>Movie</v>
      </c>
      <c r="C2395" s="2" t="str">
        <f>IF(A2395&lt;&gt;"", VLOOKUP(A2395, imdb_netflix_v5!A$2:H$7370, 3, FALSE), "")</f>
        <v>Drama, Romance</v>
      </c>
      <c r="D2395" s="2">
        <f>IF(A2395&lt;&gt;"", VLOOKUP(A2395, imdb_netflix_v5!A$2:H$7370, 4, FALSE), "")</f>
        <v>7.7</v>
      </c>
      <c r="E2395" s="2">
        <f>IF(A2395&lt;&gt;"", VLOOKUP(A2395, imdb_netflix_v5!A$2:H$7370, 5, FALSE), "")</f>
        <v>2014</v>
      </c>
      <c r="F2395" s="2" t="str">
        <f>IF(A2395&lt;&gt;"", VLOOKUP(A2395, imdb_netflix_v5!A$2:H$7370, 7, FALSE), "")</f>
        <v>NA</v>
      </c>
    </row>
    <row r="2396" ht="15.75" customHeight="1">
      <c r="A2396" s="1" t="str">
        <f>IFERROR(__xludf.DUMMYFUNCTION("""COMPUTED_VALUE"""),"man on fire")</f>
        <v>man on fire</v>
      </c>
      <c r="B2396" s="1" t="str">
        <f>IF(A2396&lt;&gt;"", VLOOKUP(A2396, imdb_netflix_v5!A$2:H$7370, 2, FALSE), "")</f>
        <v>Movie</v>
      </c>
      <c r="C2396" s="2" t="str">
        <f>IF(A2396&lt;&gt;"", VLOOKUP(A2396, imdb_netflix_v5!A$2:H$7370, 3, FALSE), "")</f>
        <v>Crime, Drama, Thriller</v>
      </c>
      <c r="D2396" s="2">
        <f>IF(A2396&lt;&gt;"", VLOOKUP(A2396, imdb_netflix_v5!A$2:H$7370, 4, FALSE), "")</f>
        <v>7.7</v>
      </c>
      <c r="E2396" s="2">
        <f>IF(A2396&lt;&gt;"", VLOOKUP(A2396, imdb_netflix_v5!A$2:H$7370, 5, FALSE), "")</f>
        <v>2004</v>
      </c>
      <c r="F2396" s="2">
        <f>IF(A2396&lt;&gt;"", VLOOKUP(A2396, imdb_netflix_v5!A$2:H$7370, 7, FALSE), "")</f>
        <v>9400000</v>
      </c>
    </row>
    <row r="2397" ht="15.75" customHeight="1">
      <c r="A2397" s="1" t="str">
        <f>IFERROR(__xludf.DUMMYFUNCTION("""COMPUTED_VALUE"""),"the lego movie")</f>
        <v>the lego movie</v>
      </c>
      <c r="B2397" s="1" t="str">
        <f>IF(A2397&lt;&gt;"", VLOOKUP(A2397, imdb_netflix_v5!A$2:H$7370, 2, FALSE), "")</f>
        <v>Movie</v>
      </c>
      <c r="C2397" s="2" t="str">
        <f>IF(A2397&lt;&gt;"", VLOOKUP(A2397, imdb_netflix_v5!A$2:H$7370, 3, FALSE), "")</f>
        <v>Action, Adventure, Animation</v>
      </c>
      <c r="D2397" s="2">
        <f>IF(A2397&lt;&gt;"", VLOOKUP(A2397, imdb_netflix_v5!A$2:H$7370, 4, FALSE), "")</f>
        <v>7.7</v>
      </c>
      <c r="E2397" s="2">
        <f>IF(A2397&lt;&gt;"", VLOOKUP(A2397, imdb_netflix_v5!A$2:H$7370, 5, FALSE), "")</f>
        <v>2014</v>
      </c>
      <c r="F2397" s="2" t="str">
        <f>IF(A2397&lt;&gt;"", VLOOKUP(A2397, imdb_netflix_v5!A$2:H$7370, 7, FALSE), "")</f>
        <v>NA</v>
      </c>
    </row>
    <row r="2398" ht="15.75" customHeight="1">
      <c r="A2398" s="1" t="str">
        <f>IFERROR(__xludf.DUMMYFUNCTION("""COMPUTED_VALUE"""),"brokeback mountain")</f>
        <v>brokeback mountain</v>
      </c>
      <c r="B2398" s="1" t="str">
        <f>IF(A2398&lt;&gt;"", VLOOKUP(A2398, imdb_netflix_v5!A$2:H$7370, 2, FALSE), "")</f>
        <v>Movie</v>
      </c>
      <c r="C2398" s="2" t="str">
        <f>IF(A2398&lt;&gt;"", VLOOKUP(A2398, imdb_netflix_v5!A$2:H$7370, 3, FALSE), "")</f>
        <v>Drama, Romance</v>
      </c>
      <c r="D2398" s="2">
        <f>IF(A2398&lt;&gt;"", VLOOKUP(A2398, imdb_netflix_v5!A$2:H$7370, 4, FALSE), "")</f>
        <v>7.7</v>
      </c>
      <c r="E2398" s="2">
        <f>IF(A2398&lt;&gt;"", VLOOKUP(A2398, imdb_netflix_v5!A$2:H$7370, 5, FALSE), "")</f>
        <v>2005</v>
      </c>
      <c r="F2398" s="2" t="str">
        <f>IF(A2398&lt;&gt;"", VLOOKUP(A2398, imdb_netflix_v5!A$2:H$7370, 7, FALSE), "")</f>
        <v>NA</v>
      </c>
    </row>
    <row r="2399" ht="15.75" customHeight="1">
      <c r="A2399" s="1" t="str">
        <f>IFERROR(__xludf.DUMMYFUNCTION("""COMPUTED_VALUE"""),"mission impossible - fallout")</f>
        <v>mission impossible - fallout</v>
      </c>
      <c r="B2399" s="1" t="str">
        <f>IF(A2399&lt;&gt;"", VLOOKUP(A2399, imdb_netflix_v5!A$2:H$7370, 2, FALSE), "")</f>
        <v>Movie</v>
      </c>
      <c r="C2399" s="2" t="str">
        <f>IF(A2399&lt;&gt;"", VLOOKUP(A2399, imdb_netflix_v5!A$2:H$7370, 3, FALSE), "")</f>
        <v>Action, Adventure, Thriller</v>
      </c>
      <c r="D2399" s="2">
        <f>IF(A2399&lt;&gt;"", VLOOKUP(A2399, imdb_netflix_v5!A$2:H$7370, 4, FALSE), "")</f>
        <v>7.7</v>
      </c>
      <c r="E2399" s="2">
        <f>IF(A2399&lt;&gt;"", VLOOKUP(A2399, imdb_netflix_v5!A$2:H$7370, 5, FALSE), "")</f>
        <v>2018</v>
      </c>
      <c r="F2399" s="2">
        <f>IF(A2399&lt;&gt;"", VLOOKUP(A2399, imdb_netflix_v5!A$2:H$7370, 7, FALSE), "")</f>
        <v>6360000</v>
      </c>
    </row>
    <row r="2400" ht="15.75" customHeight="1">
      <c r="A2400" s="1" t="str">
        <f>IFERROR(__xludf.DUMMYFUNCTION("""COMPUTED_VALUE"""),"the vampire diaries")</f>
        <v>the vampire diaries</v>
      </c>
      <c r="B2400" s="1" t="str">
        <f>IF(A2400&lt;&gt;"", VLOOKUP(A2400, imdb_netflix_v5!A$2:H$7370, 2, FALSE), "")</f>
        <v>TV Show</v>
      </c>
      <c r="C2400" s="2" t="str">
        <f>IF(A2400&lt;&gt;"", VLOOKUP(A2400, imdb_netflix_v5!A$2:H$7370, 3, FALSE), "")</f>
        <v>Drama, Fantasy, Horror</v>
      </c>
      <c r="D2400" s="2">
        <f>IF(A2400&lt;&gt;"", VLOOKUP(A2400, imdb_netflix_v5!A$2:H$7370, 4, FALSE), "")</f>
        <v>7.7</v>
      </c>
      <c r="E2400" s="2">
        <f>IF(A2400&lt;&gt;"", VLOOKUP(A2400, imdb_netflix_v5!A$2:H$7370, 5, FALSE), "")</f>
        <v>2009</v>
      </c>
      <c r="F2400" s="2" t="str">
        <f>IF(A2400&lt;&gt;"", VLOOKUP(A2400, imdb_netflix_v5!A$2:H$7370, 7, FALSE), "")</f>
        <v>NA</v>
      </c>
    </row>
    <row r="2401" ht="15.75" customHeight="1">
      <c r="A2401" s="1" t="str">
        <f>IFERROR(__xludf.DUMMYFUNCTION("""COMPUTED_VALUE"""),"being john malkovich")</f>
        <v>being john malkovich</v>
      </c>
      <c r="B2401" s="1" t="str">
        <f>IF(A2401&lt;&gt;"", VLOOKUP(A2401, imdb_netflix_v5!A$2:H$7370, 2, FALSE), "")</f>
        <v>Movie</v>
      </c>
      <c r="C2401" s="2" t="str">
        <f>IF(A2401&lt;&gt;"", VLOOKUP(A2401, imdb_netflix_v5!A$2:H$7370, 3, FALSE), "")</f>
        <v>Comedy, Drama, Fantasy</v>
      </c>
      <c r="D2401" s="2">
        <f>IF(A2401&lt;&gt;"", VLOOKUP(A2401, imdb_netflix_v5!A$2:H$7370, 4, FALSE), "")</f>
        <v>7.7</v>
      </c>
      <c r="E2401" s="2">
        <f>IF(A2401&lt;&gt;"", VLOOKUP(A2401, imdb_netflix_v5!A$2:H$7370, 5, FALSE), "")</f>
        <v>1999</v>
      </c>
      <c r="F2401" s="2" t="str">
        <f>IF(A2401&lt;&gt;"", VLOOKUP(A2401, imdb_netflix_v5!A$2:H$7370, 7, FALSE), "")</f>
        <v>NA</v>
      </c>
    </row>
    <row r="2402" ht="15.75" customHeight="1">
      <c r="A2402" s="1" t="str">
        <f>IFERROR(__xludf.DUMMYFUNCTION("""COMPUTED_VALUE"""),"donnie brasco")</f>
        <v>donnie brasco</v>
      </c>
      <c r="B2402" s="1" t="str">
        <f>IF(A2402&lt;&gt;"", VLOOKUP(A2402, imdb_netflix_v5!A$2:H$7370, 2, FALSE), "")</f>
        <v>Movie</v>
      </c>
      <c r="C2402" s="2" t="str">
        <f>IF(A2402&lt;&gt;"", VLOOKUP(A2402, imdb_netflix_v5!A$2:H$7370, 3, FALSE), "")</f>
        <v>Biography, Crime, Drama</v>
      </c>
      <c r="D2402" s="2">
        <f>IF(A2402&lt;&gt;"", VLOOKUP(A2402, imdb_netflix_v5!A$2:H$7370, 4, FALSE), "")</f>
        <v>7.7</v>
      </c>
      <c r="E2402" s="2">
        <f>IF(A2402&lt;&gt;"", VLOOKUP(A2402, imdb_netflix_v5!A$2:H$7370, 5, FALSE), "")</f>
        <v>1997</v>
      </c>
      <c r="F2402" s="2" t="str">
        <f>IF(A2402&lt;&gt;"", VLOOKUP(A2402, imdb_netflix_v5!A$2:H$7370, 7, FALSE), "")</f>
        <v>NA</v>
      </c>
    </row>
    <row r="2403" ht="15.75" customHeight="1">
      <c r="A2403" s="1" t="str">
        <f>IFERROR(__xludf.DUMMYFUNCTION("""COMPUTED_VALUE"""),"o brother, where art thou?")</f>
        <v>o brother, where art thou?</v>
      </c>
      <c r="B2403" s="1" t="str">
        <f>IF(A2403&lt;&gt;"", VLOOKUP(A2403, imdb_netflix_v5!A$2:H$7370, 2, FALSE), "")</f>
        <v>Movie</v>
      </c>
      <c r="C2403" s="2" t="str">
        <f>IF(A2403&lt;&gt;"", VLOOKUP(A2403, imdb_netflix_v5!A$2:H$7370, 3, FALSE), "")</f>
        <v>Comedy, Crime, Drama</v>
      </c>
      <c r="D2403" s="2">
        <f>IF(A2403&lt;&gt;"", VLOOKUP(A2403, imdb_netflix_v5!A$2:H$7370, 4, FALSE), "")</f>
        <v>7.7</v>
      </c>
      <c r="E2403" s="2">
        <f>IF(A2403&lt;&gt;"", VLOOKUP(A2403, imdb_netflix_v5!A$2:H$7370, 5, FALSE), "")</f>
        <v>2000</v>
      </c>
      <c r="F2403" s="2" t="str">
        <f>IF(A2403&lt;&gt;"", VLOOKUP(A2403, imdb_netflix_v5!A$2:H$7370, 7, FALSE), "")</f>
        <v>NA</v>
      </c>
    </row>
    <row r="2404" ht="15.75" customHeight="1">
      <c r="A2404" s="1" t="str">
        <f>IFERROR(__xludf.DUMMYFUNCTION("""COMPUTED_VALUE"""),"gattaca")</f>
        <v>gattaca</v>
      </c>
      <c r="B2404" s="1" t="str">
        <f>IF(A2404&lt;&gt;"", VLOOKUP(A2404, imdb_netflix_v5!A$2:H$7370, 2, FALSE), "")</f>
        <v>Movie</v>
      </c>
      <c r="C2404" s="2" t="str">
        <f>IF(A2404&lt;&gt;"", VLOOKUP(A2404, imdb_netflix_v5!A$2:H$7370, 3, FALSE), "")</f>
        <v>Drama, Sci-Fi, Thriller</v>
      </c>
      <c r="D2404" s="2">
        <f>IF(A2404&lt;&gt;"", VLOOKUP(A2404, imdb_netflix_v5!A$2:H$7370, 4, FALSE), "")</f>
        <v>7.7</v>
      </c>
      <c r="E2404" s="2">
        <f>IF(A2404&lt;&gt;"", VLOOKUP(A2404, imdb_netflix_v5!A$2:H$7370, 5, FALSE), "")</f>
        <v>1997</v>
      </c>
      <c r="F2404" s="2" t="str">
        <f>IF(A2404&lt;&gt;"", VLOOKUP(A2404, imdb_netflix_v5!A$2:H$7370, 7, FALSE), "")</f>
        <v>NA</v>
      </c>
    </row>
    <row r="2405" ht="15.75" customHeight="1">
      <c r="A2405" s="1" t="str">
        <f>IFERROR(__xludf.DUMMYFUNCTION("""COMPUTED_VALUE"""),"lucky number slevin")</f>
        <v>lucky number slevin</v>
      </c>
      <c r="B2405" s="1" t="str">
        <f>IF(A2405&lt;&gt;"", VLOOKUP(A2405, imdb_netflix_v5!A$2:H$7370, 2, FALSE), "")</f>
        <v>Movie</v>
      </c>
      <c r="C2405" s="2" t="str">
        <f>IF(A2405&lt;&gt;"", VLOOKUP(A2405, imdb_netflix_v5!A$2:H$7370, 3, FALSE), "")</f>
        <v>Crime, Drama, Thriller</v>
      </c>
      <c r="D2405" s="2">
        <f>IF(A2405&lt;&gt;"", VLOOKUP(A2405, imdb_netflix_v5!A$2:H$7370, 4, FALSE), "")</f>
        <v>7.7</v>
      </c>
      <c r="E2405" s="2">
        <f>IF(A2405&lt;&gt;"", VLOOKUP(A2405, imdb_netflix_v5!A$2:H$7370, 5, FALSE), "")</f>
        <v>2006</v>
      </c>
      <c r="F2405" s="2" t="str">
        <f>IF(A2405&lt;&gt;"", VLOOKUP(A2405, imdb_netflix_v5!A$2:H$7370, 7, FALSE), "")</f>
        <v>NA</v>
      </c>
    </row>
    <row r="2406" ht="15.75" customHeight="1">
      <c r="A2406" s="1" t="str">
        <f>IFERROR(__xludf.DUMMYFUNCTION("""COMPUTED_VALUE"""),"mulan")</f>
        <v>mulan</v>
      </c>
      <c r="B2406" s="1" t="str">
        <f>IF(A2406&lt;&gt;"", VLOOKUP(A2406, imdb_netflix_v5!A$2:H$7370, 2, FALSE), "")</f>
        <v>Movie</v>
      </c>
      <c r="C2406" s="2" t="str">
        <f>IF(A2406&lt;&gt;"", VLOOKUP(A2406, imdb_netflix_v5!A$2:H$7370, 3, FALSE), "")</f>
        <v>Adventure, Animation, Comedy</v>
      </c>
      <c r="D2406" s="2">
        <f>IF(A2406&lt;&gt;"", VLOOKUP(A2406, imdb_netflix_v5!A$2:H$7370, 4, FALSE), "")</f>
        <v>7.7</v>
      </c>
      <c r="E2406" s="2">
        <f>IF(A2406&lt;&gt;"", VLOOKUP(A2406, imdb_netflix_v5!A$2:H$7370, 5, FALSE), "")</f>
        <v>1998</v>
      </c>
      <c r="F2406" s="2" t="str">
        <f>IF(A2406&lt;&gt;"", VLOOKUP(A2406, imdb_netflix_v5!A$2:H$7370, 7, FALSE), "")</f>
        <v>NA</v>
      </c>
    </row>
    <row r="2407" ht="15.75" customHeight="1">
      <c r="A2407" s="1" t="str">
        <f>IFERROR(__xludf.DUMMYFUNCTION("""COMPUTED_VALUE"""),"as good as it gets")</f>
        <v>as good as it gets</v>
      </c>
      <c r="B2407" s="1" t="str">
        <f>IF(A2407&lt;&gt;"", VLOOKUP(A2407, imdb_netflix_v5!A$2:H$7370, 2, FALSE), "")</f>
        <v>Movie</v>
      </c>
      <c r="C2407" s="2" t="str">
        <f>IF(A2407&lt;&gt;"", VLOOKUP(A2407, imdb_netflix_v5!A$2:H$7370, 3, FALSE), "")</f>
        <v>Comedy, Drama, Romance</v>
      </c>
      <c r="D2407" s="2">
        <f>IF(A2407&lt;&gt;"", VLOOKUP(A2407, imdb_netflix_v5!A$2:H$7370, 4, FALSE), "")</f>
        <v>7.7</v>
      </c>
      <c r="E2407" s="2">
        <f>IF(A2407&lt;&gt;"", VLOOKUP(A2407, imdb_netflix_v5!A$2:H$7370, 5, FALSE), "")</f>
        <v>1997</v>
      </c>
      <c r="F2407" s="2" t="str">
        <f>IF(A2407&lt;&gt;"", VLOOKUP(A2407, imdb_netflix_v5!A$2:H$7370, 7, FALSE), "")</f>
        <v>NA</v>
      </c>
    </row>
    <row r="2408" ht="15.75" customHeight="1">
      <c r="A2408" s="1" t="str">
        <f>IFERROR(__xludf.DUMMYFUNCTION("""COMPUTED_VALUE"""),"apollo 13")</f>
        <v>apollo 13</v>
      </c>
      <c r="B2408" s="1" t="str">
        <f>IF(A2408&lt;&gt;"", VLOOKUP(A2408, imdb_netflix_v5!A$2:H$7370, 2, FALSE), "")</f>
        <v>Movie</v>
      </c>
      <c r="C2408" s="2" t="str">
        <f>IF(A2408&lt;&gt;"", VLOOKUP(A2408, imdb_netflix_v5!A$2:H$7370, 3, FALSE), "")</f>
        <v>Adventure, Drama, History</v>
      </c>
      <c r="D2408" s="2">
        <f>IF(A2408&lt;&gt;"", VLOOKUP(A2408, imdb_netflix_v5!A$2:H$7370, 4, FALSE), "")</f>
        <v>7.7</v>
      </c>
      <c r="E2408" s="2">
        <f>IF(A2408&lt;&gt;"", VLOOKUP(A2408, imdb_netflix_v5!A$2:H$7370, 5, FALSE), "")</f>
        <v>1995</v>
      </c>
      <c r="F2408" s="2" t="str">
        <f>IF(A2408&lt;&gt;"", VLOOKUP(A2408, imdb_netflix_v5!A$2:H$7370, 7, FALSE), "")</f>
        <v>NA</v>
      </c>
    </row>
    <row r="2409" ht="15.75" customHeight="1">
      <c r="A2409" s="1" t="str">
        <f>IFERROR(__xludf.DUMMYFUNCTION("""COMPUTED_VALUE"""),"halloween")</f>
        <v>halloween</v>
      </c>
      <c r="B2409" s="1" t="str">
        <f>IF(A2409&lt;&gt;"", VLOOKUP(A2409, imdb_netflix_v5!A$2:H$7370, 2, FALSE), "")</f>
        <v>Movie</v>
      </c>
      <c r="C2409" s="2" t="str">
        <f>IF(A2409&lt;&gt;"", VLOOKUP(A2409, imdb_netflix_v5!A$2:H$7370, 3, FALSE), "")</f>
        <v>Horror, Thriller</v>
      </c>
      <c r="D2409" s="2">
        <f>IF(A2409&lt;&gt;"", VLOOKUP(A2409, imdb_netflix_v5!A$2:H$7370, 4, FALSE), "")</f>
        <v>7.7</v>
      </c>
      <c r="E2409" s="2">
        <f>IF(A2409&lt;&gt;"", VLOOKUP(A2409, imdb_netflix_v5!A$2:H$7370, 5, FALSE), "")</f>
        <v>1978</v>
      </c>
      <c r="F2409" s="2" t="str">
        <f>IF(A2409&lt;&gt;"", VLOOKUP(A2409, imdb_netflix_v5!A$2:H$7370, 7, FALSE), "")</f>
        <v>NA</v>
      </c>
    </row>
    <row r="2410" ht="15.75" customHeight="1">
      <c r="A2410" s="1" t="str">
        <f>IFERROR(__xludf.DUMMYFUNCTION("""COMPUTED_VALUE"""),"you")</f>
        <v>you</v>
      </c>
      <c r="B2410" s="1" t="str">
        <f>IF(A2410&lt;&gt;"", VLOOKUP(A2410, imdb_netflix_v5!A$2:H$7370, 2, FALSE), "")</f>
        <v>TV Show</v>
      </c>
      <c r="C2410" s="2" t="str">
        <f>IF(A2410&lt;&gt;"", VLOOKUP(A2410, imdb_netflix_v5!A$2:H$7370, 3, FALSE), "")</f>
        <v>Crime, Drama, Romance</v>
      </c>
      <c r="D2410" s="2">
        <f>IF(A2410&lt;&gt;"", VLOOKUP(A2410, imdb_netflix_v5!A$2:H$7370, 4, FALSE), "")</f>
        <v>7.7</v>
      </c>
      <c r="E2410" s="2">
        <f>IF(A2410&lt;&gt;"", VLOOKUP(A2410, imdb_netflix_v5!A$2:H$7370, 5, FALSE), "")</f>
        <v>2018</v>
      </c>
      <c r="F2410" s="2">
        <f>IF(A2410&lt;&gt;"", VLOOKUP(A2410, imdb_netflix_v5!A$2:H$7370, 7, FALSE), "")</f>
        <v>11890000</v>
      </c>
    </row>
    <row r="2411" ht="15.75" customHeight="1">
      <c r="A2411" s="1" t="str">
        <f>IFERROR(__xludf.DUMMYFUNCTION("""COMPUTED_VALUE"""),"the goonies")</f>
        <v>the goonies</v>
      </c>
      <c r="B2411" s="1" t="str">
        <f>IF(A2411&lt;&gt;"", VLOOKUP(A2411, imdb_netflix_v5!A$2:H$7370, 2, FALSE), "")</f>
        <v>Movie</v>
      </c>
      <c r="C2411" s="2" t="str">
        <f>IF(A2411&lt;&gt;"", VLOOKUP(A2411, imdb_netflix_v5!A$2:H$7370, 3, FALSE), "")</f>
        <v>Adventure, Comedy, Family</v>
      </c>
      <c r="D2411" s="2">
        <f>IF(A2411&lt;&gt;"", VLOOKUP(A2411, imdb_netflix_v5!A$2:H$7370, 4, FALSE), "")</f>
        <v>7.7</v>
      </c>
      <c r="E2411" s="2">
        <f>IF(A2411&lt;&gt;"", VLOOKUP(A2411, imdb_netflix_v5!A$2:H$7370, 5, FALSE), "")</f>
        <v>1985</v>
      </c>
      <c r="F2411" s="2" t="str">
        <f>IF(A2411&lt;&gt;"", VLOOKUP(A2411, imdb_netflix_v5!A$2:H$7370, 7, FALSE), "")</f>
        <v>NA</v>
      </c>
    </row>
    <row r="2412" ht="15.75" customHeight="1">
      <c r="A2412" s="1" t="str">
        <f>IFERROR(__xludf.DUMMYFUNCTION("""COMPUTED_VALUE"""),"a few good men")</f>
        <v>a few good men</v>
      </c>
      <c r="B2412" s="1" t="str">
        <f>IF(A2412&lt;&gt;"", VLOOKUP(A2412, imdb_netflix_v5!A$2:H$7370, 2, FALSE), "")</f>
        <v>Movie</v>
      </c>
      <c r="C2412" s="2" t="str">
        <f>IF(A2412&lt;&gt;"", VLOOKUP(A2412, imdb_netflix_v5!A$2:H$7370, 3, FALSE), "")</f>
        <v>Drama, Thriller</v>
      </c>
      <c r="D2412" s="2">
        <f>IF(A2412&lt;&gt;"", VLOOKUP(A2412, imdb_netflix_v5!A$2:H$7370, 4, FALSE), "")</f>
        <v>7.7</v>
      </c>
      <c r="E2412" s="2">
        <f>IF(A2412&lt;&gt;"", VLOOKUP(A2412, imdb_netflix_v5!A$2:H$7370, 5, FALSE), "")</f>
        <v>1992</v>
      </c>
      <c r="F2412" s="2" t="str">
        <f>IF(A2412&lt;&gt;"", VLOOKUP(A2412, imdb_netflix_v5!A$2:H$7370, 7, FALSE), "")</f>
        <v>NA</v>
      </c>
    </row>
    <row r="2413" ht="15.75" customHeight="1">
      <c r="A2413" s="1" t="str">
        <f>IFERROR(__xludf.DUMMYFUNCTION("""COMPUTED_VALUE"""),"wind river")</f>
        <v>wind river</v>
      </c>
      <c r="B2413" s="1" t="str">
        <f>IF(A2413&lt;&gt;"", VLOOKUP(A2413, imdb_netflix_v5!A$2:H$7370, 2, FALSE), "")</f>
        <v>Movie</v>
      </c>
      <c r="C2413" s="2" t="str">
        <f>IF(A2413&lt;&gt;"", VLOOKUP(A2413, imdb_netflix_v5!A$2:H$7370, 3, FALSE), "")</f>
        <v>Crime, Drama, Mystery</v>
      </c>
      <c r="D2413" s="2">
        <f>IF(A2413&lt;&gt;"", VLOOKUP(A2413, imdb_netflix_v5!A$2:H$7370, 4, FALSE), "")</f>
        <v>7.7</v>
      </c>
      <c r="E2413" s="2">
        <f>IF(A2413&lt;&gt;"", VLOOKUP(A2413, imdb_netflix_v5!A$2:H$7370, 5, FALSE), "")</f>
        <v>2017</v>
      </c>
      <c r="F2413" s="2" t="str">
        <f>IF(A2413&lt;&gt;"", VLOOKUP(A2413, imdb_netflix_v5!A$2:H$7370, 7, FALSE), "")</f>
        <v>NA</v>
      </c>
    </row>
    <row r="2414" ht="15.75" customHeight="1">
      <c r="A2414" s="1" t="str">
        <f>IFERROR(__xludf.DUMMYFUNCTION("""COMPUTED_VALUE"""),"road to perdition")</f>
        <v>road to perdition</v>
      </c>
      <c r="B2414" s="1" t="str">
        <f>IF(A2414&lt;&gt;"", VLOOKUP(A2414, imdb_netflix_v5!A$2:H$7370, 2, FALSE), "")</f>
        <v>Movie</v>
      </c>
      <c r="C2414" s="2" t="str">
        <f>IF(A2414&lt;&gt;"", VLOOKUP(A2414, imdb_netflix_v5!A$2:H$7370, 3, FALSE), "")</f>
        <v>Crime, Drama, Thriller</v>
      </c>
      <c r="D2414" s="2">
        <f>IF(A2414&lt;&gt;"", VLOOKUP(A2414, imdb_netflix_v5!A$2:H$7370, 4, FALSE), "")</f>
        <v>7.7</v>
      </c>
      <c r="E2414" s="2">
        <f>IF(A2414&lt;&gt;"", VLOOKUP(A2414, imdb_netflix_v5!A$2:H$7370, 5, FALSE), "")</f>
        <v>2002</v>
      </c>
      <c r="F2414" s="2" t="str">
        <f>IF(A2414&lt;&gt;"", VLOOKUP(A2414, imdb_netflix_v5!A$2:H$7370, 7, FALSE), "")</f>
        <v>NA</v>
      </c>
    </row>
    <row r="2415" ht="15.75" customHeight="1">
      <c r="A2415" s="1" t="str">
        <f>IFERROR(__xludf.DUMMYFUNCTION("""COMPUTED_VALUE"""),"first blood")</f>
        <v>first blood</v>
      </c>
      <c r="B2415" s="1" t="str">
        <f>IF(A2415&lt;&gt;"", VLOOKUP(A2415, imdb_netflix_v5!A$2:H$7370, 2, FALSE), "")</f>
        <v>Movie</v>
      </c>
      <c r="C2415" s="2" t="str">
        <f>IF(A2415&lt;&gt;"", VLOOKUP(A2415, imdb_netflix_v5!A$2:H$7370, 3, FALSE), "")</f>
        <v>Action, Adventure, Thriller</v>
      </c>
      <c r="D2415" s="2">
        <f>IF(A2415&lt;&gt;"", VLOOKUP(A2415, imdb_netflix_v5!A$2:H$7370, 4, FALSE), "")</f>
        <v>7.7</v>
      </c>
      <c r="E2415" s="2">
        <f>IF(A2415&lt;&gt;"", VLOOKUP(A2415, imdb_netflix_v5!A$2:H$7370, 5, FALSE), "")</f>
        <v>1982</v>
      </c>
      <c r="F2415" s="2" t="str">
        <f>IF(A2415&lt;&gt;"", VLOOKUP(A2415, imdb_netflix_v5!A$2:H$7370, 7, FALSE), "")</f>
        <v>NA</v>
      </c>
    </row>
    <row r="2416" ht="15.75" customHeight="1">
      <c r="A2416" s="1" t="str">
        <f>IFERROR(__xludf.DUMMYFUNCTION("""COMPUTED_VALUE"""),"mission impossible - dead reckoning part one")</f>
        <v>mission impossible - dead reckoning part one</v>
      </c>
      <c r="B2416" s="1" t="str">
        <f>IF(A2416&lt;&gt;"", VLOOKUP(A2416, imdb_netflix_v5!A$2:H$7370, 2, FALSE), "")</f>
        <v>Movie</v>
      </c>
      <c r="C2416" s="2" t="str">
        <f>IF(A2416&lt;&gt;"", VLOOKUP(A2416, imdb_netflix_v5!A$2:H$7370, 3, FALSE), "")</f>
        <v>Action, Adventure, Thriller</v>
      </c>
      <c r="D2416" s="2">
        <f>IF(A2416&lt;&gt;"", VLOOKUP(A2416, imdb_netflix_v5!A$2:H$7370, 4, FALSE), "")</f>
        <v>7.7</v>
      </c>
      <c r="E2416" s="2">
        <f>IF(A2416&lt;&gt;"", VLOOKUP(A2416, imdb_netflix_v5!A$2:H$7370, 5, FALSE), "")</f>
        <v>2023</v>
      </c>
      <c r="F2416" s="2" t="str">
        <f>IF(A2416&lt;&gt;"", VLOOKUP(A2416, imdb_netflix_v5!A$2:H$7370, 7, FALSE), "")</f>
        <v>NA</v>
      </c>
    </row>
    <row r="2417" ht="15.75" customHeight="1">
      <c r="A2417" s="1" t="str">
        <f>IFERROR(__xludf.DUMMYFUNCTION("""COMPUTED_VALUE"""),"the banshees of inisherin")</f>
        <v>the banshees of inisherin</v>
      </c>
      <c r="B2417" s="1" t="str">
        <f>IF(A2417&lt;&gt;"", VLOOKUP(A2417, imdb_netflix_v5!A$2:H$7370, 2, FALSE), "")</f>
        <v>Movie</v>
      </c>
      <c r="C2417" s="2" t="str">
        <f>IF(A2417&lt;&gt;"", VLOOKUP(A2417, imdb_netflix_v5!A$2:H$7370, 3, FALSE), "")</f>
        <v>Comedy, Drama</v>
      </c>
      <c r="D2417" s="2">
        <f>IF(A2417&lt;&gt;"", VLOOKUP(A2417, imdb_netflix_v5!A$2:H$7370, 4, FALSE), "")</f>
        <v>7.7</v>
      </c>
      <c r="E2417" s="2">
        <f>IF(A2417&lt;&gt;"", VLOOKUP(A2417, imdb_netflix_v5!A$2:H$7370, 5, FALSE), "")</f>
        <v>2022</v>
      </c>
      <c r="F2417" s="2" t="str">
        <f>IF(A2417&lt;&gt;"", VLOOKUP(A2417, imdb_netflix_v5!A$2:H$7370, 7, FALSE), "")</f>
        <v>NA</v>
      </c>
    </row>
    <row r="2418" ht="15.75" customHeight="1">
      <c r="A2418" s="1" t="str">
        <f>IFERROR(__xludf.DUMMYFUNCTION("""COMPUTED_VALUE"""),"airplane!")</f>
        <v>airplane!</v>
      </c>
      <c r="B2418" s="1" t="str">
        <f>IF(A2418&lt;&gt;"", VLOOKUP(A2418, imdb_netflix_v5!A$2:H$7370, 2, FALSE), "")</f>
        <v>Movie</v>
      </c>
      <c r="C2418" s="2" t="str">
        <f>IF(A2418&lt;&gt;"", VLOOKUP(A2418, imdb_netflix_v5!A$2:H$7370, 3, FALSE), "")</f>
        <v>Comedy</v>
      </c>
      <c r="D2418" s="2">
        <f>IF(A2418&lt;&gt;"", VLOOKUP(A2418, imdb_netflix_v5!A$2:H$7370, 4, FALSE), "")</f>
        <v>7.7</v>
      </c>
      <c r="E2418" s="2">
        <f>IF(A2418&lt;&gt;"", VLOOKUP(A2418, imdb_netflix_v5!A$2:H$7370, 5, FALSE), "")</f>
        <v>1980</v>
      </c>
      <c r="F2418" s="2" t="str">
        <f>IF(A2418&lt;&gt;"", VLOOKUP(A2418, imdb_netflix_v5!A$2:H$7370, 7, FALSE), "")</f>
        <v>NA</v>
      </c>
    </row>
    <row r="2419" ht="15.75" customHeight="1">
      <c r="A2419" s="1" t="str">
        <f>IFERROR(__xludf.DUMMYFUNCTION("""COMPUTED_VALUE"""),"changeling")</f>
        <v>changeling</v>
      </c>
      <c r="B2419" s="1" t="str">
        <f>IF(A2419&lt;&gt;"", VLOOKUP(A2419, imdb_netflix_v5!A$2:H$7370, 2, FALSE), "")</f>
        <v>Movie</v>
      </c>
      <c r="C2419" s="2" t="str">
        <f>IF(A2419&lt;&gt;"", VLOOKUP(A2419, imdb_netflix_v5!A$2:H$7370, 3, FALSE), "")</f>
        <v>Biography, Crime, Drama</v>
      </c>
      <c r="D2419" s="2">
        <f>IF(A2419&lt;&gt;"", VLOOKUP(A2419, imdb_netflix_v5!A$2:H$7370, 4, FALSE), "")</f>
        <v>7.7</v>
      </c>
      <c r="E2419" s="2">
        <f>IF(A2419&lt;&gt;"", VLOOKUP(A2419, imdb_netflix_v5!A$2:H$7370, 5, FALSE), "")</f>
        <v>2008</v>
      </c>
      <c r="F2419" s="2" t="str">
        <f>IF(A2419&lt;&gt;"", VLOOKUP(A2419, imdb_netflix_v5!A$2:H$7370, 7, FALSE), "")</f>
        <v>NA</v>
      </c>
    </row>
    <row r="2420" ht="15.75" customHeight="1">
      <c r="A2420" s="1" t="str">
        <f>IFERROR(__xludf.DUMMYFUNCTION("""COMPUTED_VALUE"""),"philadelphia")</f>
        <v>philadelphia</v>
      </c>
      <c r="B2420" s="1" t="str">
        <f>IF(A2420&lt;&gt;"", VLOOKUP(A2420, imdb_netflix_v5!A$2:H$7370, 2, FALSE), "")</f>
        <v>Movie</v>
      </c>
      <c r="C2420" s="2" t="str">
        <f>IF(A2420&lt;&gt;"", VLOOKUP(A2420, imdb_netflix_v5!A$2:H$7370, 3, FALSE), "")</f>
        <v>Drama</v>
      </c>
      <c r="D2420" s="2">
        <f>IF(A2420&lt;&gt;"", VLOOKUP(A2420, imdb_netflix_v5!A$2:H$7370, 4, FALSE), "")</f>
        <v>7.7</v>
      </c>
      <c r="E2420" s="2">
        <f>IF(A2420&lt;&gt;"", VLOOKUP(A2420, imdb_netflix_v5!A$2:H$7370, 5, FALSE), "")</f>
        <v>1993</v>
      </c>
      <c r="F2420" s="2" t="str">
        <f>IF(A2420&lt;&gt;"", VLOOKUP(A2420, imdb_netflix_v5!A$2:H$7370, 7, FALSE), "")</f>
        <v>NA</v>
      </c>
    </row>
    <row r="2421" ht="15.75" customHeight="1">
      <c r="A2421" s="1" t="str">
        <f>IFERROR(__xludf.DUMMYFUNCTION("""COMPUTED_VALUE"""),"whats eating gilbert grape")</f>
        <v>whats eating gilbert grape</v>
      </c>
      <c r="B2421" s="1" t="str">
        <f>IF(A2421&lt;&gt;"", VLOOKUP(A2421, imdb_netflix_v5!A$2:H$7370, 2, FALSE), "")</f>
        <v>Movie</v>
      </c>
      <c r="C2421" s="2" t="str">
        <f>IF(A2421&lt;&gt;"", VLOOKUP(A2421, imdb_netflix_v5!A$2:H$7370, 3, FALSE), "")</f>
        <v>Drama</v>
      </c>
      <c r="D2421" s="2">
        <f>IF(A2421&lt;&gt;"", VLOOKUP(A2421, imdb_netflix_v5!A$2:H$7370, 4, FALSE), "")</f>
        <v>7.7</v>
      </c>
      <c r="E2421" s="2">
        <f>IF(A2421&lt;&gt;"", VLOOKUP(A2421, imdb_netflix_v5!A$2:H$7370, 5, FALSE), "")</f>
        <v>1993</v>
      </c>
      <c r="F2421" s="2" t="str">
        <f>IF(A2421&lt;&gt;"", VLOOKUP(A2421, imdb_netflix_v5!A$2:H$7370, 7, FALSE), "")</f>
        <v>NA</v>
      </c>
    </row>
    <row r="2422" ht="15.75" customHeight="1">
      <c r="A2422" s="1" t="str">
        <f>IFERROR(__xludf.DUMMYFUNCTION("""COMPUTED_VALUE"""),"the boy in the striped pajamas")</f>
        <v>the boy in the striped pajamas</v>
      </c>
      <c r="B2422" s="1" t="str">
        <f>IF(A2422&lt;&gt;"", VLOOKUP(A2422, imdb_netflix_v5!A$2:H$7370, 2, FALSE), "")</f>
        <v>Movie</v>
      </c>
      <c r="C2422" s="2" t="str">
        <f>IF(A2422&lt;&gt;"", VLOOKUP(A2422, imdb_netflix_v5!A$2:H$7370, 3, FALSE), "")</f>
        <v>Drama, War</v>
      </c>
      <c r="D2422" s="2">
        <f>IF(A2422&lt;&gt;"", VLOOKUP(A2422, imdb_netflix_v5!A$2:H$7370, 4, FALSE), "")</f>
        <v>7.7</v>
      </c>
      <c r="E2422" s="2">
        <f>IF(A2422&lt;&gt;"", VLOOKUP(A2422, imdb_netflix_v5!A$2:H$7370, 5, FALSE), "")</f>
        <v>2008</v>
      </c>
      <c r="F2422" s="2" t="str">
        <f>IF(A2422&lt;&gt;"", VLOOKUP(A2422, imdb_netflix_v5!A$2:H$7370, 7, FALSE), "")</f>
        <v>NA</v>
      </c>
    </row>
    <row r="2423" ht="15.75" customHeight="1">
      <c r="A2423" s="1" t="str">
        <f>IFERROR(__xludf.DUMMYFUNCTION("""COMPUTED_VALUE"""),"primal fear")</f>
        <v>primal fear</v>
      </c>
      <c r="B2423" s="1" t="str">
        <f>IF(A2423&lt;&gt;"", VLOOKUP(A2423, imdb_netflix_v5!A$2:H$7370, 2, FALSE), "")</f>
        <v>Movie</v>
      </c>
      <c r="C2423" s="2" t="str">
        <f>IF(A2423&lt;&gt;"", VLOOKUP(A2423, imdb_netflix_v5!A$2:H$7370, 3, FALSE), "")</f>
        <v>Crime, Drama, Mystery</v>
      </c>
      <c r="D2423" s="2">
        <f>IF(A2423&lt;&gt;"", VLOOKUP(A2423, imdb_netflix_v5!A$2:H$7370, 4, FALSE), "")</f>
        <v>7.7</v>
      </c>
      <c r="E2423" s="2">
        <f>IF(A2423&lt;&gt;"", VLOOKUP(A2423, imdb_netflix_v5!A$2:H$7370, 5, FALSE), "")</f>
        <v>1996</v>
      </c>
      <c r="F2423" s="2" t="str">
        <f>IF(A2423&lt;&gt;"", VLOOKUP(A2423, imdb_netflix_v5!A$2:H$7370, 7, FALSE), "")</f>
        <v>NA</v>
      </c>
    </row>
    <row r="2424" ht="15.75" customHeight="1">
      <c r="A2424" s="1" t="str">
        <f>IFERROR(__xludf.DUMMYFUNCTION("""COMPUTED_VALUE"""),"when harry met sally...")</f>
        <v>when harry met sally...</v>
      </c>
      <c r="B2424" s="1" t="str">
        <f>IF(A2424&lt;&gt;"", VLOOKUP(A2424, imdb_netflix_v5!A$2:H$7370, 2, FALSE), "")</f>
        <v>Movie</v>
      </c>
      <c r="C2424" s="2" t="str">
        <f>IF(A2424&lt;&gt;"", VLOOKUP(A2424, imdb_netflix_v5!A$2:H$7370, 3, FALSE), "")</f>
        <v>Comedy, Drama, Romance</v>
      </c>
      <c r="D2424" s="2">
        <f>IF(A2424&lt;&gt;"", VLOOKUP(A2424, imdb_netflix_v5!A$2:H$7370, 4, FALSE), "")</f>
        <v>7.7</v>
      </c>
      <c r="E2424" s="2">
        <f>IF(A2424&lt;&gt;"", VLOOKUP(A2424, imdb_netflix_v5!A$2:H$7370, 5, FALSE), "")</f>
        <v>1989</v>
      </c>
      <c r="F2424" s="2" t="str">
        <f>IF(A2424&lt;&gt;"", VLOOKUP(A2424, imdb_netflix_v5!A$2:H$7370, 7, FALSE), "")</f>
        <v>NA</v>
      </c>
    </row>
    <row r="2425" ht="15.75" customHeight="1">
      <c r="A2425" s="1" t="str">
        <f>IFERROR(__xludf.DUMMYFUNCTION("""COMPUTED_VALUE"""),"mr. nobody")</f>
        <v>mr. nobody</v>
      </c>
      <c r="B2425" s="1" t="str">
        <f>IF(A2425&lt;&gt;"", VLOOKUP(A2425, imdb_netflix_v5!A$2:H$7370, 2, FALSE), "")</f>
        <v>Movie</v>
      </c>
      <c r="C2425" s="2" t="str">
        <f>IF(A2425&lt;&gt;"", VLOOKUP(A2425, imdb_netflix_v5!A$2:H$7370, 3, FALSE), "")</f>
        <v>Drama, Fantasy, Romance</v>
      </c>
      <c r="D2425" s="2">
        <f>IF(A2425&lt;&gt;"", VLOOKUP(A2425, imdb_netflix_v5!A$2:H$7370, 4, FALSE), "")</f>
        <v>7.7</v>
      </c>
      <c r="E2425" s="2">
        <f>IF(A2425&lt;&gt;"", VLOOKUP(A2425, imdb_netflix_v5!A$2:H$7370, 5, FALSE), "")</f>
        <v>2009</v>
      </c>
      <c r="F2425" s="2" t="str">
        <f>IF(A2425&lt;&gt;"", VLOOKUP(A2425, imdb_netflix_v5!A$2:H$7370, 7, FALSE), "")</f>
        <v>NA</v>
      </c>
    </row>
    <row r="2426" ht="15.75" customHeight="1">
      <c r="A2426" s="1" t="str">
        <f>IFERROR(__xludf.DUMMYFUNCTION("""COMPUTED_VALUE"""),"once upon a time")</f>
        <v>once upon a time</v>
      </c>
      <c r="B2426" s="1" t="str">
        <f>IF(A2426&lt;&gt;"", VLOOKUP(A2426, imdb_netflix_v5!A$2:H$7370, 2, FALSE), "")</f>
        <v>TV Show</v>
      </c>
      <c r="C2426" s="2" t="str">
        <f>IF(A2426&lt;&gt;"", VLOOKUP(A2426, imdb_netflix_v5!A$2:H$7370, 3, FALSE), "")</f>
        <v>Adventure, Fantasy, Romance</v>
      </c>
      <c r="D2426" s="2">
        <f>IF(A2426&lt;&gt;"", VLOOKUP(A2426, imdb_netflix_v5!A$2:H$7370, 4, FALSE), "")</f>
        <v>7.7</v>
      </c>
      <c r="E2426" s="2">
        <f>IF(A2426&lt;&gt;"", VLOOKUP(A2426, imdb_netflix_v5!A$2:H$7370, 5, FALSE), "")</f>
        <v>2011</v>
      </c>
      <c r="F2426" s="2" t="str">
        <f>IF(A2426&lt;&gt;"", VLOOKUP(A2426, imdb_netflix_v5!A$2:H$7370, 7, FALSE), "")</f>
        <v>NA</v>
      </c>
    </row>
    <row r="2427" ht="15.75" customHeight="1">
      <c r="A2427" s="1" t="str">
        <f>IFERROR(__xludf.DUMMYFUNCTION("""COMPUTED_VALUE"""),"clerks")</f>
        <v>clerks</v>
      </c>
      <c r="B2427" s="1" t="str">
        <f>IF(A2427&lt;&gt;"", VLOOKUP(A2427, imdb_netflix_v5!A$2:H$7370, 2, FALSE), "")</f>
        <v>Movie</v>
      </c>
      <c r="C2427" s="2" t="str">
        <f>IF(A2427&lt;&gt;"", VLOOKUP(A2427, imdb_netflix_v5!A$2:H$7370, 3, FALSE), "")</f>
        <v>Comedy</v>
      </c>
      <c r="D2427" s="2">
        <f>IF(A2427&lt;&gt;"", VLOOKUP(A2427, imdb_netflix_v5!A$2:H$7370, 4, FALSE), "")</f>
        <v>7.7</v>
      </c>
      <c r="E2427" s="2">
        <f>IF(A2427&lt;&gt;"", VLOOKUP(A2427, imdb_netflix_v5!A$2:H$7370, 5, FALSE), "")</f>
        <v>1994</v>
      </c>
      <c r="F2427" s="2" t="str">
        <f>IF(A2427&lt;&gt;"", VLOOKUP(A2427, imdb_netflix_v5!A$2:H$7370, 7, FALSE), "")</f>
        <v>NA</v>
      </c>
    </row>
    <row r="2428" ht="15.75" customHeight="1">
      <c r="A2428" s="1" t="str">
        <f>IFERROR(__xludf.DUMMYFUNCTION("""COMPUTED_VALUE"""),"who framed roger rabbit")</f>
        <v>who framed roger rabbit</v>
      </c>
      <c r="B2428" s="1" t="str">
        <f>IF(A2428&lt;&gt;"", VLOOKUP(A2428, imdb_netflix_v5!A$2:H$7370, 2, FALSE), "")</f>
        <v>Movie</v>
      </c>
      <c r="C2428" s="2" t="str">
        <f>IF(A2428&lt;&gt;"", VLOOKUP(A2428, imdb_netflix_v5!A$2:H$7370, 3, FALSE), "")</f>
        <v>Adventure, Animation, Comedy</v>
      </c>
      <c r="D2428" s="2">
        <f>IF(A2428&lt;&gt;"", VLOOKUP(A2428, imdb_netflix_v5!A$2:H$7370, 4, FALSE), "")</f>
        <v>7.7</v>
      </c>
      <c r="E2428" s="2">
        <f>IF(A2428&lt;&gt;"", VLOOKUP(A2428, imdb_netflix_v5!A$2:H$7370, 5, FALSE), "")</f>
        <v>1988</v>
      </c>
      <c r="F2428" s="2" t="str">
        <f>IF(A2428&lt;&gt;"", VLOOKUP(A2428, imdb_netflix_v5!A$2:H$7370, 7, FALSE), "")</f>
        <v>NA</v>
      </c>
    </row>
    <row r="2429" ht="15.75" customHeight="1">
      <c r="A2429" s="1" t="str">
        <f>IFERROR(__xludf.DUMMYFUNCTION("""COMPUTED_VALUE"""),"blue velvet")</f>
        <v>blue velvet</v>
      </c>
      <c r="B2429" s="1" t="str">
        <f>IF(A2429&lt;&gt;"", VLOOKUP(A2429, imdb_netflix_v5!A$2:H$7370, 2, FALSE), "")</f>
        <v>Movie</v>
      </c>
      <c r="C2429" s="2" t="str">
        <f>IF(A2429&lt;&gt;"", VLOOKUP(A2429, imdb_netflix_v5!A$2:H$7370, 3, FALSE), "")</f>
        <v>Crime, Drama, Mystery</v>
      </c>
      <c r="D2429" s="2">
        <f>IF(A2429&lt;&gt;"", VLOOKUP(A2429, imdb_netflix_v5!A$2:H$7370, 4, FALSE), "")</f>
        <v>7.7</v>
      </c>
      <c r="E2429" s="2">
        <f>IF(A2429&lt;&gt;"", VLOOKUP(A2429, imdb_netflix_v5!A$2:H$7370, 5, FALSE), "")</f>
        <v>1986</v>
      </c>
      <c r="F2429" s="2" t="str">
        <f>IF(A2429&lt;&gt;"", VLOOKUP(A2429, imdb_netflix_v5!A$2:H$7370, 7, FALSE), "")</f>
        <v>NA</v>
      </c>
    </row>
    <row r="2430" ht="15.75" customHeight="1">
      <c r="A2430" s="1" t="str">
        <f>IFERROR(__xludf.DUMMYFUNCTION("""COMPUTED_VALUE"""),"south park bigger, longer &amp; uncut")</f>
        <v>south park bigger, longer &amp; uncut</v>
      </c>
      <c r="B2430" s="1" t="str">
        <f>IF(A2430&lt;&gt;"", VLOOKUP(A2430, imdb_netflix_v5!A$2:H$7370, 2, FALSE), "")</f>
        <v>Movie</v>
      </c>
      <c r="C2430" s="2" t="str">
        <f>IF(A2430&lt;&gt;"", VLOOKUP(A2430, imdb_netflix_v5!A$2:H$7370, 3, FALSE), "")</f>
        <v>Animation, Comedy, Fantasy</v>
      </c>
      <c r="D2430" s="2">
        <f>IF(A2430&lt;&gt;"", VLOOKUP(A2430, imdb_netflix_v5!A$2:H$7370, 4, FALSE), "")</f>
        <v>7.7</v>
      </c>
      <c r="E2430" s="2">
        <f>IF(A2430&lt;&gt;"", VLOOKUP(A2430, imdb_netflix_v5!A$2:H$7370, 5, FALSE), "")</f>
        <v>1999</v>
      </c>
      <c r="F2430" s="2" t="str">
        <f>IF(A2430&lt;&gt;"", VLOOKUP(A2430, imdb_netflix_v5!A$2:H$7370, 7, FALSE), "")</f>
        <v>NA</v>
      </c>
    </row>
    <row r="2431" ht="15.75" customHeight="1">
      <c r="A2431" s="1" t="str">
        <f>IFERROR(__xludf.DUMMYFUNCTION("""COMPUTED_VALUE"""),"finding neverland")</f>
        <v>finding neverland</v>
      </c>
      <c r="B2431" s="1" t="str">
        <f>IF(A2431&lt;&gt;"", VLOOKUP(A2431, imdb_netflix_v5!A$2:H$7370, 2, FALSE), "")</f>
        <v>Movie</v>
      </c>
      <c r="C2431" s="2" t="str">
        <f>IF(A2431&lt;&gt;"", VLOOKUP(A2431, imdb_netflix_v5!A$2:H$7370, 3, FALSE), "")</f>
        <v>Biography, Drama, Family</v>
      </c>
      <c r="D2431" s="2">
        <f>IF(A2431&lt;&gt;"", VLOOKUP(A2431, imdb_netflix_v5!A$2:H$7370, 4, FALSE), "")</f>
        <v>7.7</v>
      </c>
      <c r="E2431" s="2">
        <f>IF(A2431&lt;&gt;"", VLOOKUP(A2431, imdb_netflix_v5!A$2:H$7370, 5, FALSE), "")</f>
        <v>2004</v>
      </c>
      <c r="F2431" s="2" t="str">
        <f>IF(A2431&lt;&gt;"", VLOOKUP(A2431, imdb_netflix_v5!A$2:H$7370, 7, FALSE), "")</f>
        <v>NA</v>
      </c>
    </row>
    <row r="2432" ht="15.75" customHeight="1">
      <c r="A2432" s="1" t="str">
        <f>IFERROR(__xludf.DUMMYFUNCTION("""COMPUTED_VALUE"""),"goldfinger")</f>
        <v>goldfinger</v>
      </c>
      <c r="B2432" s="1" t="str">
        <f>IF(A2432&lt;&gt;"", VLOOKUP(A2432, imdb_netflix_v5!A$2:H$7370, 2, FALSE), "")</f>
        <v>Movie</v>
      </c>
      <c r="C2432" s="2" t="str">
        <f>IF(A2432&lt;&gt;"", VLOOKUP(A2432, imdb_netflix_v5!A$2:H$7370, 3, FALSE), "")</f>
        <v>Action, Adventure, Thriller</v>
      </c>
      <c r="D2432" s="2">
        <f>IF(A2432&lt;&gt;"", VLOOKUP(A2432, imdb_netflix_v5!A$2:H$7370, 4, FALSE), "")</f>
        <v>7.7</v>
      </c>
      <c r="E2432" s="2">
        <f>IF(A2432&lt;&gt;"", VLOOKUP(A2432, imdb_netflix_v5!A$2:H$7370, 5, FALSE), "")</f>
        <v>1964</v>
      </c>
      <c r="F2432" s="2" t="str">
        <f>IF(A2432&lt;&gt;"", VLOOKUP(A2432, imdb_netflix_v5!A$2:H$7370, 7, FALSE), "")</f>
        <v>NA</v>
      </c>
    </row>
    <row r="2433" ht="15.75" customHeight="1">
      <c r="A2433" s="1" t="str">
        <f>IFERROR(__xludf.DUMMYFUNCTION("""COMPUTED_VALUE"""),"adaptation.")</f>
        <v>adaptation.</v>
      </c>
      <c r="B2433" s="1" t="str">
        <f>IF(A2433&lt;&gt;"", VLOOKUP(A2433, imdb_netflix_v5!A$2:H$7370, 2, FALSE), "")</f>
        <v>Movie</v>
      </c>
      <c r="C2433" s="2" t="str">
        <f>IF(A2433&lt;&gt;"", VLOOKUP(A2433, imdb_netflix_v5!A$2:H$7370, 3, FALSE), "")</f>
        <v>Comedy, Drama</v>
      </c>
      <c r="D2433" s="2">
        <f>IF(A2433&lt;&gt;"", VLOOKUP(A2433, imdb_netflix_v5!A$2:H$7370, 4, FALSE), "")</f>
        <v>7.7</v>
      </c>
      <c r="E2433" s="2">
        <f>IF(A2433&lt;&gt;"", VLOOKUP(A2433, imdb_netflix_v5!A$2:H$7370, 5, FALSE), "")</f>
        <v>2002</v>
      </c>
      <c r="F2433" s="2" t="str">
        <f>IF(A2433&lt;&gt;"", VLOOKUP(A2433, imdb_netflix_v5!A$2:H$7370, 7, FALSE), "")</f>
        <v>NA</v>
      </c>
    </row>
    <row r="2434" ht="15.75" customHeight="1">
      <c r="A2434" s="1" t="str">
        <f>IFERROR(__xludf.DUMMYFUNCTION("""COMPUTED_VALUE"""),"another round")</f>
        <v>another round</v>
      </c>
      <c r="B2434" s="1" t="str">
        <f>IF(A2434&lt;&gt;"", VLOOKUP(A2434, imdb_netflix_v5!A$2:H$7370, 2, FALSE), "")</f>
        <v>Movie</v>
      </c>
      <c r="C2434" s="2" t="str">
        <f>IF(A2434&lt;&gt;"", VLOOKUP(A2434, imdb_netflix_v5!A$2:H$7370, 3, FALSE), "")</f>
        <v>Drama</v>
      </c>
      <c r="D2434" s="2">
        <f>IF(A2434&lt;&gt;"", VLOOKUP(A2434, imdb_netflix_v5!A$2:H$7370, 4, FALSE), "")</f>
        <v>7.7</v>
      </c>
      <c r="E2434" s="2">
        <f>IF(A2434&lt;&gt;"", VLOOKUP(A2434, imdb_netflix_v5!A$2:H$7370, 5, FALSE), "")</f>
        <v>2020</v>
      </c>
      <c r="F2434" s="2" t="str">
        <f>IF(A2434&lt;&gt;"", VLOOKUP(A2434, imdb_netflix_v5!A$2:H$7370, 7, FALSE), "")</f>
        <v>NA</v>
      </c>
    </row>
    <row r="2435" ht="15.75" customHeight="1">
      <c r="A2435" s="1" t="str">
        <f>IFERROR(__xludf.DUMMYFUNCTION("""COMPUTED_VALUE"""),"the trial of the chicago 7")</f>
        <v>the trial of the chicago 7</v>
      </c>
      <c r="B2435" s="1" t="str">
        <f>IF(A2435&lt;&gt;"", VLOOKUP(A2435, imdb_netflix_v5!A$2:H$7370, 2, FALSE), "")</f>
        <v>Movie</v>
      </c>
      <c r="C2435" s="2" t="str">
        <f>IF(A2435&lt;&gt;"", VLOOKUP(A2435, imdb_netflix_v5!A$2:H$7370, 3, FALSE), "")</f>
        <v>Drama, History, Thriller</v>
      </c>
      <c r="D2435" s="2">
        <f>IF(A2435&lt;&gt;"", VLOOKUP(A2435, imdb_netflix_v5!A$2:H$7370, 4, FALSE), "")</f>
        <v>7.7</v>
      </c>
      <c r="E2435" s="2">
        <f>IF(A2435&lt;&gt;"", VLOOKUP(A2435, imdb_netflix_v5!A$2:H$7370, 5, FALSE), "")</f>
        <v>2020</v>
      </c>
      <c r="F2435" s="2" t="str">
        <f>IF(A2435&lt;&gt;"", VLOOKUP(A2435, imdb_netflix_v5!A$2:H$7370, 7, FALSE), "")</f>
        <v>NA</v>
      </c>
    </row>
    <row r="2436" ht="15.75" customHeight="1">
      <c r="A2436" s="1" t="str">
        <f>IFERROR(__xludf.DUMMYFUNCTION("""COMPUTED_VALUE"""),"evil dead ii")</f>
        <v>evil dead ii</v>
      </c>
      <c r="B2436" s="1" t="str">
        <f>IF(A2436&lt;&gt;"", VLOOKUP(A2436, imdb_netflix_v5!A$2:H$7370, 2, FALSE), "")</f>
        <v>Movie</v>
      </c>
      <c r="C2436" s="2" t="str">
        <f>IF(A2436&lt;&gt;"", VLOOKUP(A2436, imdb_netflix_v5!A$2:H$7370, 3, FALSE), "")</f>
        <v>Comedy, Horror</v>
      </c>
      <c r="D2436" s="2">
        <f>IF(A2436&lt;&gt;"", VLOOKUP(A2436, imdb_netflix_v5!A$2:H$7370, 4, FALSE), "")</f>
        <v>7.7</v>
      </c>
      <c r="E2436" s="2">
        <f>IF(A2436&lt;&gt;"", VLOOKUP(A2436, imdb_netflix_v5!A$2:H$7370, 5, FALSE), "")</f>
        <v>1987</v>
      </c>
      <c r="F2436" s="2" t="str">
        <f>IF(A2436&lt;&gt;"", VLOOKUP(A2436, imdb_netflix_v5!A$2:H$7370, 7, FALSE), "")</f>
        <v>NA</v>
      </c>
    </row>
    <row r="2437" ht="15.75" customHeight="1">
      <c r="A2437" s="1" t="str">
        <f>IFERROR(__xludf.DUMMYFUNCTION("""COMPUTED_VALUE"""),"the sandman")</f>
        <v>the sandman</v>
      </c>
      <c r="B2437" s="1" t="str">
        <f>IF(A2437&lt;&gt;"", VLOOKUP(A2437, imdb_netflix_v5!A$2:H$7370, 2, FALSE), "")</f>
        <v>TV Show</v>
      </c>
      <c r="C2437" s="2" t="str">
        <f>IF(A2437&lt;&gt;"", VLOOKUP(A2437, imdb_netflix_v5!A$2:H$7370, 3, FALSE), "")</f>
        <v>Drama, Fantasy, Horror</v>
      </c>
      <c r="D2437" s="2">
        <f>IF(A2437&lt;&gt;"", VLOOKUP(A2437, imdb_netflix_v5!A$2:H$7370, 4, FALSE), "")</f>
        <v>7.7</v>
      </c>
      <c r="E2437" s="2">
        <f>IF(A2437&lt;&gt;"", VLOOKUP(A2437, imdb_netflix_v5!A$2:H$7370, 5, FALSE), "")</f>
        <v>2022</v>
      </c>
      <c r="F2437" s="2">
        <f>IF(A2437&lt;&gt;"", VLOOKUP(A2437, imdb_netflix_v5!A$2:H$7370, 7, FALSE), "")</f>
        <v>12220000</v>
      </c>
    </row>
    <row r="2438" ht="15.75" customHeight="1">
      <c r="A2438" s="1" t="str">
        <f>IFERROR(__xludf.DUMMYFUNCTION("""COMPUTED_VALUE"""),"dirty harry")</f>
        <v>dirty harry</v>
      </c>
      <c r="B2438" s="1" t="str">
        <f>IF(A2438&lt;&gt;"", VLOOKUP(A2438, imdb_netflix_v5!A$2:H$7370, 2, FALSE), "")</f>
        <v>Movie</v>
      </c>
      <c r="C2438" s="2" t="str">
        <f>IF(A2438&lt;&gt;"", VLOOKUP(A2438, imdb_netflix_v5!A$2:H$7370, 3, FALSE), "")</f>
        <v>Action, Crime, Thriller</v>
      </c>
      <c r="D2438" s="2">
        <f>IF(A2438&lt;&gt;"", VLOOKUP(A2438, imdb_netflix_v5!A$2:H$7370, 4, FALSE), "")</f>
        <v>7.7</v>
      </c>
      <c r="E2438" s="2">
        <f>IF(A2438&lt;&gt;"", VLOOKUP(A2438, imdb_netflix_v5!A$2:H$7370, 5, FALSE), "")</f>
        <v>1971</v>
      </c>
      <c r="F2438" s="2" t="str">
        <f>IF(A2438&lt;&gt;"", VLOOKUP(A2438, imdb_netflix_v5!A$2:H$7370, 7, FALSE), "")</f>
        <v>NA</v>
      </c>
    </row>
    <row r="2439" ht="15.75" customHeight="1">
      <c r="A2439" s="1" t="str">
        <f>IFERROR(__xludf.DUMMYFUNCTION("""COMPUTED_VALUE"""),"roma")</f>
        <v>roma</v>
      </c>
      <c r="B2439" s="1" t="str">
        <f>IF(A2439&lt;&gt;"", VLOOKUP(A2439, imdb_netflix_v5!A$2:H$7370, 2, FALSE), "")</f>
        <v>Movie</v>
      </c>
      <c r="C2439" s="2" t="str">
        <f>IF(A2439&lt;&gt;"", VLOOKUP(A2439, imdb_netflix_v5!A$2:H$7370, 3, FALSE), "")</f>
        <v>Drama</v>
      </c>
      <c r="D2439" s="2">
        <f>IF(A2439&lt;&gt;"", VLOOKUP(A2439, imdb_netflix_v5!A$2:H$7370, 4, FALSE), "")</f>
        <v>7.7</v>
      </c>
      <c r="E2439" s="2">
        <f>IF(A2439&lt;&gt;"", VLOOKUP(A2439, imdb_netflix_v5!A$2:H$7370, 5, FALSE), "")</f>
        <v>2018</v>
      </c>
      <c r="F2439" s="2" t="str">
        <f>IF(A2439&lt;&gt;"", VLOOKUP(A2439, imdb_netflix_v5!A$2:H$7370, 7, FALSE), "")</f>
        <v>NA</v>
      </c>
    </row>
    <row r="2440" ht="15.75" customHeight="1">
      <c r="A2440" s="1" t="str">
        <f>IFERROR(__xludf.DUMMYFUNCTION("""COMPUTED_VALUE"""),"teen wolf")</f>
        <v>teen wolf</v>
      </c>
      <c r="B2440" s="1" t="str">
        <f>IF(A2440&lt;&gt;"", VLOOKUP(A2440, imdb_netflix_v5!A$2:H$7370, 2, FALSE), "")</f>
        <v>TV Show</v>
      </c>
      <c r="C2440" s="2" t="str">
        <f>IF(A2440&lt;&gt;"", VLOOKUP(A2440, imdb_netflix_v5!A$2:H$7370, 3, FALSE), "")</f>
        <v>Action, Drama, Fantasy</v>
      </c>
      <c r="D2440" s="2">
        <f>IF(A2440&lt;&gt;"", VLOOKUP(A2440, imdb_netflix_v5!A$2:H$7370, 4, FALSE), "")</f>
        <v>7.7</v>
      </c>
      <c r="E2440" s="2">
        <f>IF(A2440&lt;&gt;"", VLOOKUP(A2440, imdb_netflix_v5!A$2:H$7370, 5, FALSE), "")</f>
        <v>2011</v>
      </c>
      <c r="F2440" s="2" t="str">
        <f>IF(A2440&lt;&gt;"", VLOOKUP(A2440, imdb_netflix_v5!A$2:H$7370, 7, FALSE), "")</f>
        <v>NA</v>
      </c>
    </row>
    <row r="2441" ht="15.75" customHeight="1">
      <c r="A2441" s="1" t="str">
        <f>IFERROR(__xludf.DUMMYFUNCTION("""COMPUTED_VALUE"""),"blue is the warmest colour")</f>
        <v>blue is the warmest colour</v>
      </c>
      <c r="B2441" s="1" t="str">
        <f>IF(A2441&lt;&gt;"", VLOOKUP(A2441, imdb_netflix_v5!A$2:H$7370, 2, FALSE), "")</f>
        <v>Movie</v>
      </c>
      <c r="C2441" s="2" t="str">
        <f>IF(A2441&lt;&gt;"", VLOOKUP(A2441, imdb_netflix_v5!A$2:H$7370, 3, FALSE), "")</f>
        <v>Drama, Romance</v>
      </c>
      <c r="D2441" s="2">
        <f>IF(A2441&lt;&gt;"", VLOOKUP(A2441, imdb_netflix_v5!A$2:H$7370, 4, FALSE), "")</f>
        <v>7.7</v>
      </c>
      <c r="E2441" s="2">
        <f>IF(A2441&lt;&gt;"", VLOOKUP(A2441, imdb_netflix_v5!A$2:H$7370, 5, FALSE), "")</f>
        <v>2013</v>
      </c>
      <c r="F2441" s="2" t="str">
        <f>IF(A2441&lt;&gt;"", VLOOKUP(A2441, imdb_netflix_v5!A$2:H$7370, 7, FALSE), "")</f>
        <v>NA</v>
      </c>
    </row>
    <row r="2442" ht="15.75" customHeight="1">
      <c r="A2442" s="1" t="str">
        <f>IFERROR(__xludf.DUMMYFUNCTION("""COMPUTED_VALUE"""),"anatomy of a fall")</f>
        <v>anatomy of a fall</v>
      </c>
      <c r="B2442" s="1" t="str">
        <f>IF(A2442&lt;&gt;"", VLOOKUP(A2442, imdb_netflix_v5!A$2:H$7370, 2, FALSE), "")</f>
        <v>Movie</v>
      </c>
      <c r="C2442" s="2" t="str">
        <f>IF(A2442&lt;&gt;"", VLOOKUP(A2442, imdb_netflix_v5!A$2:H$7370, 3, FALSE), "")</f>
        <v>Crime, Drama, Thriller</v>
      </c>
      <c r="D2442" s="2">
        <f>IF(A2442&lt;&gt;"", VLOOKUP(A2442, imdb_netflix_v5!A$2:H$7370, 4, FALSE), "")</f>
        <v>7.7</v>
      </c>
      <c r="E2442" s="2">
        <f>IF(A2442&lt;&gt;"", VLOOKUP(A2442, imdb_netflix_v5!A$2:H$7370, 5, FALSE), "")</f>
        <v>2023</v>
      </c>
      <c r="F2442" s="2" t="str">
        <f>IF(A2442&lt;&gt;"", VLOOKUP(A2442, imdb_netflix_v5!A$2:H$7370, 7, FALSE), "")</f>
        <v>NA</v>
      </c>
    </row>
    <row r="2443" ht="15.75" customHeight="1">
      <c r="A2443" s="1" t="str">
        <f>IFERROR(__xludf.DUMMYFUNCTION("""COMPUTED_VALUE"""),"ray")</f>
        <v>ray</v>
      </c>
      <c r="B2443" s="1" t="str">
        <f>IF(A2443&lt;&gt;"", VLOOKUP(A2443, imdb_netflix_v5!A$2:H$7370, 2, FALSE), "")</f>
        <v>Movie</v>
      </c>
      <c r="C2443" s="2" t="str">
        <f>IF(A2443&lt;&gt;"", VLOOKUP(A2443, imdb_netflix_v5!A$2:H$7370, 3, FALSE), "")</f>
        <v>Biography, Drama, Music</v>
      </c>
      <c r="D2443" s="2">
        <f>IF(A2443&lt;&gt;"", VLOOKUP(A2443, imdb_netflix_v5!A$2:H$7370, 4, FALSE), "")</f>
        <v>7.7</v>
      </c>
      <c r="E2443" s="2">
        <f>IF(A2443&lt;&gt;"", VLOOKUP(A2443, imdb_netflix_v5!A$2:H$7370, 5, FALSE), "")</f>
        <v>2004</v>
      </c>
      <c r="F2443" s="2" t="str">
        <f>IF(A2443&lt;&gt;"", VLOOKUP(A2443, imdb_netflix_v5!A$2:H$7370, 7, FALSE), "")</f>
        <v>NA</v>
      </c>
    </row>
    <row r="2444" ht="15.75" customHeight="1">
      <c r="A2444" s="1" t="str">
        <f>IFERROR(__xludf.DUMMYFUNCTION("""COMPUTED_VALUE"""),"godzilla minus one")</f>
        <v>godzilla minus one</v>
      </c>
      <c r="B2444" s="1" t="str">
        <f>IF(A2444&lt;&gt;"", VLOOKUP(A2444, imdb_netflix_v5!A$2:H$7370, 2, FALSE), "")</f>
        <v>Movie</v>
      </c>
      <c r="C2444" s="2" t="str">
        <f>IF(A2444&lt;&gt;"", VLOOKUP(A2444, imdb_netflix_v5!A$2:H$7370, 3, FALSE), "")</f>
        <v>Action, Adventure, Drama</v>
      </c>
      <c r="D2444" s="2">
        <f>IF(A2444&lt;&gt;"", VLOOKUP(A2444, imdb_netflix_v5!A$2:H$7370, 4, FALSE), "")</f>
        <v>7.7</v>
      </c>
      <c r="E2444" s="2">
        <f>IF(A2444&lt;&gt;"", VLOOKUP(A2444, imdb_netflix_v5!A$2:H$7370, 5, FALSE), "")</f>
        <v>2023</v>
      </c>
      <c r="F2444" s="2" t="str">
        <f>IF(A2444&lt;&gt;"", VLOOKUP(A2444, imdb_netflix_v5!A$2:H$7370, 7, FALSE), "")</f>
        <v>NA</v>
      </c>
    </row>
    <row r="2445" ht="15.75" customHeight="1">
      <c r="A2445" s="1" t="str">
        <f>IFERROR(__xludf.DUMMYFUNCTION("""COMPUTED_VALUE"""),"baby reindeer")</f>
        <v>baby reindeer</v>
      </c>
      <c r="B2445" s="1" t="str">
        <f>IF(A2445&lt;&gt;"", VLOOKUP(A2445, imdb_netflix_v5!A$2:H$7370, 2, FALSE), "")</f>
        <v>TV Show</v>
      </c>
      <c r="C2445" s="2" t="str">
        <f>IF(A2445&lt;&gt;"", VLOOKUP(A2445, imdb_netflix_v5!A$2:H$7370, 3, FALSE), "")</f>
        <v>Biography, Drama</v>
      </c>
      <c r="D2445" s="2">
        <f>IF(A2445&lt;&gt;"", VLOOKUP(A2445, imdb_netflix_v5!A$2:H$7370, 4, FALSE), "")</f>
        <v>7.7</v>
      </c>
      <c r="E2445" s="2">
        <f>IF(A2445&lt;&gt;"", VLOOKUP(A2445, imdb_netflix_v5!A$2:H$7370, 5, FALSE), "")</f>
        <v>2024</v>
      </c>
      <c r="F2445" s="2" t="str">
        <f>IF(A2445&lt;&gt;"", VLOOKUP(A2445, imdb_netflix_v5!A$2:H$7370, 7, FALSE), "")</f>
        <v>NA</v>
      </c>
    </row>
    <row r="2446" ht="15.75" customHeight="1">
      <c r="A2446" s="1" t="str">
        <f>IFERROR(__xludf.DUMMYFUNCTION("""COMPUTED_VALUE"""),"blazing saddles")</f>
        <v>blazing saddles</v>
      </c>
      <c r="B2446" s="1" t="str">
        <f>IF(A2446&lt;&gt;"", VLOOKUP(A2446, imdb_netflix_v5!A$2:H$7370, 2, FALSE), "")</f>
        <v>Movie</v>
      </c>
      <c r="C2446" s="2" t="str">
        <f>IF(A2446&lt;&gt;"", VLOOKUP(A2446, imdb_netflix_v5!A$2:H$7370, 3, FALSE), "")</f>
        <v>Comedy, Western</v>
      </c>
      <c r="D2446" s="2">
        <f>IF(A2446&lt;&gt;"", VLOOKUP(A2446, imdb_netflix_v5!A$2:H$7370, 4, FALSE), "")</f>
        <v>7.7</v>
      </c>
      <c r="E2446" s="2">
        <f>IF(A2446&lt;&gt;"", VLOOKUP(A2446, imdb_netflix_v5!A$2:H$7370, 5, FALSE), "")</f>
        <v>1974</v>
      </c>
      <c r="F2446" s="2" t="str">
        <f>IF(A2446&lt;&gt;"", VLOOKUP(A2446, imdb_netflix_v5!A$2:H$7370, 7, FALSE), "")</f>
        <v>NA</v>
      </c>
    </row>
    <row r="2447" ht="15.75" customHeight="1">
      <c r="A2447" s="1" t="str">
        <f>IFERROR(__xludf.DUMMYFUNCTION("""COMPUTED_VALUE"""),"sound of metal")</f>
        <v>sound of metal</v>
      </c>
      <c r="B2447" s="1" t="str">
        <f>IF(A2447&lt;&gt;"", VLOOKUP(A2447, imdb_netflix_v5!A$2:H$7370, 2, FALSE), "")</f>
        <v>Movie</v>
      </c>
      <c r="C2447" s="2" t="str">
        <f>IF(A2447&lt;&gt;"", VLOOKUP(A2447, imdb_netflix_v5!A$2:H$7370, 3, FALSE), "")</f>
        <v>Drama, Music</v>
      </c>
      <c r="D2447" s="2">
        <f>IF(A2447&lt;&gt;"", VLOOKUP(A2447, imdb_netflix_v5!A$2:H$7370, 4, FALSE), "")</f>
        <v>7.7</v>
      </c>
      <c r="E2447" s="2">
        <f>IF(A2447&lt;&gt;"", VLOOKUP(A2447, imdb_netflix_v5!A$2:H$7370, 5, FALSE), "")</f>
        <v>2019</v>
      </c>
      <c r="F2447" s="2" t="str">
        <f>IF(A2447&lt;&gt;"", VLOOKUP(A2447, imdb_netflix_v5!A$2:H$7370, 7, FALSE), "")</f>
        <v>NA</v>
      </c>
    </row>
    <row r="2448" ht="15.75" customHeight="1">
      <c r="A2448" s="1" t="str">
        <f>IFERROR(__xludf.DUMMYFUNCTION("""COMPUTED_VALUE"""),"good bye lenin!")</f>
        <v>good bye lenin!</v>
      </c>
      <c r="B2448" s="1" t="str">
        <f>IF(A2448&lt;&gt;"", VLOOKUP(A2448, imdb_netflix_v5!A$2:H$7370, 2, FALSE), "")</f>
        <v>Movie</v>
      </c>
      <c r="C2448" s="2" t="str">
        <f>IF(A2448&lt;&gt;"", VLOOKUP(A2448, imdb_netflix_v5!A$2:H$7370, 3, FALSE), "")</f>
        <v>Comedy, Drama, Romance</v>
      </c>
      <c r="D2448" s="2">
        <f>IF(A2448&lt;&gt;"", VLOOKUP(A2448, imdb_netflix_v5!A$2:H$7370, 4, FALSE), "")</f>
        <v>7.7</v>
      </c>
      <c r="E2448" s="2">
        <f>IF(A2448&lt;&gt;"", VLOOKUP(A2448, imdb_netflix_v5!A$2:H$7370, 5, FALSE), "")</f>
        <v>2003</v>
      </c>
      <c r="F2448" s="2" t="str">
        <f>IF(A2448&lt;&gt;"", VLOOKUP(A2448, imdb_netflix_v5!A$2:H$7370, 7, FALSE), "")</f>
        <v>NA</v>
      </c>
    </row>
    <row r="2449" ht="15.75" customHeight="1">
      <c r="A2449" s="1" t="str">
        <f>IFERROR(__xludf.DUMMYFUNCTION("""COMPUTED_VALUE"""),"kung fu hustle")</f>
        <v>kung fu hustle</v>
      </c>
      <c r="B2449" s="1" t="str">
        <f>IF(A2449&lt;&gt;"", VLOOKUP(A2449, imdb_netflix_v5!A$2:H$7370, 2, FALSE), "")</f>
        <v>Movie</v>
      </c>
      <c r="C2449" s="2" t="str">
        <f>IF(A2449&lt;&gt;"", VLOOKUP(A2449, imdb_netflix_v5!A$2:H$7370, 3, FALSE), "")</f>
        <v>Action, Comedy, Fantasy</v>
      </c>
      <c r="D2449" s="2">
        <f>IF(A2449&lt;&gt;"", VLOOKUP(A2449, imdb_netflix_v5!A$2:H$7370, 4, FALSE), "")</f>
        <v>7.7</v>
      </c>
      <c r="E2449" s="2">
        <f>IF(A2449&lt;&gt;"", VLOOKUP(A2449, imdb_netflix_v5!A$2:H$7370, 5, FALSE), "")</f>
        <v>2004</v>
      </c>
      <c r="F2449" s="2">
        <f>IF(A2449&lt;&gt;"", VLOOKUP(A2449, imdb_netflix_v5!A$2:H$7370, 7, FALSE), "")</f>
        <v>1800000</v>
      </c>
    </row>
    <row r="2450" ht="15.75" customHeight="1">
      <c r="A2450" s="1" t="str">
        <f>IFERROR(__xludf.DUMMYFUNCTION("""COMPUTED_VALUE"""),"midnight mass")</f>
        <v>midnight mass</v>
      </c>
      <c r="B2450" s="1" t="str">
        <f>IF(A2450&lt;&gt;"", VLOOKUP(A2450, imdb_netflix_v5!A$2:H$7370, 2, FALSE), "")</f>
        <v>TV Show</v>
      </c>
      <c r="C2450" s="2" t="str">
        <f>IF(A2450&lt;&gt;"", VLOOKUP(A2450, imdb_netflix_v5!A$2:H$7370, 3, FALSE), "")</f>
        <v>Drama, Fantasy, Horror</v>
      </c>
      <c r="D2450" s="2">
        <f>IF(A2450&lt;&gt;"", VLOOKUP(A2450, imdb_netflix_v5!A$2:H$7370, 4, FALSE), "")</f>
        <v>7.7</v>
      </c>
      <c r="E2450" s="2">
        <f>IF(A2450&lt;&gt;"", VLOOKUP(A2450, imdb_netflix_v5!A$2:H$7370, 5, FALSE), "")</f>
        <v>2021</v>
      </c>
      <c r="F2450" s="2">
        <f>IF(A2450&lt;&gt;"", VLOOKUP(A2450, imdb_netflix_v5!A$2:H$7370, 7, FALSE), "")</f>
        <v>20940000</v>
      </c>
    </row>
    <row r="2451" ht="15.75" customHeight="1">
      <c r="A2451" s="1" t="str">
        <f>IFERROR(__xludf.DUMMYFUNCTION("""COMPUTED_VALUE"""),"the count of monte cristo")</f>
        <v>the count of monte cristo</v>
      </c>
      <c r="B2451" s="1" t="str">
        <f>IF(A2451&lt;&gt;"", VLOOKUP(A2451, imdb_netflix_v5!A$2:H$7370, 2, FALSE), "")</f>
        <v>Movie</v>
      </c>
      <c r="C2451" s="2" t="str">
        <f>IF(A2451&lt;&gt;"", VLOOKUP(A2451, imdb_netflix_v5!A$2:H$7370, 3, FALSE), "")</f>
        <v>Action, Adventure, Drama</v>
      </c>
      <c r="D2451" s="2">
        <f>IF(A2451&lt;&gt;"", VLOOKUP(A2451, imdb_netflix_v5!A$2:H$7370, 4, FALSE), "")</f>
        <v>7.7</v>
      </c>
      <c r="E2451" s="2">
        <f>IF(A2451&lt;&gt;"", VLOOKUP(A2451, imdb_netflix_v5!A$2:H$7370, 5, FALSE), "")</f>
        <v>2002</v>
      </c>
      <c r="F2451" s="2" t="str">
        <f>IF(A2451&lt;&gt;"", VLOOKUP(A2451, imdb_netflix_v5!A$2:H$7370, 7, FALSE), "")</f>
        <v>NA</v>
      </c>
    </row>
    <row r="2452" ht="15.75" customHeight="1">
      <c r="A2452" s="1" t="str">
        <f>IFERROR(__xludf.DUMMYFUNCTION("""COMPUTED_VALUE"""),"billy elliot")</f>
        <v>billy elliot</v>
      </c>
      <c r="B2452" s="1" t="str">
        <f>IF(A2452&lt;&gt;"", VLOOKUP(A2452, imdb_netflix_v5!A$2:H$7370, 2, FALSE), "")</f>
        <v>Movie</v>
      </c>
      <c r="C2452" s="2" t="str">
        <f>IF(A2452&lt;&gt;"", VLOOKUP(A2452, imdb_netflix_v5!A$2:H$7370, 3, FALSE), "")</f>
        <v>Drama, Music</v>
      </c>
      <c r="D2452" s="2">
        <f>IF(A2452&lt;&gt;"", VLOOKUP(A2452, imdb_netflix_v5!A$2:H$7370, 4, FALSE), "")</f>
        <v>7.7</v>
      </c>
      <c r="E2452" s="2">
        <f>IF(A2452&lt;&gt;"", VLOOKUP(A2452, imdb_netflix_v5!A$2:H$7370, 5, FALSE), "")</f>
        <v>2000</v>
      </c>
      <c r="F2452" s="2" t="str">
        <f>IF(A2452&lt;&gt;"", VLOOKUP(A2452, imdb_netflix_v5!A$2:H$7370, 7, FALSE), "")</f>
        <v>NA</v>
      </c>
    </row>
    <row r="2453" ht="15.75" customHeight="1">
      <c r="A2453" s="1" t="str">
        <f>IFERROR(__xludf.DUMMYFUNCTION("""COMPUTED_VALUE"""),"millers crossing")</f>
        <v>millers crossing</v>
      </c>
      <c r="B2453" s="1" t="str">
        <f>IF(A2453&lt;&gt;"", VLOOKUP(A2453, imdb_netflix_v5!A$2:H$7370, 2, FALSE), "")</f>
        <v>Movie</v>
      </c>
      <c r="C2453" s="2" t="str">
        <f>IF(A2453&lt;&gt;"", VLOOKUP(A2453, imdb_netflix_v5!A$2:H$7370, 3, FALSE), "")</f>
        <v>Crime, Drama, Thriller</v>
      </c>
      <c r="D2453" s="2">
        <f>IF(A2453&lt;&gt;"", VLOOKUP(A2453, imdb_netflix_v5!A$2:H$7370, 4, FALSE), "")</f>
        <v>7.7</v>
      </c>
      <c r="E2453" s="2">
        <f>IF(A2453&lt;&gt;"", VLOOKUP(A2453, imdb_netflix_v5!A$2:H$7370, 5, FALSE), "")</f>
        <v>1990</v>
      </c>
      <c r="F2453" s="2" t="str">
        <f>IF(A2453&lt;&gt;"", VLOOKUP(A2453, imdb_netflix_v5!A$2:H$7370, 7, FALSE), "")</f>
        <v>NA</v>
      </c>
    </row>
    <row r="2454" ht="15.75" customHeight="1">
      <c r="A2454" s="1" t="str">
        <f>IFERROR(__xludf.DUMMYFUNCTION("""COMPUTED_VALUE"""),"kubo and the two strings")</f>
        <v>kubo and the two strings</v>
      </c>
      <c r="B2454" s="1" t="str">
        <f>IF(A2454&lt;&gt;"", VLOOKUP(A2454, imdb_netflix_v5!A$2:H$7370, 2, FALSE), "")</f>
        <v>Movie</v>
      </c>
      <c r="C2454" s="2" t="str">
        <f>IF(A2454&lt;&gt;"", VLOOKUP(A2454, imdb_netflix_v5!A$2:H$7370, 3, FALSE), "")</f>
        <v>Action, Adventure, Animation</v>
      </c>
      <c r="D2454" s="2">
        <f>IF(A2454&lt;&gt;"", VLOOKUP(A2454, imdb_netflix_v5!A$2:H$7370, 4, FALSE), "")</f>
        <v>7.7</v>
      </c>
      <c r="E2454" s="2">
        <f>IF(A2454&lt;&gt;"", VLOOKUP(A2454, imdb_netflix_v5!A$2:H$7370, 5, FALSE), "")</f>
        <v>2016</v>
      </c>
      <c r="F2454" s="2" t="str">
        <f>IF(A2454&lt;&gt;"", VLOOKUP(A2454, imdb_netflix_v5!A$2:H$7370, 7, FALSE), "")</f>
        <v>NA</v>
      </c>
    </row>
    <row r="2455" ht="15.75" customHeight="1">
      <c r="A2455" s="1" t="str">
        <f>IFERROR(__xludf.DUMMYFUNCTION("""COMPUTED_VALUE"""),"me and earl and the dying girl")</f>
        <v>me and earl and the dying girl</v>
      </c>
      <c r="B2455" s="1" t="str">
        <f>IF(A2455&lt;&gt;"", VLOOKUP(A2455, imdb_netflix_v5!A$2:H$7370, 2, FALSE), "")</f>
        <v>Movie</v>
      </c>
      <c r="C2455" s="2" t="str">
        <f>IF(A2455&lt;&gt;"", VLOOKUP(A2455, imdb_netflix_v5!A$2:H$7370, 3, FALSE), "")</f>
        <v>Comedy, Drama</v>
      </c>
      <c r="D2455" s="2">
        <f>IF(A2455&lt;&gt;"", VLOOKUP(A2455, imdb_netflix_v5!A$2:H$7370, 4, FALSE), "")</f>
        <v>7.7</v>
      </c>
      <c r="E2455" s="2">
        <f>IF(A2455&lt;&gt;"", VLOOKUP(A2455, imdb_netflix_v5!A$2:H$7370, 5, FALSE), "")</f>
        <v>2015</v>
      </c>
      <c r="F2455" s="2" t="str">
        <f>IF(A2455&lt;&gt;"", VLOOKUP(A2455, imdb_netflix_v5!A$2:H$7370, 7, FALSE), "")</f>
        <v>NA</v>
      </c>
    </row>
    <row r="2456" ht="15.75" customHeight="1">
      <c r="A2456" s="1" t="str">
        <f>IFERROR(__xludf.DUMMYFUNCTION("""COMPUTED_VALUE"""),"the french connection")</f>
        <v>the french connection</v>
      </c>
      <c r="B2456" s="1" t="str">
        <f>IF(A2456&lt;&gt;"", VLOOKUP(A2456, imdb_netflix_v5!A$2:H$7370, 2, FALSE), "")</f>
        <v>Movie</v>
      </c>
      <c r="C2456" s="2" t="str">
        <f>IF(A2456&lt;&gt;"", VLOOKUP(A2456, imdb_netflix_v5!A$2:H$7370, 3, FALSE), "")</f>
        <v>Action, Crime, Drama</v>
      </c>
      <c r="D2456" s="2">
        <f>IF(A2456&lt;&gt;"", VLOOKUP(A2456, imdb_netflix_v5!A$2:H$7370, 4, FALSE), "")</f>
        <v>7.7</v>
      </c>
      <c r="E2456" s="2">
        <f>IF(A2456&lt;&gt;"", VLOOKUP(A2456, imdb_netflix_v5!A$2:H$7370, 5, FALSE), "")</f>
        <v>1971</v>
      </c>
      <c r="F2456" s="2" t="str">
        <f>IF(A2456&lt;&gt;"", VLOOKUP(A2456, imdb_netflix_v5!A$2:H$7370, 7, FALSE), "")</f>
        <v>NA</v>
      </c>
    </row>
    <row r="2457" ht="15.75" customHeight="1">
      <c r="A2457" s="1" t="str">
        <f>IFERROR(__xludf.DUMMYFUNCTION("""COMPUTED_VALUE"""),"serpico")</f>
        <v>serpico</v>
      </c>
      <c r="B2457" s="1" t="str">
        <f>IF(A2457&lt;&gt;"", VLOOKUP(A2457, imdb_netflix_v5!A$2:H$7370, 2, FALSE), "")</f>
        <v>Movie</v>
      </c>
      <c r="C2457" s="2" t="str">
        <f>IF(A2457&lt;&gt;"", VLOOKUP(A2457, imdb_netflix_v5!A$2:H$7370, 3, FALSE), "")</f>
        <v>Biography, Crime, Drama</v>
      </c>
      <c r="D2457" s="2">
        <f>IF(A2457&lt;&gt;"", VLOOKUP(A2457, imdb_netflix_v5!A$2:H$7370, 4, FALSE), "")</f>
        <v>7.7</v>
      </c>
      <c r="E2457" s="2">
        <f>IF(A2457&lt;&gt;"", VLOOKUP(A2457, imdb_netflix_v5!A$2:H$7370, 5, FALSE), "")</f>
        <v>1973</v>
      </c>
      <c r="F2457" s="2" t="str">
        <f>IF(A2457&lt;&gt;"", VLOOKUP(A2457, imdb_netflix_v5!A$2:H$7370, 7, FALSE), "")</f>
        <v>NA</v>
      </c>
    </row>
    <row r="2458" ht="15.75" customHeight="1">
      <c r="A2458" s="1" t="str">
        <f>IFERROR(__xludf.DUMMYFUNCTION("""COMPUTED_VALUE"""),"empire of the sun")</f>
        <v>empire of the sun</v>
      </c>
      <c r="B2458" s="1" t="str">
        <f>IF(A2458&lt;&gt;"", VLOOKUP(A2458, imdb_netflix_v5!A$2:H$7370, 2, FALSE), "")</f>
        <v>Movie</v>
      </c>
      <c r="C2458" s="2" t="str">
        <f>IF(A2458&lt;&gt;"", VLOOKUP(A2458, imdb_netflix_v5!A$2:H$7370, 3, FALSE), "")</f>
        <v>Drama, War</v>
      </c>
      <c r="D2458" s="2">
        <f>IF(A2458&lt;&gt;"", VLOOKUP(A2458, imdb_netflix_v5!A$2:H$7370, 4, FALSE), "")</f>
        <v>7.7</v>
      </c>
      <c r="E2458" s="2">
        <f>IF(A2458&lt;&gt;"", VLOOKUP(A2458, imdb_netflix_v5!A$2:H$7370, 5, FALSE), "")</f>
        <v>1987</v>
      </c>
      <c r="F2458" s="2" t="str">
        <f>IF(A2458&lt;&gt;"", VLOOKUP(A2458, imdb_netflix_v5!A$2:H$7370, 7, FALSE), "")</f>
        <v>NA</v>
      </c>
    </row>
    <row r="2459" ht="15.75" customHeight="1">
      <c r="A2459" s="1" t="str">
        <f>IFERROR(__xludf.DUMMYFUNCTION("""COMPUTED_VALUE"""),"star trek ii the wrath of khan")</f>
        <v>star trek ii the wrath of khan</v>
      </c>
      <c r="B2459" s="1" t="str">
        <f>IF(A2459&lt;&gt;"", VLOOKUP(A2459, imdb_netflix_v5!A$2:H$7370, 2, FALSE), "")</f>
        <v>Movie</v>
      </c>
      <c r="C2459" s="2" t="str">
        <f>IF(A2459&lt;&gt;"", VLOOKUP(A2459, imdb_netflix_v5!A$2:H$7370, 3, FALSE), "")</f>
        <v>Action, Adventure, Sci-Fi</v>
      </c>
      <c r="D2459" s="2">
        <f>IF(A2459&lt;&gt;"", VLOOKUP(A2459, imdb_netflix_v5!A$2:H$7370, 4, FALSE), "")</f>
        <v>7.7</v>
      </c>
      <c r="E2459" s="2">
        <f>IF(A2459&lt;&gt;"", VLOOKUP(A2459, imdb_netflix_v5!A$2:H$7370, 5, FALSE), "")</f>
        <v>1982</v>
      </c>
      <c r="F2459" s="2" t="str">
        <f>IF(A2459&lt;&gt;"", VLOOKUP(A2459, imdb_netflix_v5!A$2:H$7370, 7, FALSE), "")</f>
        <v>NA</v>
      </c>
    </row>
    <row r="2460" ht="15.75" customHeight="1">
      <c r="A2460" s="1" t="str">
        <f>IFERROR(__xludf.DUMMYFUNCTION("""COMPUTED_VALUE"""),"y tu mamá también")</f>
        <v>y tu mamá también</v>
      </c>
      <c r="B2460" s="1" t="str">
        <f>IF(A2460&lt;&gt;"", VLOOKUP(A2460, imdb_netflix_v5!A$2:H$7370, 2, FALSE), "")</f>
        <v>Movie</v>
      </c>
      <c r="C2460" s="2" t="str">
        <f>IF(A2460&lt;&gt;"", VLOOKUP(A2460, imdb_netflix_v5!A$2:H$7370, 3, FALSE), "")</f>
        <v>Drama</v>
      </c>
      <c r="D2460" s="2">
        <f>IF(A2460&lt;&gt;"", VLOOKUP(A2460, imdb_netflix_v5!A$2:H$7370, 4, FALSE), "")</f>
        <v>7.7</v>
      </c>
      <c r="E2460" s="2">
        <f>IF(A2460&lt;&gt;"", VLOOKUP(A2460, imdb_netflix_v5!A$2:H$7370, 5, FALSE), "")</f>
        <v>2001</v>
      </c>
      <c r="F2460" s="2" t="str">
        <f>IF(A2460&lt;&gt;"", VLOOKUP(A2460, imdb_netflix_v5!A$2:H$7370, 7, FALSE), "")</f>
        <v>NA</v>
      </c>
    </row>
    <row r="2461" ht="15.75" customHeight="1">
      <c r="A2461" s="1" t="str">
        <f>IFERROR(__xludf.DUMMYFUNCTION("""COMPUTED_VALUE"""),"this is england")</f>
        <v>this is england</v>
      </c>
      <c r="B2461" s="1" t="str">
        <f>IF(A2461&lt;&gt;"", VLOOKUP(A2461, imdb_netflix_v5!A$2:H$7370, 2, FALSE), "")</f>
        <v>Movie</v>
      </c>
      <c r="C2461" s="2" t="str">
        <f>IF(A2461&lt;&gt;"", VLOOKUP(A2461, imdb_netflix_v5!A$2:H$7370, 3, FALSE), "")</f>
        <v>Crime, Drama</v>
      </c>
      <c r="D2461" s="2">
        <f>IF(A2461&lt;&gt;"", VLOOKUP(A2461, imdb_netflix_v5!A$2:H$7370, 4, FALSE), "")</f>
        <v>7.7</v>
      </c>
      <c r="E2461" s="2">
        <f>IF(A2461&lt;&gt;"", VLOOKUP(A2461, imdb_netflix_v5!A$2:H$7370, 5, FALSE), "")</f>
        <v>2006</v>
      </c>
      <c r="F2461" s="2" t="str">
        <f>IF(A2461&lt;&gt;"", VLOOKUP(A2461, imdb_netflix_v5!A$2:H$7370, 7, FALSE), "")</f>
        <v>NA</v>
      </c>
    </row>
    <row r="2462" ht="15.75" customHeight="1">
      <c r="A2462" s="1" t="str">
        <f>IFERROR(__xludf.DUMMYFUNCTION("""COMPUTED_VALUE"""),"sense and sensibility")</f>
        <v>sense and sensibility</v>
      </c>
      <c r="B2462" s="1" t="str">
        <f>IF(A2462&lt;&gt;"", VLOOKUP(A2462, imdb_netflix_v5!A$2:H$7370, 2, FALSE), "")</f>
        <v>Movie</v>
      </c>
      <c r="C2462" s="2" t="str">
        <f>IF(A2462&lt;&gt;"", VLOOKUP(A2462, imdb_netflix_v5!A$2:H$7370, 3, FALSE), "")</f>
        <v>Drama, Romance</v>
      </c>
      <c r="D2462" s="2">
        <f>IF(A2462&lt;&gt;"", VLOOKUP(A2462, imdb_netflix_v5!A$2:H$7370, 4, FALSE), "")</f>
        <v>7.7</v>
      </c>
      <c r="E2462" s="2">
        <f>IF(A2462&lt;&gt;"", VLOOKUP(A2462, imdb_netflix_v5!A$2:H$7370, 5, FALSE), "")</f>
        <v>1995</v>
      </c>
      <c r="F2462" s="2" t="str">
        <f>IF(A2462&lt;&gt;"", VLOOKUP(A2462, imdb_netflix_v5!A$2:H$7370, 7, FALSE), "")</f>
        <v>NA</v>
      </c>
    </row>
    <row r="2463" ht="15.75" customHeight="1">
      <c r="A2463" s="1" t="str">
        <f>IFERROR(__xludf.DUMMYFUNCTION("""COMPUTED_VALUE"""),"the conversation")</f>
        <v>the conversation</v>
      </c>
      <c r="B2463" s="1" t="str">
        <f>IF(A2463&lt;&gt;"", VLOOKUP(A2463, imdb_netflix_v5!A$2:H$7370, 2, FALSE), "")</f>
        <v>Movie</v>
      </c>
      <c r="C2463" s="2" t="str">
        <f>IF(A2463&lt;&gt;"", VLOOKUP(A2463, imdb_netflix_v5!A$2:H$7370, 3, FALSE), "")</f>
        <v>Drama, Mystery, Thriller</v>
      </c>
      <c r="D2463" s="2">
        <f>IF(A2463&lt;&gt;"", VLOOKUP(A2463, imdb_netflix_v5!A$2:H$7370, 4, FALSE), "")</f>
        <v>7.7</v>
      </c>
      <c r="E2463" s="2">
        <f>IF(A2463&lt;&gt;"", VLOOKUP(A2463, imdb_netflix_v5!A$2:H$7370, 5, FALSE), "")</f>
        <v>1974</v>
      </c>
      <c r="F2463" s="2" t="str">
        <f>IF(A2463&lt;&gt;"", VLOOKUP(A2463, imdb_netflix_v5!A$2:H$7370, 7, FALSE), "")</f>
        <v>NA</v>
      </c>
    </row>
    <row r="2464" ht="15.75" customHeight="1">
      <c r="A2464" s="1" t="str">
        <f>IFERROR(__xludf.DUMMYFUNCTION("""COMPUTED_VALUE"""),"nebraska")</f>
        <v>nebraska</v>
      </c>
      <c r="B2464" s="1" t="str">
        <f>IF(A2464&lt;&gt;"", VLOOKUP(A2464, imdb_netflix_v5!A$2:H$7370, 2, FALSE), "")</f>
        <v>Movie</v>
      </c>
      <c r="C2464" s="2" t="str">
        <f>IF(A2464&lt;&gt;"", VLOOKUP(A2464, imdb_netflix_v5!A$2:H$7370, 3, FALSE), "")</f>
        <v>Drama</v>
      </c>
      <c r="D2464" s="2">
        <f>IF(A2464&lt;&gt;"", VLOOKUP(A2464, imdb_netflix_v5!A$2:H$7370, 4, FALSE), "")</f>
        <v>7.7</v>
      </c>
      <c r="E2464" s="2">
        <f>IF(A2464&lt;&gt;"", VLOOKUP(A2464, imdb_netflix_v5!A$2:H$7370, 5, FALSE), "")</f>
        <v>2013</v>
      </c>
      <c r="F2464" s="2" t="str">
        <f>IF(A2464&lt;&gt;"", VLOOKUP(A2464, imdb_netflix_v5!A$2:H$7370, 7, FALSE), "")</f>
        <v>NA</v>
      </c>
    </row>
    <row r="2465" ht="15.75" customHeight="1">
      <c r="A2465" s="1" t="str">
        <f>IFERROR(__xludf.DUMMYFUNCTION("""COMPUTED_VALUE"""),"young sheldon")</f>
        <v>young sheldon</v>
      </c>
      <c r="B2465" s="1" t="str">
        <f>IF(A2465&lt;&gt;"", VLOOKUP(A2465, imdb_netflix_v5!A$2:H$7370, 2, FALSE), "")</f>
        <v>TV Show</v>
      </c>
      <c r="C2465" s="2" t="str">
        <f>IF(A2465&lt;&gt;"", VLOOKUP(A2465, imdb_netflix_v5!A$2:H$7370, 3, FALSE), "")</f>
        <v>Comedy</v>
      </c>
      <c r="D2465" s="2">
        <f>IF(A2465&lt;&gt;"", VLOOKUP(A2465, imdb_netflix_v5!A$2:H$7370, 4, FALSE), "")</f>
        <v>7.7</v>
      </c>
      <c r="E2465" s="2">
        <f>IF(A2465&lt;&gt;"", VLOOKUP(A2465, imdb_netflix_v5!A$2:H$7370, 5, FALSE), "")</f>
        <v>2017</v>
      </c>
      <c r="F2465" s="2">
        <f>IF(A2465&lt;&gt;"", VLOOKUP(A2465, imdb_netflix_v5!A$2:H$7370, 7, FALSE), "")</f>
        <v>11600000</v>
      </c>
    </row>
    <row r="2466" ht="15.75" customHeight="1">
      <c r="A2466" s="1" t="str">
        <f>IFERROR(__xludf.DUMMYFUNCTION("""COMPUTED_VALUE"""),"bonnie and clyde")</f>
        <v>bonnie and clyde</v>
      </c>
      <c r="B2466" s="1" t="str">
        <f>IF(A2466&lt;&gt;"", VLOOKUP(A2466, imdb_netflix_v5!A$2:H$7370, 2, FALSE), "")</f>
        <v>Movie</v>
      </c>
      <c r="C2466" s="2" t="str">
        <f>IF(A2466&lt;&gt;"", VLOOKUP(A2466, imdb_netflix_v5!A$2:H$7370, 3, FALSE), "")</f>
        <v>Action, Biography, Crime</v>
      </c>
      <c r="D2466" s="2">
        <f>IF(A2466&lt;&gt;"", VLOOKUP(A2466, imdb_netflix_v5!A$2:H$7370, 4, FALSE), "")</f>
        <v>7.7</v>
      </c>
      <c r="E2466" s="2">
        <f>IF(A2466&lt;&gt;"", VLOOKUP(A2466, imdb_netflix_v5!A$2:H$7370, 5, FALSE), "")</f>
        <v>1967</v>
      </c>
      <c r="F2466" s="2" t="str">
        <f>IF(A2466&lt;&gt;"", VLOOKUP(A2466, imdb_netflix_v5!A$2:H$7370, 7, FALSE), "")</f>
        <v>NA</v>
      </c>
    </row>
    <row r="2467" ht="15.75" customHeight="1">
      <c r="A2467" s="1" t="str">
        <f>IFERROR(__xludf.DUMMYFUNCTION("""COMPUTED_VALUE"""),"the name of the rose")</f>
        <v>the name of the rose</v>
      </c>
      <c r="B2467" s="1" t="str">
        <f>IF(A2467&lt;&gt;"", VLOOKUP(A2467, imdb_netflix_v5!A$2:H$7370, 2, FALSE), "")</f>
        <v>Movie</v>
      </c>
      <c r="C2467" s="2" t="str">
        <f>IF(A2467&lt;&gt;"", VLOOKUP(A2467, imdb_netflix_v5!A$2:H$7370, 3, FALSE), "")</f>
        <v>Drama, Mystery, Thriller</v>
      </c>
      <c r="D2467" s="2">
        <f>IF(A2467&lt;&gt;"", VLOOKUP(A2467, imdb_netflix_v5!A$2:H$7370, 4, FALSE), "")</f>
        <v>7.7</v>
      </c>
      <c r="E2467" s="2">
        <f>IF(A2467&lt;&gt;"", VLOOKUP(A2467, imdb_netflix_v5!A$2:H$7370, 5, FALSE), "")</f>
        <v>1986</v>
      </c>
      <c r="F2467" s="2" t="str">
        <f>IF(A2467&lt;&gt;"", VLOOKUP(A2467, imdb_netflix_v5!A$2:H$7370, 7, FALSE), "")</f>
        <v>NA</v>
      </c>
    </row>
    <row r="2468" ht="15.75" customHeight="1">
      <c r="A2468" s="1" t="str">
        <f>IFERROR(__xludf.DUMMYFUNCTION("""COMPUTED_VALUE"""),"glengarry glen ross")</f>
        <v>glengarry glen ross</v>
      </c>
      <c r="B2468" s="1" t="str">
        <f>IF(A2468&lt;&gt;"", VLOOKUP(A2468, imdb_netflix_v5!A$2:H$7370, 2, FALSE), "")</f>
        <v>Movie</v>
      </c>
      <c r="C2468" s="2" t="str">
        <f>IF(A2468&lt;&gt;"", VLOOKUP(A2468, imdb_netflix_v5!A$2:H$7370, 3, FALSE), "")</f>
        <v>Crime, Drama, Mystery</v>
      </c>
      <c r="D2468" s="2">
        <f>IF(A2468&lt;&gt;"", VLOOKUP(A2468, imdb_netflix_v5!A$2:H$7370, 4, FALSE), "")</f>
        <v>7.7</v>
      </c>
      <c r="E2468" s="2">
        <f>IF(A2468&lt;&gt;"", VLOOKUP(A2468, imdb_netflix_v5!A$2:H$7370, 5, FALSE), "")</f>
        <v>1992</v>
      </c>
      <c r="F2468" s="2" t="str">
        <f>IF(A2468&lt;&gt;"", VLOOKUP(A2468, imdb_netflix_v5!A$2:H$7370, 7, FALSE), "")</f>
        <v>NA</v>
      </c>
    </row>
    <row r="2469" ht="15.75" customHeight="1">
      <c r="A2469" s="1" t="str">
        <f>IFERROR(__xludf.DUMMYFUNCTION("""COMPUTED_VALUE"""),"gen v")</f>
        <v>gen v</v>
      </c>
      <c r="B2469" s="1" t="str">
        <f>IF(A2469&lt;&gt;"", VLOOKUP(A2469, imdb_netflix_v5!A$2:H$7370, 2, FALSE), "")</f>
        <v>TV Show</v>
      </c>
      <c r="C2469" s="2" t="str">
        <f>IF(A2469&lt;&gt;"", VLOOKUP(A2469, imdb_netflix_v5!A$2:H$7370, 3, FALSE), "")</f>
        <v>Action, Adventure, Comedy</v>
      </c>
      <c r="D2469" s="2">
        <f>IF(A2469&lt;&gt;"", VLOOKUP(A2469, imdb_netflix_v5!A$2:H$7370, 4, FALSE), "")</f>
        <v>7.7</v>
      </c>
      <c r="E2469" s="2">
        <f>IF(A2469&lt;&gt;"", VLOOKUP(A2469, imdb_netflix_v5!A$2:H$7370, 5, FALSE), "")</f>
        <v>2023</v>
      </c>
      <c r="F2469" s="2" t="str">
        <f>IF(A2469&lt;&gt;"", VLOOKUP(A2469, imdb_netflix_v5!A$2:H$7370, 7, FALSE), "")</f>
        <v>NA</v>
      </c>
    </row>
    <row r="2470" ht="15.75" customHeight="1">
      <c r="A2470" s="1" t="str">
        <f>IFERROR(__xludf.DUMMYFUNCTION("""COMPUTED_VALUE"""),"the last emperor")</f>
        <v>the last emperor</v>
      </c>
      <c r="B2470" s="1" t="str">
        <f>IF(A2470&lt;&gt;"", VLOOKUP(A2470, imdb_netflix_v5!A$2:H$7370, 2, FALSE), "")</f>
        <v>Movie</v>
      </c>
      <c r="C2470" s="2" t="str">
        <f>IF(A2470&lt;&gt;"", VLOOKUP(A2470, imdb_netflix_v5!A$2:H$7370, 3, FALSE), "")</f>
        <v>Biography, Drama, History</v>
      </c>
      <c r="D2470" s="2">
        <f>IF(A2470&lt;&gt;"", VLOOKUP(A2470, imdb_netflix_v5!A$2:H$7370, 4, FALSE), "")</f>
        <v>7.7</v>
      </c>
      <c r="E2470" s="2">
        <f>IF(A2470&lt;&gt;"", VLOOKUP(A2470, imdb_netflix_v5!A$2:H$7370, 5, FALSE), "")</f>
        <v>1987</v>
      </c>
      <c r="F2470" s="2" t="str">
        <f>IF(A2470&lt;&gt;"", VLOOKUP(A2470, imdb_netflix_v5!A$2:H$7370, 7, FALSE), "")</f>
        <v>NA</v>
      </c>
    </row>
    <row r="2471" ht="15.75" customHeight="1">
      <c r="A2471" s="1" t="str">
        <f>IFERROR(__xludf.DUMMYFUNCTION("""COMPUTED_VALUE"""),"russian doll")</f>
        <v>russian doll</v>
      </c>
      <c r="B2471" s="1" t="str">
        <f>IF(A2471&lt;&gt;"", VLOOKUP(A2471, imdb_netflix_v5!A$2:H$7370, 2, FALSE), "")</f>
        <v>TV Show</v>
      </c>
      <c r="C2471" s="2" t="str">
        <f>IF(A2471&lt;&gt;"", VLOOKUP(A2471, imdb_netflix_v5!A$2:H$7370, 3, FALSE), "")</f>
        <v>Comedy, Drama, Mystery</v>
      </c>
      <c r="D2471" s="2">
        <f>IF(A2471&lt;&gt;"", VLOOKUP(A2471, imdb_netflix_v5!A$2:H$7370, 4, FALSE), "")</f>
        <v>7.7</v>
      </c>
      <c r="E2471" s="2">
        <f>IF(A2471&lt;&gt;"", VLOOKUP(A2471, imdb_netflix_v5!A$2:H$7370, 5, FALSE), "")</f>
        <v>2019</v>
      </c>
      <c r="F2471" s="2" t="str">
        <f>IF(A2471&lt;&gt;"", VLOOKUP(A2471, imdb_netflix_v5!A$2:H$7370, 7, FALSE), "")</f>
        <v>NA</v>
      </c>
    </row>
    <row r="2472" ht="15.75" customHeight="1">
      <c r="A2472" s="1" t="str">
        <f>IFERROR(__xludf.DUMMYFUNCTION("""COMPUTED_VALUE"""),"porco rosso")</f>
        <v>porco rosso</v>
      </c>
      <c r="B2472" s="1" t="str">
        <f>IF(A2472&lt;&gt;"", VLOOKUP(A2472, imdb_netflix_v5!A$2:H$7370, 2, FALSE), "")</f>
        <v>Movie</v>
      </c>
      <c r="C2472" s="2" t="str">
        <f>IF(A2472&lt;&gt;"", VLOOKUP(A2472, imdb_netflix_v5!A$2:H$7370, 3, FALSE), "")</f>
        <v>Adventure, Animation, Comedy</v>
      </c>
      <c r="D2472" s="2">
        <f>IF(A2472&lt;&gt;"", VLOOKUP(A2472, imdb_netflix_v5!A$2:H$7370, 4, FALSE), "")</f>
        <v>7.7</v>
      </c>
      <c r="E2472" s="2">
        <f>IF(A2472&lt;&gt;"", VLOOKUP(A2472, imdb_netflix_v5!A$2:H$7370, 5, FALSE), "")</f>
        <v>1992</v>
      </c>
      <c r="F2472" s="2" t="str">
        <f>IF(A2472&lt;&gt;"", VLOOKUP(A2472, imdb_netflix_v5!A$2:H$7370, 7, FALSE), "")</f>
        <v>NA</v>
      </c>
    </row>
    <row r="2473" ht="15.75" customHeight="1">
      <c r="A2473" s="1" t="str">
        <f>IFERROR(__xludf.DUMMYFUNCTION("""COMPUTED_VALUE"""),"fantasia")</f>
        <v>fantasia</v>
      </c>
      <c r="B2473" s="1" t="str">
        <f>IF(A2473&lt;&gt;"", VLOOKUP(A2473, imdb_netflix_v5!A$2:H$7370, 2, FALSE), "")</f>
        <v>Movie</v>
      </c>
      <c r="C2473" s="2" t="str">
        <f>IF(A2473&lt;&gt;"", VLOOKUP(A2473, imdb_netflix_v5!A$2:H$7370, 3, FALSE), "")</f>
        <v>Animation, Family, Fantasy</v>
      </c>
      <c r="D2473" s="2">
        <f>IF(A2473&lt;&gt;"", VLOOKUP(A2473, imdb_netflix_v5!A$2:H$7370, 4, FALSE), "")</f>
        <v>7.7</v>
      </c>
      <c r="E2473" s="2">
        <f>IF(A2473&lt;&gt;"", VLOOKUP(A2473, imdb_netflix_v5!A$2:H$7370, 5, FALSE), "")</f>
        <v>1940</v>
      </c>
      <c r="F2473" s="2" t="str">
        <f>IF(A2473&lt;&gt;"", VLOOKUP(A2473, imdb_netflix_v5!A$2:H$7370, 7, FALSE), "")</f>
        <v>NA</v>
      </c>
    </row>
    <row r="2474" ht="15.75" customHeight="1">
      <c r="A2474" s="1" t="str">
        <f>IFERROR(__xludf.DUMMYFUNCTION("""COMPUTED_VALUE"""),"the worst person in the world")</f>
        <v>the worst person in the world</v>
      </c>
      <c r="B2474" s="1" t="str">
        <f>IF(A2474&lt;&gt;"", VLOOKUP(A2474, imdb_netflix_v5!A$2:H$7370, 2, FALSE), "")</f>
        <v>Movie</v>
      </c>
      <c r="C2474" s="2" t="str">
        <f>IF(A2474&lt;&gt;"", VLOOKUP(A2474, imdb_netflix_v5!A$2:H$7370, 3, FALSE), "")</f>
        <v>Comedy, Drama, Romance</v>
      </c>
      <c r="D2474" s="2">
        <f>IF(A2474&lt;&gt;"", VLOOKUP(A2474, imdb_netflix_v5!A$2:H$7370, 4, FALSE), "")</f>
        <v>7.7</v>
      </c>
      <c r="E2474" s="2">
        <f>IF(A2474&lt;&gt;"", VLOOKUP(A2474, imdb_netflix_v5!A$2:H$7370, 5, FALSE), "")</f>
        <v>2021</v>
      </c>
      <c r="F2474" s="2" t="str">
        <f>IF(A2474&lt;&gt;"", VLOOKUP(A2474, imdb_netflix_v5!A$2:H$7370, 7, FALSE), "")</f>
        <v>NA</v>
      </c>
    </row>
    <row r="2475" ht="15.75" customHeight="1">
      <c r="A2475" s="1" t="str">
        <f>IFERROR(__xludf.DUMMYFUNCTION("""COMPUTED_VALUE"""),"the motorcycle diaries")</f>
        <v>the motorcycle diaries</v>
      </c>
      <c r="B2475" s="1" t="str">
        <f>IF(A2475&lt;&gt;"", VLOOKUP(A2475, imdb_netflix_v5!A$2:H$7370, 2, FALSE), "")</f>
        <v>Movie</v>
      </c>
      <c r="C2475" s="2" t="str">
        <f>IF(A2475&lt;&gt;"", VLOOKUP(A2475, imdb_netflix_v5!A$2:H$7370, 3, FALSE), "")</f>
        <v>Adventure, Biography, Drama</v>
      </c>
      <c r="D2475" s="2">
        <f>IF(A2475&lt;&gt;"", VLOOKUP(A2475, imdb_netflix_v5!A$2:H$7370, 4, FALSE), "")</f>
        <v>7.7</v>
      </c>
      <c r="E2475" s="2">
        <f>IF(A2475&lt;&gt;"", VLOOKUP(A2475, imdb_netflix_v5!A$2:H$7370, 5, FALSE), "")</f>
        <v>2004</v>
      </c>
      <c r="F2475" s="2" t="str">
        <f>IF(A2475&lt;&gt;"", VLOOKUP(A2475, imdb_netflix_v5!A$2:H$7370, 7, FALSE), "")</f>
        <v>NA</v>
      </c>
    </row>
    <row r="2476" ht="15.75" customHeight="1">
      <c r="A2476" s="1" t="str">
        <f>IFERROR(__xludf.DUMMYFUNCTION("""COMPUTED_VALUE"""),"the magnificent seven")</f>
        <v>the magnificent seven</v>
      </c>
      <c r="B2476" s="1" t="str">
        <f>IF(A2476&lt;&gt;"", VLOOKUP(A2476, imdb_netflix_v5!A$2:H$7370, 2, FALSE), "")</f>
        <v>Movie</v>
      </c>
      <c r="C2476" s="2" t="str">
        <f>IF(A2476&lt;&gt;"", VLOOKUP(A2476, imdb_netflix_v5!A$2:H$7370, 3, FALSE), "")</f>
        <v>Action, Adventure, Drama</v>
      </c>
      <c r="D2476" s="2">
        <f>IF(A2476&lt;&gt;"", VLOOKUP(A2476, imdb_netflix_v5!A$2:H$7370, 4, FALSE), "")</f>
        <v>7.7</v>
      </c>
      <c r="E2476" s="2">
        <f>IF(A2476&lt;&gt;"", VLOOKUP(A2476, imdb_netflix_v5!A$2:H$7370, 5, FALSE), "")</f>
        <v>1960</v>
      </c>
      <c r="F2476" s="2" t="str">
        <f>IF(A2476&lt;&gt;"", VLOOKUP(A2476, imdb_netflix_v5!A$2:H$7370, 7, FALSE), "")</f>
        <v>NA</v>
      </c>
    </row>
    <row r="2477" ht="15.75" customHeight="1">
      <c r="A2477" s="1" t="str">
        <f>IFERROR(__xludf.DUMMYFUNCTION("""COMPUTED_VALUE"""),"malcolm x")</f>
        <v>malcolm x</v>
      </c>
      <c r="B2477" s="1" t="str">
        <f>IF(A2477&lt;&gt;"", VLOOKUP(A2477, imdb_netflix_v5!A$2:H$7370, 2, FALSE), "")</f>
        <v>Movie</v>
      </c>
      <c r="C2477" s="2" t="str">
        <f>IF(A2477&lt;&gt;"", VLOOKUP(A2477, imdb_netflix_v5!A$2:H$7370, 3, FALSE), "")</f>
        <v>Biography, Drama, History</v>
      </c>
      <c r="D2477" s="2">
        <f>IF(A2477&lt;&gt;"", VLOOKUP(A2477, imdb_netflix_v5!A$2:H$7370, 4, FALSE), "")</f>
        <v>7.7</v>
      </c>
      <c r="E2477" s="2">
        <f>IF(A2477&lt;&gt;"", VLOOKUP(A2477, imdb_netflix_v5!A$2:H$7370, 5, FALSE), "")</f>
        <v>1992</v>
      </c>
      <c r="F2477" s="2" t="str">
        <f>IF(A2477&lt;&gt;"", VLOOKUP(A2477, imdb_netflix_v5!A$2:H$7370, 7, FALSE), "")</f>
        <v>NA</v>
      </c>
    </row>
    <row r="2478" ht="15.75" customHeight="1">
      <c r="A2478" s="1" t="str">
        <f>IFERROR(__xludf.DUMMYFUNCTION("""COMPUTED_VALUE"""),"alice in borderland")</f>
        <v>alice in borderland</v>
      </c>
      <c r="B2478" s="1" t="str">
        <f>IF(A2478&lt;&gt;"", VLOOKUP(A2478, imdb_netflix_v5!A$2:H$7370, 2, FALSE), "")</f>
        <v>TV Show</v>
      </c>
      <c r="C2478" s="2" t="str">
        <f>IF(A2478&lt;&gt;"", VLOOKUP(A2478, imdb_netflix_v5!A$2:H$7370, 3, FALSE), "")</f>
        <v>Drama, Horror, Mystery</v>
      </c>
      <c r="D2478" s="2">
        <f>IF(A2478&lt;&gt;"", VLOOKUP(A2478, imdb_netflix_v5!A$2:H$7370, 4, FALSE), "")</f>
        <v>7.7</v>
      </c>
      <c r="E2478" s="2">
        <f>IF(A2478&lt;&gt;"", VLOOKUP(A2478, imdb_netflix_v5!A$2:H$7370, 5, FALSE), "")</f>
        <v>2020</v>
      </c>
      <c r="F2478" s="2">
        <f>IF(A2478&lt;&gt;"", VLOOKUP(A2478, imdb_netflix_v5!A$2:H$7370, 7, FALSE), "")</f>
        <v>15680000</v>
      </c>
    </row>
    <row r="2479" ht="15.75" customHeight="1">
      <c r="A2479" s="1" t="str">
        <f>IFERROR(__xludf.DUMMYFUNCTION("""COMPUTED_VALUE"""),"my fair lady")</f>
        <v>my fair lady</v>
      </c>
      <c r="B2479" s="1" t="str">
        <f>IF(A2479&lt;&gt;"", VLOOKUP(A2479, imdb_netflix_v5!A$2:H$7370, 2, FALSE), "")</f>
        <v>Movie</v>
      </c>
      <c r="C2479" s="2" t="str">
        <f>IF(A2479&lt;&gt;"", VLOOKUP(A2479, imdb_netflix_v5!A$2:H$7370, 3, FALSE), "")</f>
        <v>Drama, Family, Musical</v>
      </c>
      <c r="D2479" s="2">
        <f>IF(A2479&lt;&gt;"", VLOOKUP(A2479, imdb_netflix_v5!A$2:H$7370, 4, FALSE), "")</f>
        <v>7.7</v>
      </c>
      <c r="E2479" s="2">
        <f>IF(A2479&lt;&gt;"", VLOOKUP(A2479, imdb_netflix_v5!A$2:H$7370, 5, FALSE), "")</f>
        <v>1964</v>
      </c>
      <c r="F2479" s="2" t="str">
        <f>IF(A2479&lt;&gt;"", VLOOKUP(A2479, imdb_netflix_v5!A$2:H$7370, 7, FALSE), "")</f>
        <v>NA</v>
      </c>
    </row>
    <row r="2480" ht="15.75" customHeight="1">
      <c r="A2480" s="1" t="str">
        <f>IFERROR(__xludf.DUMMYFUNCTION("""COMPUTED_VALUE"""),"detachment")</f>
        <v>detachment</v>
      </c>
      <c r="B2480" s="1" t="str">
        <f>IF(A2480&lt;&gt;"", VLOOKUP(A2480, imdb_netflix_v5!A$2:H$7370, 2, FALSE), "")</f>
        <v>Movie</v>
      </c>
      <c r="C2480" s="2" t="str">
        <f>IF(A2480&lt;&gt;"", VLOOKUP(A2480, imdb_netflix_v5!A$2:H$7370, 3, FALSE), "")</f>
        <v>Drama</v>
      </c>
      <c r="D2480" s="2">
        <f>IF(A2480&lt;&gt;"", VLOOKUP(A2480, imdb_netflix_v5!A$2:H$7370, 4, FALSE), "")</f>
        <v>7.7</v>
      </c>
      <c r="E2480" s="2">
        <f>IF(A2480&lt;&gt;"", VLOOKUP(A2480, imdb_netflix_v5!A$2:H$7370, 5, FALSE), "")</f>
        <v>2011</v>
      </c>
      <c r="F2480" s="2" t="str">
        <f>IF(A2480&lt;&gt;"", VLOOKUP(A2480, imdb_netflix_v5!A$2:H$7370, 7, FALSE), "")</f>
        <v>NA</v>
      </c>
    </row>
    <row r="2481" ht="15.75" customHeight="1">
      <c r="A2481" s="1" t="str">
        <f>IFERROR(__xludf.DUMMYFUNCTION("""COMPUTED_VALUE"""),"paprika")</f>
        <v>paprika</v>
      </c>
      <c r="B2481" s="1" t="str">
        <f>IF(A2481&lt;&gt;"", VLOOKUP(A2481, imdb_netflix_v5!A$2:H$7370, 2, FALSE), "")</f>
        <v>Movie</v>
      </c>
      <c r="C2481" s="2" t="str">
        <f>IF(A2481&lt;&gt;"", VLOOKUP(A2481, imdb_netflix_v5!A$2:H$7370, 3, FALSE), "")</f>
        <v>Animation, Drama, Fantasy</v>
      </c>
      <c r="D2481" s="2">
        <f>IF(A2481&lt;&gt;"", VLOOKUP(A2481, imdb_netflix_v5!A$2:H$7370, 4, FALSE), "")</f>
        <v>7.7</v>
      </c>
      <c r="E2481" s="2">
        <f>IF(A2481&lt;&gt;"", VLOOKUP(A2481, imdb_netflix_v5!A$2:H$7370, 5, FALSE), "")</f>
        <v>2006</v>
      </c>
      <c r="F2481" s="2" t="str">
        <f>IF(A2481&lt;&gt;"", VLOOKUP(A2481, imdb_netflix_v5!A$2:H$7370, 7, FALSE), "")</f>
        <v>NA</v>
      </c>
    </row>
    <row r="2482" ht="15.75" customHeight="1">
      <c r="A2482" s="1" t="str">
        <f>IFERROR(__xludf.DUMMYFUNCTION("""COMPUTED_VALUE"""),"flipped")</f>
        <v>flipped</v>
      </c>
      <c r="B2482" s="1" t="str">
        <f>IF(A2482&lt;&gt;"", VLOOKUP(A2482, imdb_netflix_v5!A$2:H$7370, 2, FALSE), "")</f>
        <v>Movie</v>
      </c>
      <c r="C2482" s="2" t="str">
        <f>IF(A2482&lt;&gt;"", VLOOKUP(A2482, imdb_netflix_v5!A$2:H$7370, 3, FALSE), "")</f>
        <v>Comedy, Drama, Romance</v>
      </c>
      <c r="D2482" s="2">
        <f>IF(A2482&lt;&gt;"", VLOOKUP(A2482, imdb_netflix_v5!A$2:H$7370, 4, FALSE), "")</f>
        <v>7.7</v>
      </c>
      <c r="E2482" s="2">
        <f>IF(A2482&lt;&gt;"", VLOOKUP(A2482, imdb_netflix_v5!A$2:H$7370, 5, FALSE), "")</f>
        <v>2010</v>
      </c>
      <c r="F2482" s="2" t="str">
        <f>IF(A2482&lt;&gt;"", VLOOKUP(A2482, imdb_netflix_v5!A$2:H$7370, 7, FALSE), "")</f>
        <v>NA</v>
      </c>
    </row>
    <row r="2483" ht="15.75" customHeight="1">
      <c r="A2483" s="1" t="str">
        <f>IFERROR(__xludf.DUMMYFUNCTION("""COMPUTED_VALUE"""),"the great beauty")</f>
        <v>the great beauty</v>
      </c>
      <c r="B2483" s="1" t="str">
        <f>IF(A2483&lt;&gt;"", VLOOKUP(A2483, imdb_netflix_v5!A$2:H$7370, 2, FALSE), "")</f>
        <v>Movie</v>
      </c>
      <c r="C2483" s="2" t="str">
        <f>IF(A2483&lt;&gt;"", VLOOKUP(A2483, imdb_netflix_v5!A$2:H$7370, 3, FALSE), "")</f>
        <v>Drama</v>
      </c>
      <c r="D2483" s="2">
        <f>IF(A2483&lt;&gt;"", VLOOKUP(A2483, imdb_netflix_v5!A$2:H$7370, 4, FALSE), "")</f>
        <v>7.7</v>
      </c>
      <c r="E2483" s="2">
        <f>IF(A2483&lt;&gt;"", VLOOKUP(A2483, imdb_netflix_v5!A$2:H$7370, 5, FALSE), "")</f>
        <v>2013</v>
      </c>
      <c r="F2483" s="2" t="str">
        <f>IF(A2483&lt;&gt;"", VLOOKUP(A2483, imdb_netflix_v5!A$2:H$7370, 7, FALSE), "")</f>
        <v>NA</v>
      </c>
    </row>
    <row r="2484" ht="15.75" customHeight="1">
      <c r="A2484" s="1" t="str">
        <f>IFERROR(__xludf.DUMMYFUNCTION("""COMPUTED_VALUE"""),"the color purple")</f>
        <v>the color purple</v>
      </c>
      <c r="B2484" s="1" t="str">
        <f>IF(A2484&lt;&gt;"", VLOOKUP(A2484, imdb_netflix_v5!A$2:H$7370, 2, FALSE), "")</f>
        <v>Movie</v>
      </c>
      <c r="C2484" s="2" t="str">
        <f>IF(A2484&lt;&gt;"", VLOOKUP(A2484, imdb_netflix_v5!A$2:H$7370, 3, FALSE), "")</f>
        <v>Drama</v>
      </c>
      <c r="D2484" s="2">
        <f>IF(A2484&lt;&gt;"", VLOOKUP(A2484, imdb_netflix_v5!A$2:H$7370, 4, FALSE), "")</f>
        <v>7.7</v>
      </c>
      <c r="E2484" s="2">
        <f>IF(A2484&lt;&gt;"", VLOOKUP(A2484, imdb_netflix_v5!A$2:H$7370, 5, FALSE), "")</f>
        <v>1985</v>
      </c>
      <c r="F2484" s="2" t="str">
        <f>IF(A2484&lt;&gt;"", VLOOKUP(A2484, imdb_netflix_v5!A$2:H$7370, 7, FALSE), "")</f>
        <v>NA</v>
      </c>
    </row>
    <row r="2485" ht="15.75" customHeight="1">
      <c r="A2485" s="1" t="str">
        <f>IFERROR(__xludf.DUMMYFUNCTION("""COMPUTED_VALUE"""),"the experiment")</f>
        <v>the experiment</v>
      </c>
      <c r="B2485" s="1" t="str">
        <f>IF(A2485&lt;&gt;"", VLOOKUP(A2485, imdb_netflix_v5!A$2:H$7370, 2, FALSE), "")</f>
        <v>Movie</v>
      </c>
      <c r="C2485" s="2" t="str">
        <f>IF(A2485&lt;&gt;"", VLOOKUP(A2485, imdb_netflix_v5!A$2:H$7370, 3, FALSE), "")</f>
        <v>Drama, Thriller</v>
      </c>
      <c r="D2485" s="2">
        <f>IF(A2485&lt;&gt;"", VLOOKUP(A2485, imdb_netflix_v5!A$2:H$7370, 4, FALSE), "")</f>
        <v>7.7</v>
      </c>
      <c r="E2485" s="2">
        <f>IF(A2485&lt;&gt;"", VLOOKUP(A2485, imdb_netflix_v5!A$2:H$7370, 5, FALSE), "")</f>
        <v>2001</v>
      </c>
      <c r="F2485" s="2" t="str">
        <f>IF(A2485&lt;&gt;"", VLOOKUP(A2485, imdb_netflix_v5!A$2:H$7370, 7, FALSE), "")</f>
        <v>NA</v>
      </c>
    </row>
    <row r="2486" ht="15.75" customHeight="1">
      <c r="A2486" s="1" t="str">
        <f>IFERROR(__xludf.DUMMYFUNCTION("""COMPUTED_VALUE"""),"csi crime scene investigation")</f>
        <v>csi crime scene investigation</v>
      </c>
      <c r="B2486" s="1" t="str">
        <f>IF(A2486&lt;&gt;"", VLOOKUP(A2486, imdb_netflix_v5!A$2:H$7370, 2, FALSE), "")</f>
        <v>TV Show</v>
      </c>
      <c r="C2486" s="2" t="str">
        <f>IF(A2486&lt;&gt;"", VLOOKUP(A2486, imdb_netflix_v5!A$2:H$7370, 3, FALSE), "")</f>
        <v>Crime, Drama, Mystery</v>
      </c>
      <c r="D2486" s="2">
        <f>IF(A2486&lt;&gt;"", VLOOKUP(A2486, imdb_netflix_v5!A$2:H$7370, 4, FALSE), "")</f>
        <v>7.7</v>
      </c>
      <c r="E2486" s="2">
        <f>IF(A2486&lt;&gt;"", VLOOKUP(A2486, imdb_netflix_v5!A$2:H$7370, 5, FALSE), "")</f>
        <v>2000</v>
      </c>
      <c r="F2486" s="2" t="str">
        <f>IF(A2486&lt;&gt;"", VLOOKUP(A2486, imdb_netflix_v5!A$2:H$7370, 7, FALSE), "")</f>
        <v>NA</v>
      </c>
    </row>
    <row r="2487" ht="15.75" customHeight="1">
      <c r="A2487" s="1" t="str">
        <f>IFERROR(__xludf.DUMMYFUNCTION("""COMPUTED_VALUE"""),"breathless")</f>
        <v>breathless</v>
      </c>
      <c r="B2487" s="1" t="str">
        <f>IF(A2487&lt;&gt;"", VLOOKUP(A2487, imdb_netflix_v5!A$2:H$7370, 2, FALSE), "")</f>
        <v>Movie</v>
      </c>
      <c r="C2487" s="2" t="str">
        <f>IF(A2487&lt;&gt;"", VLOOKUP(A2487, imdb_netflix_v5!A$2:H$7370, 3, FALSE), "")</f>
        <v>Crime, Drama</v>
      </c>
      <c r="D2487" s="2">
        <f>IF(A2487&lt;&gt;"", VLOOKUP(A2487, imdb_netflix_v5!A$2:H$7370, 4, FALSE), "")</f>
        <v>7.7</v>
      </c>
      <c r="E2487" s="2">
        <f>IF(A2487&lt;&gt;"", VLOOKUP(A2487, imdb_netflix_v5!A$2:H$7370, 5, FALSE), "")</f>
        <v>1960</v>
      </c>
      <c r="F2487" s="2" t="str">
        <f>IF(A2487&lt;&gt;"", VLOOKUP(A2487, imdb_netflix_v5!A$2:H$7370, 7, FALSE), "")</f>
        <v>NA</v>
      </c>
    </row>
    <row r="2488" ht="15.75" customHeight="1">
      <c r="A2488" s="1" t="str">
        <f>IFERROR(__xludf.DUMMYFUNCTION("""COMPUTED_VALUE"""),"beasts of no nation")</f>
        <v>beasts of no nation</v>
      </c>
      <c r="B2488" s="1" t="str">
        <f>IF(A2488&lt;&gt;"", VLOOKUP(A2488, imdb_netflix_v5!A$2:H$7370, 2, FALSE), "")</f>
        <v>Movie</v>
      </c>
      <c r="C2488" s="2" t="str">
        <f>IF(A2488&lt;&gt;"", VLOOKUP(A2488, imdb_netflix_v5!A$2:H$7370, 3, FALSE), "")</f>
        <v>Drama, War</v>
      </c>
      <c r="D2488" s="2">
        <f>IF(A2488&lt;&gt;"", VLOOKUP(A2488, imdb_netflix_v5!A$2:H$7370, 4, FALSE), "")</f>
        <v>7.7</v>
      </c>
      <c r="E2488" s="2">
        <f>IF(A2488&lt;&gt;"", VLOOKUP(A2488, imdb_netflix_v5!A$2:H$7370, 5, FALSE), "")</f>
        <v>2015</v>
      </c>
      <c r="F2488" s="2" t="str">
        <f>IF(A2488&lt;&gt;"", VLOOKUP(A2488, imdb_netflix_v5!A$2:H$7370, 7, FALSE), "")</f>
        <v>NA</v>
      </c>
    </row>
    <row r="2489" ht="15.75" customHeight="1">
      <c r="A2489" s="1" t="str">
        <f>IFERROR(__xludf.DUMMYFUNCTION("""COMPUTED_VALUE"""),"the day the earth stood still")</f>
        <v>the day the earth stood still</v>
      </c>
      <c r="B2489" s="1" t="str">
        <f>IF(A2489&lt;&gt;"", VLOOKUP(A2489, imdb_netflix_v5!A$2:H$7370, 2, FALSE), "")</f>
        <v>Movie</v>
      </c>
      <c r="C2489" s="2" t="str">
        <f>IF(A2489&lt;&gt;"", VLOOKUP(A2489, imdb_netflix_v5!A$2:H$7370, 3, FALSE), "")</f>
        <v>Drama, Sci-Fi</v>
      </c>
      <c r="D2489" s="2">
        <f>IF(A2489&lt;&gt;"", VLOOKUP(A2489, imdb_netflix_v5!A$2:H$7370, 4, FALSE), "")</f>
        <v>7.7</v>
      </c>
      <c r="E2489" s="2">
        <f>IF(A2489&lt;&gt;"", VLOOKUP(A2489, imdb_netflix_v5!A$2:H$7370, 5, FALSE), "")</f>
        <v>1951</v>
      </c>
      <c r="F2489" s="2" t="str">
        <f>IF(A2489&lt;&gt;"", VLOOKUP(A2489, imdb_netflix_v5!A$2:H$7370, 7, FALSE), "")</f>
        <v>NA</v>
      </c>
    </row>
    <row r="2490" ht="15.75" customHeight="1">
      <c r="A2490" s="1" t="str">
        <f>IFERROR(__xludf.DUMMYFUNCTION("""COMPUTED_VALUE"""),"fried green tomatoes")</f>
        <v>fried green tomatoes</v>
      </c>
      <c r="B2490" s="1" t="str">
        <f>IF(A2490&lt;&gt;"", VLOOKUP(A2490, imdb_netflix_v5!A$2:H$7370, 2, FALSE), "")</f>
        <v>Movie</v>
      </c>
      <c r="C2490" s="2" t="str">
        <f>IF(A2490&lt;&gt;"", VLOOKUP(A2490, imdb_netflix_v5!A$2:H$7370, 3, FALSE), "")</f>
        <v>Drama</v>
      </c>
      <c r="D2490" s="2">
        <f>IF(A2490&lt;&gt;"", VLOOKUP(A2490, imdb_netflix_v5!A$2:H$7370, 4, FALSE), "")</f>
        <v>7.7</v>
      </c>
      <c r="E2490" s="2">
        <f>IF(A2490&lt;&gt;"", VLOOKUP(A2490, imdb_netflix_v5!A$2:H$7370, 5, FALSE), "")</f>
        <v>1991</v>
      </c>
      <c r="F2490" s="2" t="str">
        <f>IF(A2490&lt;&gt;"", VLOOKUP(A2490, imdb_netflix_v5!A$2:H$7370, 7, FALSE), "")</f>
        <v>NA</v>
      </c>
    </row>
    <row r="2491" ht="15.75" customHeight="1">
      <c r="A2491" s="1" t="str">
        <f>IFERROR(__xludf.DUMMYFUNCTION("""COMPUTED_VALUE"""),"the african queen")</f>
        <v>the african queen</v>
      </c>
      <c r="B2491" s="1" t="str">
        <f>IF(A2491&lt;&gt;"", VLOOKUP(A2491, imdb_netflix_v5!A$2:H$7370, 2, FALSE), "")</f>
        <v>Movie</v>
      </c>
      <c r="C2491" s="2" t="str">
        <f>IF(A2491&lt;&gt;"", VLOOKUP(A2491, imdb_netflix_v5!A$2:H$7370, 3, FALSE), "")</f>
        <v>Adventure, Drama, Romance</v>
      </c>
      <c r="D2491" s="2">
        <f>IF(A2491&lt;&gt;"", VLOOKUP(A2491, imdb_netflix_v5!A$2:H$7370, 4, FALSE), "")</f>
        <v>7.7</v>
      </c>
      <c r="E2491" s="2">
        <f>IF(A2491&lt;&gt;"", VLOOKUP(A2491, imdb_netflix_v5!A$2:H$7370, 5, FALSE), "")</f>
        <v>1951</v>
      </c>
      <c r="F2491" s="2" t="str">
        <f>IF(A2491&lt;&gt;"", VLOOKUP(A2491, imdb_netflix_v5!A$2:H$7370, 7, FALSE), "")</f>
        <v>NA</v>
      </c>
    </row>
    <row r="2492" ht="15.75" customHeight="1">
      <c r="A2492" s="1" t="str">
        <f>IFERROR(__xludf.DUMMYFUNCTION("""COMPUTED_VALUE"""),"carnival row")</f>
        <v>carnival row</v>
      </c>
      <c r="B2492" s="1" t="str">
        <f>IF(A2492&lt;&gt;"", VLOOKUP(A2492, imdb_netflix_v5!A$2:H$7370, 2, FALSE), "")</f>
        <v>TV Show</v>
      </c>
      <c r="C2492" s="2" t="str">
        <f>IF(A2492&lt;&gt;"", VLOOKUP(A2492, imdb_netflix_v5!A$2:H$7370, 3, FALSE), "")</f>
        <v>Crime, Drama, Fantasy</v>
      </c>
      <c r="D2492" s="2">
        <f>IF(A2492&lt;&gt;"", VLOOKUP(A2492, imdb_netflix_v5!A$2:H$7370, 4, FALSE), "")</f>
        <v>7.7</v>
      </c>
      <c r="E2492" s="2">
        <f>IF(A2492&lt;&gt;"", VLOOKUP(A2492, imdb_netflix_v5!A$2:H$7370, 5, FALSE), "")</f>
        <v>2019</v>
      </c>
      <c r="F2492" s="2" t="str">
        <f>IF(A2492&lt;&gt;"", VLOOKUP(A2492, imdb_netflix_v5!A$2:H$7370, 7, FALSE), "")</f>
        <v>NA</v>
      </c>
    </row>
    <row r="2493" ht="15.75" customHeight="1">
      <c r="A2493" s="1" t="str">
        <f>IFERROR(__xludf.DUMMYFUNCTION("""COMPUTED_VALUE"""),"black book")</f>
        <v>black book</v>
      </c>
      <c r="B2493" s="1" t="str">
        <f>IF(A2493&lt;&gt;"", VLOOKUP(A2493, imdb_netflix_v5!A$2:H$7370, 2, FALSE), "")</f>
        <v>Movie</v>
      </c>
      <c r="C2493" s="2" t="str">
        <f>IF(A2493&lt;&gt;"", VLOOKUP(A2493, imdb_netflix_v5!A$2:H$7370, 3, FALSE), "")</f>
        <v>Drama, Thriller, War</v>
      </c>
      <c r="D2493" s="2">
        <f>IF(A2493&lt;&gt;"", VLOOKUP(A2493, imdb_netflix_v5!A$2:H$7370, 4, FALSE), "")</f>
        <v>7.7</v>
      </c>
      <c r="E2493" s="2">
        <f>IF(A2493&lt;&gt;"", VLOOKUP(A2493, imdb_netflix_v5!A$2:H$7370, 5, FALSE), "")</f>
        <v>2006</v>
      </c>
      <c r="F2493" s="2" t="str">
        <f>IF(A2493&lt;&gt;"", VLOOKUP(A2493, imdb_netflix_v5!A$2:H$7370, 7, FALSE), "")</f>
        <v>NA</v>
      </c>
    </row>
    <row r="2494" ht="15.75" customHeight="1">
      <c r="A2494" s="1" t="str">
        <f>IFERROR(__xludf.DUMMYFUNCTION("""COMPUTED_VALUE"""),"scandal")</f>
        <v>scandal</v>
      </c>
      <c r="B2494" s="1" t="str">
        <f>IF(A2494&lt;&gt;"", VLOOKUP(A2494, imdb_netflix_v5!A$2:H$7370, 2, FALSE), "")</f>
        <v>TV Show</v>
      </c>
      <c r="C2494" s="2" t="str">
        <f>IF(A2494&lt;&gt;"", VLOOKUP(A2494, imdb_netflix_v5!A$2:H$7370, 3, FALSE), "")</f>
        <v>Drama, Thriller</v>
      </c>
      <c r="D2494" s="2">
        <f>IF(A2494&lt;&gt;"", VLOOKUP(A2494, imdb_netflix_v5!A$2:H$7370, 4, FALSE), "")</f>
        <v>7.7</v>
      </c>
      <c r="E2494" s="2">
        <f>IF(A2494&lt;&gt;"", VLOOKUP(A2494, imdb_netflix_v5!A$2:H$7370, 5, FALSE), "")</f>
        <v>2012</v>
      </c>
      <c r="F2494" s="2" t="str">
        <f>IF(A2494&lt;&gt;"", VLOOKUP(A2494, imdb_netflix_v5!A$2:H$7370, 7, FALSE), "")</f>
        <v>NA</v>
      </c>
    </row>
    <row r="2495" ht="15.75" customHeight="1">
      <c r="A2495" s="1" t="str">
        <f>IFERROR(__xludf.DUMMYFUNCTION("""COMPUTED_VALUE"""),"the dirty dozen")</f>
        <v>the dirty dozen</v>
      </c>
      <c r="B2495" s="1" t="str">
        <f>IF(A2495&lt;&gt;"", VLOOKUP(A2495, imdb_netflix_v5!A$2:H$7370, 2, FALSE), "")</f>
        <v>Movie</v>
      </c>
      <c r="C2495" s="2" t="str">
        <f>IF(A2495&lt;&gt;"", VLOOKUP(A2495, imdb_netflix_v5!A$2:H$7370, 3, FALSE), "")</f>
        <v>Action, Adventure, War</v>
      </c>
      <c r="D2495" s="2">
        <f>IF(A2495&lt;&gt;"", VLOOKUP(A2495, imdb_netflix_v5!A$2:H$7370, 4, FALSE), "")</f>
        <v>7.7</v>
      </c>
      <c r="E2495" s="2">
        <f>IF(A2495&lt;&gt;"", VLOOKUP(A2495, imdb_netflix_v5!A$2:H$7370, 5, FALSE), "")</f>
        <v>1967</v>
      </c>
      <c r="F2495" s="2" t="str">
        <f>IF(A2495&lt;&gt;"", VLOOKUP(A2495, imdb_netflix_v5!A$2:H$7370, 7, FALSE), "")</f>
        <v>NA</v>
      </c>
    </row>
    <row r="2496" ht="15.75" customHeight="1">
      <c r="A2496" s="1" t="str">
        <f>IFERROR(__xludf.DUMMYFUNCTION("""COMPUTED_VALUE"""),"badlands")</f>
        <v>badlands</v>
      </c>
      <c r="B2496" s="1" t="str">
        <f>IF(A2496&lt;&gt;"", VLOOKUP(A2496, imdb_netflix_v5!A$2:H$7370, 2, FALSE), "")</f>
        <v>Movie</v>
      </c>
      <c r="C2496" s="2" t="str">
        <f>IF(A2496&lt;&gt;"", VLOOKUP(A2496, imdb_netflix_v5!A$2:H$7370, 3, FALSE), "")</f>
        <v>Action, Crime, Drama</v>
      </c>
      <c r="D2496" s="2">
        <f>IF(A2496&lt;&gt;"", VLOOKUP(A2496, imdb_netflix_v5!A$2:H$7370, 4, FALSE), "")</f>
        <v>7.7</v>
      </c>
      <c r="E2496" s="2">
        <f>IF(A2496&lt;&gt;"", VLOOKUP(A2496, imdb_netflix_v5!A$2:H$7370, 5, FALSE), "")</f>
        <v>1973</v>
      </c>
      <c r="F2496" s="2" t="str">
        <f>IF(A2496&lt;&gt;"", VLOOKUP(A2496, imdb_netflix_v5!A$2:H$7370, 7, FALSE), "")</f>
        <v>NA</v>
      </c>
    </row>
    <row r="2497" ht="15.75" customHeight="1">
      <c r="A2497" s="1" t="str">
        <f>IFERROR(__xludf.DUMMYFUNCTION("""COMPUTED_VALUE"""),"the man from nowhere")</f>
        <v>the man from nowhere</v>
      </c>
      <c r="B2497" s="1" t="str">
        <f>IF(A2497&lt;&gt;"", VLOOKUP(A2497, imdb_netflix_v5!A$2:H$7370, 2, FALSE), "")</f>
        <v>Movie</v>
      </c>
      <c r="C2497" s="2" t="str">
        <f>IF(A2497&lt;&gt;"", VLOOKUP(A2497, imdb_netflix_v5!A$2:H$7370, 3, FALSE), "")</f>
        <v>Action, Drama, Thriller</v>
      </c>
      <c r="D2497" s="2">
        <f>IF(A2497&lt;&gt;"", VLOOKUP(A2497, imdb_netflix_v5!A$2:H$7370, 4, FALSE), "")</f>
        <v>7.7</v>
      </c>
      <c r="E2497" s="2">
        <f>IF(A2497&lt;&gt;"", VLOOKUP(A2497, imdb_netflix_v5!A$2:H$7370, 5, FALSE), "")</f>
        <v>2010</v>
      </c>
      <c r="F2497" s="2" t="str">
        <f>IF(A2497&lt;&gt;"", VLOOKUP(A2497, imdb_netflix_v5!A$2:H$7370, 7, FALSE), "")</f>
        <v>NA</v>
      </c>
    </row>
    <row r="2498" ht="15.75" customHeight="1">
      <c r="A2498" s="1" t="str">
        <f>IFERROR(__xludf.DUMMYFUNCTION("""COMPUTED_VALUE"""),"sweet tooth")</f>
        <v>sweet tooth</v>
      </c>
      <c r="B2498" s="1" t="str">
        <f>IF(A2498&lt;&gt;"", VLOOKUP(A2498, imdb_netflix_v5!A$2:H$7370, 2, FALSE), "")</f>
        <v>TV Show</v>
      </c>
      <c r="C2498" s="2" t="str">
        <f>IF(A2498&lt;&gt;"", VLOOKUP(A2498, imdb_netflix_v5!A$2:H$7370, 3, FALSE), "")</f>
        <v>Action, Adventure, Drama</v>
      </c>
      <c r="D2498" s="2">
        <f>IF(A2498&lt;&gt;"", VLOOKUP(A2498, imdb_netflix_v5!A$2:H$7370, 4, FALSE), "")</f>
        <v>7.7</v>
      </c>
      <c r="E2498" s="2">
        <f>IF(A2498&lt;&gt;"", VLOOKUP(A2498, imdb_netflix_v5!A$2:H$7370, 5, FALSE), "")</f>
        <v>2021</v>
      </c>
      <c r="F2498" s="2">
        <f>IF(A2498&lt;&gt;"", VLOOKUP(A2498, imdb_netflix_v5!A$2:H$7370, 7, FALSE), "")</f>
        <v>16660000</v>
      </c>
    </row>
    <row r="2499" ht="15.75" customHeight="1">
      <c r="A2499" s="1" t="str">
        <f>IFERROR(__xludf.DUMMYFUNCTION("""COMPUTED_VALUE"""),"open your eyes")</f>
        <v>open your eyes</v>
      </c>
      <c r="B2499" s="1" t="str">
        <f>IF(A2499&lt;&gt;"", VLOOKUP(A2499, imdb_netflix_v5!A$2:H$7370, 2, FALSE), "")</f>
        <v>Movie</v>
      </c>
      <c r="C2499" s="2" t="str">
        <f>IF(A2499&lt;&gt;"", VLOOKUP(A2499, imdb_netflix_v5!A$2:H$7370, 3, FALSE), "")</f>
        <v>Drama, Mystery, Sci-Fi</v>
      </c>
      <c r="D2499" s="2">
        <f>IF(A2499&lt;&gt;"", VLOOKUP(A2499, imdb_netflix_v5!A$2:H$7370, 4, FALSE), "")</f>
        <v>7.7</v>
      </c>
      <c r="E2499" s="2">
        <f>IF(A2499&lt;&gt;"", VLOOKUP(A2499, imdb_netflix_v5!A$2:H$7370, 5, FALSE), "")</f>
        <v>1997</v>
      </c>
      <c r="F2499" s="2">
        <f>IF(A2499&lt;&gt;"", VLOOKUP(A2499, imdb_netflix_v5!A$2:H$7370, 7, FALSE), "")</f>
        <v>8220000</v>
      </c>
    </row>
    <row r="2500" ht="15.75" customHeight="1">
      <c r="A2500" s="1" t="str">
        <f>IFERROR(__xludf.DUMMYFUNCTION("""COMPUTED_VALUE"""),"mother")</f>
        <v>mother</v>
      </c>
      <c r="B2500" s="1" t="str">
        <f>IF(A2500&lt;&gt;"", VLOOKUP(A2500, imdb_netflix_v5!A$2:H$7370, 2, FALSE), "")</f>
        <v>Movie</v>
      </c>
      <c r="C2500" s="2" t="str">
        <f>IF(A2500&lt;&gt;"", VLOOKUP(A2500, imdb_netflix_v5!A$2:H$7370, 3, FALSE), "")</f>
        <v>Crime, Drama, Mystery</v>
      </c>
      <c r="D2500" s="2">
        <f>IF(A2500&lt;&gt;"", VLOOKUP(A2500, imdb_netflix_v5!A$2:H$7370, 4, FALSE), "")</f>
        <v>7.7</v>
      </c>
      <c r="E2500" s="2">
        <f>IF(A2500&lt;&gt;"", VLOOKUP(A2500, imdb_netflix_v5!A$2:H$7370, 5, FALSE), "")</f>
        <v>2009</v>
      </c>
      <c r="F2500" s="2" t="str">
        <f>IF(A2500&lt;&gt;"", VLOOKUP(A2500, imdb_netflix_v5!A$2:H$7370, 7, FALSE), "")</f>
        <v>NA</v>
      </c>
    </row>
    <row r="2501" ht="15.75" customHeight="1">
      <c r="A2501" s="1" t="str">
        <f>IFERROR(__xludf.DUMMYFUNCTION("""COMPUTED_VALUE"""),"perfect strangers")</f>
        <v>perfect strangers</v>
      </c>
      <c r="B2501" s="1" t="str">
        <f>IF(A2501&lt;&gt;"", VLOOKUP(A2501, imdb_netflix_v5!A$2:H$7370, 2, FALSE), "")</f>
        <v>Movie</v>
      </c>
      <c r="C2501" s="2" t="str">
        <f>IF(A2501&lt;&gt;"", VLOOKUP(A2501, imdb_netflix_v5!A$2:H$7370, 3, FALSE), "")</f>
        <v>Comedy, Drama</v>
      </c>
      <c r="D2501" s="2">
        <f>IF(A2501&lt;&gt;"", VLOOKUP(A2501, imdb_netflix_v5!A$2:H$7370, 4, FALSE), "")</f>
        <v>7.7</v>
      </c>
      <c r="E2501" s="2">
        <f>IF(A2501&lt;&gt;"", VLOOKUP(A2501, imdb_netflix_v5!A$2:H$7370, 5, FALSE), "")</f>
        <v>2016</v>
      </c>
      <c r="F2501" s="2" t="str">
        <f>IF(A2501&lt;&gt;"", VLOOKUP(A2501, imdb_netflix_v5!A$2:H$7370, 7, FALSE), "")</f>
        <v>NA</v>
      </c>
    </row>
    <row r="2502" ht="15.75" customHeight="1">
      <c r="A2502" s="1" t="str">
        <f>IFERROR(__xludf.DUMMYFUNCTION("""COMPUTED_VALUE"""),"the girl who leapt through time")</f>
        <v>the girl who leapt through time</v>
      </c>
      <c r="B2502" s="1" t="str">
        <f>IF(A2502&lt;&gt;"", VLOOKUP(A2502, imdb_netflix_v5!A$2:H$7370, 2, FALSE), "")</f>
        <v>Movie</v>
      </c>
      <c r="C2502" s="2" t="str">
        <f>IF(A2502&lt;&gt;"", VLOOKUP(A2502, imdb_netflix_v5!A$2:H$7370, 3, FALSE), "")</f>
        <v>Adventure, Animation, Comedy</v>
      </c>
      <c r="D2502" s="2">
        <f>IF(A2502&lt;&gt;"", VLOOKUP(A2502, imdb_netflix_v5!A$2:H$7370, 4, FALSE), "")</f>
        <v>7.7</v>
      </c>
      <c r="E2502" s="2">
        <f>IF(A2502&lt;&gt;"", VLOOKUP(A2502, imdb_netflix_v5!A$2:H$7370, 5, FALSE), "")</f>
        <v>2006</v>
      </c>
      <c r="F2502" s="2" t="str">
        <f>IF(A2502&lt;&gt;"", VLOOKUP(A2502, imdb_netflix_v5!A$2:H$7370, 7, FALSE), "")</f>
        <v>NA</v>
      </c>
    </row>
    <row r="2503" ht="15.75" customHeight="1">
      <c r="A2503" s="1" t="str">
        <f>IFERROR(__xludf.DUMMYFUNCTION("""COMPUTED_VALUE"""),"a man called ove")</f>
        <v>a man called ove</v>
      </c>
      <c r="B2503" s="1" t="str">
        <f>IF(A2503&lt;&gt;"", VLOOKUP(A2503, imdb_netflix_v5!A$2:H$7370, 2, FALSE), "")</f>
        <v>Movie</v>
      </c>
      <c r="C2503" s="2" t="str">
        <f>IF(A2503&lt;&gt;"", VLOOKUP(A2503, imdb_netflix_v5!A$2:H$7370, 3, FALSE), "")</f>
        <v>Comedy, Drama, Romance</v>
      </c>
      <c r="D2503" s="2">
        <f>IF(A2503&lt;&gt;"", VLOOKUP(A2503, imdb_netflix_v5!A$2:H$7370, 4, FALSE), "")</f>
        <v>7.7</v>
      </c>
      <c r="E2503" s="2">
        <f>IF(A2503&lt;&gt;"", VLOOKUP(A2503, imdb_netflix_v5!A$2:H$7370, 5, FALSE), "")</f>
        <v>2015</v>
      </c>
      <c r="F2503" s="2" t="str">
        <f>IF(A2503&lt;&gt;"", VLOOKUP(A2503, imdb_netflix_v5!A$2:H$7370, 7, FALSE), "")</f>
        <v>NA</v>
      </c>
    </row>
    <row r="2504" ht="15.75" customHeight="1">
      <c r="A2504" s="1" t="str">
        <f>IFERROR(__xludf.DUMMYFUNCTION("""COMPUTED_VALUE"""),"tokyo ghoul")</f>
        <v>tokyo ghoul</v>
      </c>
      <c r="B2504" s="1" t="str">
        <f>IF(A2504&lt;&gt;"", VLOOKUP(A2504, imdb_netflix_v5!A$2:H$7370, 2, FALSE), "")</f>
        <v>TV Show</v>
      </c>
      <c r="C2504" s="2" t="str">
        <f>IF(A2504&lt;&gt;"", VLOOKUP(A2504, imdb_netflix_v5!A$2:H$7370, 3, FALSE), "")</f>
        <v>Action, Animation, Drama</v>
      </c>
      <c r="D2504" s="2">
        <f>IF(A2504&lt;&gt;"", VLOOKUP(A2504, imdb_netflix_v5!A$2:H$7370, 4, FALSE), "")</f>
        <v>7.7</v>
      </c>
      <c r="E2504" s="2">
        <f>IF(A2504&lt;&gt;"", VLOOKUP(A2504, imdb_netflix_v5!A$2:H$7370, 5, FALSE), "")</f>
        <v>2014</v>
      </c>
      <c r="F2504" s="2" t="str">
        <f>IF(A2504&lt;&gt;"", VLOOKUP(A2504, imdb_netflix_v5!A$2:H$7370, 7, FALSE), "")</f>
        <v>NA</v>
      </c>
    </row>
    <row r="2505" ht="15.75" customHeight="1">
      <c r="A2505" s="1" t="str">
        <f>IFERROR(__xludf.DUMMYFUNCTION("""COMPUTED_VALUE"""),"a series of unfortunate events")</f>
        <v>a series of unfortunate events</v>
      </c>
      <c r="B2505" s="1" t="str">
        <f>IF(A2505&lt;&gt;"", VLOOKUP(A2505, imdb_netflix_v5!A$2:H$7370, 2, FALSE), "")</f>
        <v>TV Show</v>
      </c>
      <c r="C2505" s="2" t="str">
        <f>IF(A2505&lt;&gt;"", VLOOKUP(A2505, imdb_netflix_v5!A$2:H$7370, 3, FALSE), "")</f>
        <v>Adventure, Comedy, Drama</v>
      </c>
      <c r="D2505" s="2">
        <f>IF(A2505&lt;&gt;"", VLOOKUP(A2505, imdb_netflix_v5!A$2:H$7370, 4, FALSE), "")</f>
        <v>7.7</v>
      </c>
      <c r="E2505" s="2">
        <f>IF(A2505&lt;&gt;"", VLOOKUP(A2505, imdb_netflix_v5!A$2:H$7370, 5, FALSE), "")</f>
        <v>2017</v>
      </c>
      <c r="F2505" s="2" t="str">
        <f>IF(A2505&lt;&gt;"", VLOOKUP(A2505, imdb_netflix_v5!A$2:H$7370, 7, FALSE), "")</f>
        <v>NA</v>
      </c>
    </row>
    <row r="2506" ht="15.75" customHeight="1">
      <c r="A2506" s="1" t="str">
        <f>IFERROR(__xludf.DUMMYFUNCTION("""COMPUTED_VALUE"""),"waking life")</f>
        <v>waking life</v>
      </c>
      <c r="B2506" s="1" t="str">
        <f>IF(A2506&lt;&gt;"", VLOOKUP(A2506, imdb_netflix_v5!A$2:H$7370, 2, FALSE), "")</f>
        <v>Movie</v>
      </c>
      <c r="C2506" s="2" t="str">
        <f>IF(A2506&lt;&gt;"", VLOOKUP(A2506, imdb_netflix_v5!A$2:H$7370, 3, FALSE), "")</f>
        <v>Animation, Drama, Fantasy</v>
      </c>
      <c r="D2506" s="2">
        <f>IF(A2506&lt;&gt;"", VLOOKUP(A2506, imdb_netflix_v5!A$2:H$7370, 4, FALSE), "")</f>
        <v>7.7</v>
      </c>
      <c r="E2506" s="2">
        <f>IF(A2506&lt;&gt;"", VLOOKUP(A2506, imdb_netflix_v5!A$2:H$7370, 5, FALSE), "")</f>
        <v>2001</v>
      </c>
      <c r="F2506" s="2" t="str">
        <f>IF(A2506&lt;&gt;"", VLOOKUP(A2506, imdb_netflix_v5!A$2:H$7370, 7, FALSE), "")</f>
        <v>NA</v>
      </c>
    </row>
    <row r="2507" ht="15.75" customHeight="1">
      <c r="A2507" s="1" t="str">
        <f>IFERROR(__xludf.DUMMYFUNCTION("""COMPUTED_VALUE"""),"night on earth")</f>
        <v>night on earth</v>
      </c>
      <c r="B2507" s="1" t="str">
        <f>IF(A2507&lt;&gt;"", VLOOKUP(A2507, imdb_netflix_v5!A$2:H$7370, 2, FALSE), "")</f>
        <v>Movie</v>
      </c>
      <c r="C2507" s="2" t="str">
        <f>IF(A2507&lt;&gt;"", VLOOKUP(A2507, imdb_netflix_v5!A$2:H$7370, 3, FALSE), "")</f>
        <v>Comedy, Drama</v>
      </c>
      <c r="D2507" s="2">
        <f>IF(A2507&lt;&gt;"", VLOOKUP(A2507, imdb_netflix_v5!A$2:H$7370, 4, FALSE), "")</f>
        <v>7.7</v>
      </c>
      <c r="E2507" s="2">
        <f>IF(A2507&lt;&gt;"", VLOOKUP(A2507, imdb_netflix_v5!A$2:H$7370, 5, FALSE), "")</f>
        <v>1991</v>
      </c>
      <c r="F2507" s="2" t="str">
        <f>IF(A2507&lt;&gt;"", VLOOKUP(A2507, imdb_netflix_v5!A$2:H$7370, 7, FALSE), "")</f>
        <v>NA</v>
      </c>
    </row>
    <row r="2508" ht="15.75" customHeight="1">
      <c r="A2508" s="1" t="str">
        <f>IFERROR(__xludf.DUMMYFUNCTION("""COMPUTED_VALUE"""),"presumed innocent")</f>
        <v>presumed innocent</v>
      </c>
      <c r="B2508" s="1" t="str">
        <f>IF(A2508&lt;&gt;"", VLOOKUP(A2508, imdb_netflix_v5!A$2:H$7370, 2, FALSE), "")</f>
        <v>TV Show</v>
      </c>
      <c r="C2508" s="2" t="str">
        <f>IF(A2508&lt;&gt;"", VLOOKUP(A2508, imdb_netflix_v5!A$2:H$7370, 3, FALSE), "")</f>
        <v>Crime, Drama, Mystery</v>
      </c>
      <c r="D2508" s="2">
        <f>IF(A2508&lt;&gt;"", VLOOKUP(A2508, imdb_netflix_v5!A$2:H$7370, 4, FALSE), "")</f>
        <v>7.7</v>
      </c>
      <c r="E2508" s="2">
        <f>IF(A2508&lt;&gt;"", VLOOKUP(A2508, imdb_netflix_v5!A$2:H$7370, 5, FALSE), "")</f>
        <v>2024</v>
      </c>
      <c r="F2508" s="2" t="str">
        <f>IF(A2508&lt;&gt;"", VLOOKUP(A2508, imdb_netflix_v5!A$2:H$7370, 7, FALSE), "")</f>
        <v>NA</v>
      </c>
    </row>
    <row r="2509" ht="15.75" customHeight="1">
      <c r="A2509" s="1" t="str">
        <f>IFERROR(__xludf.DUMMYFUNCTION("""COMPUTED_VALUE"""),"the salesman")</f>
        <v>the salesman</v>
      </c>
      <c r="B2509" s="1" t="str">
        <f>IF(A2509&lt;&gt;"", VLOOKUP(A2509, imdb_netflix_v5!A$2:H$7370, 2, FALSE), "")</f>
        <v>Movie</v>
      </c>
      <c r="C2509" s="2" t="str">
        <f>IF(A2509&lt;&gt;"", VLOOKUP(A2509, imdb_netflix_v5!A$2:H$7370, 3, FALSE), "")</f>
        <v>Drama, Thriller</v>
      </c>
      <c r="D2509" s="2">
        <f>IF(A2509&lt;&gt;"", VLOOKUP(A2509, imdb_netflix_v5!A$2:H$7370, 4, FALSE), "")</f>
        <v>7.7</v>
      </c>
      <c r="E2509" s="2">
        <f>IF(A2509&lt;&gt;"", VLOOKUP(A2509, imdb_netflix_v5!A$2:H$7370, 5, FALSE), "")</f>
        <v>2016</v>
      </c>
      <c r="F2509" s="2" t="str">
        <f>IF(A2509&lt;&gt;"", VLOOKUP(A2509, imdb_netflix_v5!A$2:H$7370, 7, FALSE), "")</f>
        <v>NA</v>
      </c>
    </row>
    <row r="2510" ht="15.75" customHeight="1">
      <c r="A2510" s="1" t="str">
        <f>IFERROR(__xludf.DUMMYFUNCTION("""COMPUTED_VALUE"""),"days of heaven")</f>
        <v>days of heaven</v>
      </c>
      <c r="B2510" s="1" t="str">
        <f>IF(A2510&lt;&gt;"", VLOOKUP(A2510, imdb_netflix_v5!A$2:H$7370, 2, FALSE), "")</f>
        <v>Movie</v>
      </c>
      <c r="C2510" s="2" t="str">
        <f>IF(A2510&lt;&gt;"", VLOOKUP(A2510, imdb_netflix_v5!A$2:H$7370, 3, FALSE), "")</f>
        <v>Drama, Romance</v>
      </c>
      <c r="D2510" s="2">
        <f>IF(A2510&lt;&gt;"", VLOOKUP(A2510, imdb_netflix_v5!A$2:H$7370, 4, FALSE), "")</f>
        <v>7.7</v>
      </c>
      <c r="E2510" s="2">
        <f>IF(A2510&lt;&gt;"", VLOOKUP(A2510, imdb_netflix_v5!A$2:H$7370, 5, FALSE), "")</f>
        <v>1978</v>
      </c>
      <c r="F2510" s="2" t="str">
        <f>IF(A2510&lt;&gt;"", VLOOKUP(A2510, imdb_netflix_v5!A$2:H$7370, 7, FALSE), "")</f>
        <v>NA</v>
      </c>
    </row>
    <row r="2511" ht="15.75" customHeight="1">
      <c r="A2511" s="1" t="str">
        <f>IFERROR(__xludf.DUMMYFUNCTION("""COMPUTED_VALUE"""),"duck soup")</f>
        <v>duck soup</v>
      </c>
      <c r="B2511" s="1" t="str">
        <f>IF(A2511&lt;&gt;"", VLOOKUP(A2511, imdb_netflix_v5!A$2:H$7370, 2, FALSE), "")</f>
        <v>Movie</v>
      </c>
      <c r="C2511" s="2" t="str">
        <f>IF(A2511&lt;&gt;"", VLOOKUP(A2511, imdb_netflix_v5!A$2:H$7370, 3, FALSE), "")</f>
        <v>Comedy, Musical</v>
      </c>
      <c r="D2511" s="2">
        <f>IF(A2511&lt;&gt;"", VLOOKUP(A2511, imdb_netflix_v5!A$2:H$7370, 4, FALSE), "")</f>
        <v>7.7</v>
      </c>
      <c r="E2511" s="2">
        <f>IF(A2511&lt;&gt;"", VLOOKUP(A2511, imdb_netflix_v5!A$2:H$7370, 5, FALSE), "")</f>
        <v>1933</v>
      </c>
      <c r="F2511" s="2" t="str">
        <f>IF(A2511&lt;&gt;"", VLOOKUP(A2511, imdb_netflix_v5!A$2:H$7370, 7, FALSE), "")</f>
        <v>NA</v>
      </c>
    </row>
    <row r="2512" ht="15.75" customHeight="1">
      <c r="A2512" s="1" t="str">
        <f>IFERROR(__xludf.DUMMYFUNCTION("""COMPUTED_VALUE"""),"good girls")</f>
        <v>good girls</v>
      </c>
      <c r="B2512" s="1" t="str">
        <f>IF(A2512&lt;&gt;"", VLOOKUP(A2512, imdb_netflix_v5!A$2:H$7370, 2, FALSE), "")</f>
        <v>TV Show</v>
      </c>
      <c r="C2512" s="2" t="str">
        <f>IF(A2512&lt;&gt;"", VLOOKUP(A2512, imdb_netflix_v5!A$2:H$7370, 3, FALSE), "")</f>
        <v>Comedy, Crime, Drama</v>
      </c>
      <c r="D2512" s="2">
        <f>IF(A2512&lt;&gt;"", VLOOKUP(A2512, imdb_netflix_v5!A$2:H$7370, 4, FALSE), "")</f>
        <v>7.7</v>
      </c>
      <c r="E2512" s="2">
        <f>IF(A2512&lt;&gt;"", VLOOKUP(A2512, imdb_netflix_v5!A$2:H$7370, 5, FALSE), "")</f>
        <v>2018</v>
      </c>
      <c r="F2512" s="2">
        <f>IF(A2512&lt;&gt;"", VLOOKUP(A2512, imdb_netflix_v5!A$2:H$7370, 7, FALSE), "")</f>
        <v>17490000</v>
      </c>
    </row>
    <row r="2513" ht="15.75" customHeight="1">
      <c r="A2513" s="1" t="str">
        <f>IFERROR(__xludf.DUMMYFUNCTION("""COMPUTED_VALUE"""),"the alienist")</f>
        <v>the alienist</v>
      </c>
      <c r="B2513" s="1" t="str">
        <f>IF(A2513&lt;&gt;"", VLOOKUP(A2513, imdb_netflix_v5!A$2:H$7370, 2, FALSE), "")</f>
        <v>TV Show</v>
      </c>
      <c r="C2513" s="2" t="str">
        <f>IF(A2513&lt;&gt;"", VLOOKUP(A2513, imdb_netflix_v5!A$2:H$7370, 3, FALSE), "")</f>
        <v>Crime, Drama, Mystery</v>
      </c>
      <c r="D2513" s="2">
        <f>IF(A2513&lt;&gt;"", VLOOKUP(A2513, imdb_netflix_v5!A$2:H$7370, 4, FALSE), "")</f>
        <v>7.7</v>
      </c>
      <c r="E2513" s="2">
        <f>IF(A2513&lt;&gt;"", VLOOKUP(A2513, imdb_netflix_v5!A$2:H$7370, 5, FALSE), "")</f>
        <v>2018</v>
      </c>
      <c r="F2513" s="2" t="str">
        <f>IF(A2513&lt;&gt;"", VLOOKUP(A2513, imdb_netflix_v5!A$2:H$7370, 7, FALSE), "")</f>
        <v>NA</v>
      </c>
    </row>
    <row r="2514" ht="15.75" customHeight="1">
      <c r="A2514" s="1" t="str">
        <f>IFERROR(__xludf.DUMMYFUNCTION("""COMPUTED_VALUE"""),"doom patrol")</f>
        <v>doom patrol</v>
      </c>
      <c r="B2514" s="1" t="str">
        <f>IF(A2514&lt;&gt;"", VLOOKUP(A2514, imdb_netflix_v5!A$2:H$7370, 2, FALSE), "")</f>
        <v>TV Show</v>
      </c>
      <c r="C2514" s="2" t="str">
        <f>IF(A2514&lt;&gt;"", VLOOKUP(A2514, imdb_netflix_v5!A$2:H$7370, 3, FALSE), "")</f>
        <v>Action, Adventure, Comedy</v>
      </c>
      <c r="D2514" s="2">
        <f>IF(A2514&lt;&gt;"", VLOOKUP(A2514, imdb_netflix_v5!A$2:H$7370, 4, FALSE), "")</f>
        <v>7.7</v>
      </c>
      <c r="E2514" s="2">
        <f>IF(A2514&lt;&gt;"", VLOOKUP(A2514, imdb_netflix_v5!A$2:H$7370, 5, FALSE), "")</f>
        <v>2019</v>
      </c>
      <c r="F2514" s="2" t="str">
        <f>IF(A2514&lt;&gt;"", VLOOKUP(A2514, imdb_netflix_v5!A$2:H$7370, 7, FALSE), "")</f>
        <v>NA</v>
      </c>
    </row>
    <row r="2515" ht="15.75" customHeight="1">
      <c r="A2515" s="1" t="str">
        <f>IFERROR(__xludf.DUMMYFUNCTION("""COMPUTED_VALUE"""),"the longest day")</f>
        <v>the longest day</v>
      </c>
      <c r="B2515" s="1" t="str">
        <f>IF(A2515&lt;&gt;"", VLOOKUP(A2515, imdb_netflix_v5!A$2:H$7370, 2, FALSE), "")</f>
        <v>Movie</v>
      </c>
      <c r="C2515" s="2" t="str">
        <f>IF(A2515&lt;&gt;"", VLOOKUP(A2515, imdb_netflix_v5!A$2:H$7370, 3, FALSE), "")</f>
        <v>Action, Drama, History</v>
      </c>
      <c r="D2515" s="2">
        <f>IF(A2515&lt;&gt;"", VLOOKUP(A2515, imdb_netflix_v5!A$2:H$7370, 4, FALSE), "")</f>
        <v>7.7</v>
      </c>
      <c r="E2515" s="2">
        <f>IF(A2515&lt;&gt;"", VLOOKUP(A2515, imdb_netflix_v5!A$2:H$7370, 5, FALSE), "")</f>
        <v>1962</v>
      </c>
      <c r="F2515" s="2" t="str">
        <f>IF(A2515&lt;&gt;"", VLOOKUP(A2515, imdb_netflix_v5!A$2:H$7370, 7, FALSE), "")</f>
        <v>NA</v>
      </c>
    </row>
    <row r="2516" ht="15.75" customHeight="1">
      <c r="A2516" s="1" t="str">
        <f>IFERROR(__xludf.DUMMYFUNCTION("""COMPUTED_VALUE"""),"nip/tuck")</f>
        <v>nip/tuck</v>
      </c>
      <c r="B2516" s="1" t="str">
        <f>IF(A2516&lt;&gt;"", VLOOKUP(A2516, imdb_netflix_v5!A$2:H$7370, 2, FALSE), "")</f>
        <v>TV Show</v>
      </c>
      <c r="C2516" s="2" t="str">
        <f>IF(A2516&lt;&gt;"", VLOOKUP(A2516, imdb_netflix_v5!A$2:H$7370, 3, FALSE), "")</f>
        <v>Drama</v>
      </c>
      <c r="D2516" s="2">
        <f>IF(A2516&lt;&gt;"", VLOOKUP(A2516, imdb_netflix_v5!A$2:H$7370, 4, FALSE), "")</f>
        <v>7.7</v>
      </c>
      <c r="E2516" s="2">
        <f>IF(A2516&lt;&gt;"", VLOOKUP(A2516, imdb_netflix_v5!A$2:H$7370, 5, FALSE), "")</f>
        <v>2003</v>
      </c>
      <c r="F2516" s="2" t="str">
        <f>IF(A2516&lt;&gt;"", VLOOKUP(A2516, imdb_netflix_v5!A$2:H$7370, 7, FALSE), "")</f>
        <v>NA</v>
      </c>
    </row>
    <row r="2517" ht="15.75" customHeight="1">
      <c r="A2517" s="1" t="str">
        <f>IFERROR(__xludf.DUMMYFUNCTION("""COMPUTED_VALUE"""),"man on wire")</f>
        <v>man on wire</v>
      </c>
      <c r="B2517" s="1" t="str">
        <f>IF(A2517&lt;&gt;"", VLOOKUP(A2517, imdb_netflix_v5!A$2:H$7370, 2, FALSE), "")</f>
        <v>Movie</v>
      </c>
      <c r="C2517" s="2" t="str">
        <f>IF(A2517&lt;&gt;"", VLOOKUP(A2517, imdb_netflix_v5!A$2:H$7370, 3, FALSE), "")</f>
        <v>Biography, Crime, Documentary</v>
      </c>
      <c r="D2517" s="2">
        <f>IF(A2517&lt;&gt;"", VLOOKUP(A2517, imdb_netflix_v5!A$2:H$7370, 4, FALSE), "")</f>
        <v>7.7</v>
      </c>
      <c r="E2517" s="2">
        <f>IF(A2517&lt;&gt;"", VLOOKUP(A2517, imdb_netflix_v5!A$2:H$7370, 5, FALSE), "")</f>
        <v>2008</v>
      </c>
      <c r="F2517" s="2" t="str">
        <f>IF(A2517&lt;&gt;"", VLOOKUP(A2517, imdb_netflix_v5!A$2:H$7370, 7, FALSE), "")</f>
        <v>NA</v>
      </c>
    </row>
    <row r="2518" ht="15.75" customHeight="1">
      <c r="A2518" s="1" t="str">
        <f>IFERROR(__xludf.DUMMYFUNCTION("""COMPUTED_VALUE"""),"the lady vanishes")</f>
        <v>the lady vanishes</v>
      </c>
      <c r="B2518" s="1" t="str">
        <f>IF(A2518&lt;&gt;"", VLOOKUP(A2518, imdb_netflix_v5!A$2:H$7370, 2, FALSE), "")</f>
        <v>Movie</v>
      </c>
      <c r="C2518" s="2" t="str">
        <f>IF(A2518&lt;&gt;"", VLOOKUP(A2518, imdb_netflix_v5!A$2:H$7370, 3, FALSE), "")</f>
        <v>Mystery, Thriller</v>
      </c>
      <c r="D2518" s="2">
        <f>IF(A2518&lt;&gt;"", VLOOKUP(A2518, imdb_netflix_v5!A$2:H$7370, 4, FALSE), "")</f>
        <v>7.7</v>
      </c>
      <c r="E2518" s="2">
        <f>IF(A2518&lt;&gt;"", VLOOKUP(A2518, imdb_netflix_v5!A$2:H$7370, 5, FALSE), "")</f>
        <v>1938</v>
      </c>
      <c r="F2518" s="2" t="str">
        <f>IF(A2518&lt;&gt;"", VLOOKUP(A2518, imdb_netflix_v5!A$2:H$7370, 7, FALSE), "")</f>
        <v>NA</v>
      </c>
    </row>
    <row r="2519" ht="15.75" customHeight="1">
      <c r="A2519" s="1" t="str">
        <f>IFERROR(__xludf.DUMMYFUNCTION("""COMPUTED_VALUE"""),"ordinary people")</f>
        <v>ordinary people</v>
      </c>
      <c r="B2519" s="1" t="str">
        <f>IF(A2519&lt;&gt;"", VLOOKUP(A2519, imdb_netflix_v5!A$2:H$7370, 2, FALSE), "")</f>
        <v>Movie</v>
      </c>
      <c r="C2519" s="2" t="str">
        <f>IF(A2519&lt;&gt;"", VLOOKUP(A2519, imdb_netflix_v5!A$2:H$7370, 3, FALSE), "")</f>
        <v>Drama</v>
      </c>
      <c r="D2519" s="2">
        <f>IF(A2519&lt;&gt;"", VLOOKUP(A2519, imdb_netflix_v5!A$2:H$7370, 4, FALSE), "")</f>
        <v>7.7</v>
      </c>
      <c r="E2519" s="2">
        <f>IF(A2519&lt;&gt;"", VLOOKUP(A2519, imdb_netflix_v5!A$2:H$7370, 5, FALSE), "")</f>
        <v>1980</v>
      </c>
      <c r="F2519" s="2" t="str">
        <f>IF(A2519&lt;&gt;"", VLOOKUP(A2519, imdb_netflix_v5!A$2:H$7370, 7, FALSE), "")</f>
        <v>NA</v>
      </c>
    </row>
    <row r="2520" ht="15.75" customHeight="1">
      <c r="A2520" s="1" t="str">
        <f>IFERROR(__xludf.DUMMYFUNCTION("""COMPUTED_VALUE"""),"lioness")</f>
        <v>lioness</v>
      </c>
      <c r="B2520" s="1" t="str">
        <f>IF(A2520&lt;&gt;"", VLOOKUP(A2520, imdb_netflix_v5!A$2:H$7370, 2, FALSE), "")</f>
        <v>TV Show</v>
      </c>
      <c r="C2520" s="2" t="str">
        <f>IF(A2520&lt;&gt;"", VLOOKUP(A2520, imdb_netflix_v5!A$2:H$7370, 3, FALSE), "")</f>
        <v>Action, Drama, Thriller</v>
      </c>
      <c r="D2520" s="2">
        <f>IF(A2520&lt;&gt;"", VLOOKUP(A2520, imdb_netflix_v5!A$2:H$7370, 4, FALSE), "")</f>
        <v>7.7</v>
      </c>
      <c r="E2520" s="2">
        <f>IF(A2520&lt;&gt;"", VLOOKUP(A2520, imdb_netflix_v5!A$2:H$7370, 5, FALSE), "")</f>
        <v>2023</v>
      </c>
      <c r="F2520" s="2" t="str">
        <f>IF(A2520&lt;&gt;"", VLOOKUP(A2520, imdb_netflix_v5!A$2:H$7370, 7, FALSE), "")</f>
        <v>NA</v>
      </c>
    </row>
    <row r="2521" ht="15.75" customHeight="1">
      <c r="A2521" s="1" t="str">
        <f>IFERROR(__xludf.DUMMYFUNCTION("""COMPUTED_VALUE"""),"the triplets of belleville")</f>
        <v>the triplets of belleville</v>
      </c>
      <c r="B2521" s="1" t="str">
        <f>IF(A2521&lt;&gt;"", VLOOKUP(A2521, imdb_netflix_v5!A$2:H$7370, 2, FALSE), "")</f>
        <v>Movie</v>
      </c>
      <c r="C2521" s="2" t="str">
        <f>IF(A2521&lt;&gt;"", VLOOKUP(A2521, imdb_netflix_v5!A$2:H$7370, 3, FALSE), "")</f>
        <v>Adventure, Animation, Comedy</v>
      </c>
      <c r="D2521" s="2">
        <f>IF(A2521&lt;&gt;"", VLOOKUP(A2521, imdb_netflix_v5!A$2:H$7370, 4, FALSE), "")</f>
        <v>7.7</v>
      </c>
      <c r="E2521" s="2">
        <f>IF(A2521&lt;&gt;"", VLOOKUP(A2521, imdb_netflix_v5!A$2:H$7370, 5, FALSE), "")</f>
        <v>2003</v>
      </c>
      <c r="F2521" s="2" t="str">
        <f>IF(A2521&lt;&gt;"", VLOOKUP(A2521, imdb_netflix_v5!A$2:H$7370, 7, FALSE), "")</f>
        <v>NA</v>
      </c>
    </row>
    <row r="2522" ht="15.75" customHeight="1">
      <c r="A2522" s="1" t="str">
        <f>IFERROR(__xludf.DUMMYFUNCTION("""COMPUTED_VALUE"""),"hart of dixie")</f>
        <v>hart of dixie</v>
      </c>
      <c r="B2522" s="1" t="str">
        <f>IF(A2522&lt;&gt;"", VLOOKUP(A2522, imdb_netflix_v5!A$2:H$7370, 2, FALSE), "")</f>
        <v>TV Show</v>
      </c>
      <c r="C2522" s="2" t="str">
        <f>IF(A2522&lt;&gt;"", VLOOKUP(A2522, imdb_netflix_v5!A$2:H$7370, 3, FALSE), "")</f>
        <v>Comedy, Drama, Romance</v>
      </c>
      <c r="D2522" s="2">
        <f>IF(A2522&lt;&gt;"", VLOOKUP(A2522, imdb_netflix_v5!A$2:H$7370, 4, FALSE), "")</f>
        <v>7.7</v>
      </c>
      <c r="E2522" s="2">
        <f>IF(A2522&lt;&gt;"", VLOOKUP(A2522, imdb_netflix_v5!A$2:H$7370, 5, FALSE), "")</f>
        <v>2011</v>
      </c>
      <c r="F2522" s="2" t="str">
        <f>IF(A2522&lt;&gt;"", VLOOKUP(A2522, imdb_netflix_v5!A$2:H$7370, 7, FALSE), "")</f>
        <v>NA</v>
      </c>
    </row>
    <row r="2523" ht="15.75" customHeight="1">
      <c r="A2523" s="1" t="str">
        <f>IFERROR(__xludf.DUMMYFUNCTION("""COMPUTED_VALUE"""),"little fires everywhere")</f>
        <v>little fires everywhere</v>
      </c>
      <c r="B2523" s="1" t="str">
        <f>IF(A2523&lt;&gt;"", VLOOKUP(A2523, imdb_netflix_v5!A$2:H$7370, 2, FALSE), "")</f>
        <v>TV Show</v>
      </c>
      <c r="C2523" s="2" t="str">
        <f>IF(A2523&lt;&gt;"", VLOOKUP(A2523, imdb_netflix_v5!A$2:H$7370, 3, FALSE), "")</f>
        <v>Drama, Mystery, Thriller</v>
      </c>
      <c r="D2523" s="2">
        <f>IF(A2523&lt;&gt;"", VLOOKUP(A2523, imdb_netflix_v5!A$2:H$7370, 4, FALSE), "")</f>
        <v>7.7</v>
      </c>
      <c r="E2523" s="2">
        <f>IF(A2523&lt;&gt;"", VLOOKUP(A2523, imdb_netflix_v5!A$2:H$7370, 5, FALSE), "")</f>
        <v>2020</v>
      </c>
      <c r="F2523" s="2" t="str">
        <f>IF(A2523&lt;&gt;"", VLOOKUP(A2523, imdb_netflix_v5!A$2:H$7370, 7, FALSE), "")</f>
        <v>NA</v>
      </c>
    </row>
    <row r="2524" ht="15.75" customHeight="1">
      <c r="A2524" s="1" t="str">
        <f>IFERROR(__xludf.DUMMYFUNCTION("""COMPUTED_VALUE"""),"the chestnut man")</f>
        <v>the chestnut man</v>
      </c>
      <c r="B2524" s="1" t="str">
        <f>IF(A2524&lt;&gt;"", VLOOKUP(A2524, imdb_netflix_v5!A$2:H$7370, 2, FALSE), "")</f>
        <v>TV Show</v>
      </c>
      <c r="C2524" s="2" t="str">
        <f>IF(A2524&lt;&gt;"", VLOOKUP(A2524, imdb_netflix_v5!A$2:H$7370, 3, FALSE), "")</f>
        <v>Crime, Drama, Mystery</v>
      </c>
      <c r="D2524" s="2">
        <f>IF(A2524&lt;&gt;"", VLOOKUP(A2524, imdb_netflix_v5!A$2:H$7370, 4, FALSE), "")</f>
        <v>7.7</v>
      </c>
      <c r="E2524" s="2">
        <f>IF(A2524&lt;&gt;"", VLOOKUP(A2524, imdb_netflix_v5!A$2:H$7370, 5, FALSE), "")</f>
        <v>2021</v>
      </c>
      <c r="F2524" s="2">
        <f>IF(A2524&lt;&gt;"", VLOOKUP(A2524, imdb_netflix_v5!A$2:H$7370, 7, FALSE), "")</f>
        <v>8910000</v>
      </c>
    </row>
    <row r="2525" ht="15.75" customHeight="1">
      <c r="A2525" s="1" t="str">
        <f>IFERROR(__xludf.DUMMYFUNCTION("""COMPUTED_VALUE"""),"invasion of the body snatchers")</f>
        <v>invasion of the body snatchers</v>
      </c>
      <c r="B2525" s="1" t="str">
        <f>IF(A2525&lt;&gt;"", VLOOKUP(A2525, imdb_netflix_v5!A$2:H$7370, 2, FALSE), "")</f>
        <v>Movie</v>
      </c>
      <c r="C2525" s="2" t="str">
        <f>IF(A2525&lt;&gt;"", VLOOKUP(A2525, imdb_netflix_v5!A$2:H$7370, 3, FALSE), "")</f>
        <v>Drama, Horror, Sci-Fi</v>
      </c>
      <c r="D2525" s="2">
        <f>IF(A2525&lt;&gt;"", VLOOKUP(A2525, imdb_netflix_v5!A$2:H$7370, 4, FALSE), "")</f>
        <v>7.7</v>
      </c>
      <c r="E2525" s="2">
        <f>IF(A2525&lt;&gt;"", VLOOKUP(A2525, imdb_netflix_v5!A$2:H$7370, 5, FALSE), "")</f>
        <v>1956</v>
      </c>
      <c r="F2525" s="2" t="str">
        <f>IF(A2525&lt;&gt;"", VLOOKUP(A2525, imdb_netflix_v5!A$2:H$7370, 7, FALSE), "")</f>
        <v>NA</v>
      </c>
    </row>
    <row r="2526" ht="15.75" customHeight="1">
      <c r="A2526" s="1" t="str">
        <f>IFERROR(__xludf.DUMMYFUNCTION("""COMPUTED_VALUE"""),"the purple rose of cairo")</f>
        <v>the purple rose of cairo</v>
      </c>
      <c r="B2526" s="1" t="str">
        <f>IF(A2526&lt;&gt;"", VLOOKUP(A2526, imdb_netflix_v5!A$2:H$7370, 2, FALSE), "")</f>
        <v>Movie</v>
      </c>
      <c r="C2526" s="2" t="str">
        <f>IF(A2526&lt;&gt;"", VLOOKUP(A2526, imdb_netflix_v5!A$2:H$7370, 3, FALSE), "")</f>
        <v>Comedy, Fantasy, Romance</v>
      </c>
      <c r="D2526" s="2">
        <f>IF(A2526&lt;&gt;"", VLOOKUP(A2526, imdb_netflix_v5!A$2:H$7370, 4, FALSE), "")</f>
        <v>7.7</v>
      </c>
      <c r="E2526" s="2">
        <f>IF(A2526&lt;&gt;"", VLOOKUP(A2526, imdb_netflix_v5!A$2:H$7370, 5, FALSE), "")</f>
        <v>1985</v>
      </c>
      <c r="F2526" s="2" t="str">
        <f>IF(A2526&lt;&gt;"", VLOOKUP(A2526, imdb_netflix_v5!A$2:H$7370, 7, FALSE), "")</f>
        <v>NA</v>
      </c>
    </row>
    <row r="2527" ht="15.75" customHeight="1">
      <c r="A2527" s="1" t="str">
        <f>IFERROR(__xludf.DUMMYFUNCTION("""COMPUTED_VALUE"""),"adams apples")</f>
        <v>adams apples</v>
      </c>
      <c r="B2527" s="1" t="str">
        <f>IF(A2527&lt;&gt;"", VLOOKUP(A2527, imdb_netflix_v5!A$2:H$7370, 2, FALSE), "")</f>
        <v>Movie</v>
      </c>
      <c r="C2527" s="2" t="str">
        <f>IF(A2527&lt;&gt;"", VLOOKUP(A2527, imdb_netflix_v5!A$2:H$7370, 3, FALSE), "")</f>
        <v>Comedy, Crime, Drama</v>
      </c>
      <c r="D2527" s="2">
        <f>IF(A2527&lt;&gt;"", VLOOKUP(A2527, imdb_netflix_v5!A$2:H$7370, 4, FALSE), "")</f>
        <v>7.7</v>
      </c>
      <c r="E2527" s="2">
        <f>IF(A2527&lt;&gt;"", VLOOKUP(A2527, imdb_netflix_v5!A$2:H$7370, 5, FALSE), "")</f>
        <v>2005</v>
      </c>
      <c r="F2527" s="2" t="str">
        <f>IF(A2527&lt;&gt;"", VLOOKUP(A2527, imdb_netflix_v5!A$2:H$7370, 7, FALSE), "")</f>
        <v>NA</v>
      </c>
    </row>
    <row r="2528" ht="15.75" customHeight="1">
      <c r="A2528" s="1" t="str">
        <f>IFERROR(__xludf.DUMMYFUNCTION("""COMPUTED_VALUE"""),"the middle")</f>
        <v>the middle</v>
      </c>
      <c r="B2528" s="1" t="str">
        <f>IF(A2528&lt;&gt;"", VLOOKUP(A2528, imdb_netflix_v5!A$2:H$7370, 2, FALSE), "")</f>
        <v>TV Show</v>
      </c>
      <c r="C2528" s="2" t="str">
        <f>IF(A2528&lt;&gt;"", VLOOKUP(A2528, imdb_netflix_v5!A$2:H$7370, 3, FALSE), "")</f>
        <v>Comedy, Family</v>
      </c>
      <c r="D2528" s="2">
        <f>IF(A2528&lt;&gt;"", VLOOKUP(A2528, imdb_netflix_v5!A$2:H$7370, 4, FALSE), "")</f>
        <v>7.7</v>
      </c>
      <c r="E2528" s="2">
        <f>IF(A2528&lt;&gt;"", VLOOKUP(A2528, imdb_netflix_v5!A$2:H$7370, 5, FALSE), "")</f>
        <v>2009</v>
      </c>
      <c r="F2528" s="2" t="str">
        <f>IF(A2528&lt;&gt;"", VLOOKUP(A2528, imdb_netflix_v5!A$2:H$7370, 7, FALSE), "")</f>
        <v>NA</v>
      </c>
    </row>
    <row r="2529" ht="15.75" customHeight="1">
      <c r="A2529" s="1" t="str">
        <f>IFERROR(__xludf.DUMMYFUNCTION("""COMPUTED_VALUE"""),"hard boiled")</f>
        <v>hard boiled</v>
      </c>
      <c r="B2529" s="1" t="str">
        <f>IF(A2529&lt;&gt;"", VLOOKUP(A2529, imdb_netflix_v5!A$2:H$7370, 2, FALSE), "")</f>
        <v>Movie</v>
      </c>
      <c r="C2529" s="2" t="str">
        <f>IF(A2529&lt;&gt;"", VLOOKUP(A2529, imdb_netflix_v5!A$2:H$7370, 3, FALSE), "")</f>
        <v>Action, Crime, Thriller</v>
      </c>
      <c r="D2529" s="2">
        <f>IF(A2529&lt;&gt;"", VLOOKUP(A2529, imdb_netflix_v5!A$2:H$7370, 4, FALSE), "")</f>
        <v>7.7</v>
      </c>
      <c r="E2529" s="2">
        <f>IF(A2529&lt;&gt;"", VLOOKUP(A2529, imdb_netflix_v5!A$2:H$7370, 5, FALSE), "")</f>
        <v>1992</v>
      </c>
      <c r="F2529" s="2" t="str">
        <f>IF(A2529&lt;&gt;"", VLOOKUP(A2529, imdb_netflix_v5!A$2:H$7370, 7, FALSE), "")</f>
        <v>NA</v>
      </c>
    </row>
    <row r="2530" ht="15.75" customHeight="1">
      <c r="A2530" s="1" t="str">
        <f>IFERROR(__xludf.DUMMYFUNCTION("""COMPUTED_VALUE"""),"nikita")</f>
        <v>nikita</v>
      </c>
      <c r="B2530" s="1" t="str">
        <f>IF(A2530&lt;&gt;"", VLOOKUP(A2530, imdb_netflix_v5!A$2:H$7370, 2, FALSE), "")</f>
        <v>TV Show</v>
      </c>
      <c r="C2530" s="2" t="str">
        <f>IF(A2530&lt;&gt;"", VLOOKUP(A2530, imdb_netflix_v5!A$2:H$7370, 3, FALSE), "")</f>
        <v>Action, Crime, Drama</v>
      </c>
      <c r="D2530" s="2">
        <f>IF(A2530&lt;&gt;"", VLOOKUP(A2530, imdb_netflix_v5!A$2:H$7370, 4, FALSE), "")</f>
        <v>7.7</v>
      </c>
      <c r="E2530" s="2">
        <f>IF(A2530&lt;&gt;"", VLOOKUP(A2530, imdb_netflix_v5!A$2:H$7370, 5, FALSE), "")</f>
        <v>2010</v>
      </c>
      <c r="F2530" s="2" t="str">
        <f>IF(A2530&lt;&gt;"", VLOOKUP(A2530, imdb_netflix_v5!A$2:H$7370, 7, FALSE), "")</f>
        <v>NA</v>
      </c>
    </row>
    <row r="2531" ht="15.75" customHeight="1">
      <c r="A2531" s="1" t="str">
        <f>IFERROR(__xludf.DUMMYFUNCTION("""COMPUTED_VALUE"""),"the double life of véronique")</f>
        <v>the double life of véronique</v>
      </c>
      <c r="B2531" s="1" t="str">
        <f>IF(A2531&lt;&gt;"", VLOOKUP(A2531, imdb_netflix_v5!A$2:H$7370, 2, FALSE), "")</f>
        <v>Movie</v>
      </c>
      <c r="C2531" s="2" t="str">
        <f>IF(A2531&lt;&gt;"", VLOOKUP(A2531, imdb_netflix_v5!A$2:H$7370, 3, FALSE), "")</f>
        <v>Drama, Fantasy, Music</v>
      </c>
      <c r="D2531" s="2">
        <f>IF(A2531&lt;&gt;"", VLOOKUP(A2531, imdb_netflix_v5!A$2:H$7370, 4, FALSE), "")</f>
        <v>7.7</v>
      </c>
      <c r="E2531" s="2">
        <f>IF(A2531&lt;&gt;"", VLOOKUP(A2531, imdb_netflix_v5!A$2:H$7370, 5, FALSE), "")</f>
        <v>1991</v>
      </c>
      <c r="F2531" s="2" t="str">
        <f>IF(A2531&lt;&gt;"", VLOOKUP(A2531, imdb_netflix_v5!A$2:H$7370, 7, FALSE), "")</f>
        <v>NA</v>
      </c>
    </row>
    <row r="2532" ht="15.75" customHeight="1">
      <c r="A2532" s="1" t="str">
        <f>IFERROR(__xludf.DUMMYFUNCTION("""COMPUTED_VALUE"""),"the man who would be king")</f>
        <v>the man who would be king</v>
      </c>
      <c r="B2532" s="1" t="str">
        <f>IF(A2532&lt;&gt;"", VLOOKUP(A2532, imdb_netflix_v5!A$2:H$7370, 2, FALSE), "")</f>
        <v>Movie</v>
      </c>
      <c r="C2532" s="2" t="str">
        <f>IF(A2532&lt;&gt;"", VLOOKUP(A2532, imdb_netflix_v5!A$2:H$7370, 3, FALSE), "")</f>
        <v>Adventure, Drama, War</v>
      </c>
      <c r="D2532" s="2">
        <f>IF(A2532&lt;&gt;"", VLOOKUP(A2532, imdb_netflix_v5!A$2:H$7370, 4, FALSE), "")</f>
        <v>7.7</v>
      </c>
      <c r="E2532" s="2">
        <f>IF(A2532&lt;&gt;"", VLOOKUP(A2532, imdb_netflix_v5!A$2:H$7370, 5, FALSE), "")</f>
        <v>1975</v>
      </c>
      <c r="F2532" s="2" t="str">
        <f>IF(A2532&lt;&gt;"", VLOOKUP(A2532, imdb_netflix_v5!A$2:H$7370, 7, FALSE), "")</f>
        <v>NA</v>
      </c>
    </row>
    <row r="2533" ht="15.75" customHeight="1">
      <c r="A2533" s="1" t="str">
        <f>IFERROR(__xludf.DUMMYFUNCTION("""COMPUTED_VALUE"""),"dark matter")</f>
        <v>dark matter</v>
      </c>
      <c r="B2533" s="1" t="str">
        <f>IF(A2533&lt;&gt;"", VLOOKUP(A2533, imdb_netflix_v5!A$2:H$7370, 2, FALSE), "")</f>
        <v>TV Show</v>
      </c>
      <c r="C2533" s="2" t="str">
        <f>IF(A2533&lt;&gt;"", VLOOKUP(A2533, imdb_netflix_v5!A$2:H$7370, 3, FALSE), "")</f>
        <v>Drama, Sci-Fi, Thriller</v>
      </c>
      <c r="D2533" s="2">
        <f>IF(A2533&lt;&gt;"", VLOOKUP(A2533, imdb_netflix_v5!A$2:H$7370, 4, FALSE), "")</f>
        <v>7.7</v>
      </c>
      <c r="E2533" s="2">
        <f>IF(A2533&lt;&gt;"", VLOOKUP(A2533, imdb_netflix_v5!A$2:H$7370, 5, FALSE), "")</f>
        <v>2024</v>
      </c>
      <c r="F2533" s="2" t="str">
        <f>IF(A2533&lt;&gt;"", VLOOKUP(A2533, imdb_netflix_v5!A$2:H$7370, 7, FALSE), "")</f>
        <v>NA</v>
      </c>
    </row>
    <row r="2534" ht="15.75" customHeight="1">
      <c r="A2534" s="1" t="str">
        <f>IFERROR(__xludf.DUMMYFUNCTION("""COMPUTED_VALUE"""),"dollhouse")</f>
        <v>dollhouse</v>
      </c>
      <c r="B2534" s="1" t="str">
        <f>IF(A2534&lt;&gt;"", VLOOKUP(A2534, imdb_netflix_v5!A$2:H$7370, 2, FALSE), "")</f>
        <v>TV Show</v>
      </c>
      <c r="C2534" s="2" t="str">
        <f>IF(A2534&lt;&gt;"", VLOOKUP(A2534, imdb_netflix_v5!A$2:H$7370, 3, FALSE), "")</f>
        <v>Drama, Mystery, Sci-Fi</v>
      </c>
      <c r="D2534" s="2">
        <f>IF(A2534&lt;&gt;"", VLOOKUP(A2534, imdb_netflix_v5!A$2:H$7370, 4, FALSE), "")</f>
        <v>7.7</v>
      </c>
      <c r="E2534" s="2">
        <f>IF(A2534&lt;&gt;"", VLOOKUP(A2534, imdb_netflix_v5!A$2:H$7370, 5, FALSE), "")</f>
        <v>2009</v>
      </c>
      <c r="F2534" s="2" t="str">
        <f>IF(A2534&lt;&gt;"", VLOOKUP(A2534, imdb_netflix_v5!A$2:H$7370, 7, FALSE), "")</f>
        <v>NA</v>
      </c>
    </row>
    <row r="2535" ht="15.75" customHeight="1">
      <c r="A2535" s="1" t="str">
        <f>IFERROR(__xludf.DUMMYFUNCTION("""COMPUTED_VALUE"""),"the killer")</f>
        <v>the killer</v>
      </c>
      <c r="B2535" s="1" t="str">
        <f>IF(A2535&lt;&gt;"", VLOOKUP(A2535, imdb_netflix_v5!A$2:H$7370, 2, FALSE), "")</f>
        <v>Movie</v>
      </c>
      <c r="C2535" s="2" t="str">
        <f>IF(A2535&lt;&gt;"", VLOOKUP(A2535, imdb_netflix_v5!A$2:H$7370, 3, FALSE), "")</f>
        <v>Action, Crime, Drama</v>
      </c>
      <c r="D2535" s="2">
        <f>IF(A2535&lt;&gt;"", VLOOKUP(A2535, imdb_netflix_v5!A$2:H$7370, 4, FALSE), "")</f>
        <v>7.7</v>
      </c>
      <c r="E2535" s="2">
        <f>IF(A2535&lt;&gt;"", VLOOKUP(A2535, imdb_netflix_v5!A$2:H$7370, 5, FALSE), "")</f>
        <v>1989</v>
      </c>
      <c r="F2535" s="2">
        <f>IF(A2535&lt;&gt;"", VLOOKUP(A2535, imdb_netflix_v5!A$2:H$7370, 7, FALSE), "")</f>
        <v>7100000</v>
      </c>
    </row>
    <row r="2536" ht="15.75" customHeight="1">
      <c r="A2536" s="1" t="str">
        <f>IFERROR(__xludf.DUMMYFUNCTION("""COMPUTED_VALUE"""),"the past")</f>
        <v>the past</v>
      </c>
      <c r="B2536" s="1" t="str">
        <f>IF(A2536&lt;&gt;"", VLOOKUP(A2536, imdb_netflix_v5!A$2:H$7370, 2, FALSE), "")</f>
        <v>Movie</v>
      </c>
      <c r="C2536" s="2" t="str">
        <f>IF(A2536&lt;&gt;"", VLOOKUP(A2536, imdb_netflix_v5!A$2:H$7370, 3, FALSE), "")</f>
        <v>Drama, Mystery</v>
      </c>
      <c r="D2536" s="2">
        <f>IF(A2536&lt;&gt;"", VLOOKUP(A2536, imdb_netflix_v5!A$2:H$7370, 4, FALSE), "")</f>
        <v>7.7</v>
      </c>
      <c r="E2536" s="2">
        <f>IF(A2536&lt;&gt;"", VLOOKUP(A2536, imdb_netflix_v5!A$2:H$7370, 5, FALSE), "")</f>
        <v>2013</v>
      </c>
      <c r="F2536" s="2" t="str">
        <f>IF(A2536&lt;&gt;"", VLOOKUP(A2536, imdb_netflix_v5!A$2:H$7370, 7, FALSE), "")</f>
        <v>NA</v>
      </c>
    </row>
    <row r="2537" ht="15.75" customHeight="1">
      <c r="A2537" s="1" t="str">
        <f>IFERROR(__xludf.DUMMYFUNCTION("""COMPUTED_VALUE"""),"blue bloods")</f>
        <v>blue bloods</v>
      </c>
      <c r="B2537" s="1" t="str">
        <f>IF(A2537&lt;&gt;"", VLOOKUP(A2537, imdb_netflix_v5!A$2:H$7370, 2, FALSE), "")</f>
        <v>TV Show</v>
      </c>
      <c r="C2537" s="2" t="str">
        <f>IF(A2537&lt;&gt;"", VLOOKUP(A2537, imdb_netflix_v5!A$2:H$7370, 3, FALSE), "")</f>
        <v>Crime, Drama, Mystery</v>
      </c>
      <c r="D2537" s="2">
        <f>IF(A2537&lt;&gt;"", VLOOKUP(A2537, imdb_netflix_v5!A$2:H$7370, 4, FALSE), "")</f>
        <v>7.7</v>
      </c>
      <c r="E2537" s="2">
        <f>IF(A2537&lt;&gt;"", VLOOKUP(A2537, imdb_netflix_v5!A$2:H$7370, 5, FALSE), "")</f>
        <v>2010</v>
      </c>
      <c r="F2537" s="2" t="str">
        <f>IF(A2537&lt;&gt;"", VLOOKUP(A2537, imdb_netflix_v5!A$2:H$7370, 7, FALSE), "")</f>
        <v>NA</v>
      </c>
    </row>
    <row r="2538" ht="15.75" customHeight="1">
      <c r="A2538" s="1" t="str">
        <f>IFERROR(__xludf.DUMMYFUNCTION("""COMPUTED_VALUE"""),"the holy mountain")</f>
        <v>the holy mountain</v>
      </c>
      <c r="B2538" s="1" t="str">
        <f>IF(A2538&lt;&gt;"", VLOOKUP(A2538, imdb_netflix_v5!A$2:H$7370, 2, FALSE), "")</f>
        <v>Movie</v>
      </c>
      <c r="C2538" s="2" t="str">
        <f>IF(A2538&lt;&gt;"", VLOOKUP(A2538, imdb_netflix_v5!A$2:H$7370, 3, FALSE), "")</f>
        <v>Adventure, Drama, Fantasy</v>
      </c>
      <c r="D2538" s="2">
        <f>IF(A2538&lt;&gt;"", VLOOKUP(A2538, imdb_netflix_v5!A$2:H$7370, 4, FALSE), "")</f>
        <v>7.7</v>
      </c>
      <c r="E2538" s="2">
        <f>IF(A2538&lt;&gt;"", VLOOKUP(A2538, imdb_netflix_v5!A$2:H$7370, 5, FALSE), "")</f>
        <v>1973</v>
      </c>
      <c r="F2538" s="2" t="str">
        <f>IF(A2538&lt;&gt;"", VLOOKUP(A2538, imdb_netflix_v5!A$2:H$7370, 7, FALSE), "")</f>
        <v>NA</v>
      </c>
    </row>
    <row r="2539" ht="15.75" customHeight="1">
      <c r="A2539" s="1" t="str">
        <f>IFERROR(__xludf.DUMMYFUNCTION("""COMPUTED_VALUE"""),"the vanishing")</f>
        <v>the vanishing</v>
      </c>
      <c r="B2539" s="1" t="str">
        <f>IF(A2539&lt;&gt;"", VLOOKUP(A2539, imdb_netflix_v5!A$2:H$7370, 2, FALSE), "")</f>
        <v>Movie</v>
      </c>
      <c r="C2539" s="2" t="str">
        <f>IF(A2539&lt;&gt;"", VLOOKUP(A2539, imdb_netflix_v5!A$2:H$7370, 3, FALSE), "")</f>
        <v>Mystery, Thriller</v>
      </c>
      <c r="D2539" s="2">
        <f>IF(A2539&lt;&gt;"", VLOOKUP(A2539, imdb_netflix_v5!A$2:H$7370, 4, FALSE), "")</f>
        <v>7.7</v>
      </c>
      <c r="E2539" s="2">
        <f>IF(A2539&lt;&gt;"", VLOOKUP(A2539, imdb_netflix_v5!A$2:H$7370, 5, FALSE), "")</f>
        <v>1988</v>
      </c>
      <c r="F2539" s="2">
        <f>IF(A2539&lt;&gt;"", VLOOKUP(A2539, imdb_netflix_v5!A$2:H$7370, 7, FALSE), "")</f>
        <v>7030000</v>
      </c>
    </row>
    <row r="2540" ht="15.75" customHeight="1">
      <c r="A2540" s="1" t="str">
        <f>IFERROR(__xludf.DUMMYFUNCTION("""COMPUTED_VALUE"""),"the verdict")</f>
        <v>the verdict</v>
      </c>
      <c r="B2540" s="1" t="str">
        <f>IF(A2540&lt;&gt;"", VLOOKUP(A2540, imdb_netflix_v5!A$2:H$7370, 2, FALSE), "")</f>
        <v>Movie</v>
      </c>
      <c r="C2540" s="2" t="str">
        <f>IF(A2540&lt;&gt;"", VLOOKUP(A2540, imdb_netflix_v5!A$2:H$7370, 3, FALSE), "")</f>
        <v>Drama</v>
      </c>
      <c r="D2540" s="2">
        <f>IF(A2540&lt;&gt;"", VLOOKUP(A2540, imdb_netflix_v5!A$2:H$7370, 4, FALSE), "")</f>
        <v>7.7</v>
      </c>
      <c r="E2540" s="2">
        <f>IF(A2540&lt;&gt;"", VLOOKUP(A2540, imdb_netflix_v5!A$2:H$7370, 5, FALSE), "")</f>
        <v>1982</v>
      </c>
      <c r="F2540" s="2" t="str">
        <f>IF(A2540&lt;&gt;"", VLOOKUP(A2540, imdb_netflix_v5!A$2:H$7370, 7, FALSE), "")</f>
        <v>NA</v>
      </c>
    </row>
    <row r="2541" ht="15.75" customHeight="1">
      <c r="A2541" s="1" t="str">
        <f>IFERROR(__xludf.DUMMYFUNCTION("""COMPUTED_VALUE"""),"robot chicken")</f>
        <v>robot chicken</v>
      </c>
      <c r="B2541" s="1" t="str">
        <f>IF(A2541&lt;&gt;"", VLOOKUP(A2541, imdb_netflix_v5!A$2:H$7370, 2, FALSE), "")</f>
        <v>TV Show</v>
      </c>
      <c r="C2541" s="2" t="str">
        <f>IF(A2541&lt;&gt;"", VLOOKUP(A2541, imdb_netflix_v5!A$2:H$7370, 3, FALSE), "")</f>
        <v>Adventure, Animation, Comedy</v>
      </c>
      <c r="D2541" s="2">
        <f>IF(A2541&lt;&gt;"", VLOOKUP(A2541, imdb_netflix_v5!A$2:H$7370, 4, FALSE), "")</f>
        <v>7.7</v>
      </c>
      <c r="E2541" s="2">
        <f>IF(A2541&lt;&gt;"", VLOOKUP(A2541, imdb_netflix_v5!A$2:H$7370, 5, FALSE), "")</f>
        <v>2001</v>
      </c>
      <c r="F2541" s="2" t="str">
        <f>IF(A2541&lt;&gt;"", VLOOKUP(A2541, imdb_netflix_v5!A$2:H$7370, 7, FALSE), "")</f>
        <v>NA</v>
      </c>
    </row>
    <row r="2542" ht="15.75" customHeight="1">
      <c r="A2542" s="1" t="str">
        <f>IFERROR(__xludf.DUMMYFUNCTION("""COMPUTED_VALUE"""),"vicky donor")</f>
        <v>vicky donor</v>
      </c>
      <c r="B2542" s="1" t="str">
        <f>IF(A2542&lt;&gt;"", VLOOKUP(A2542, imdb_netflix_v5!A$2:H$7370, 2, FALSE), "")</f>
        <v>Movie</v>
      </c>
      <c r="C2542" s="2" t="str">
        <f>IF(A2542&lt;&gt;"", VLOOKUP(A2542, imdb_netflix_v5!A$2:H$7370, 3, FALSE), "")</f>
        <v>Comedy, Romance</v>
      </c>
      <c r="D2542" s="2">
        <f>IF(A2542&lt;&gt;"", VLOOKUP(A2542, imdb_netflix_v5!A$2:H$7370, 4, FALSE), "")</f>
        <v>7.7</v>
      </c>
      <c r="E2542" s="2">
        <f>IF(A2542&lt;&gt;"", VLOOKUP(A2542, imdb_netflix_v5!A$2:H$7370, 5, FALSE), "")</f>
        <v>2012</v>
      </c>
      <c r="F2542" s="2" t="str">
        <f>IF(A2542&lt;&gt;"", VLOOKUP(A2542, imdb_netflix_v5!A$2:H$7370, 7, FALSE), "")</f>
        <v>NA</v>
      </c>
    </row>
    <row r="2543" ht="15.75" customHeight="1">
      <c r="A2543" s="1" t="str">
        <f>IFERROR(__xludf.DUMMYFUNCTION("""COMPUTED_VALUE"""),"naked")</f>
        <v>naked</v>
      </c>
      <c r="B2543" s="1" t="str">
        <f>IF(A2543&lt;&gt;"", VLOOKUP(A2543, imdb_netflix_v5!A$2:H$7370, 2, FALSE), "")</f>
        <v>Movie</v>
      </c>
      <c r="C2543" s="2" t="str">
        <f>IF(A2543&lt;&gt;"", VLOOKUP(A2543, imdb_netflix_v5!A$2:H$7370, 3, FALSE), "")</f>
        <v>Comedy, Drama</v>
      </c>
      <c r="D2543" s="2">
        <f>IF(A2543&lt;&gt;"", VLOOKUP(A2543, imdb_netflix_v5!A$2:H$7370, 4, FALSE), "")</f>
        <v>7.7</v>
      </c>
      <c r="E2543" s="2">
        <f>IF(A2543&lt;&gt;"", VLOOKUP(A2543, imdb_netflix_v5!A$2:H$7370, 5, FALSE), "")</f>
        <v>1993</v>
      </c>
      <c r="F2543" s="2" t="str">
        <f>IF(A2543&lt;&gt;"", VLOOKUP(A2543, imdb_netflix_v5!A$2:H$7370, 7, FALSE), "")</f>
        <v>NA</v>
      </c>
    </row>
    <row r="2544" ht="15.75" customHeight="1">
      <c r="A2544" s="1" t="str">
        <f>IFERROR(__xludf.DUMMYFUNCTION("""COMPUTED_VALUE"""),"jules and jim")</f>
        <v>jules and jim</v>
      </c>
      <c r="B2544" s="1" t="str">
        <f>IF(A2544&lt;&gt;"", VLOOKUP(A2544, imdb_netflix_v5!A$2:H$7370, 2, FALSE), "")</f>
        <v>Movie</v>
      </c>
      <c r="C2544" s="2" t="str">
        <f>IF(A2544&lt;&gt;"", VLOOKUP(A2544, imdb_netflix_v5!A$2:H$7370, 3, FALSE), "")</f>
        <v>Drama, Romance</v>
      </c>
      <c r="D2544" s="2">
        <f>IF(A2544&lt;&gt;"", VLOOKUP(A2544, imdb_netflix_v5!A$2:H$7370, 4, FALSE), "")</f>
        <v>7.7</v>
      </c>
      <c r="E2544" s="2">
        <f>IF(A2544&lt;&gt;"", VLOOKUP(A2544, imdb_netflix_v5!A$2:H$7370, 5, FALSE), "")</f>
        <v>1962</v>
      </c>
      <c r="F2544" s="2" t="str">
        <f>IF(A2544&lt;&gt;"", VLOOKUP(A2544, imdb_netflix_v5!A$2:H$7370, 7, FALSE), "")</f>
        <v>NA</v>
      </c>
    </row>
    <row r="2545" ht="15.75" customHeight="1">
      <c r="A2545" s="1" t="str">
        <f>IFERROR(__xludf.DUMMYFUNCTION("""COMPUTED_VALUE"""),"key largo")</f>
        <v>key largo</v>
      </c>
      <c r="B2545" s="1" t="str">
        <f>IF(A2545&lt;&gt;"", VLOOKUP(A2545, imdb_netflix_v5!A$2:H$7370, 2, FALSE), "")</f>
        <v>Movie</v>
      </c>
      <c r="C2545" s="2" t="str">
        <f>IF(A2545&lt;&gt;"", VLOOKUP(A2545, imdb_netflix_v5!A$2:H$7370, 3, FALSE), "")</f>
        <v>Action, Crime, Drama</v>
      </c>
      <c r="D2545" s="2">
        <f>IF(A2545&lt;&gt;"", VLOOKUP(A2545, imdb_netflix_v5!A$2:H$7370, 4, FALSE), "")</f>
        <v>7.7</v>
      </c>
      <c r="E2545" s="2">
        <f>IF(A2545&lt;&gt;"", VLOOKUP(A2545, imdb_netflix_v5!A$2:H$7370, 5, FALSE), "")</f>
        <v>1948</v>
      </c>
      <c r="F2545" s="2" t="str">
        <f>IF(A2545&lt;&gt;"", VLOOKUP(A2545, imdb_netflix_v5!A$2:H$7370, 7, FALSE), "")</f>
        <v>NA</v>
      </c>
    </row>
    <row r="2546" ht="15.75" customHeight="1">
      <c r="A2546" s="1" t="str">
        <f>IFERROR(__xludf.DUMMYFUNCTION("""COMPUTED_VALUE"""),"in america")</f>
        <v>in america</v>
      </c>
      <c r="B2546" s="1" t="str">
        <f>IF(A2546&lt;&gt;"", VLOOKUP(A2546, imdb_netflix_v5!A$2:H$7370, 2, FALSE), "")</f>
        <v>Movie</v>
      </c>
      <c r="C2546" s="2" t="str">
        <f>IF(A2546&lt;&gt;"", VLOOKUP(A2546, imdb_netflix_v5!A$2:H$7370, 3, FALSE), "")</f>
        <v>Drama</v>
      </c>
      <c r="D2546" s="2">
        <f>IF(A2546&lt;&gt;"", VLOOKUP(A2546, imdb_netflix_v5!A$2:H$7370, 4, FALSE), "")</f>
        <v>7.7</v>
      </c>
      <c r="E2546" s="2">
        <f>IF(A2546&lt;&gt;"", VLOOKUP(A2546, imdb_netflix_v5!A$2:H$7370, 5, FALSE), "")</f>
        <v>2002</v>
      </c>
      <c r="F2546" s="2" t="str">
        <f>IF(A2546&lt;&gt;"", VLOOKUP(A2546, imdb_netflix_v5!A$2:H$7370, 7, FALSE), "")</f>
        <v>NA</v>
      </c>
    </row>
    <row r="2547" ht="15.75" customHeight="1">
      <c r="A2547" s="1" t="str">
        <f>IFERROR(__xludf.DUMMYFUNCTION("""COMPUTED_VALUE"""),"drake &amp; josh")</f>
        <v>drake &amp; josh</v>
      </c>
      <c r="B2547" s="1" t="str">
        <f>IF(A2547&lt;&gt;"", VLOOKUP(A2547, imdb_netflix_v5!A$2:H$7370, 2, FALSE), "")</f>
        <v>TV Show</v>
      </c>
      <c r="C2547" s="2" t="str">
        <f>IF(A2547&lt;&gt;"", VLOOKUP(A2547, imdb_netflix_v5!A$2:H$7370, 3, FALSE), "")</f>
        <v>Comedy, Family</v>
      </c>
      <c r="D2547" s="2">
        <f>IF(A2547&lt;&gt;"", VLOOKUP(A2547, imdb_netflix_v5!A$2:H$7370, 4, FALSE), "")</f>
        <v>7.7</v>
      </c>
      <c r="E2547" s="2">
        <f>IF(A2547&lt;&gt;"", VLOOKUP(A2547, imdb_netflix_v5!A$2:H$7370, 5, FALSE), "")</f>
        <v>2004</v>
      </c>
      <c r="F2547" s="2" t="str">
        <f>IF(A2547&lt;&gt;"", VLOOKUP(A2547, imdb_netflix_v5!A$2:H$7370, 7, FALSE), "")</f>
        <v>NA</v>
      </c>
    </row>
    <row r="2548" ht="15.75" customHeight="1">
      <c r="A2548" s="1" t="str">
        <f>IFERROR(__xludf.DUMMYFUNCTION("""COMPUTED_VALUE"""),"torchwood")</f>
        <v>torchwood</v>
      </c>
      <c r="B2548" s="1" t="str">
        <f>IF(A2548&lt;&gt;"", VLOOKUP(A2548, imdb_netflix_v5!A$2:H$7370, 2, FALSE), "")</f>
        <v>TV Show</v>
      </c>
      <c r="C2548" s="2" t="str">
        <f>IF(A2548&lt;&gt;"", VLOOKUP(A2548, imdb_netflix_v5!A$2:H$7370, 3, FALSE), "")</f>
        <v>Action, Drama, Mystery</v>
      </c>
      <c r="D2548" s="2">
        <f>IF(A2548&lt;&gt;"", VLOOKUP(A2548, imdb_netflix_v5!A$2:H$7370, 4, FALSE), "")</f>
        <v>7.7</v>
      </c>
      <c r="E2548" s="2">
        <f>IF(A2548&lt;&gt;"", VLOOKUP(A2548, imdb_netflix_v5!A$2:H$7370, 5, FALSE), "")</f>
        <v>2006</v>
      </c>
      <c r="F2548" s="2" t="str">
        <f>IF(A2548&lt;&gt;"", VLOOKUP(A2548, imdb_netflix_v5!A$2:H$7370, 7, FALSE), "")</f>
        <v>NA</v>
      </c>
    </row>
    <row r="2549" ht="15.75" customHeight="1">
      <c r="A2549" s="1" t="str">
        <f>IFERROR(__xludf.DUMMYFUNCTION("""COMPUTED_VALUE"""),"the broken circle breakdown")</f>
        <v>the broken circle breakdown</v>
      </c>
      <c r="B2549" s="1" t="str">
        <f>IF(A2549&lt;&gt;"", VLOOKUP(A2549, imdb_netflix_v5!A$2:H$7370, 2, FALSE), "")</f>
        <v>Movie</v>
      </c>
      <c r="C2549" s="2" t="str">
        <f>IF(A2549&lt;&gt;"", VLOOKUP(A2549, imdb_netflix_v5!A$2:H$7370, 3, FALSE), "")</f>
        <v>Drama, Music, Romance</v>
      </c>
      <c r="D2549" s="2">
        <f>IF(A2549&lt;&gt;"", VLOOKUP(A2549, imdb_netflix_v5!A$2:H$7370, 4, FALSE), "")</f>
        <v>7.7</v>
      </c>
      <c r="E2549" s="2">
        <f>IF(A2549&lt;&gt;"", VLOOKUP(A2549, imdb_netflix_v5!A$2:H$7370, 5, FALSE), "")</f>
        <v>2012</v>
      </c>
      <c r="F2549" s="2" t="str">
        <f>IF(A2549&lt;&gt;"", VLOOKUP(A2549, imdb_netflix_v5!A$2:H$7370, 7, FALSE), "")</f>
        <v>NA</v>
      </c>
    </row>
    <row r="2550" ht="15.75" customHeight="1">
      <c r="A2550" s="1" t="str">
        <f>IFERROR(__xludf.DUMMYFUNCTION("""COMPUTED_VALUE"""),"zulu")</f>
        <v>zulu</v>
      </c>
      <c r="B2550" s="1" t="str">
        <f>IF(A2550&lt;&gt;"", VLOOKUP(A2550, imdb_netflix_v5!A$2:H$7370, 2, FALSE), "")</f>
        <v>Movie</v>
      </c>
      <c r="C2550" s="2" t="str">
        <f>IF(A2550&lt;&gt;"", VLOOKUP(A2550, imdb_netflix_v5!A$2:H$7370, 3, FALSE), "")</f>
        <v>Drama, History, War</v>
      </c>
      <c r="D2550" s="2">
        <f>IF(A2550&lt;&gt;"", VLOOKUP(A2550, imdb_netflix_v5!A$2:H$7370, 4, FALSE), "")</f>
        <v>7.7</v>
      </c>
      <c r="E2550" s="2">
        <f>IF(A2550&lt;&gt;"", VLOOKUP(A2550, imdb_netflix_v5!A$2:H$7370, 5, FALSE), "")</f>
        <v>1964</v>
      </c>
      <c r="F2550" s="2" t="str">
        <f>IF(A2550&lt;&gt;"", VLOOKUP(A2550, imdb_netflix_v5!A$2:H$7370, 7, FALSE), "")</f>
        <v>NA</v>
      </c>
    </row>
    <row r="2551" ht="15.75" customHeight="1">
      <c r="A2551" s="1" t="str">
        <f>IFERROR(__xludf.DUMMYFUNCTION("""COMPUTED_VALUE"""),"the quiet man")</f>
        <v>the quiet man</v>
      </c>
      <c r="B2551" s="1" t="str">
        <f>IF(A2551&lt;&gt;"", VLOOKUP(A2551, imdb_netflix_v5!A$2:H$7370, 2, FALSE), "")</f>
        <v>Movie</v>
      </c>
      <c r="C2551" s="2" t="str">
        <f>IF(A2551&lt;&gt;"", VLOOKUP(A2551, imdb_netflix_v5!A$2:H$7370, 3, FALSE), "")</f>
        <v>Comedy, Drama, Romance</v>
      </c>
      <c r="D2551" s="2">
        <f>IF(A2551&lt;&gt;"", VLOOKUP(A2551, imdb_netflix_v5!A$2:H$7370, 4, FALSE), "")</f>
        <v>7.7</v>
      </c>
      <c r="E2551" s="2">
        <f>IF(A2551&lt;&gt;"", VLOOKUP(A2551, imdb_netflix_v5!A$2:H$7370, 5, FALSE), "")</f>
        <v>1952</v>
      </c>
      <c r="F2551" s="2" t="str">
        <f>IF(A2551&lt;&gt;"", VLOOKUP(A2551, imdb_netflix_v5!A$2:H$7370, 7, FALSE), "")</f>
        <v>NA</v>
      </c>
    </row>
    <row r="2552" ht="15.75" customHeight="1">
      <c r="A2552" s="1" t="str">
        <f>IFERROR(__xludf.DUMMYFUNCTION("""COMPUTED_VALUE"""),"confessions")</f>
        <v>confessions</v>
      </c>
      <c r="B2552" s="1" t="str">
        <f>IF(A2552&lt;&gt;"", VLOOKUP(A2552, imdb_netflix_v5!A$2:H$7370, 2, FALSE), "")</f>
        <v>Movie</v>
      </c>
      <c r="C2552" s="2" t="str">
        <f>IF(A2552&lt;&gt;"", VLOOKUP(A2552, imdb_netflix_v5!A$2:H$7370, 3, FALSE), "")</f>
        <v>Drama, Thriller</v>
      </c>
      <c r="D2552" s="2">
        <f>IF(A2552&lt;&gt;"", VLOOKUP(A2552, imdb_netflix_v5!A$2:H$7370, 4, FALSE), "")</f>
        <v>7.7</v>
      </c>
      <c r="E2552" s="2">
        <f>IF(A2552&lt;&gt;"", VLOOKUP(A2552, imdb_netflix_v5!A$2:H$7370, 5, FALSE), "")</f>
        <v>2010</v>
      </c>
      <c r="F2552" s="2" t="str">
        <f>IF(A2552&lt;&gt;"", VLOOKUP(A2552, imdb_netflix_v5!A$2:H$7370, 7, FALSE), "")</f>
        <v>NA</v>
      </c>
    </row>
    <row r="2553" ht="15.75" customHeight="1">
      <c r="A2553" s="1" t="str">
        <f>IFERROR(__xludf.DUMMYFUNCTION("""COMPUTED_VALUE"""),"hamlet")</f>
        <v>hamlet</v>
      </c>
      <c r="B2553" s="1" t="str">
        <f>IF(A2553&lt;&gt;"", VLOOKUP(A2553, imdb_netflix_v5!A$2:H$7370, 2, FALSE), "")</f>
        <v>Movie</v>
      </c>
      <c r="C2553" s="2" t="str">
        <f>IF(A2553&lt;&gt;"", VLOOKUP(A2553, imdb_netflix_v5!A$2:H$7370, 3, FALSE), "")</f>
        <v>Drama</v>
      </c>
      <c r="D2553" s="2">
        <f>IF(A2553&lt;&gt;"", VLOOKUP(A2553, imdb_netflix_v5!A$2:H$7370, 4, FALSE), "")</f>
        <v>7.7</v>
      </c>
      <c r="E2553" s="2">
        <f>IF(A2553&lt;&gt;"", VLOOKUP(A2553, imdb_netflix_v5!A$2:H$7370, 5, FALSE), "")</f>
        <v>1996</v>
      </c>
      <c r="F2553" s="2" t="str">
        <f>IF(A2553&lt;&gt;"", VLOOKUP(A2553, imdb_netflix_v5!A$2:H$7370, 7, FALSE), "")</f>
        <v>NA</v>
      </c>
    </row>
    <row r="2554" ht="15.75" customHeight="1">
      <c r="A2554" s="1" t="str">
        <f>IFERROR(__xludf.DUMMYFUNCTION("""COMPUTED_VALUE"""),"the seven deadly sins")</f>
        <v>the seven deadly sins</v>
      </c>
      <c r="B2554" s="1" t="str">
        <f>IF(A2554&lt;&gt;"", VLOOKUP(A2554, imdb_netflix_v5!A$2:H$7370, 2, FALSE), "")</f>
        <v>TV Show</v>
      </c>
      <c r="C2554" s="2" t="str">
        <f>IF(A2554&lt;&gt;"", VLOOKUP(A2554, imdb_netflix_v5!A$2:H$7370, 3, FALSE), "")</f>
        <v>Action, Adventure, Animation</v>
      </c>
      <c r="D2554" s="2">
        <f>IF(A2554&lt;&gt;"", VLOOKUP(A2554, imdb_netflix_v5!A$2:H$7370, 4, FALSE), "")</f>
        <v>7.7</v>
      </c>
      <c r="E2554" s="2">
        <f>IF(A2554&lt;&gt;"", VLOOKUP(A2554, imdb_netflix_v5!A$2:H$7370, 5, FALSE), "")</f>
        <v>2014</v>
      </c>
      <c r="F2554" s="2">
        <f>IF(A2554&lt;&gt;"", VLOOKUP(A2554, imdb_netflix_v5!A$2:H$7370, 7, FALSE), "")</f>
        <v>13420000</v>
      </c>
    </row>
    <row r="2555" ht="15.75" customHeight="1">
      <c r="A2555" s="1" t="str">
        <f>IFERROR(__xludf.DUMMYFUNCTION("""COMPUTED_VALUE"""),"taste of cherry")</f>
        <v>taste of cherry</v>
      </c>
      <c r="B2555" s="1" t="str">
        <f>IF(A2555&lt;&gt;"", VLOOKUP(A2555, imdb_netflix_v5!A$2:H$7370, 2, FALSE), "")</f>
        <v>Movie</v>
      </c>
      <c r="C2555" s="2" t="str">
        <f>IF(A2555&lt;&gt;"", VLOOKUP(A2555, imdb_netflix_v5!A$2:H$7370, 3, FALSE), "")</f>
        <v>Drama</v>
      </c>
      <c r="D2555" s="2">
        <f>IF(A2555&lt;&gt;"", VLOOKUP(A2555, imdb_netflix_v5!A$2:H$7370, 4, FALSE), "")</f>
        <v>7.7</v>
      </c>
      <c r="E2555" s="2">
        <f>IF(A2555&lt;&gt;"", VLOOKUP(A2555, imdb_netflix_v5!A$2:H$7370, 5, FALSE), "")</f>
        <v>1997</v>
      </c>
      <c r="F2555" s="2" t="str">
        <f>IF(A2555&lt;&gt;"", VLOOKUP(A2555, imdb_netflix_v5!A$2:H$7370, 7, FALSE), "")</f>
        <v>NA</v>
      </c>
    </row>
    <row r="2556" ht="15.75" customHeight="1">
      <c r="A2556" s="1" t="str">
        <f>IFERROR(__xludf.DUMMYFUNCTION("""COMPUTED_VALUE"""),"fantastic planet")</f>
        <v>fantastic planet</v>
      </c>
      <c r="B2556" s="1" t="str">
        <f>IF(A2556&lt;&gt;"", VLOOKUP(A2556, imdb_netflix_v5!A$2:H$7370, 2, FALSE), "")</f>
        <v>Movie</v>
      </c>
      <c r="C2556" s="2" t="str">
        <f>IF(A2556&lt;&gt;"", VLOOKUP(A2556, imdb_netflix_v5!A$2:H$7370, 3, FALSE), "")</f>
        <v>Animation, Sci-Fi</v>
      </c>
      <c r="D2556" s="2">
        <f>IF(A2556&lt;&gt;"", VLOOKUP(A2556, imdb_netflix_v5!A$2:H$7370, 4, FALSE), "")</f>
        <v>7.7</v>
      </c>
      <c r="E2556" s="2">
        <f>IF(A2556&lt;&gt;"", VLOOKUP(A2556, imdb_netflix_v5!A$2:H$7370, 5, FALSE), "")</f>
        <v>1973</v>
      </c>
      <c r="F2556" s="2" t="str">
        <f>IF(A2556&lt;&gt;"", VLOOKUP(A2556, imdb_netflix_v5!A$2:H$7370, 7, FALSE), "")</f>
        <v>NA</v>
      </c>
    </row>
    <row r="2557" ht="15.75" customHeight="1">
      <c r="A2557" s="1" t="str">
        <f>IFERROR(__xludf.DUMMYFUNCTION("""COMPUTED_VALUE"""),"firefly lane")</f>
        <v>firefly lane</v>
      </c>
      <c r="B2557" s="1" t="str">
        <f>IF(A2557&lt;&gt;"", VLOOKUP(A2557, imdb_netflix_v5!A$2:H$7370, 2, FALSE), "")</f>
        <v>TV Show</v>
      </c>
      <c r="C2557" s="2" t="str">
        <f>IF(A2557&lt;&gt;"", VLOOKUP(A2557, imdb_netflix_v5!A$2:H$7370, 3, FALSE), "")</f>
        <v>Drama, Romance</v>
      </c>
      <c r="D2557" s="2">
        <f>IF(A2557&lt;&gt;"", VLOOKUP(A2557, imdb_netflix_v5!A$2:H$7370, 4, FALSE), "")</f>
        <v>7.7</v>
      </c>
      <c r="E2557" s="2">
        <f>IF(A2557&lt;&gt;"", VLOOKUP(A2557, imdb_netflix_v5!A$2:H$7370, 5, FALSE), "")</f>
        <v>2021</v>
      </c>
      <c r="F2557" s="2">
        <f>IF(A2557&lt;&gt;"", VLOOKUP(A2557, imdb_netflix_v5!A$2:H$7370, 7, FALSE), "")</f>
        <v>11800000</v>
      </c>
    </row>
    <row r="2558" ht="15.75" customHeight="1">
      <c r="A2558" s="1" t="str">
        <f>IFERROR(__xludf.DUMMYFUNCTION("""COMPUTED_VALUE"""),"a man for all seasons")</f>
        <v>a man for all seasons</v>
      </c>
      <c r="B2558" s="1" t="str">
        <f>IF(A2558&lt;&gt;"", VLOOKUP(A2558, imdb_netflix_v5!A$2:H$7370, 2, FALSE), "")</f>
        <v>Movie</v>
      </c>
      <c r="C2558" s="2" t="str">
        <f>IF(A2558&lt;&gt;"", VLOOKUP(A2558, imdb_netflix_v5!A$2:H$7370, 3, FALSE), "")</f>
        <v>Biography, Drama, History</v>
      </c>
      <c r="D2558" s="2">
        <f>IF(A2558&lt;&gt;"", VLOOKUP(A2558, imdb_netflix_v5!A$2:H$7370, 4, FALSE), "")</f>
        <v>7.7</v>
      </c>
      <c r="E2558" s="2">
        <f>IF(A2558&lt;&gt;"", VLOOKUP(A2558, imdb_netflix_v5!A$2:H$7370, 5, FALSE), "")</f>
        <v>1966</v>
      </c>
      <c r="F2558" s="2" t="str">
        <f>IF(A2558&lt;&gt;"", VLOOKUP(A2558, imdb_netflix_v5!A$2:H$7370, 7, FALSE), "")</f>
        <v>NA</v>
      </c>
    </row>
    <row r="2559" ht="15.75" customHeight="1">
      <c r="A2559" s="1" t="str">
        <f>IFERROR(__xludf.DUMMYFUNCTION("""COMPUTED_VALUE"""),"hedwig and the angry inch")</f>
        <v>hedwig and the angry inch</v>
      </c>
      <c r="B2559" s="1" t="str">
        <f>IF(A2559&lt;&gt;"", VLOOKUP(A2559, imdb_netflix_v5!A$2:H$7370, 2, FALSE), "")</f>
        <v>Movie</v>
      </c>
      <c r="C2559" s="2" t="str">
        <f>IF(A2559&lt;&gt;"", VLOOKUP(A2559, imdb_netflix_v5!A$2:H$7370, 3, FALSE), "")</f>
        <v>Comedy, Drama, Music</v>
      </c>
      <c r="D2559" s="2">
        <f>IF(A2559&lt;&gt;"", VLOOKUP(A2559, imdb_netflix_v5!A$2:H$7370, 4, FALSE), "")</f>
        <v>7.7</v>
      </c>
      <c r="E2559" s="2">
        <f>IF(A2559&lt;&gt;"", VLOOKUP(A2559, imdb_netflix_v5!A$2:H$7370, 5, FALSE), "")</f>
        <v>2001</v>
      </c>
      <c r="F2559" s="2" t="str">
        <f>IF(A2559&lt;&gt;"", VLOOKUP(A2559, imdb_netflix_v5!A$2:H$7370, 7, FALSE), "")</f>
        <v>NA</v>
      </c>
    </row>
    <row r="2560" ht="15.75" customHeight="1">
      <c r="A2560" s="1" t="str">
        <f>IFERROR(__xludf.DUMMYFUNCTION("""COMPUTED_VALUE"""),"after the wedding")</f>
        <v>after the wedding</v>
      </c>
      <c r="B2560" s="1" t="str">
        <f>IF(A2560&lt;&gt;"", VLOOKUP(A2560, imdb_netflix_v5!A$2:H$7370, 2, FALSE), "")</f>
        <v>Movie</v>
      </c>
      <c r="C2560" s="2" t="str">
        <f>IF(A2560&lt;&gt;"", VLOOKUP(A2560, imdb_netflix_v5!A$2:H$7370, 3, FALSE), "")</f>
        <v>Drama</v>
      </c>
      <c r="D2560" s="2">
        <f>IF(A2560&lt;&gt;"", VLOOKUP(A2560, imdb_netflix_v5!A$2:H$7370, 4, FALSE), "")</f>
        <v>7.7</v>
      </c>
      <c r="E2560" s="2">
        <f>IF(A2560&lt;&gt;"", VLOOKUP(A2560, imdb_netflix_v5!A$2:H$7370, 5, FALSE), "")</f>
        <v>2006</v>
      </c>
      <c r="F2560" s="2" t="str">
        <f>IF(A2560&lt;&gt;"", VLOOKUP(A2560, imdb_netflix_v5!A$2:H$7370, 7, FALSE), "")</f>
        <v>NA</v>
      </c>
    </row>
    <row r="2561" ht="15.75" customHeight="1">
      <c r="A2561" s="1" t="str">
        <f>IFERROR(__xludf.DUMMYFUNCTION("""COMPUTED_VALUE"""),"the crowded room")</f>
        <v>the crowded room</v>
      </c>
      <c r="B2561" s="1" t="str">
        <f>IF(A2561&lt;&gt;"", VLOOKUP(A2561, imdb_netflix_v5!A$2:H$7370, 2, FALSE), "")</f>
        <v>TV Show</v>
      </c>
      <c r="C2561" s="2" t="str">
        <f>IF(A2561&lt;&gt;"", VLOOKUP(A2561, imdb_netflix_v5!A$2:H$7370, 3, FALSE), "")</f>
        <v>Biography, Crime, Drama</v>
      </c>
      <c r="D2561" s="2">
        <f>IF(A2561&lt;&gt;"", VLOOKUP(A2561, imdb_netflix_v5!A$2:H$7370, 4, FALSE), "")</f>
        <v>7.7</v>
      </c>
      <c r="E2561" s="2">
        <f>IF(A2561&lt;&gt;"", VLOOKUP(A2561, imdb_netflix_v5!A$2:H$7370, 5, FALSE), "")</f>
        <v>2023</v>
      </c>
      <c r="F2561" s="2" t="str">
        <f>IF(A2561&lt;&gt;"", VLOOKUP(A2561, imdb_netflix_v5!A$2:H$7370, 7, FALSE), "")</f>
        <v>NA</v>
      </c>
    </row>
    <row r="2562" ht="15.75" customHeight="1">
      <c r="A2562" s="1" t="str">
        <f>IFERROR(__xludf.DUMMYFUNCTION("""COMPUTED_VALUE"""),"joint security area")</f>
        <v>joint security area</v>
      </c>
      <c r="B2562" s="1" t="str">
        <f>IF(A2562&lt;&gt;"", VLOOKUP(A2562, imdb_netflix_v5!A$2:H$7370, 2, FALSE), "")</f>
        <v>Movie</v>
      </c>
      <c r="C2562" s="2" t="str">
        <f>IF(A2562&lt;&gt;"", VLOOKUP(A2562, imdb_netflix_v5!A$2:H$7370, 3, FALSE), "")</f>
        <v>Action, Drama, Thriller</v>
      </c>
      <c r="D2562" s="2">
        <f>IF(A2562&lt;&gt;"", VLOOKUP(A2562, imdb_netflix_v5!A$2:H$7370, 4, FALSE), "")</f>
        <v>7.7</v>
      </c>
      <c r="E2562" s="2">
        <f>IF(A2562&lt;&gt;"", VLOOKUP(A2562, imdb_netflix_v5!A$2:H$7370, 5, FALSE), "")</f>
        <v>2000</v>
      </c>
      <c r="F2562" s="2" t="str">
        <f>IF(A2562&lt;&gt;"", VLOOKUP(A2562, imdb_netflix_v5!A$2:H$7370, 7, FALSE), "")</f>
        <v>NA</v>
      </c>
    </row>
    <row r="2563" ht="15.75" customHeight="1">
      <c r="A2563" s="1" t="str">
        <f>IFERROR(__xludf.DUMMYFUNCTION("""COMPUTED_VALUE"""),"happy together")</f>
        <v>happy together</v>
      </c>
      <c r="B2563" s="1" t="str">
        <f>IF(A2563&lt;&gt;"", VLOOKUP(A2563, imdb_netflix_v5!A$2:H$7370, 2, FALSE), "")</f>
        <v>Movie</v>
      </c>
      <c r="C2563" s="2" t="str">
        <f>IF(A2563&lt;&gt;"", VLOOKUP(A2563, imdb_netflix_v5!A$2:H$7370, 3, FALSE), "")</f>
        <v>Drama, Romance</v>
      </c>
      <c r="D2563" s="2">
        <f>IF(A2563&lt;&gt;"", VLOOKUP(A2563, imdb_netflix_v5!A$2:H$7370, 4, FALSE), "")</f>
        <v>7.7</v>
      </c>
      <c r="E2563" s="2">
        <f>IF(A2563&lt;&gt;"", VLOOKUP(A2563, imdb_netflix_v5!A$2:H$7370, 5, FALSE), "")</f>
        <v>1997</v>
      </c>
      <c r="F2563" s="2" t="str">
        <f>IF(A2563&lt;&gt;"", VLOOKUP(A2563, imdb_netflix_v5!A$2:H$7370, 7, FALSE), "")</f>
        <v>NA</v>
      </c>
    </row>
    <row r="2564" ht="15.75" customHeight="1">
      <c r="A2564" s="1" t="str">
        <f>IFERROR(__xludf.DUMMYFUNCTION("""COMPUTED_VALUE"""),"red river")</f>
        <v>red river</v>
      </c>
      <c r="B2564" s="1" t="str">
        <f>IF(A2564&lt;&gt;"", VLOOKUP(A2564, imdb_netflix_v5!A$2:H$7370, 2, FALSE), "")</f>
        <v>Movie</v>
      </c>
      <c r="C2564" s="2" t="str">
        <f>IF(A2564&lt;&gt;"", VLOOKUP(A2564, imdb_netflix_v5!A$2:H$7370, 3, FALSE), "")</f>
        <v>Drama, Western</v>
      </c>
      <c r="D2564" s="2">
        <f>IF(A2564&lt;&gt;"", VLOOKUP(A2564, imdb_netflix_v5!A$2:H$7370, 4, FALSE), "")</f>
        <v>7.7</v>
      </c>
      <c r="E2564" s="2">
        <f>IF(A2564&lt;&gt;"", VLOOKUP(A2564, imdb_netflix_v5!A$2:H$7370, 5, FALSE), "")</f>
        <v>1948</v>
      </c>
      <c r="F2564" s="2" t="str">
        <f>IF(A2564&lt;&gt;"", VLOOKUP(A2564, imdb_netflix_v5!A$2:H$7370, 7, FALSE), "")</f>
        <v>NA</v>
      </c>
    </row>
    <row r="2565" ht="15.75" customHeight="1">
      <c r="A2565" s="1" t="str">
        <f>IFERROR(__xludf.DUMMYFUNCTION("""COMPUTED_VALUE"""),"wait until dark")</f>
        <v>wait until dark</v>
      </c>
      <c r="B2565" s="1" t="str">
        <f>IF(A2565&lt;&gt;"", VLOOKUP(A2565, imdb_netflix_v5!A$2:H$7370, 2, FALSE), "")</f>
        <v>Movie</v>
      </c>
      <c r="C2565" s="2" t="str">
        <f>IF(A2565&lt;&gt;"", VLOOKUP(A2565, imdb_netflix_v5!A$2:H$7370, 3, FALSE), "")</f>
        <v>Thriller</v>
      </c>
      <c r="D2565" s="2">
        <f>IF(A2565&lt;&gt;"", VLOOKUP(A2565, imdb_netflix_v5!A$2:H$7370, 4, FALSE), "")</f>
        <v>7.7</v>
      </c>
      <c r="E2565" s="2">
        <f>IF(A2565&lt;&gt;"", VLOOKUP(A2565, imdb_netflix_v5!A$2:H$7370, 5, FALSE), "")</f>
        <v>1967</v>
      </c>
      <c r="F2565" s="2" t="str">
        <f>IF(A2565&lt;&gt;"", VLOOKUP(A2565, imdb_netflix_v5!A$2:H$7370, 7, FALSE), "")</f>
        <v>NA</v>
      </c>
    </row>
    <row r="2566" ht="15.75" customHeight="1">
      <c r="A2566" s="1" t="str">
        <f>IFERROR(__xludf.DUMMYFUNCTION("""COMPUTED_VALUE"""),"raazi")</f>
        <v>raazi</v>
      </c>
      <c r="B2566" s="1" t="str">
        <f>IF(A2566&lt;&gt;"", VLOOKUP(A2566, imdb_netflix_v5!A$2:H$7370, 2, FALSE), "")</f>
        <v>Movie</v>
      </c>
      <c r="C2566" s="2" t="str">
        <f>IF(A2566&lt;&gt;"", VLOOKUP(A2566, imdb_netflix_v5!A$2:H$7370, 3, FALSE), "")</f>
        <v>Action, Drama, Thriller</v>
      </c>
      <c r="D2566" s="2">
        <f>IF(A2566&lt;&gt;"", VLOOKUP(A2566, imdb_netflix_v5!A$2:H$7370, 4, FALSE), "")</f>
        <v>7.7</v>
      </c>
      <c r="E2566" s="2">
        <f>IF(A2566&lt;&gt;"", VLOOKUP(A2566, imdb_netflix_v5!A$2:H$7370, 5, FALSE), "")</f>
        <v>2018</v>
      </c>
      <c r="F2566" s="2" t="str">
        <f>IF(A2566&lt;&gt;"", VLOOKUP(A2566, imdb_netflix_v5!A$2:H$7370, 7, FALSE), "")</f>
        <v>NA</v>
      </c>
    </row>
    <row r="2567" ht="15.75" customHeight="1">
      <c r="A2567" s="1" t="str">
        <f>IFERROR(__xludf.DUMMYFUNCTION("""COMPUTED_VALUE"""),"the edge of heaven")</f>
        <v>the edge of heaven</v>
      </c>
      <c r="B2567" s="1" t="str">
        <f>IF(A2567&lt;&gt;"", VLOOKUP(A2567, imdb_netflix_v5!A$2:H$7370, 2, FALSE), "")</f>
        <v>Movie</v>
      </c>
      <c r="C2567" s="2" t="str">
        <f>IF(A2567&lt;&gt;"", VLOOKUP(A2567, imdb_netflix_v5!A$2:H$7370, 3, FALSE), "")</f>
        <v>Drama</v>
      </c>
      <c r="D2567" s="2">
        <f>IF(A2567&lt;&gt;"", VLOOKUP(A2567, imdb_netflix_v5!A$2:H$7370, 4, FALSE), "")</f>
        <v>7.7</v>
      </c>
      <c r="E2567" s="2">
        <f>IF(A2567&lt;&gt;"", VLOOKUP(A2567, imdb_netflix_v5!A$2:H$7370, 5, FALSE), "")</f>
        <v>2007</v>
      </c>
      <c r="F2567" s="2" t="str">
        <f>IF(A2567&lt;&gt;"", VLOOKUP(A2567, imdb_netflix_v5!A$2:H$7370, 7, FALSE), "")</f>
        <v>NA</v>
      </c>
    </row>
    <row r="2568" ht="15.75" customHeight="1">
      <c r="A2568" s="1" t="str">
        <f>IFERROR(__xludf.DUMMYFUNCTION("""COMPUTED_VALUE"""),"the innocents")</f>
        <v>the innocents</v>
      </c>
      <c r="B2568" s="1" t="str">
        <f>IF(A2568&lt;&gt;"", VLOOKUP(A2568, imdb_netflix_v5!A$2:H$7370, 2, FALSE), "")</f>
        <v>Movie</v>
      </c>
      <c r="C2568" s="2" t="str">
        <f>IF(A2568&lt;&gt;"", VLOOKUP(A2568, imdb_netflix_v5!A$2:H$7370, 3, FALSE), "")</f>
        <v>Drama, Horror</v>
      </c>
      <c r="D2568" s="2">
        <f>IF(A2568&lt;&gt;"", VLOOKUP(A2568, imdb_netflix_v5!A$2:H$7370, 4, FALSE), "")</f>
        <v>7.7</v>
      </c>
      <c r="E2568" s="2">
        <f>IF(A2568&lt;&gt;"", VLOOKUP(A2568, imdb_netflix_v5!A$2:H$7370, 5, FALSE), "")</f>
        <v>1961</v>
      </c>
      <c r="F2568" s="2" t="str">
        <f>IF(A2568&lt;&gt;"", VLOOKUP(A2568, imdb_netflix_v5!A$2:H$7370, 7, FALSE), "")</f>
        <v>NA</v>
      </c>
    </row>
    <row r="2569" ht="15.75" customHeight="1">
      <c r="A2569" s="1" t="str">
        <f>IFERROR(__xludf.DUMMYFUNCTION("""COMPUTED_VALUE"""),"fireworks")</f>
        <v>fireworks</v>
      </c>
      <c r="B2569" s="1" t="str">
        <f>IF(A2569&lt;&gt;"", VLOOKUP(A2569, imdb_netflix_v5!A$2:H$7370, 2, FALSE), "")</f>
        <v>Movie</v>
      </c>
      <c r="C2569" s="2" t="str">
        <f>IF(A2569&lt;&gt;"", VLOOKUP(A2569, imdb_netflix_v5!A$2:H$7370, 3, FALSE), "")</f>
        <v>Crime, Drama, Romance</v>
      </c>
      <c r="D2569" s="2">
        <f>IF(A2569&lt;&gt;"", VLOOKUP(A2569, imdb_netflix_v5!A$2:H$7370, 4, FALSE), "")</f>
        <v>7.7</v>
      </c>
      <c r="E2569" s="2">
        <f>IF(A2569&lt;&gt;"", VLOOKUP(A2569, imdb_netflix_v5!A$2:H$7370, 5, FALSE), "")</f>
        <v>1997</v>
      </c>
      <c r="F2569" s="2" t="str">
        <f>IF(A2569&lt;&gt;"", VLOOKUP(A2569, imdb_netflix_v5!A$2:H$7370, 7, FALSE), "")</f>
        <v>NA</v>
      </c>
    </row>
    <row r="2570" ht="15.75" customHeight="1">
      <c r="A2570" s="1" t="str">
        <f>IFERROR(__xludf.DUMMYFUNCTION("""COMPUTED_VALUE"""),"lavventura")</f>
        <v>lavventura</v>
      </c>
      <c r="B2570" s="1" t="str">
        <f>IF(A2570&lt;&gt;"", VLOOKUP(A2570, imdb_netflix_v5!A$2:H$7370, 2, FALSE), "")</f>
        <v>Movie</v>
      </c>
      <c r="C2570" s="2" t="str">
        <f>IF(A2570&lt;&gt;"", VLOOKUP(A2570, imdb_netflix_v5!A$2:H$7370, 3, FALSE), "")</f>
        <v>Drama, Mystery, Romance</v>
      </c>
      <c r="D2570" s="2">
        <f>IF(A2570&lt;&gt;"", VLOOKUP(A2570, imdb_netflix_v5!A$2:H$7370, 4, FALSE), "")</f>
        <v>7.7</v>
      </c>
      <c r="E2570" s="2">
        <f>IF(A2570&lt;&gt;"", VLOOKUP(A2570, imdb_netflix_v5!A$2:H$7370, 5, FALSE), "")</f>
        <v>1960</v>
      </c>
      <c r="F2570" s="2" t="str">
        <f>IF(A2570&lt;&gt;"", VLOOKUP(A2570, imdb_netflix_v5!A$2:H$7370, 7, FALSE), "")</f>
        <v>NA</v>
      </c>
    </row>
    <row r="2571" ht="15.75" customHeight="1">
      <c r="A2571" s="1" t="str">
        <f>IFERROR(__xludf.DUMMYFUNCTION("""COMPUTED_VALUE"""),"conversations with a killer the ted bundy tapes")</f>
        <v>conversations with a killer the ted bundy tapes</v>
      </c>
      <c r="B2571" s="1" t="str">
        <f>IF(A2571&lt;&gt;"", VLOOKUP(A2571, imdb_netflix_v5!A$2:H$7370, 2, FALSE), "")</f>
        <v>TV Show</v>
      </c>
      <c r="C2571" s="2" t="str">
        <f>IF(A2571&lt;&gt;"", VLOOKUP(A2571, imdb_netflix_v5!A$2:H$7370, 3, FALSE), "")</f>
        <v>Biography, Crime, Documentary</v>
      </c>
      <c r="D2571" s="2">
        <f>IF(A2571&lt;&gt;"", VLOOKUP(A2571, imdb_netflix_v5!A$2:H$7370, 4, FALSE), "")</f>
        <v>7.7</v>
      </c>
      <c r="E2571" s="2">
        <f>IF(A2571&lt;&gt;"", VLOOKUP(A2571, imdb_netflix_v5!A$2:H$7370, 5, FALSE), "")</f>
        <v>2019</v>
      </c>
      <c r="F2571" s="2" t="str">
        <f>IF(A2571&lt;&gt;"", VLOOKUP(A2571, imdb_netflix_v5!A$2:H$7370, 7, FALSE), "")</f>
        <v>NA</v>
      </c>
    </row>
    <row r="2572" ht="15.75" customHeight="1">
      <c r="A2572" s="1" t="str">
        <f>IFERROR(__xludf.DUMMYFUNCTION("""COMPUTED_VALUE"""),"dragon ball super broly")</f>
        <v>dragon ball super broly</v>
      </c>
      <c r="B2572" s="1" t="str">
        <f>IF(A2572&lt;&gt;"", VLOOKUP(A2572, imdb_netflix_v5!A$2:H$7370, 2, FALSE), "")</f>
        <v>Movie</v>
      </c>
      <c r="C2572" s="2" t="str">
        <f>IF(A2572&lt;&gt;"", VLOOKUP(A2572, imdb_netflix_v5!A$2:H$7370, 3, FALSE), "")</f>
        <v>Action, Adventure, Animation</v>
      </c>
      <c r="D2572" s="2">
        <f>IF(A2572&lt;&gt;"", VLOOKUP(A2572, imdb_netflix_v5!A$2:H$7370, 4, FALSE), "")</f>
        <v>7.7</v>
      </c>
      <c r="E2572" s="2">
        <f>IF(A2572&lt;&gt;"", VLOOKUP(A2572, imdb_netflix_v5!A$2:H$7370, 5, FALSE), "")</f>
        <v>2018</v>
      </c>
      <c r="F2572" s="2" t="str">
        <f>IF(A2572&lt;&gt;"", VLOOKUP(A2572, imdb_netflix_v5!A$2:H$7370, 7, FALSE), "")</f>
        <v>NA</v>
      </c>
    </row>
    <row r="2573" ht="15.75" customHeight="1">
      <c r="A2573" s="1" t="str">
        <f>IFERROR(__xludf.DUMMYFUNCTION("""COMPUTED_VALUE"""),"cape fear")</f>
        <v>cape fear</v>
      </c>
      <c r="B2573" s="1" t="str">
        <f>IF(A2573&lt;&gt;"", VLOOKUP(A2573, imdb_netflix_v5!A$2:H$7370, 2, FALSE), "")</f>
        <v>Movie</v>
      </c>
      <c r="C2573" s="2" t="str">
        <f>IF(A2573&lt;&gt;"", VLOOKUP(A2573, imdb_netflix_v5!A$2:H$7370, 3, FALSE), "")</f>
        <v>Drama, Thriller</v>
      </c>
      <c r="D2573" s="2">
        <f>IF(A2573&lt;&gt;"", VLOOKUP(A2573, imdb_netflix_v5!A$2:H$7370, 4, FALSE), "")</f>
        <v>7.7</v>
      </c>
      <c r="E2573" s="2">
        <f>IF(A2573&lt;&gt;"", VLOOKUP(A2573, imdb_netflix_v5!A$2:H$7370, 5, FALSE), "")</f>
        <v>1962</v>
      </c>
      <c r="F2573" s="2" t="str">
        <f>IF(A2573&lt;&gt;"", VLOOKUP(A2573, imdb_netflix_v5!A$2:H$7370, 7, FALSE), "")</f>
        <v>NA</v>
      </c>
    </row>
    <row r="2574" ht="15.75" customHeight="1">
      <c r="A2574" s="1" t="str">
        <f>IFERROR(__xludf.DUMMYFUNCTION("""COMPUTED_VALUE"""),"mythic quest")</f>
        <v>mythic quest</v>
      </c>
      <c r="B2574" s="1" t="str">
        <f>IF(A2574&lt;&gt;"", VLOOKUP(A2574, imdb_netflix_v5!A$2:H$7370, 2, FALSE), "")</f>
        <v>TV Show</v>
      </c>
      <c r="C2574" s="2" t="str">
        <f>IF(A2574&lt;&gt;"", VLOOKUP(A2574, imdb_netflix_v5!A$2:H$7370, 3, FALSE), "")</f>
        <v>Comedy</v>
      </c>
      <c r="D2574" s="2">
        <f>IF(A2574&lt;&gt;"", VLOOKUP(A2574, imdb_netflix_v5!A$2:H$7370, 4, FALSE), "")</f>
        <v>7.7</v>
      </c>
      <c r="E2574" s="2">
        <f>IF(A2574&lt;&gt;"", VLOOKUP(A2574, imdb_netflix_v5!A$2:H$7370, 5, FALSE), "")</f>
        <v>2020</v>
      </c>
      <c r="F2574" s="2" t="str">
        <f>IF(A2574&lt;&gt;"", VLOOKUP(A2574, imdb_netflix_v5!A$2:H$7370, 7, FALSE), "")</f>
        <v>NA</v>
      </c>
    </row>
    <row r="2575" ht="15.75" customHeight="1">
      <c r="A2575" s="1" t="str">
        <f>IFERROR(__xludf.DUMMYFUNCTION("""COMPUTED_VALUE"""),"udta punjab")</f>
        <v>udta punjab</v>
      </c>
      <c r="B2575" s="1" t="str">
        <f>IF(A2575&lt;&gt;"", VLOOKUP(A2575, imdb_netflix_v5!A$2:H$7370, 2, FALSE), "")</f>
        <v>Movie</v>
      </c>
      <c r="C2575" s="2" t="str">
        <f>IF(A2575&lt;&gt;"", VLOOKUP(A2575, imdb_netflix_v5!A$2:H$7370, 3, FALSE), "")</f>
        <v>Crime, Drama</v>
      </c>
      <c r="D2575" s="2">
        <f>IF(A2575&lt;&gt;"", VLOOKUP(A2575, imdb_netflix_v5!A$2:H$7370, 4, FALSE), "")</f>
        <v>7.7</v>
      </c>
      <c r="E2575" s="2">
        <f>IF(A2575&lt;&gt;"", VLOOKUP(A2575, imdb_netflix_v5!A$2:H$7370, 5, FALSE), "")</f>
        <v>2016</v>
      </c>
      <c r="F2575" s="2" t="str">
        <f>IF(A2575&lt;&gt;"", VLOOKUP(A2575, imdb_netflix_v5!A$2:H$7370, 7, FALSE), "")</f>
        <v>NA</v>
      </c>
    </row>
    <row r="2576" ht="15.75" customHeight="1">
      <c r="A2576" s="1" t="str">
        <f>IFERROR(__xludf.DUMMYFUNCTION("""COMPUTED_VALUE"""),"the white queen")</f>
        <v>the white queen</v>
      </c>
      <c r="B2576" s="1" t="str">
        <f>IF(A2576&lt;&gt;"", VLOOKUP(A2576, imdb_netflix_v5!A$2:H$7370, 2, FALSE), "")</f>
        <v>TV Show</v>
      </c>
      <c r="C2576" s="2" t="str">
        <f>IF(A2576&lt;&gt;"", VLOOKUP(A2576, imdb_netflix_v5!A$2:H$7370, 3, FALSE), "")</f>
        <v>Drama, History, Romance</v>
      </c>
      <c r="D2576" s="2">
        <f>IF(A2576&lt;&gt;"", VLOOKUP(A2576, imdb_netflix_v5!A$2:H$7370, 4, FALSE), "")</f>
        <v>7.7</v>
      </c>
      <c r="E2576" s="2">
        <f>IF(A2576&lt;&gt;"", VLOOKUP(A2576, imdb_netflix_v5!A$2:H$7370, 5, FALSE), "")</f>
        <v>2013</v>
      </c>
      <c r="F2576" s="2" t="str">
        <f>IF(A2576&lt;&gt;"", VLOOKUP(A2576, imdb_netflix_v5!A$2:H$7370, 7, FALSE), "")</f>
        <v>NA</v>
      </c>
    </row>
    <row r="2577" ht="15.75" customHeight="1">
      <c r="A2577" s="1" t="str">
        <f>IFERROR(__xludf.DUMMYFUNCTION("""COMPUTED_VALUE"""),"badla")</f>
        <v>badla</v>
      </c>
      <c r="B2577" s="1" t="str">
        <f>IF(A2577&lt;&gt;"", VLOOKUP(A2577, imdb_netflix_v5!A$2:H$7370, 2, FALSE), "")</f>
        <v>Movie</v>
      </c>
      <c r="C2577" s="2" t="str">
        <f>IF(A2577&lt;&gt;"", VLOOKUP(A2577, imdb_netflix_v5!A$2:H$7370, 3, FALSE), "")</f>
        <v>Crime, Drama, Mystery</v>
      </c>
      <c r="D2577" s="2">
        <f>IF(A2577&lt;&gt;"", VLOOKUP(A2577, imdb_netflix_v5!A$2:H$7370, 4, FALSE), "")</f>
        <v>7.7</v>
      </c>
      <c r="E2577" s="2">
        <f>IF(A2577&lt;&gt;"", VLOOKUP(A2577, imdb_netflix_v5!A$2:H$7370, 5, FALSE), "")</f>
        <v>2019</v>
      </c>
      <c r="F2577" s="2" t="str">
        <f>IF(A2577&lt;&gt;"", VLOOKUP(A2577, imdb_netflix_v5!A$2:H$7370, 7, FALSE), "")</f>
        <v>NA</v>
      </c>
    </row>
    <row r="2578" ht="15.75" customHeight="1">
      <c r="A2578" s="1" t="str">
        <f>IFERROR(__xludf.DUMMYFUNCTION("""COMPUTED_VALUE"""),"14 peaks nothing is impossible")</f>
        <v>14 peaks nothing is impossible</v>
      </c>
      <c r="B2578" s="1" t="str">
        <f>IF(A2578&lt;&gt;"", VLOOKUP(A2578, imdb_netflix_v5!A$2:H$7370, 2, FALSE), "")</f>
        <v>Movie</v>
      </c>
      <c r="C2578" s="2" t="str">
        <f>IF(A2578&lt;&gt;"", VLOOKUP(A2578, imdb_netflix_v5!A$2:H$7370, 3, FALSE), "")</f>
        <v>Adventure, Documentary, Sport</v>
      </c>
      <c r="D2578" s="2">
        <f>IF(A2578&lt;&gt;"", VLOOKUP(A2578, imdb_netflix_v5!A$2:H$7370, 4, FALSE), "")</f>
        <v>7.7</v>
      </c>
      <c r="E2578" s="2">
        <f>IF(A2578&lt;&gt;"", VLOOKUP(A2578, imdb_netflix_v5!A$2:H$7370, 5, FALSE), "")</f>
        <v>2021</v>
      </c>
      <c r="F2578" s="2">
        <f>IF(A2578&lt;&gt;"", VLOOKUP(A2578, imdb_netflix_v5!A$2:H$7370, 7, FALSE), "")</f>
        <v>12170000</v>
      </c>
    </row>
    <row r="2579" ht="15.75" customHeight="1">
      <c r="A2579" s="1" t="str">
        <f>IFERROR(__xludf.DUMMYFUNCTION("""COMPUTED_VALUE"""),"navalny")</f>
        <v>navalny</v>
      </c>
      <c r="B2579" s="1" t="str">
        <f>IF(A2579&lt;&gt;"", VLOOKUP(A2579, imdb_netflix_v5!A$2:H$7370, 2, FALSE), "")</f>
        <v>Movie</v>
      </c>
      <c r="C2579" s="2" t="str">
        <f>IF(A2579&lt;&gt;"", VLOOKUP(A2579, imdb_netflix_v5!A$2:H$7370, 3, FALSE), "")</f>
        <v>Biography, Documentary</v>
      </c>
      <c r="D2579" s="2">
        <f>IF(A2579&lt;&gt;"", VLOOKUP(A2579, imdb_netflix_v5!A$2:H$7370, 4, FALSE), "")</f>
        <v>7.7</v>
      </c>
      <c r="E2579" s="2">
        <f>IF(A2579&lt;&gt;"", VLOOKUP(A2579, imdb_netflix_v5!A$2:H$7370, 5, FALSE), "")</f>
        <v>2022</v>
      </c>
      <c r="F2579" s="2" t="str">
        <f>IF(A2579&lt;&gt;"", VLOOKUP(A2579, imdb_netflix_v5!A$2:H$7370, 7, FALSE), "")</f>
        <v>NA</v>
      </c>
    </row>
    <row r="2580" ht="15.75" customHeight="1">
      <c r="A2580" s="1" t="str">
        <f>IFERROR(__xludf.DUMMYFUNCTION("""COMPUTED_VALUE"""),"the caine mutiny")</f>
        <v>the caine mutiny</v>
      </c>
      <c r="B2580" s="1" t="str">
        <f>IF(A2580&lt;&gt;"", VLOOKUP(A2580, imdb_netflix_v5!A$2:H$7370, 2, FALSE), "")</f>
        <v>Movie</v>
      </c>
      <c r="C2580" s="2" t="str">
        <f>IF(A2580&lt;&gt;"", VLOOKUP(A2580, imdb_netflix_v5!A$2:H$7370, 3, FALSE), "")</f>
        <v>Drama, War</v>
      </c>
      <c r="D2580" s="2">
        <f>IF(A2580&lt;&gt;"", VLOOKUP(A2580, imdb_netflix_v5!A$2:H$7370, 4, FALSE), "")</f>
        <v>7.7</v>
      </c>
      <c r="E2580" s="2">
        <f>IF(A2580&lt;&gt;"", VLOOKUP(A2580, imdb_netflix_v5!A$2:H$7370, 5, FALSE), "")</f>
        <v>1954</v>
      </c>
      <c r="F2580" s="2" t="str">
        <f>IF(A2580&lt;&gt;"", VLOOKUP(A2580, imdb_netflix_v5!A$2:H$7370, 7, FALSE), "")</f>
        <v>NA</v>
      </c>
    </row>
    <row r="2581" ht="15.75" customHeight="1">
      <c r="A2581" s="1" t="str">
        <f>IFERROR(__xludf.DUMMYFUNCTION("""COMPUTED_VALUE"""),"dreams")</f>
        <v>dreams</v>
      </c>
      <c r="B2581" s="1" t="str">
        <f>IF(A2581&lt;&gt;"", VLOOKUP(A2581, imdb_netflix_v5!A$2:H$7370, 2, FALSE), "")</f>
        <v>Movie</v>
      </c>
      <c r="C2581" s="2" t="str">
        <f>IF(A2581&lt;&gt;"", VLOOKUP(A2581, imdb_netflix_v5!A$2:H$7370, 3, FALSE), "")</f>
        <v>Drama, Fantasy</v>
      </c>
      <c r="D2581" s="2">
        <f>IF(A2581&lt;&gt;"", VLOOKUP(A2581, imdb_netflix_v5!A$2:H$7370, 4, FALSE), "")</f>
        <v>7.7</v>
      </c>
      <c r="E2581" s="2">
        <f>IF(A2581&lt;&gt;"", VLOOKUP(A2581, imdb_netflix_v5!A$2:H$7370, 5, FALSE), "")</f>
        <v>1990</v>
      </c>
      <c r="F2581" s="2" t="str">
        <f>IF(A2581&lt;&gt;"", VLOOKUP(A2581, imdb_netflix_v5!A$2:H$7370, 7, FALSE), "")</f>
        <v>NA</v>
      </c>
    </row>
    <row r="2582" ht="15.75" customHeight="1">
      <c r="A2582" s="1" t="str">
        <f>IFERROR(__xludf.DUMMYFUNCTION("""COMPUTED_VALUE"""),"sorcerer")</f>
        <v>sorcerer</v>
      </c>
      <c r="B2582" s="1" t="str">
        <f>IF(A2582&lt;&gt;"", VLOOKUP(A2582, imdb_netflix_v5!A$2:H$7370, 2, FALSE), "")</f>
        <v>Movie</v>
      </c>
      <c r="C2582" s="2" t="str">
        <f>IF(A2582&lt;&gt;"", VLOOKUP(A2582, imdb_netflix_v5!A$2:H$7370, 3, FALSE), "")</f>
        <v>Adventure, Drama, Thriller</v>
      </c>
      <c r="D2582" s="2">
        <f>IF(A2582&lt;&gt;"", VLOOKUP(A2582, imdb_netflix_v5!A$2:H$7370, 4, FALSE), "")</f>
        <v>7.7</v>
      </c>
      <c r="E2582" s="2">
        <f>IF(A2582&lt;&gt;"", VLOOKUP(A2582, imdb_netflix_v5!A$2:H$7370, 5, FALSE), "")</f>
        <v>1977</v>
      </c>
      <c r="F2582" s="2" t="str">
        <f>IF(A2582&lt;&gt;"", VLOOKUP(A2582, imdb_netflix_v5!A$2:H$7370, 7, FALSE), "")</f>
        <v>NA</v>
      </c>
    </row>
    <row r="2583" ht="15.75" customHeight="1">
      <c r="A2583" s="1" t="str">
        <f>IFERROR(__xludf.DUMMYFUNCTION("""COMPUTED_VALUE"""),"the l word")</f>
        <v>the l word</v>
      </c>
      <c r="B2583" s="1" t="str">
        <f>IF(A2583&lt;&gt;"", VLOOKUP(A2583, imdb_netflix_v5!A$2:H$7370, 2, FALSE), "")</f>
        <v>TV Show</v>
      </c>
      <c r="C2583" s="2" t="str">
        <f>IF(A2583&lt;&gt;"", VLOOKUP(A2583, imdb_netflix_v5!A$2:H$7370, 3, FALSE), "")</f>
        <v>Drama, Romance</v>
      </c>
      <c r="D2583" s="2">
        <f>IF(A2583&lt;&gt;"", VLOOKUP(A2583, imdb_netflix_v5!A$2:H$7370, 4, FALSE), "")</f>
        <v>7.7</v>
      </c>
      <c r="E2583" s="2">
        <f>IF(A2583&lt;&gt;"", VLOOKUP(A2583, imdb_netflix_v5!A$2:H$7370, 5, FALSE), "")</f>
        <v>2004</v>
      </c>
      <c r="F2583" s="2" t="str">
        <f>IF(A2583&lt;&gt;"", VLOOKUP(A2583, imdb_netflix_v5!A$2:H$7370, 7, FALSE), "")</f>
        <v>NA</v>
      </c>
    </row>
    <row r="2584" ht="15.75" customHeight="1">
      <c r="A2584" s="1" t="str">
        <f>IFERROR(__xludf.DUMMYFUNCTION("""COMPUTED_VALUE"""),"kapoor &amp; sons")</f>
        <v>kapoor &amp; sons</v>
      </c>
      <c r="B2584" s="1" t="str">
        <f>IF(A2584&lt;&gt;"", VLOOKUP(A2584, imdb_netflix_v5!A$2:H$7370, 2, FALSE), "")</f>
        <v>Movie</v>
      </c>
      <c r="C2584" s="2" t="str">
        <f>IF(A2584&lt;&gt;"", VLOOKUP(A2584, imdb_netflix_v5!A$2:H$7370, 3, FALSE), "")</f>
        <v>Comedy, Crime, Drama</v>
      </c>
      <c r="D2584" s="2">
        <f>IF(A2584&lt;&gt;"", VLOOKUP(A2584, imdb_netflix_v5!A$2:H$7370, 4, FALSE), "")</f>
        <v>7.7</v>
      </c>
      <c r="E2584" s="2">
        <f>IF(A2584&lt;&gt;"", VLOOKUP(A2584, imdb_netflix_v5!A$2:H$7370, 5, FALSE), "")</f>
        <v>2016</v>
      </c>
      <c r="F2584" s="2" t="str">
        <f>IF(A2584&lt;&gt;"", VLOOKUP(A2584, imdb_netflix_v5!A$2:H$7370, 7, FALSE), "")</f>
        <v>NA</v>
      </c>
    </row>
    <row r="2585" ht="15.75" customHeight="1">
      <c r="A2585" s="1" t="str">
        <f>IFERROR(__xludf.DUMMYFUNCTION("""COMPUTED_VALUE"""),"the breadwinner")</f>
        <v>the breadwinner</v>
      </c>
      <c r="B2585" s="1" t="str">
        <f>IF(A2585&lt;&gt;"", VLOOKUP(A2585, imdb_netflix_v5!A$2:H$7370, 2, FALSE), "")</f>
        <v>Movie</v>
      </c>
      <c r="C2585" s="2" t="str">
        <f>IF(A2585&lt;&gt;"", VLOOKUP(A2585, imdb_netflix_v5!A$2:H$7370, 3, FALSE), "")</f>
        <v>Animation, Drama, Family</v>
      </c>
      <c r="D2585" s="2">
        <f>IF(A2585&lt;&gt;"", VLOOKUP(A2585, imdb_netflix_v5!A$2:H$7370, 4, FALSE), "")</f>
        <v>7.7</v>
      </c>
      <c r="E2585" s="2">
        <f>IF(A2585&lt;&gt;"", VLOOKUP(A2585, imdb_netflix_v5!A$2:H$7370, 5, FALSE), "")</f>
        <v>2017</v>
      </c>
      <c r="F2585" s="2" t="str">
        <f>IF(A2585&lt;&gt;"", VLOOKUP(A2585, imdb_netflix_v5!A$2:H$7370, 7, FALSE), "")</f>
        <v>NA</v>
      </c>
    </row>
    <row r="2586" ht="15.75" customHeight="1">
      <c r="A2586" s="1" t="str">
        <f>IFERROR(__xludf.DUMMYFUNCTION("""COMPUTED_VALUE"""),"the magdalene sisters")</f>
        <v>the magdalene sisters</v>
      </c>
      <c r="B2586" s="1" t="str">
        <f>IF(A2586&lt;&gt;"", VLOOKUP(A2586, imdb_netflix_v5!A$2:H$7370, 2, FALSE), "")</f>
        <v>Movie</v>
      </c>
      <c r="C2586" s="2" t="str">
        <f>IF(A2586&lt;&gt;"", VLOOKUP(A2586, imdb_netflix_v5!A$2:H$7370, 3, FALSE), "")</f>
        <v>Drama</v>
      </c>
      <c r="D2586" s="2">
        <f>IF(A2586&lt;&gt;"", VLOOKUP(A2586, imdb_netflix_v5!A$2:H$7370, 4, FALSE), "")</f>
        <v>7.7</v>
      </c>
      <c r="E2586" s="2">
        <f>IF(A2586&lt;&gt;"", VLOOKUP(A2586, imdb_netflix_v5!A$2:H$7370, 5, FALSE), "")</f>
        <v>2002</v>
      </c>
      <c r="F2586" s="2" t="str">
        <f>IF(A2586&lt;&gt;"", VLOOKUP(A2586, imdb_netflix_v5!A$2:H$7370, 7, FALSE), "")</f>
        <v>NA</v>
      </c>
    </row>
    <row r="2587" ht="15.75" customHeight="1">
      <c r="A2587" s="1" t="str">
        <f>IFERROR(__xludf.DUMMYFUNCTION("""COMPUTED_VALUE"""),"black narcissus")</f>
        <v>black narcissus</v>
      </c>
      <c r="B2587" s="1" t="str">
        <f>IF(A2587&lt;&gt;"", VLOOKUP(A2587, imdb_netflix_v5!A$2:H$7370, 2, FALSE), "")</f>
        <v>Movie</v>
      </c>
      <c r="C2587" s="2" t="str">
        <f>IF(A2587&lt;&gt;"", VLOOKUP(A2587, imdb_netflix_v5!A$2:H$7370, 3, FALSE), "")</f>
        <v>Drama</v>
      </c>
      <c r="D2587" s="2">
        <f>IF(A2587&lt;&gt;"", VLOOKUP(A2587, imdb_netflix_v5!A$2:H$7370, 4, FALSE), "")</f>
        <v>7.7</v>
      </c>
      <c r="E2587" s="2">
        <f>IF(A2587&lt;&gt;"", VLOOKUP(A2587, imdb_netflix_v5!A$2:H$7370, 5, FALSE), "")</f>
        <v>1947</v>
      </c>
      <c r="F2587" s="2" t="str">
        <f>IF(A2587&lt;&gt;"", VLOOKUP(A2587, imdb_netflix_v5!A$2:H$7370, 7, FALSE), "")</f>
        <v>NA</v>
      </c>
    </row>
    <row r="2588" ht="15.75" customHeight="1">
      <c r="A2588" s="1" t="str">
        <f>IFERROR(__xludf.DUMMYFUNCTION("""COMPUTED_VALUE"""),"eega")</f>
        <v>eega</v>
      </c>
      <c r="B2588" s="1" t="str">
        <f>IF(A2588&lt;&gt;"", VLOOKUP(A2588, imdb_netflix_v5!A$2:H$7370, 2, FALSE), "")</f>
        <v>Movie</v>
      </c>
      <c r="C2588" s="2" t="str">
        <f>IF(A2588&lt;&gt;"", VLOOKUP(A2588, imdb_netflix_v5!A$2:H$7370, 3, FALSE), "")</f>
        <v>Action, Comedy, Drama</v>
      </c>
      <c r="D2588" s="2">
        <f>IF(A2588&lt;&gt;"", VLOOKUP(A2588, imdb_netflix_v5!A$2:H$7370, 4, FALSE), "")</f>
        <v>7.7</v>
      </c>
      <c r="E2588" s="2">
        <f>IF(A2588&lt;&gt;"", VLOOKUP(A2588, imdb_netflix_v5!A$2:H$7370, 5, FALSE), "")</f>
        <v>2012</v>
      </c>
      <c r="F2588" s="2" t="str">
        <f>IF(A2588&lt;&gt;"", VLOOKUP(A2588, imdb_netflix_v5!A$2:H$7370, 7, FALSE), "")</f>
        <v>NA</v>
      </c>
    </row>
    <row r="2589" ht="15.75" customHeight="1">
      <c r="A2589" s="1" t="str">
        <f>IFERROR(__xludf.DUMMYFUNCTION("""COMPUTED_VALUE"""),"hazbin hotel")</f>
        <v>hazbin hotel</v>
      </c>
      <c r="B2589" s="1" t="str">
        <f>IF(A2589&lt;&gt;"", VLOOKUP(A2589, imdb_netflix_v5!A$2:H$7370, 2, FALSE), "")</f>
        <v>TV Show</v>
      </c>
      <c r="C2589" s="2" t="str">
        <f>IF(A2589&lt;&gt;"", VLOOKUP(A2589, imdb_netflix_v5!A$2:H$7370, 3, FALSE), "")</f>
        <v>Animation, Comedy, Crime</v>
      </c>
      <c r="D2589" s="2">
        <f>IF(A2589&lt;&gt;"", VLOOKUP(A2589, imdb_netflix_v5!A$2:H$7370, 4, FALSE), "")</f>
        <v>7.7</v>
      </c>
      <c r="E2589" s="2">
        <f>IF(A2589&lt;&gt;"", VLOOKUP(A2589, imdb_netflix_v5!A$2:H$7370, 5, FALSE), "")</f>
        <v>2019</v>
      </c>
      <c r="F2589" s="2" t="str">
        <f>IF(A2589&lt;&gt;"", VLOOKUP(A2589, imdb_netflix_v5!A$2:H$7370, 7, FALSE), "")</f>
        <v>NA</v>
      </c>
    </row>
    <row r="2590" ht="15.75" customHeight="1">
      <c r="A2590" s="1" t="str">
        <f>IFERROR(__xludf.DUMMYFUNCTION("""COMPUTED_VALUE"""),"whats up, doc?")</f>
        <v>whats up, doc?</v>
      </c>
      <c r="B2590" s="1" t="str">
        <f>IF(A2590&lt;&gt;"", VLOOKUP(A2590, imdb_netflix_v5!A$2:H$7370, 2, FALSE), "")</f>
        <v>Movie</v>
      </c>
      <c r="C2590" s="2" t="str">
        <f>IF(A2590&lt;&gt;"", VLOOKUP(A2590, imdb_netflix_v5!A$2:H$7370, 3, FALSE), "")</f>
        <v>Comedy, Romance</v>
      </c>
      <c r="D2590" s="2">
        <f>IF(A2590&lt;&gt;"", VLOOKUP(A2590, imdb_netflix_v5!A$2:H$7370, 4, FALSE), "")</f>
        <v>7.7</v>
      </c>
      <c r="E2590" s="2">
        <f>IF(A2590&lt;&gt;"", VLOOKUP(A2590, imdb_netflix_v5!A$2:H$7370, 5, FALSE), "")</f>
        <v>1972</v>
      </c>
      <c r="F2590" s="2" t="str">
        <f>IF(A2590&lt;&gt;"", VLOOKUP(A2590, imdb_netflix_v5!A$2:H$7370, 7, FALSE), "")</f>
        <v>NA</v>
      </c>
    </row>
    <row r="2591" ht="15.75" customHeight="1">
      <c r="A2591" s="1" t="str">
        <f>IFERROR(__xludf.DUMMYFUNCTION("""COMPUTED_VALUE"""),"nashville")</f>
        <v>nashville</v>
      </c>
      <c r="B2591" s="1" t="str">
        <f>IF(A2591&lt;&gt;"", VLOOKUP(A2591, imdb_netflix_v5!A$2:H$7370, 2, FALSE), "")</f>
        <v>TV Show</v>
      </c>
      <c r="C2591" s="2" t="str">
        <f>IF(A2591&lt;&gt;"", VLOOKUP(A2591, imdb_netflix_v5!A$2:H$7370, 3, FALSE), "")</f>
        <v>Drama, Music, Romance</v>
      </c>
      <c r="D2591" s="2">
        <f>IF(A2591&lt;&gt;"", VLOOKUP(A2591, imdb_netflix_v5!A$2:H$7370, 4, FALSE), "")</f>
        <v>7.7</v>
      </c>
      <c r="E2591" s="2">
        <f>IF(A2591&lt;&gt;"", VLOOKUP(A2591, imdb_netflix_v5!A$2:H$7370, 5, FALSE), "")</f>
        <v>2012</v>
      </c>
      <c r="F2591" s="2" t="str">
        <f>IF(A2591&lt;&gt;"", VLOOKUP(A2591, imdb_netflix_v5!A$2:H$7370, 7, FALSE), "")</f>
        <v>NA</v>
      </c>
    </row>
    <row r="2592" ht="15.75" customHeight="1">
      <c r="A2592" s="1" t="str">
        <f>IFERROR(__xludf.DUMMYFUNCTION("""COMPUTED_VALUE"""),"marty")</f>
        <v>marty</v>
      </c>
      <c r="B2592" s="1" t="str">
        <f>IF(A2592&lt;&gt;"", VLOOKUP(A2592, imdb_netflix_v5!A$2:H$7370, 2, FALSE), "")</f>
        <v>Movie</v>
      </c>
      <c r="C2592" s="2" t="str">
        <f>IF(A2592&lt;&gt;"", VLOOKUP(A2592, imdb_netflix_v5!A$2:H$7370, 3, FALSE), "")</f>
        <v>Drama, Romance</v>
      </c>
      <c r="D2592" s="2">
        <f>IF(A2592&lt;&gt;"", VLOOKUP(A2592, imdb_netflix_v5!A$2:H$7370, 4, FALSE), "")</f>
        <v>7.7</v>
      </c>
      <c r="E2592" s="2">
        <f>IF(A2592&lt;&gt;"", VLOOKUP(A2592, imdb_netflix_v5!A$2:H$7370, 5, FALSE), "")</f>
        <v>1955</v>
      </c>
      <c r="F2592" s="2" t="str">
        <f>IF(A2592&lt;&gt;"", VLOOKUP(A2592, imdb_netflix_v5!A$2:H$7370, 7, FALSE), "")</f>
        <v>NA</v>
      </c>
    </row>
    <row r="2593" ht="15.75" customHeight="1">
      <c r="A2593" s="1" t="str">
        <f>IFERROR(__xludf.DUMMYFUNCTION("""COMPUTED_VALUE"""),"the promised land")</f>
        <v>the promised land</v>
      </c>
      <c r="B2593" s="1" t="str">
        <f>IF(A2593&lt;&gt;"", VLOOKUP(A2593, imdb_netflix_v5!A$2:H$7370, 2, FALSE), "")</f>
        <v>Movie</v>
      </c>
      <c r="C2593" s="2" t="str">
        <f>IF(A2593&lt;&gt;"", VLOOKUP(A2593, imdb_netflix_v5!A$2:H$7370, 3, FALSE), "")</f>
        <v>Action, Biography, Drama</v>
      </c>
      <c r="D2593" s="2">
        <f>IF(A2593&lt;&gt;"", VLOOKUP(A2593, imdb_netflix_v5!A$2:H$7370, 4, FALSE), "")</f>
        <v>7.7</v>
      </c>
      <c r="E2593" s="2">
        <f>IF(A2593&lt;&gt;"", VLOOKUP(A2593, imdb_netflix_v5!A$2:H$7370, 5, FALSE), "")</f>
        <v>2023</v>
      </c>
      <c r="F2593" s="2" t="str">
        <f>IF(A2593&lt;&gt;"", VLOOKUP(A2593, imdb_netflix_v5!A$2:H$7370, 7, FALSE), "")</f>
        <v>NA</v>
      </c>
    </row>
    <row r="2594" ht="15.75" customHeight="1">
      <c r="A2594" s="1" t="str">
        <f>IFERROR(__xludf.DUMMYFUNCTION("""COMPUTED_VALUE"""),"aqua teen hunger force")</f>
        <v>aqua teen hunger force</v>
      </c>
      <c r="B2594" s="1" t="str">
        <f>IF(A2594&lt;&gt;"", VLOOKUP(A2594, imdb_netflix_v5!A$2:H$7370, 2, FALSE), "")</f>
        <v>TV Show</v>
      </c>
      <c r="C2594" s="2" t="str">
        <f>IF(A2594&lt;&gt;"", VLOOKUP(A2594, imdb_netflix_v5!A$2:H$7370, 3, FALSE), "")</f>
        <v>Animation, Comedy</v>
      </c>
      <c r="D2594" s="2">
        <f>IF(A2594&lt;&gt;"", VLOOKUP(A2594, imdb_netflix_v5!A$2:H$7370, 4, FALSE), "")</f>
        <v>7.7</v>
      </c>
      <c r="E2594" s="2">
        <f>IF(A2594&lt;&gt;"", VLOOKUP(A2594, imdb_netflix_v5!A$2:H$7370, 5, FALSE), "")</f>
        <v>2000</v>
      </c>
      <c r="F2594" s="2" t="str">
        <f>IF(A2594&lt;&gt;"", VLOOKUP(A2594, imdb_netflix_v5!A$2:H$7370, 7, FALSE), "")</f>
        <v>NA</v>
      </c>
    </row>
    <row r="2595" ht="15.75" customHeight="1">
      <c r="A2595" s="1" t="str">
        <f>IFERROR(__xludf.DUMMYFUNCTION("""COMPUTED_VALUE"""),"how green was my valley")</f>
        <v>how green was my valley</v>
      </c>
      <c r="B2595" s="1" t="str">
        <f>IF(A2595&lt;&gt;"", VLOOKUP(A2595, imdb_netflix_v5!A$2:H$7370, 2, FALSE), "")</f>
        <v>Movie</v>
      </c>
      <c r="C2595" s="2" t="str">
        <f>IF(A2595&lt;&gt;"", VLOOKUP(A2595, imdb_netflix_v5!A$2:H$7370, 3, FALSE), "")</f>
        <v>Drama, Family</v>
      </c>
      <c r="D2595" s="2">
        <f>IF(A2595&lt;&gt;"", VLOOKUP(A2595, imdb_netflix_v5!A$2:H$7370, 4, FALSE), "")</f>
        <v>7.7</v>
      </c>
      <c r="E2595" s="2">
        <f>IF(A2595&lt;&gt;"", VLOOKUP(A2595, imdb_netflix_v5!A$2:H$7370, 5, FALSE), "")</f>
        <v>1941</v>
      </c>
      <c r="F2595" s="2" t="str">
        <f>IF(A2595&lt;&gt;"", VLOOKUP(A2595, imdb_netflix_v5!A$2:H$7370, 7, FALSE), "")</f>
        <v>NA</v>
      </c>
    </row>
    <row r="2596" ht="15.75" customHeight="1">
      <c r="A2596" s="1" t="str">
        <f>IFERROR(__xludf.DUMMYFUNCTION("""COMPUTED_VALUE"""),"my dinner with andre")</f>
        <v>my dinner with andre</v>
      </c>
      <c r="B2596" s="1" t="str">
        <f>IF(A2596&lt;&gt;"", VLOOKUP(A2596, imdb_netflix_v5!A$2:H$7370, 2, FALSE), "")</f>
        <v>Movie</v>
      </c>
      <c r="C2596" s="2" t="str">
        <f>IF(A2596&lt;&gt;"", VLOOKUP(A2596, imdb_netflix_v5!A$2:H$7370, 3, FALSE), "")</f>
        <v>Comedy, Drama</v>
      </c>
      <c r="D2596" s="2">
        <f>IF(A2596&lt;&gt;"", VLOOKUP(A2596, imdb_netflix_v5!A$2:H$7370, 4, FALSE), "")</f>
        <v>7.7</v>
      </c>
      <c r="E2596" s="2">
        <f>IF(A2596&lt;&gt;"", VLOOKUP(A2596, imdb_netflix_v5!A$2:H$7370, 5, FALSE), "")</f>
        <v>1981</v>
      </c>
      <c r="F2596" s="2" t="str">
        <f>IF(A2596&lt;&gt;"", VLOOKUP(A2596, imdb_netflix_v5!A$2:H$7370, 7, FALSE), "")</f>
        <v>NA</v>
      </c>
    </row>
    <row r="2597" ht="15.75" customHeight="1">
      <c r="A2597" s="1" t="str">
        <f>IFERROR(__xludf.DUMMYFUNCTION("""COMPUTED_VALUE"""),"little britain")</f>
        <v>little britain</v>
      </c>
      <c r="B2597" s="1" t="str">
        <f>IF(A2597&lt;&gt;"", VLOOKUP(A2597, imdb_netflix_v5!A$2:H$7370, 2, FALSE), "")</f>
        <v>TV Show</v>
      </c>
      <c r="C2597" s="2" t="str">
        <f>IF(A2597&lt;&gt;"", VLOOKUP(A2597, imdb_netflix_v5!A$2:H$7370, 3, FALSE), "")</f>
        <v>Comedy</v>
      </c>
      <c r="D2597" s="2">
        <f>IF(A2597&lt;&gt;"", VLOOKUP(A2597, imdb_netflix_v5!A$2:H$7370, 4, FALSE), "")</f>
        <v>7.7</v>
      </c>
      <c r="E2597" s="2">
        <f>IF(A2597&lt;&gt;"", VLOOKUP(A2597, imdb_netflix_v5!A$2:H$7370, 5, FALSE), "")</f>
        <v>2003</v>
      </c>
      <c r="F2597" s="2" t="str">
        <f>IF(A2597&lt;&gt;"", VLOOKUP(A2597, imdb_netflix_v5!A$2:H$7370, 7, FALSE), "")</f>
        <v>NA</v>
      </c>
    </row>
    <row r="2598" ht="15.75" customHeight="1">
      <c r="A2598" s="1" t="str">
        <f>IFERROR(__xludf.DUMMYFUNCTION("""COMPUTED_VALUE"""),"my darling clementine")</f>
        <v>my darling clementine</v>
      </c>
      <c r="B2598" s="1" t="str">
        <f>IF(A2598&lt;&gt;"", VLOOKUP(A2598, imdb_netflix_v5!A$2:H$7370, 2, FALSE), "")</f>
        <v>Movie</v>
      </c>
      <c r="C2598" s="2" t="str">
        <f>IF(A2598&lt;&gt;"", VLOOKUP(A2598, imdb_netflix_v5!A$2:H$7370, 3, FALSE), "")</f>
        <v>Drama, Romance, Western</v>
      </c>
      <c r="D2598" s="2">
        <f>IF(A2598&lt;&gt;"", VLOOKUP(A2598, imdb_netflix_v5!A$2:H$7370, 4, FALSE), "")</f>
        <v>7.7</v>
      </c>
      <c r="E2598" s="2">
        <f>IF(A2598&lt;&gt;"", VLOOKUP(A2598, imdb_netflix_v5!A$2:H$7370, 5, FALSE), "")</f>
        <v>1946</v>
      </c>
      <c r="F2598" s="2" t="str">
        <f>IF(A2598&lt;&gt;"", VLOOKUP(A2598, imdb_netflix_v5!A$2:H$7370, 7, FALSE), "")</f>
        <v>NA</v>
      </c>
    </row>
    <row r="2599" ht="15.75" customHeight="1">
      <c r="A2599" s="1" t="str">
        <f>IFERROR(__xludf.DUMMYFUNCTION("""COMPUTED_VALUE"""),"never look away")</f>
        <v>never look away</v>
      </c>
      <c r="B2599" s="1" t="str">
        <f>IF(A2599&lt;&gt;"", VLOOKUP(A2599, imdb_netflix_v5!A$2:H$7370, 2, FALSE), "")</f>
        <v>Movie</v>
      </c>
      <c r="C2599" s="2" t="str">
        <f>IF(A2599&lt;&gt;"", VLOOKUP(A2599, imdb_netflix_v5!A$2:H$7370, 3, FALSE), "")</f>
        <v>Biography, Drama, Romance</v>
      </c>
      <c r="D2599" s="2">
        <f>IF(A2599&lt;&gt;"", VLOOKUP(A2599, imdb_netflix_v5!A$2:H$7370, 4, FALSE), "")</f>
        <v>7.7</v>
      </c>
      <c r="E2599" s="2">
        <f>IF(A2599&lt;&gt;"", VLOOKUP(A2599, imdb_netflix_v5!A$2:H$7370, 5, FALSE), "")</f>
        <v>2018</v>
      </c>
      <c r="F2599" s="2" t="str">
        <f>IF(A2599&lt;&gt;"", VLOOKUP(A2599, imdb_netflix_v5!A$2:H$7370, 7, FALSE), "")</f>
        <v>NA</v>
      </c>
    </row>
    <row r="2600" ht="15.75" customHeight="1">
      <c r="A2600" s="1" t="str">
        <f>IFERROR(__xludf.DUMMYFUNCTION("""COMPUTED_VALUE"""),"switched at birth")</f>
        <v>switched at birth</v>
      </c>
      <c r="B2600" s="1" t="str">
        <f>IF(A2600&lt;&gt;"", VLOOKUP(A2600, imdb_netflix_v5!A$2:H$7370, 2, FALSE), "")</f>
        <v>TV Show</v>
      </c>
      <c r="C2600" s="2" t="str">
        <f>IF(A2600&lt;&gt;"", VLOOKUP(A2600, imdb_netflix_v5!A$2:H$7370, 3, FALSE), "")</f>
        <v>Drama, Family, Romance</v>
      </c>
      <c r="D2600" s="2">
        <f>IF(A2600&lt;&gt;"", VLOOKUP(A2600, imdb_netflix_v5!A$2:H$7370, 4, FALSE), "")</f>
        <v>7.7</v>
      </c>
      <c r="E2600" s="2">
        <f>IF(A2600&lt;&gt;"", VLOOKUP(A2600, imdb_netflix_v5!A$2:H$7370, 5, FALSE), "")</f>
        <v>2011</v>
      </c>
      <c r="F2600" s="2" t="str">
        <f>IF(A2600&lt;&gt;"", VLOOKUP(A2600, imdb_netflix_v5!A$2:H$7370, 7, FALSE), "")</f>
        <v>NA</v>
      </c>
    </row>
    <row r="2601" ht="15.75" customHeight="1">
      <c r="A2601" s="1" t="str">
        <f>IFERROR(__xludf.DUMMYFUNCTION("""COMPUTED_VALUE"""),"breaking away")</f>
        <v>breaking away</v>
      </c>
      <c r="B2601" s="1" t="str">
        <f>IF(A2601&lt;&gt;"", VLOOKUP(A2601, imdb_netflix_v5!A$2:H$7370, 2, FALSE), "")</f>
        <v>Movie</v>
      </c>
      <c r="C2601" s="2" t="str">
        <f>IF(A2601&lt;&gt;"", VLOOKUP(A2601, imdb_netflix_v5!A$2:H$7370, 3, FALSE), "")</f>
        <v>Comedy, Drama, Sport</v>
      </c>
      <c r="D2601" s="2">
        <f>IF(A2601&lt;&gt;"", VLOOKUP(A2601, imdb_netflix_v5!A$2:H$7370, 4, FALSE), "")</f>
        <v>7.7</v>
      </c>
      <c r="E2601" s="2">
        <f>IF(A2601&lt;&gt;"", VLOOKUP(A2601, imdb_netflix_v5!A$2:H$7370, 5, FALSE), "")</f>
        <v>1979</v>
      </c>
      <c r="F2601" s="2" t="str">
        <f>IF(A2601&lt;&gt;"", VLOOKUP(A2601, imdb_netflix_v5!A$2:H$7370, 7, FALSE), "")</f>
        <v>NA</v>
      </c>
    </row>
    <row r="2602" ht="15.75" customHeight="1">
      <c r="A2602" s="1" t="str">
        <f>IFERROR(__xludf.DUMMYFUNCTION("""COMPUTED_VALUE"""),"magadheera")</f>
        <v>magadheera</v>
      </c>
      <c r="B2602" s="1" t="str">
        <f>IF(A2602&lt;&gt;"", VLOOKUP(A2602, imdb_netflix_v5!A$2:H$7370, 2, FALSE), "")</f>
        <v>Movie</v>
      </c>
      <c r="C2602" s="2" t="str">
        <f>IF(A2602&lt;&gt;"", VLOOKUP(A2602, imdb_netflix_v5!A$2:H$7370, 3, FALSE), "")</f>
        <v>Action, Drama, Fantasy</v>
      </c>
      <c r="D2602" s="2">
        <f>IF(A2602&lt;&gt;"", VLOOKUP(A2602, imdb_netflix_v5!A$2:H$7370, 4, FALSE), "")</f>
        <v>7.7</v>
      </c>
      <c r="E2602" s="2">
        <f>IF(A2602&lt;&gt;"", VLOOKUP(A2602, imdb_netflix_v5!A$2:H$7370, 5, FALSE), "")</f>
        <v>2009</v>
      </c>
      <c r="F2602" s="2" t="str">
        <f>IF(A2602&lt;&gt;"", VLOOKUP(A2602, imdb_netflix_v5!A$2:H$7370, 7, FALSE), "")</f>
        <v>NA</v>
      </c>
    </row>
    <row r="2603" ht="15.75" customHeight="1">
      <c r="A2603" s="1" t="str">
        <f>IFERROR(__xludf.DUMMYFUNCTION("""COMPUTED_VALUE"""),"a place in the sun")</f>
        <v>a place in the sun</v>
      </c>
      <c r="B2603" s="1" t="str">
        <f>IF(A2603&lt;&gt;"", VLOOKUP(A2603, imdb_netflix_v5!A$2:H$7370, 2, FALSE), "")</f>
        <v>Movie</v>
      </c>
      <c r="C2603" s="2" t="str">
        <f>IF(A2603&lt;&gt;"", VLOOKUP(A2603, imdb_netflix_v5!A$2:H$7370, 3, FALSE), "")</f>
        <v>Drama, Romance</v>
      </c>
      <c r="D2603" s="2">
        <f>IF(A2603&lt;&gt;"", VLOOKUP(A2603, imdb_netflix_v5!A$2:H$7370, 4, FALSE), "")</f>
        <v>7.7</v>
      </c>
      <c r="E2603" s="2">
        <f>IF(A2603&lt;&gt;"", VLOOKUP(A2603, imdb_netflix_v5!A$2:H$7370, 5, FALSE), "")</f>
        <v>1951</v>
      </c>
      <c r="F2603" s="2" t="str">
        <f>IF(A2603&lt;&gt;"", VLOOKUP(A2603, imdb_netflix_v5!A$2:H$7370, 7, FALSE), "")</f>
        <v>NA</v>
      </c>
    </row>
    <row r="2604" ht="15.75" customHeight="1">
      <c r="A2604" s="1" t="str">
        <f>IFERROR(__xludf.DUMMYFUNCTION("""COMPUTED_VALUE"""),"guru")</f>
        <v>guru</v>
      </c>
      <c r="B2604" s="1" t="str">
        <f>IF(A2604&lt;&gt;"", VLOOKUP(A2604, imdb_netflix_v5!A$2:H$7370, 2, FALSE), "")</f>
        <v>Movie</v>
      </c>
      <c r="C2604" s="2" t="str">
        <f>IF(A2604&lt;&gt;"", VLOOKUP(A2604, imdb_netflix_v5!A$2:H$7370, 3, FALSE), "")</f>
        <v>Drama</v>
      </c>
      <c r="D2604" s="2">
        <f>IF(A2604&lt;&gt;"", VLOOKUP(A2604, imdb_netflix_v5!A$2:H$7370, 4, FALSE), "")</f>
        <v>7.7</v>
      </c>
      <c r="E2604" s="2">
        <f>IF(A2604&lt;&gt;"", VLOOKUP(A2604, imdb_netflix_v5!A$2:H$7370, 5, FALSE), "")</f>
        <v>2007</v>
      </c>
      <c r="F2604" s="2" t="str">
        <f>IF(A2604&lt;&gt;"", VLOOKUP(A2604, imdb_netflix_v5!A$2:H$7370, 7, FALSE), "")</f>
        <v>NA</v>
      </c>
    </row>
    <row r="2605" ht="15.75" customHeight="1">
      <c r="A2605" s="1" t="str">
        <f>IFERROR(__xludf.DUMMYFUNCTION("""COMPUTED_VALUE"""),"reaper")</f>
        <v>reaper</v>
      </c>
      <c r="B2605" s="1" t="str">
        <f>IF(A2605&lt;&gt;"", VLOOKUP(A2605, imdb_netflix_v5!A$2:H$7370, 2, FALSE), "")</f>
        <v>TV Show</v>
      </c>
      <c r="C2605" s="2" t="str">
        <f>IF(A2605&lt;&gt;"", VLOOKUP(A2605, imdb_netflix_v5!A$2:H$7370, 3, FALSE), "")</f>
        <v>Adventure, Comedy, Drama</v>
      </c>
      <c r="D2605" s="2">
        <f>IF(A2605&lt;&gt;"", VLOOKUP(A2605, imdb_netflix_v5!A$2:H$7370, 4, FALSE), "")</f>
        <v>7.7</v>
      </c>
      <c r="E2605" s="2">
        <f>IF(A2605&lt;&gt;"", VLOOKUP(A2605, imdb_netflix_v5!A$2:H$7370, 5, FALSE), "")</f>
        <v>2007</v>
      </c>
      <c r="F2605" s="2" t="str">
        <f>IF(A2605&lt;&gt;"", VLOOKUP(A2605, imdb_netflix_v5!A$2:H$7370, 7, FALSE), "")</f>
        <v>NA</v>
      </c>
    </row>
    <row r="2606" ht="15.75" customHeight="1">
      <c r="A2606" s="1" t="str">
        <f>IFERROR(__xludf.DUMMYFUNCTION("""COMPUTED_VALUE"""),"vinyl")</f>
        <v>vinyl</v>
      </c>
      <c r="B2606" s="1" t="str">
        <f>IF(A2606&lt;&gt;"", VLOOKUP(A2606, imdb_netflix_v5!A$2:H$7370, 2, FALSE), "")</f>
        <v>TV Show</v>
      </c>
      <c r="C2606" s="2" t="str">
        <f>IF(A2606&lt;&gt;"", VLOOKUP(A2606, imdb_netflix_v5!A$2:H$7370, 3, FALSE), "")</f>
        <v>Drama, Music</v>
      </c>
      <c r="D2606" s="2">
        <f>IF(A2606&lt;&gt;"", VLOOKUP(A2606, imdb_netflix_v5!A$2:H$7370, 4, FALSE), "")</f>
        <v>7.7</v>
      </c>
      <c r="E2606" s="2">
        <f>IF(A2606&lt;&gt;"", VLOOKUP(A2606, imdb_netflix_v5!A$2:H$7370, 5, FALSE), "")</f>
        <v>2016</v>
      </c>
      <c r="F2606" s="2" t="str">
        <f>IF(A2606&lt;&gt;"", VLOOKUP(A2606, imdb_netflix_v5!A$2:H$7370, 7, FALSE), "")</f>
        <v>NA</v>
      </c>
    </row>
    <row r="2607" ht="15.75" customHeight="1">
      <c r="A2607" s="1" t="str">
        <f>IFERROR(__xludf.DUMMYFUNCTION("""COMPUTED_VALUE"""),"bad day at black rock")</f>
        <v>bad day at black rock</v>
      </c>
      <c r="B2607" s="1" t="str">
        <f>IF(A2607&lt;&gt;"", VLOOKUP(A2607, imdb_netflix_v5!A$2:H$7370, 2, FALSE), "")</f>
        <v>Movie</v>
      </c>
      <c r="C2607" s="2" t="str">
        <f>IF(A2607&lt;&gt;"", VLOOKUP(A2607, imdb_netflix_v5!A$2:H$7370, 3, FALSE), "")</f>
        <v>Crime, Drama, Mystery</v>
      </c>
      <c r="D2607" s="2">
        <f>IF(A2607&lt;&gt;"", VLOOKUP(A2607, imdb_netflix_v5!A$2:H$7370, 4, FALSE), "")</f>
        <v>7.7</v>
      </c>
      <c r="E2607" s="2">
        <f>IF(A2607&lt;&gt;"", VLOOKUP(A2607, imdb_netflix_v5!A$2:H$7370, 5, FALSE), "")</f>
        <v>1955</v>
      </c>
      <c r="F2607" s="2" t="str">
        <f>IF(A2607&lt;&gt;"", VLOOKUP(A2607, imdb_netflix_v5!A$2:H$7370, 7, FALSE), "")</f>
        <v>NA</v>
      </c>
    </row>
    <row r="2608" ht="15.75" customHeight="1">
      <c r="A2608" s="1" t="str">
        <f>IFERROR(__xludf.DUMMYFUNCTION("""COMPUTED_VALUE"""),"my uncle")</f>
        <v>my uncle</v>
      </c>
      <c r="B2608" s="1" t="str">
        <f>IF(A2608&lt;&gt;"", VLOOKUP(A2608, imdb_netflix_v5!A$2:H$7370, 2, FALSE), "")</f>
        <v>Movie</v>
      </c>
      <c r="C2608" s="2" t="str">
        <f>IF(A2608&lt;&gt;"", VLOOKUP(A2608, imdb_netflix_v5!A$2:H$7370, 3, FALSE), "")</f>
        <v>Comedy</v>
      </c>
      <c r="D2608" s="2">
        <f>IF(A2608&lt;&gt;"", VLOOKUP(A2608, imdb_netflix_v5!A$2:H$7370, 4, FALSE), "")</f>
        <v>7.7</v>
      </c>
      <c r="E2608" s="2">
        <f>IF(A2608&lt;&gt;"", VLOOKUP(A2608, imdb_netflix_v5!A$2:H$7370, 5, FALSE), "")</f>
        <v>1958</v>
      </c>
      <c r="F2608" s="2" t="str">
        <f>IF(A2608&lt;&gt;"", VLOOKUP(A2608, imdb_netflix_v5!A$2:H$7370, 7, FALSE), "")</f>
        <v>NA</v>
      </c>
    </row>
    <row r="2609" ht="15.75" customHeight="1">
      <c r="A2609" s="1" t="str">
        <f>IFERROR(__xludf.DUMMYFUNCTION("""COMPUTED_VALUE"""),"the quiet girl")</f>
        <v>the quiet girl</v>
      </c>
      <c r="B2609" s="1" t="str">
        <f>IF(A2609&lt;&gt;"", VLOOKUP(A2609, imdb_netflix_v5!A$2:H$7370, 2, FALSE), "")</f>
        <v>Movie</v>
      </c>
      <c r="C2609" s="2" t="str">
        <f>IF(A2609&lt;&gt;"", VLOOKUP(A2609, imdb_netflix_v5!A$2:H$7370, 3, FALSE), "")</f>
        <v>Drama</v>
      </c>
      <c r="D2609" s="2">
        <f>IF(A2609&lt;&gt;"", VLOOKUP(A2609, imdb_netflix_v5!A$2:H$7370, 4, FALSE), "")</f>
        <v>7.7</v>
      </c>
      <c r="E2609" s="2">
        <f>IF(A2609&lt;&gt;"", VLOOKUP(A2609, imdb_netflix_v5!A$2:H$7370, 5, FALSE), "")</f>
        <v>2022</v>
      </c>
      <c r="F2609" s="2" t="str">
        <f>IF(A2609&lt;&gt;"", VLOOKUP(A2609, imdb_netflix_v5!A$2:H$7370, 7, FALSE), "")</f>
        <v>NA</v>
      </c>
    </row>
    <row r="2610" ht="15.75" customHeight="1">
      <c r="A2610" s="1" t="str">
        <f>IFERROR(__xludf.DUMMYFUNCTION("""COMPUTED_VALUE"""),"the killers")</f>
        <v>the killers</v>
      </c>
      <c r="B2610" s="1" t="str">
        <f>IF(A2610&lt;&gt;"", VLOOKUP(A2610, imdb_netflix_v5!A$2:H$7370, 2, FALSE), "")</f>
        <v>Movie</v>
      </c>
      <c r="C2610" s="2" t="str">
        <f>IF(A2610&lt;&gt;"", VLOOKUP(A2610, imdb_netflix_v5!A$2:H$7370, 3, FALSE), "")</f>
        <v>Crime, Drama, Film-Noir</v>
      </c>
      <c r="D2610" s="2">
        <f>IF(A2610&lt;&gt;"", VLOOKUP(A2610, imdb_netflix_v5!A$2:H$7370, 4, FALSE), "")</f>
        <v>7.7</v>
      </c>
      <c r="E2610" s="2">
        <f>IF(A2610&lt;&gt;"", VLOOKUP(A2610, imdb_netflix_v5!A$2:H$7370, 5, FALSE), "")</f>
        <v>1946</v>
      </c>
      <c r="F2610" s="2" t="str">
        <f>IF(A2610&lt;&gt;"", VLOOKUP(A2610, imdb_netflix_v5!A$2:H$7370, 7, FALSE), "")</f>
        <v>NA</v>
      </c>
    </row>
    <row r="2611" ht="15.75" customHeight="1">
      <c r="A2611" s="1" t="str">
        <f>IFERROR(__xludf.DUMMYFUNCTION("""COMPUTED_VALUE"""),"prodigal son")</f>
        <v>prodigal son</v>
      </c>
      <c r="B2611" s="1" t="str">
        <f>IF(A2611&lt;&gt;"", VLOOKUP(A2611, imdb_netflix_v5!A$2:H$7370, 2, FALSE), "")</f>
        <v>TV Show</v>
      </c>
      <c r="C2611" s="2" t="str">
        <f>IF(A2611&lt;&gt;"", VLOOKUP(A2611, imdb_netflix_v5!A$2:H$7370, 3, FALSE), "")</f>
        <v>Crime, Drama, Mystery</v>
      </c>
      <c r="D2611" s="2">
        <f>IF(A2611&lt;&gt;"", VLOOKUP(A2611, imdb_netflix_v5!A$2:H$7370, 4, FALSE), "")</f>
        <v>7.7</v>
      </c>
      <c r="E2611" s="2">
        <f>IF(A2611&lt;&gt;"", VLOOKUP(A2611, imdb_netflix_v5!A$2:H$7370, 5, FALSE), "")</f>
        <v>2019</v>
      </c>
      <c r="F2611" s="2" t="str">
        <f>IF(A2611&lt;&gt;"", VLOOKUP(A2611, imdb_netflix_v5!A$2:H$7370, 7, FALSE), "")</f>
        <v>NA</v>
      </c>
    </row>
    <row r="2612" ht="15.75" customHeight="1">
      <c r="A2612" s="1" t="str">
        <f>IFERROR(__xludf.DUMMYFUNCTION("""COMPUTED_VALUE"""),"missing")</f>
        <v>missing</v>
      </c>
      <c r="B2612" s="1" t="str">
        <f>IF(A2612&lt;&gt;"", VLOOKUP(A2612, imdb_netflix_v5!A$2:H$7370, 2, FALSE), "")</f>
        <v>Movie</v>
      </c>
      <c r="C2612" s="2" t="str">
        <f>IF(A2612&lt;&gt;"", VLOOKUP(A2612, imdb_netflix_v5!A$2:H$7370, 3, FALSE), "")</f>
        <v>Biography, Drama, History</v>
      </c>
      <c r="D2612" s="2">
        <f>IF(A2612&lt;&gt;"", VLOOKUP(A2612, imdb_netflix_v5!A$2:H$7370, 4, FALSE), "")</f>
        <v>7.7</v>
      </c>
      <c r="E2612" s="2">
        <f>IF(A2612&lt;&gt;"", VLOOKUP(A2612, imdb_netflix_v5!A$2:H$7370, 5, FALSE), "")</f>
        <v>1982</v>
      </c>
      <c r="F2612" s="2">
        <f>IF(A2612&lt;&gt;"", VLOOKUP(A2612, imdb_netflix_v5!A$2:H$7370, 7, FALSE), "")</f>
        <v>8080000</v>
      </c>
    </row>
    <row r="2613" ht="15.75" customHeight="1">
      <c r="A2613" s="1" t="str">
        <f>IFERROR(__xludf.DUMMYFUNCTION("""COMPUTED_VALUE"""),"the lady eve")</f>
        <v>the lady eve</v>
      </c>
      <c r="B2613" s="1" t="str">
        <f>IF(A2613&lt;&gt;"", VLOOKUP(A2613, imdb_netflix_v5!A$2:H$7370, 2, FALSE), "")</f>
        <v>Movie</v>
      </c>
      <c r="C2613" s="2" t="str">
        <f>IF(A2613&lt;&gt;"", VLOOKUP(A2613, imdb_netflix_v5!A$2:H$7370, 3, FALSE), "")</f>
        <v>Comedy, Romance</v>
      </c>
      <c r="D2613" s="2">
        <f>IF(A2613&lt;&gt;"", VLOOKUP(A2613, imdb_netflix_v5!A$2:H$7370, 4, FALSE), "")</f>
        <v>7.7</v>
      </c>
      <c r="E2613" s="2">
        <f>IF(A2613&lt;&gt;"", VLOOKUP(A2613, imdb_netflix_v5!A$2:H$7370, 5, FALSE), "")</f>
        <v>1941</v>
      </c>
      <c r="F2613" s="2" t="str">
        <f>IF(A2613&lt;&gt;"", VLOOKUP(A2613, imdb_netflix_v5!A$2:H$7370, 7, FALSE), "")</f>
        <v>NA</v>
      </c>
    </row>
    <row r="2614" ht="15.75" customHeight="1">
      <c r="A2614" s="1" t="str">
        <f>IFERROR(__xludf.DUMMYFUNCTION("""COMPUTED_VALUE"""),"tyrant")</f>
        <v>tyrant</v>
      </c>
      <c r="B2614" s="1" t="str">
        <f>IF(A2614&lt;&gt;"", VLOOKUP(A2614, imdb_netflix_v5!A$2:H$7370, 2, FALSE), "")</f>
        <v>TV Show</v>
      </c>
      <c r="C2614" s="2" t="str">
        <f>IF(A2614&lt;&gt;"", VLOOKUP(A2614, imdb_netflix_v5!A$2:H$7370, 3, FALSE), "")</f>
        <v>Action, Drama, Thriller</v>
      </c>
      <c r="D2614" s="2">
        <f>IF(A2614&lt;&gt;"", VLOOKUP(A2614, imdb_netflix_v5!A$2:H$7370, 4, FALSE), "")</f>
        <v>7.7</v>
      </c>
      <c r="E2614" s="2">
        <f>IF(A2614&lt;&gt;"", VLOOKUP(A2614, imdb_netflix_v5!A$2:H$7370, 5, FALSE), "")</f>
        <v>2014</v>
      </c>
      <c r="F2614" s="2" t="str">
        <f>IF(A2614&lt;&gt;"", VLOOKUP(A2614, imdb_netflix_v5!A$2:H$7370, 7, FALSE), "")</f>
        <v>NA</v>
      </c>
    </row>
    <row r="2615" ht="15.75" customHeight="1">
      <c r="A2615" s="1" t="str">
        <f>IFERROR(__xludf.DUMMYFUNCTION("""COMPUTED_VALUE"""),"big love")</f>
        <v>big love</v>
      </c>
      <c r="B2615" s="1" t="str">
        <f>IF(A2615&lt;&gt;"", VLOOKUP(A2615, imdb_netflix_v5!A$2:H$7370, 2, FALSE), "")</f>
        <v>TV Show</v>
      </c>
      <c r="C2615" s="2" t="str">
        <f>IF(A2615&lt;&gt;"", VLOOKUP(A2615, imdb_netflix_v5!A$2:H$7370, 3, FALSE), "")</f>
        <v>Drama</v>
      </c>
      <c r="D2615" s="2">
        <f>IF(A2615&lt;&gt;"", VLOOKUP(A2615, imdb_netflix_v5!A$2:H$7370, 4, FALSE), "")</f>
        <v>7.7</v>
      </c>
      <c r="E2615" s="2">
        <f>IF(A2615&lt;&gt;"", VLOOKUP(A2615, imdb_netflix_v5!A$2:H$7370, 5, FALSE), "")</f>
        <v>2006</v>
      </c>
      <c r="F2615" s="2" t="str">
        <f>IF(A2615&lt;&gt;"", VLOOKUP(A2615, imdb_netflix_v5!A$2:H$7370, 7, FALSE), "")</f>
        <v>NA</v>
      </c>
    </row>
    <row r="2616" ht="15.75" customHeight="1">
      <c r="A2616" s="1" t="str">
        <f>IFERROR(__xludf.DUMMYFUNCTION("""COMPUTED_VALUE"""),"my little pony friendship is magic")</f>
        <v>my little pony friendship is magic</v>
      </c>
      <c r="B2616" s="1" t="str">
        <f>IF(A2616&lt;&gt;"", VLOOKUP(A2616, imdb_netflix_v5!A$2:H$7370, 2, FALSE), "")</f>
        <v>TV Show</v>
      </c>
      <c r="C2616" s="2" t="str">
        <f>IF(A2616&lt;&gt;"", VLOOKUP(A2616, imdb_netflix_v5!A$2:H$7370, 3, FALSE), "")</f>
        <v>Adventure, Animation, Comedy</v>
      </c>
      <c r="D2616" s="2">
        <f>IF(A2616&lt;&gt;"", VLOOKUP(A2616, imdb_netflix_v5!A$2:H$7370, 4, FALSE), "")</f>
        <v>7.7</v>
      </c>
      <c r="E2616" s="2">
        <f>IF(A2616&lt;&gt;"", VLOOKUP(A2616, imdb_netflix_v5!A$2:H$7370, 5, FALSE), "")</f>
        <v>2010</v>
      </c>
      <c r="F2616" s="2" t="str">
        <f>IF(A2616&lt;&gt;"", VLOOKUP(A2616, imdb_netflix_v5!A$2:H$7370, 7, FALSE), "")</f>
        <v>NA</v>
      </c>
    </row>
    <row r="2617" ht="15.75" customHeight="1">
      <c r="A2617" s="1" t="str">
        <f>IFERROR(__xludf.DUMMYFUNCTION("""COMPUTED_VALUE"""),"au hasard balthazar")</f>
        <v>au hasard balthazar</v>
      </c>
      <c r="B2617" s="1" t="str">
        <f>IF(A2617&lt;&gt;"", VLOOKUP(A2617, imdb_netflix_v5!A$2:H$7370, 2, FALSE), "")</f>
        <v>Movie</v>
      </c>
      <c r="C2617" s="2" t="str">
        <f>IF(A2617&lt;&gt;"", VLOOKUP(A2617, imdb_netflix_v5!A$2:H$7370, 3, FALSE), "")</f>
        <v>Drama</v>
      </c>
      <c r="D2617" s="2">
        <f>IF(A2617&lt;&gt;"", VLOOKUP(A2617, imdb_netflix_v5!A$2:H$7370, 4, FALSE), "")</f>
        <v>7.7</v>
      </c>
      <c r="E2617" s="2">
        <f>IF(A2617&lt;&gt;"", VLOOKUP(A2617, imdb_netflix_v5!A$2:H$7370, 5, FALSE), "")</f>
        <v>1966</v>
      </c>
      <c r="F2617" s="2" t="str">
        <f>IF(A2617&lt;&gt;"", VLOOKUP(A2617, imdb_netflix_v5!A$2:H$7370, 7, FALSE), "")</f>
        <v>NA</v>
      </c>
    </row>
    <row r="2618" ht="15.75" customHeight="1">
      <c r="A2618" s="1" t="str">
        <f>IFERROR(__xludf.DUMMYFUNCTION("""COMPUTED_VALUE"""),"splendor in the grass")</f>
        <v>splendor in the grass</v>
      </c>
      <c r="B2618" s="1" t="str">
        <f>IF(A2618&lt;&gt;"", VLOOKUP(A2618, imdb_netflix_v5!A$2:H$7370, 2, FALSE), "")</f>
        <v>Movie</v>
      </c>
      <c r="C2618" s="2" t="str">
        <f>IF(A2618&lt;&gt;"", VLOOKUP(A2618, imdb_netflix_v5!A$2:H$7370, 3, FALSE), "")</f>
        <v>Drama, Romance</v>
      </c>
      <c r="D2618" s="2">
        <f>IF(A2618&lt;&gt;"", VLOOKUP(A2618, imdb_netflix_v5!A$2:H$7370, 4, FALSE), "")</f>
        <v>7.7</v>
      </c>
      <c r="E2618" s="2">
        <f>IF(A2618&lt;&gt;"", VLOOKUP(A2618, imdb_netflix_v5!A$2:H$7370, 5, FALSE), "")</f>
        <v>1961</v>
      </c>
      <c r="F2618" s="2" t="str">
        <f>IF(A2618&lt;&gt;"", VLOOKUP(A2618, imdb_netflix_v5!A$2:H$7370, 7, FALSE), "")</f>
        <v>NA</v>
      </c>
    </row>
    <row r="2619" ht="15.75" customHeight="1">
      <c r="A2619" s="1" t="str">
        <f>IFERROR(__xludf.DUMMYFUNCTION("""COMPUTED_VALUE"""),"rock on!!")</f>
        <v>rock on!!</v>
      </c>
      <c r="B2619" s="1" t="str">
        <f>IF(A2619&lt;&gt;"", VLOOKUP(A2619, imdb_netflix_v5!A$2:H$7370, 2, FALSE), "")</f>
        <v>Movie</v>
      </c>
      <c r="C2619" s="2" t="str">
        <f>IF(A2619&lt;&gt;"", VLOOKUP(A2619, imdb_netflix_v5!A$2:H$7370, 3, FALSE), "")</f>
        <v>Drama, Music</v>
      </c>
      <c r="D2619" s="2">
        <f>IF(A2619&lt;&gt;"", VLOOKUP(A2619, imdb_netflix_v5!A$2:H$7370, 4, FALSE), "")</f>
        <v>7.7</v>
      </c>
      <c r="E2619" s="2">
        <f>IF(A2619&lt;&gt;"", VLOOKUP(A2619, imdb_netflix_v5!A$2:H$7370, 5, FALSE), "")</f>
        <v>2008</v>
      </c>
      <c r="F2619" s="2" t="str">
        <f>IF(A2619&lt;&gt;"", VLOOKUP(A2619, imdb_netflix_v5!A$2:H$7370, 7, FALSE), "")</f>
        <v>NA</v>
      </c>
    </row>
    <row r="2620" ht="15.75" customHeight="1">
      <c r="A2620" s="1" t="str">
        <f>IFERROR(__xludf.DUMMYFUNCTION("""COMPUTED_VALUE"""),"leclisse")</f>
        <v>leclisse</v>
      </c>
      <c r="B2620" s="1" t="str">
        <f>IF(A2620&lt;&gt;"", VLOOKUP(A2620, imdb_netflix_v5!A$2:H$7370, 2, FALSE), "")</f>
        <v>Movie</v>
      </c>
      <c r="C2620" s="2" t="str">
        <f>IF(A2620&lt;&gt;"", VLOOKUP(A2620, imdb_netflix_v5!A$2:H$7370, 3, FALSE), "")</f>
        <v>Drama, Romance</v>
      </c>
      <c r="D2620" s="2">
        <f>IF(A2620&lt;&gt;"", VLOOKUP(A2620, imdb_netflix_v5!A$2:H$7370, 4, FALSE), "")</f>
        <v>7.7</v>
      </c>
      <c r="E2620" s="2">
        <f>IF(A2620&lt;&gt;"", VLOOKUP(A2620, imdb_netflix_v5!A$2:H$7370, 5, FALSE), "")</f>
        <v>1962</v>
      </c>
      <c r="F2620" s="2" t="str">
        <f>IF(A2620&lt;&gt;"", VLOOKUP(A2620, imdb_netflix_v5!A$2:H$7370, 7, FALSE), "")</f>
        <v>NA</v>
      </c>
    </row>
    <row r="2621" ht="15.75" customHeight="1">
      <c r="A2621" s="1" t="str">
        <f>IFERROR(__xludf.DUMMYFUNCTION("""COMPUTED_VALUE"""),"kikujiro")</f>
        <v>kikujiro</v>
      </c>
      <c r="B2621" s="1" t="str">
        <f>IF(A2621&lt;&gt;"", VLOOKUP(A2621, imdb_netflix_v5!A$2:H$7370, 2, FALSE), "")</f>
        <v>Movie</v>
      </c>
      <c r="C2621" s="2" t="str">
        <f>IF(A2621&lt;&gt;"", VLOOKUP(A2621, imdb_netflix_v5!A$2:H$7370, 3, FALSE), "")</f>
        <v>Comedy, Drama</v>
      </c>
      <c r="D2621" s="2">
        <f>IF(A2621&lt;&gt;"", VLOOKUP(A2621, imdb_netflix_v5!A$2:H$7370, 4, FALSE), "")</f>
        <v>7.7</v>
      </c>
      <c r="E2621" s="2">
        <f>IF(A2621&lt;&gt;"", VLOOKUP(A2621, imdb_netflix_v5!A$2:H$7370, 5, FALSE), "")</f>
        <v>1999</v>
      </c>
      <c r="F2621" s="2" t="str">
        <f>IF(A2621&lt;&gt;"", VLOOKUP(A2621, imdb_netflix_v5!A$2:H$7370, 7, FALSE), "")</f>
        <v>NA</v>
      </c>
    </row>
    <row r="2622" ht="15.75" customHeight="1">
      <c r="A2622" s="1" t="str">
        <f>IFERROR(__xludf.DUMMYFUNCTION("""COMPUTED_VALUE"""),"dear frankie")</f>
        <v>dear frankie</v>
      </c>
      <c r="B2622" s="1" t="str">
        <f>IF(A2622&lt;&gt;"", VLOOKUP(A2622, imdb_netflix_v5!A$2:H$7370, 2, FALSE), "")</f>
        <v>Movie</v>
      </c>
      <c r="C2622" s="2" t="str">
        <f>IF(A2622&lt;&gt;"", VLOOKUP(A2622, imdb_netflix_v5!A$2:H$7370, 3, FALSE), "")</f>
        <v>Drama, Romance</v>
      </c>
      <c r="D2622" s="2">
        <f>IF(A2622&lt;&gt;"", VLOOKUP(A2622, imdb_netflix_v5!A$2:H$7370, 4, FALSE), "")</f>
        <v>7.7</v>
      </c>
      <c r="E2622" s="2">
        <f>IF(A2622&lt;&gt;"", VLOOKUP(A2622, imdb_netflix_v5!A$2:H$7370, 5, FALSE), "")</f>
        <v>2004</v>
      </c>
      <c r="F2622" s="2" t="str">
        <f>IF(A2622&lt;&gt;"", VLOOKUP(A2622, imdb_netflix_v5!A$2:H$7370, 7, FALSE), "")</f>
        <v>NA</v>
      </c>
    </row>
    <row r="2623" ht="15.75" customHeight="1">
      <c r="A2623" s="1" t="str">
        <f>IFERROR(__xludf.DUMMYFUNCTION("""COMPUTED_VALUE"""),"corpus christi")</f>
        <v>corpus christi</v>
      </c>
      <c r="B2623" s="1" t="str">
        <f>IF(A2623&lt;&gt;"", VLOOKUP(A2623, imdb_netflix_v5!A$2:H$7370, 2, FALSE), "")</f>
        <v>Movie</v>
      </c>
      <c r="C2623" s="2" t="str">
        <f>IF(A2623&lt;&gt;"", VLOOKUP(A2623, imdb_netflix_v5!A$2:H$7370, 3, FALSE), "")</f>
        <v>Drama</v>
      </c>
      <c r="D2623" s="2">
        <f>IF(A2623&lt;&gt;"", VLOOKUP(A2623, imdb_netflix_v5!A$2:H$7370, 4, FALSE), "")</f>
        <v>7.7</v>
      </c>
      <c r="E2623" s="2">
        <f>IF(A2623&lt;&gt;"", VLOOKUP(A2623, imdb_netflix_v5!A$2:H$7370, 5, FALSE), "")</f>
        <v>2019</v>
      </c>
      <c r="F2623" s="2" t="str">
        <f>IF(A2623&lt;&gt;"", VLOOKUP(A2623, imdb_netflix_v5!A$2:H$7370, 7, FALSE), "")</f>
        <v>NA</v>
      </c>
    </row>
    <row r="2624" ht="15.75" customHeight="1">
      <c r="A2624" s="1" t="str">
        <f>IFERROR(__xludf.DUMMYFUNCTION("""COMPUTED_VALUE"""),"dota dragons blood")</f>
        <v>dota dragons blood</v>
      </c>
      <c r="B2624" s="1" t="str">
        <f>IF(A2624&lt;&gt;"", VLOOKUP(A2624, imdb_netflix_v5!A$2:H$7370, 2, FALSE), "")</f>
        <v>TV Show</v>
      </c>
      <c r="C2624" s="2" t="str">
        <f>IF(A2624&lt;&gt;"", VLOOKUP(A2624, imdb_netflix_v5!A$2:H$7370, 3, FALSE), "")</f>
        <v>Action, Adventure, Animation</v>
      </c>
      <c r="D2624" s="2">
        <f>IF(A2624&lt;&gt;"", VLOOKUP(A2624, imdb_netflix_v5!A$2:H$7370, 4, FALSE), "")</f>
        <v>7.7</v>
      </c>
      <c r="E2624" s="2">
        <f>IF(A2624&lt;&gt;"", VLOOKUP(A2624, imdb_netflix_v5!A$2:H$7370, 5, FALSE), "")</f>
        <v>2021</v>
      </c>
      <c r="F2624" s="2" t="str">
        <f>IF(A2624&lt;&gt;"", VLOOKUP(A2624, imdb_netflix_v5!A$2:H$7370, 7, FALSE), "")</f>
        <v>NA</v>
      </c>
    </row>
    <row r="2625" ht="15.75" customHeight="1">
      <c r="A2625" s="1" t="str">
        <f>IFERROR(__xludf.DUMMYFUNCTION("""COMPUTED_VALUE"""),"vikingane")</f>
        <v>vikingane</v>
      </c>
      <c r="B2625" s="1" t="str">
        <f>IF(A2625&lt;&gt;"", VLOOKUP(A2625, imdb_netflix_v5!A$2:H$7370, 2, FALSE), "")</f>
        <v>TV Show</v>
      </c>
      <c r="C2625" s="2" t="str">
        <f>IF(A2625&lt;&gt;"", VLOOKUP(A2625, imdb_netflix_v5!A$2:H$7370, 3, FALSE), "")</f>
        <v>Comedy, History</v>
      </c>
      <c r="D2625" s="2">
        <f>IF(A2625&lt;&gt;"", VLOOKUP(A2625, imdb_netflix_v5!A$2:H$7370, 4, FALSE), "")</f>
        <v>7.7</v>
      </c>
      <c r="E2625" s="2">
        <f>IF(A2625&lt;&gt;"", VLOOKUP(A2625, imdb_netflix_v5!A$2:H$7370, 5, FALSE), "")</f>
        <v>2016</v>
      </c>
      <c r="F2625" s="2" t="str">
        <f>IF(A2625&lt;&gt;"", VLOOKUP(A2625, imdb_netflix_v5!A$2:H$7370, 7, FALSE), "")</f>
        <v>NA</v>
      </c>
    </row>
    <row r="2626" ht="15.75" customHeight="1">
      <c r="A2626" s="1" t="str">
        <f>IFERROR(__xludf.DUMMYFUNCTION("""COMPUTED_VALUE"""),"the awful truth")</f>
        <v>the awful truth</v>
      </c>
      <c r="B2626" s="1" t="str">
        <f>IF(A2626&lt;&gt;"", VLOOKUP(A2626, imdb_netflix_v5!A$2:H$7370, 2, FALSE), "")</f>
        <v>Movie</v>
      </c>
      <c r="C2626" s="2" t="str">
        <f>IF(A2626&lt;&gt;"", VLOOKUP(A2626, imdb_netflix_v5!A$2:H$7370, 3, FALSE), "")</f>
        <v>Comedy, Romance</v>
      </c>
      <c r="D2626" s="2">
        <f>IF(A2626&lt;&gt;"", VLOOKUP(A2626, imdb_netflix_v5!A$2:H$7370, 4, FALSE), "")</f>
        <v>7.7</v>
      </c>
      <c r="E2626" s="2">
        <f>IF(A2626&lt;&gt;"", VLOOKUP(A2626, imdb_netflix_v5!A$2:H$7370, 5, FALSE), "")</f>
        <v>1937</v>
      </c>
      <c r="F2626" s="2" t="str">
        <f>IF(A2626&lt;&gt;"", VLOOKUP(A2626, imdb_netflix_v5!A$2:H$7370, 7, FALSE), "")</f>
        <v>NA</v>
      </c>
    </row>
    <row r="2627" ht="15.75" customHeight="1">
      <c r="A2627" s="1" t="str">
        <f>IFERROR(__xludf.DUMMYFUNCTION("""COMPUTED_VALUE"""),"criminal uk")</f>
        <v>criminal uk</v>
      </c>
      <c r="B2627" s="1" t="str">
        <f>IF(A2627&lt;&gt;"", VLOOKUP(A2627, imdb_netflix_v5!A$2:H$7370, 2, FALSE), "")</f>
        <v>TV Show</v>
      </c>
      <c r="C2627" s="2" t="str">
        <f>IF(A2627&lt;&gt;"", VLOOKUP(A2627, imdb_netflix_v5!A$2:H$7370, 3, FALSE), "")</f>
        <v>Crime, Drama, Mystery</v>
      </c>
      <c r="D2627" s="2">
        <f>IF(A2627&lt;&gt;"", VLOOKUP(A2627, imdb_netflix_v5!A$2:H$7370, 4, FALSE), "")</f>
        <v>7.7</v>
      </c>
      <c r="E2627" s="2">
        <f>IF(A2627&lt;&gt;"", VLOOKUP(A2627, imdb_netflix_v5!A$2:H$7370, 5, FALSE), "")</f>
        <v>2019</v>
      </c>
      <c r="F2627" s="2" t="str">
        <f>IF(A2627&lt;&gt;"", VLOOKUP(A2627, imdb_netflix_v5!A$2:H$7370, 7, FALSE), "")</f>
        <v>NA</v>
      </c>
    </row>
    <row r="2628" ht="15.75" customHeight="1">
      <c r="A2628" s="1" t="str">
        <f>IFERROR(__xludf.DUMMYFUNCTION("""COMPUTED_VALUE"""),"the silence")</f>
        <v>the silence</v>
      </c>
      <c r="B2628" s="1" t="str">
        <f>IF(A2628&lt;&gt;"", VLOOKUP(A2628, imdb_netflix_v5!A$2:H$7370, 2, FALSE), "")</f>
        <v>Movie</v>
      </c>
      <c r="C2628" s="2" t="str">
        <f>IF(A2628&lt;&gt;"", VLOOKUP(A2628, imdb_netflix_v5!A$2:H$7370, 3, FALSE), "")</f>
        <v>Drama</v>
      </c>
      <c r="D2628" s="2">
        <f>IF(A2628&lt;&gt;"", VLOOKUP(A2628, imdb_netflix_v5!A$2:H$7370, 4, FALSE), "")</f>
        <v>7.7</v>
      </c>
      <c r="E2628" s="2">
        <f>IF(A2628&lt;&gt;"", VLOOKUP(A2628, imdb_netflix_v5!A$2:H$7370, 5, FALSE), "")</f>
        <v>1963</v>
      </c>
      <c r="F2628" s="2" t="str">
        <f>IF(A2628&lt;&gt;"", VLOOKUP(A2628, imdb_netflix_v5!A$2:H$7370, 7, FALSE), "")</f>
        <v>NA</v>
      </c>
    </row>
    <row r="2629" ht="15.75" customHeight="1">
      <c r="A2629" s="1" t="str">
        <f>IFERROR(__xludf.DUMMYFUNCTION("""COMPUTED_VALUE"""),"purple noon")</f>
        <v>purple noon</v>
      </c>
      <c r="B2629" s="1" t="str">
        <f>IF(A2629&lt;&gt;"", VLOOKUP(A2629, imdb_netflix_v5!A$2:H$7370, 2, FALSE), "")</f>
        <v>Movie</v>
      </c>
      <c r="C2629" s="2" t="str">
        <f>IF(A2629&lt;&gt;"", VLOOKUP(A2629, imdb_netflix_v5!A$2:H$7370, 3, FALSE), "")</f>
        <v>Crime, Drama, Thriller</v>
      </c>
      <c r="D2629" s="2">
        <f>IF(A2629&lt;&gt;"", VLOOKUP(A2629, imdb_netflix_v5!A$2:H$7370, 4, FALSE), "")</f>
        <v>7.7</v>
      </c>
      <c r="E2629" s="2">
        <f>IF(A2629&lt;&gt;"", VLOOKUP(A2629, imdb_netflix_v5!A$2:H$7370, 5, FALSE), "")</f>
        <v>1960</v>
      </c>
      <c r="F2629" s="2" t="str">
        <f>IF(A2629&lt;&gt;"", VLOOKUP(A2629, imdb_netflix_v5!A$2:H$7370, 7, FALSE), "")</f>
        <v>NA</v>
      </c>
    </row>
    <row r="2630" ht="15.75" customHeight="1">
      <c r="A2630" s="1" t="str">
        <f>IFERROR(__xludf.DUMMYFUNCTION("""COMPUTED_VALUE"""),"catch-22")</f>
        <v>catch-22</v>
      </c>
      <c r="B2630" s="1" t="str">
        <f>IF(A2630&lt;&gt;"", VLOOKUP(A2630, imdb_netflix_v5!A$2:H$7370, 2, FALSE), "")</f>
        <v>TV Show</v>
      </c>
      <c r="C2630" s="2" t="str">
        <f>IF(A2630&lt;&gt;"", VLOOKUP(A2630, imdb_netflix_v5!A$2:H$7370, 3, FALSE), "")</f>
        <v>Action, Comedy, Drama</v>
      </c>
      <c r="D2630" s="2">
        <f>IF(A2630&lt;&gt;"", VLOOKUP(A2630, imdb_netflix_v5!A$2:H$7370, 4, FALSE), "")</f>
        <v>7.7</v>
      </c>
      <c r="E2630" s="2">
        <f>IF(A2630&lt;&gt;"", VLOOKUP(A2630, imdb_netflix_v5!A$2:H$7370, 5, FALSE), "")</f>
        <v>2019</v>
      </c>
      <c r="F2630" s="2" t="str">
        <f>IF(A2630&lt;&gt;"", VLOOKUP(A2630, imdb_netflix_v5!A$2:H$7370, 7, FALSE), "")</f>
        <v>NA</v>
      </c>
    </row>
    <row r="2631" ht="15.75" customHeight="1">
      <c r="A2631" s="1" t="str">
        <f>IFERROR(__xludf.DUMMYFUNCTION("""COMPUTED_VALUE"""),"top hat")</f>
        <v>top hat</v>
      </c>
      <c r="B2631" s="1" t="str">
        <f>IF(A2631&lt;&gt;"", VLOOKUP(A2631, imdb_netflix_v5!A$2:H$7370, 2, FALSE), "")</f>
        <v>Movie</v>
      </c>
      <c r="C2631" s="2" t="str">
        <f>IF(A2631&lt;&gt;"", VLOOKUP(A2631, imdb_netflix_v5!A$2:H$7370, 3, FALSE), "")</f>
        <v>Comedy, Musical, Romance</v>
      </c>
      <c r="D2631" s="2">
        <f>IF(A2631&lt;&gt;"", VLOOKUP(A2631, imdb_netflix_v5!A$2:H$7370, 4, FALSE), "")</f>
        <v>7.7</v>
      </c>
      <c r="E2631" s="2">
        <f>IF(A2631&lt;&gt;"", VLOOKUP(A2631, imdb_netflix_v5!A$2:H$7370, 5, FALSE), "")</f>
        <v>1935</v>
      </c>
      <c r="F2631" s="2" t="str">
        <f>IF(A2631&lt;&gt;"", VLOOKUP(A2631, imdb_netflix_v5!A$2:H$7370, 7, FALSE), "")</f>
        <v>NA</v>
      </c>
    </row>
    <row r="2632" ht="15.75" customHeight="1">
      <c r="A2632" s="1" t="str">
        <f>IFERROR(__xludf.DUMMYFUNCTION("""COMPUTED_VALUE"""),"seven seconds")</f>
        <v>seven seconds</v>
      </c>
      <c r="B2632" s="1" t="str">
        <f>IF(A2632&lt;&gt;"", VLOOKUP(A2632, imdb_netflix_v5!A$2:H$7370, 2, FALSE), "")</f>
        <v>TV Show</v>
      </c>
      <c r="C2632" s="2" t="str">
        <f>IF(A2632&lt;&gt;"", VLOOKUP(A2632, imdb_netflix_v5!A$2:H$7370, 3, FALSE), "")</f>
        <v>Crime, Drama</v>
      </c>
      <c r="D2632" s="2">
        <f>IF(A2632&lt;&gt;"", VLOOKUP(A2632, imdb_netflix_v5!A$2:H$7370, 4, FALSE), "")</f>
        <v>7.7</v>
      </c>
      <c r="E2632" s="2">
        <f>IF(A2632&lt;&gt;"", VLOOKUP(A2632, imdb_netflix_v5!A$2:H$7370, 5, FALSE), "")</f>
        <v>2018</v>
      </c>
      <c r="F2632" s="2" t="str">
        <f>IF(A2632&lt;&gt;"", VLOOKUP(A2632, imdb_netflix_v5!A$2:H$7370, 7, FALSE), "")</f>
        <v>NA</v>
      </c>
    </row>
    <row r="2633" ht="15.75" customHeight="1">
      <c r="A2633" s="1" t="str">
        <f>IFERROR(__xludf.DUMMYFUNCTION("""COMPUTED_VALUE"""),"dickinson")</f>
        <v>dickinson</v>
      </c>
      <c r="B2633" s="1" t="str">
        <f>IF(A2633&lt;&gt;"", VLOOKUP(A2633, imdb_netflix_v5!A$2:H$7370, 2, FALSE), "")</f>
        <v>TV Show</v>
      </c>
      <c r="C2633" s="2" t="str">
        <f>IF(A2633&lt;&gt;"", VLOOKUP(A2633, imdb_netflix_v5!A$2:H$7370, 3, FALSE), "")</f>
        <v>Biography, Comedy, Drama</v>
      </c>
      <c r="D2633" s="2">
        <f>IF(A2633&lt;&gt;"", VLOOKUP(A2633, imdb_netflix_v5!A$2:H$7370, 4, FALSE), "")</f>
        <v>7.7</v>
      </c>
      <c r="E2633" s="2">
        <f>IF(A2633&lt;&gt;"", VLOOKUP(A2633, imdb_netflix_v5!A$2:H$7370, 5, FALSE), "")</f>
        <v>2019</v>
      </c>
      <c r="F2633" s="2" t="str">
        <f>IF(A2633&lt;&gt;"", VLOOKUP(A2633, imdb_netflix_v5!A$2:H$7370, 7, FALSE), "")</f>
        <v>NA</v>
      </c>
    </row>
    <row r="2634" ht="15.75" customHeight="1">
      <c r="A2634" s="1" t="str">
        <f>IFERROR(__xludf.DUMMYFUNCTION("""COMPUTED_VALUE"""),"will trent")</f>
        <v>will trent</v>
      </c>
      <c r="B2634" s="1" t="str">
        <f>IF(A2634&lt;&gt;"", VLOOKUP(A2634, imdb_netflix_v5!A$2:H$7370, 2, FALSE), "")</f>
        <v>TV Show</v>
      </c>
      <c r="C2634" s="2" t="str">
        <f>IF(A2634&lt;&gt;"", VLOOKUP(A2634, imdb_netflix_v5!A$2:H$7370, 3, FALSE), "")</f>
        <v>Crime, Drama</v>
      </c>
      <c r="D2634" s="2">
        <f>IF(A2634&lt;&gt;"", VLOOKUP(A2634, imdb_netflix_v5!A$2:H$7370, 4, FALSE), "")</f>
        <v>7.7</v>
      </c>
      <c r="E2634" s="2">
        <f>IF(A2634&lt;&gt;"", VLOOKUP(A2634, imdb_netflix_v5!A$2:H$7370, 5, FALSE), "")</f>
        <v>2023</v>
      </c>
      <c r="F2634" s="2" t="str">
        <f>IF(A2634&lt;&gt;"", VLOOKUP(A2634, imdb_netflix_v5!A$2:H$7370, 7, FALSE), "")</f>
        <v>NA</v>
      </c>
    </row>
    <row r="2635" ht="15.75" customHeight="1">
      <c r="A2635" s="1" t="str">
        <f>IFERROR(__xludf.DUMMYFUNCTION("""COMPUTED_VALUE"""),"dark winds")</f>
        <v>dark winds</v>
      </c>
      <c r="B2635" s="1" t="str">
        <f>IF(A2635&lt;&gt;"", VLOOKUP(A2635, imdb_netflix_v5!A$2:H$7370, 2, FALSE), "")</f>
        <v>TV Show</v>
      </c>
      <c r="C2635" s="2" t="str">
        <f>IF(A2635&lt;&gt;"", VLOOKUP(A2635, imdb_netflix_v5!A$2:H$7370, 3, FALSE), "")</f>
        <v>Crime, Drama, Mystery</v>
      </c>
      <c r="D2635" s="2">
        <f>IF(A2635&lt;&gt;"", VLOOKUP(A2635, imdb_netflix_v5!A$2:H$7370, 4, FALSE), "")</f>
        <v>7.7</v>
      </c>
      <c r="E2635" s="2">
        <f>IF(A2635&lt;&gt;"", VLOOKUP(A2635, imdb_netflix_v5!A$2:H$7370, 5, FALSE), "")</f>
        <v>2022</v>
      </c>
      <c r="F2635" s="2" t="str">
        <f>IF(A2635&lt;&gt;"", VLOOKUP(A2635, imdb_netflix_v5!A$2:H$7370, 7, FALSE), "")</f>
        <v>NA</v>
      </c>
    </row>
    <row r="2636" ht="15.75" customHeight="1">
      <c r="A2636" s="1" t="str">
        <f>IFERROR(__xludf.DUMMYFUNCTION("""COMPUTED_VALUE"""),"sergeant york")</f>
        <v>sergeant york</v>
      </c>
      <c r="B2636" s="1" t="str">
        <f>IF(A2636&lt;&gt;"", VLOOKUP(A2636, imdb_netflix_v5!A$2:H$7370, 2, FALSE), "")</f>
        <v>Movie</v>
      </c>
      <c r="C2636" s="2" t="str">
        <f>IF(A2636&lt;&gt;"", VLOOKUP(A2636, imdb_netflix_v5!A$2:H$7370, 3, FALSE), "")</f>
        <v>Biography, Drama, History</v>
      </c>
      <c r="D2636" s="2">
        <f>IF(A2636&lt;&gt;"", VLOOKUP(A2636, imdb_netflix_v5!A$2:H$7370, 4, FALSE), "")</f>
        <v>7.7</v>
      </c>
      <c r="E2636" s="2">
        <f>IF(A2636&lt;&gt;"", VLOOKUP(A2636, imdb_netflix_v5!A$2:H$7370, 5, FALSE), "")</f>
        <v>1941</v>
      </c>
      <c r="F2636" s="2" t="str">
        <f>IF(A2636&lt;&gt;"", VLOOKUP(A2636, imdb_netflix_v5!A$2:H$7370, 7, FALSE), "")</f>
        <v>NA</v>
      </c>
    </row>
    <row r="2637" ht="15.75" customHeight="1">
      <c r="A2637" s="1" t="str">
        <f>IFERROR(__xludf.DUMMYFUNCTION("""COMPUTED_VALUE"""),"the turin horse")</f>
        <v>the turin horse</v>
      </c>
      <c r="B2637" s="1" t="str">
        <f>IF(A2637&lt;&gt;"", VLOOKUP(A2637, imdb_netflix_v5!A$2:H$7370, 2, FALSE), "")</f>
        <v>Movie</v>
      </c>
      <c r="C2637" s="2" t="str">
        <f>IF(A2637&lt;&gt;"", VLOOKUP(A2637, imdb_netflix_v5!A$2:H$7370, 3, FALSE), "")</f>
        <v>Drama</v>
      </c>
      <c r="D2637" s="2">
        <f>IF(A2637&lt;&gt;"", VLOOKUP(A2637, imdb_netflix_v5!A$2:H$7370, 4, FALSE), "")</f>
        <v>7.7</v>
      </c>
      <c r="E2637" s="2">
        <f>IF(A2637&lt;&gt;"", VLOOKUP(A2637, imdb_netflix_v5!A$2:H$7370, 5, FALSE), "")</f>
        <v>2011</v>
      </c>
      <c r="F2637" s="2" t="str">
        <f>IF(A2637&lt;&gt;"", VLOOKUP(A2637, imdb_netflix_v5!A$2:H$7370, 7, FALSE), "")</f>
        <v>NA</v>
      </c>
    </row>
    <row r="2638" ht="15.75" customHeight="1">
      <c r="A2638" s="1" t="str">
        <f>IFERROR(__xludf.DUMMYFUNCTION("""COMPUTED_VALUE"""),"scarlet street")</f>
        <v>scarlet street</v>
      </c>
      <c r="B2638" s="1" t="str">
        <f>IF(A2638&lt;&gt;"", VLOOKUP(A2638, imdb_netflix_v5!A$2:H$7370, 2, FALSE), "")</f>
        <v>Movie</v>
      </c>
      <c r="C2638" s="2" t="str">
        <f>IF(A2638&lt;&gt;"", VLOOKUP(A2638, imdb_netflix_v5!A$2:H$7370, 3, FALSE), "")</f>
        <v>Crime, Drama, Film-Noir</v>
      </c>
      <c r="D2638" s="2">
        <f>IF(A2638&lt;&gt;"", VLOOKUP(A2638, imdb_netflix_v5!A$2:H$7370, 4, FALSE), "")</f>
        <v>7.7</v>
      </c>
      <c r="E2638" s="2">
        <f>IF(A2638&lt;&gt;"", VLOOKUP(A2638, imdb_netflix_v5!A$2:H$7370, 5, FALSE), "")</f>
        <v>1945</v>
      </c>
      <c r="F2638" s="2" t="str">
        <f>IF(A2638&lt;&gt;"", VLOOKUP(A2638, imdb_netflix_v5!A$2:H$7370, 7, FALSE), "")</f>
        <v>NA</v>
      </c>
    </row>
    <row r="2639" ht="15.75" customHeight="1">
      <c r="A2639" s="1" t="str">
        <f>IFERROR(__xludf.DUMMYFUNCTION("""COMPUTED_VALUE"""),"meru")</f>
        <v>meru</v>
      </c>
      <c r="B2639" s="1" t="str">
        <f>IF(A2639&lt;&gt;"", VLOOKUP(A2639, imdb_netflix_v5!A$2:H$7370, 2, FALSE), "")</f>
        <v>Movie</v>
      </c>
      <c r="C2639" s="2" t="str">
        <f>IF(A2639&lt;&gt;"", VLOOKUP(A2639, imdb_netflix_v5!A$2:H$7370, 3, FALSE), "")</f>
        <v>Documentary, Sport</v>
      </c>
      <c r="D2639" s="2">
        <f>IF(A2639&lt;&gt;"", VLOOKUP(A2639, imdb_netflix_v5!A$2:H$7370, 4, FALSE), "")</f>
        <v>7.7</v>
      </c>
      <c r="E2639" s="2">
        <f>IF(A2639&lt;&gt;"", VLOOKUP(A2639, imdb_netflix_v5!A$2:H$7370, 5, FALSE), "")</f>
        <v>2015</v>
      </c>
      <c r="F2639" s="2" t="str">
        <f>IF(A2639&lt;&gt;"", VLOOKUP(A2639, imdb_netflix_v5!A$2:H$7370, 7, FALSE), "")</f>
        <v>NA</v>
      </c>
    </row>
    <row r="2640" ht="15.75" customHeight="1">
      <c r="A2640" s="1" t="str">
        <f>IFERROR(__xludf.DUMMYFUNCTION("""COMPUTED_VALUE"""),"the music man")</f>
        <v>the music man</v>
      </c>
      <c r="B2640" s="1" t="str">
        <f>IF(A2640&lt;&gt;"", VLOOKUP(A2640, imdb_netflix_v5!A$2:H$7370, 2, FALSE), "")</f>
        <v>Movie</v>
      </c>
      <c r="C2640" s="2" t="str">
        <f>IF(A2640&lt;&gt;"", VLOOKUP(A2640, imdb_netflix_v5!A$2:H$7370, 3, FALSE), "")</f>
        <v>Comedy, Family, Musical</v>
      </c>
      <c r="D2640" s="2">
        <f>IF(A2640&lt;&gt;"", VLOOKUP(A2640, imdb_netflix_v5!A$2:H$7370, 4, FALSE), "")</f>
        <v>7.7</v>
      </c>
      <c r="E2640" s="2">
        <f>IF(A2640&lt;&gt;"", VLOOKUP(A2640, imdb_netflix_v5!A$2:H$7370, 5, FALSE), "")</f>
        <v>1962</v>
      </c>
      <c r="F2640" s="2" t="str">
        <f>IF(A2640&lt;&gt;"", VLOOKUP(A2640, imdb_netflix_v5!A$2:H$7370, 7, FALSE), "")</f>
        <v>NA</v>
      </c>
    </row>
    <row r="2641" ht="15.75" customHeight="1">
      <c r="A2641" s="1" t="str">
        <f>IFERROR(__xludf.DUMMYFUNCTION("""COMPUTED_VALUE"""),"scott pilgrim takes off")</f>
        <v>scott pilgrim takes off</v>
      </c>
      <c r="B2641" s="1" t="str">
        <f>IF(A2641&lt;&gt;"", VLOOKUP(A2641, imdb_netflix_v5!A$2:H$7370, 2, FALSE), "")</f>
        <v>TV Show</v>
      </c>
      <c r="C2641" s="2" t="str">
        <f>IF(A2641&lt;&gt;"", VLOOKUP(A2641, imdb_netflix_v5!A$2:H$7370, 3, FALSE), "")</f>
        <v>Action, Adventure, Animation</v>
      </c>
      <c r="D2641" s="2">
        <f>IF(A2641&lt;&gt;"", VLOOKUP(A2641, imdb_netflix_v5!A$2:H$7370, 4, FALSE), "")</f>
        <v>7.7</v>
      </c>
      <c r="E2641" s="2">
        <f>IF(A2641&lt;&gt;"", VLOOKUP(A2641, imdb_netflix_v5!A$2:H$7370, 5, FALSE), "")</f>
        <v>2023</v>
      </c>
      <c r="F2641" s="2">
        <f>IF(A2641&lt;&gt;"", VLOOKUP(A2641, imdb_netflix_v5!A$2:H$7370, 7, FALSE), "")</f>
        <v>7400000</v>
      </c>
    </row>
    <row r="2642" ht="15.75" customHeight="1">
      <c r="A2642" s="1" t="str">
        <f>IFERROR(__xludf.DUMMYFUNCTION("""COMPUTED_VALUE"""),"encounters at the end of the world")</f>
        <v>encounters at the end of the world</v>
      </c>
      <c r="B2642" s="1" t="str">
        <f>IF(A2642&lt;&gt;"", VLOOKUP(A2642, imdb_netflix_v5!A$2:H$7370, 2, FALSE), "")</f>
        <v>Movie</v>
      </c>
      <c r="C2642" s="2" t="str">
        <f>IF(A2642&lt;&gt;"", VLOOKUP(A2642, imdb_netflix_v5!A$2:H$7370, 3, FALSE), "")</f>
        <v>Documentary</v>
      </c>
      <c r="D2642" s="2">
        <f>IF(A2642&lt;&gt;"", VLOOKUP(A2642, imdb_netflix_v5!A$2:H$7370, 4, FALSE), "")</f>
        <v>7.7</v>
      </c>
      <c r="E2642" s="2">
        <f>IF(A2642&lt;&gt;"", VLOOKUP(A2642, imdb_netflix_v5!A$2:H$7370, 5, FALSE), "")</f>
        <v>2007</v>
      </c>
      <c r="F2642" s="2" t="str">
        <f>IF(A2642&lt;&gt;"", VLOOKUP(A2642, imdb_netflix_v5!A$2:H$7370, 7, FALSE), "")</f>
        <v>NA</v>
      </c>
    </row>
    <row r="2643" ht="15.75" customHeight="1">
      <c r="A2643" s="1" t="str">
        <f>IFERROR(__xludf.DUMMYFUNCTION("""COMPUTED_VALUE"""),"the devils")</f>
        <v>the devils</v>
      </c>
      <c r="B2643" s="1" t="str">
        <f>IF(A2643&lt;&gt;"", VLOOKUP(A2643, imdb_netflix_v5!A$2:H$7370, 2, FALSE), "")</f>
        <v>Movie</v>
      </c>
      <c r="C2643" s="2" t="str">
        <f>IF(A2643&lt;&gt;"", VLOOKUP(A2643, imdb_netflix_v5!A$2:H$7370, 3, FALSE), "")</f>
        <v>Biography, Drama, History</v>
      </c>
      <c r="D2643" s="2">
        <f>IF(A2643&lt;&gt;"", VLOOKUP(A2643, imdb_netflix_v5!A$2:H$7370, 4, FALSE), "")</f>
        <v>7.7</v>
      </c>
      <c r="E2643" s="2">
        <f>IF(A2643&lt;&gt;"", VLOOKUP(A2643, imdb_netflix_v5!A$2:H$7370, 5, FALSE), "")</f>
        <v>1971</v>
      </c>
      <c r="F2643" s="2" t="str">
        <f>IF(A2643&lt;&gt;"", VLOOKUP(A2643, imdb_netflix_v5!A$2:H$7370, 7, FALSE), "")</f>
        <v>NA</v>
      </c>
    </row>
    <row r="2644" ht="15.75" customHeight="1">
      <c r="A2644" s="1" t="str">
        <f>IFERROR(__xludf.DUMMYFUNCTION("""COMPUTED_VALUE"""),"the enigma of kaspar hauser")</f>
        <v>the enigma of kaspar hauser</v>
      </c>
      <c r="B2644" s="1" t="str">
        <f>IF(A2644&lt;&gt;"", VLOOKUP(A2644, imdb_netflix_v5!A$2:H$7370, 2, FALSE), "")</f>
        <v>Movie</v>
      </c>
      <c r="C2644" s="2" t="str">
        <f>IF(A2644&lt;&gt;"", VLOOKUP(A2644, imdb_netflix_v5!A$2:H$7370, 3, FALSE), "")</f>
        <v>Biography, Drama, History</v>
      </c>
      <c r="D2644" s="2">
        <f>IF(A2644&lt;&gt;"", VLOOKUP(A2644, imdb_netflix_v5!A$2:H$7370, 4, FALSE), "")</f>
        <v>7.7</v>
      </c>
      <c r="E2644" s="2">
        <f>IF(A2644&lt;&gt;"", VLOOKUP(A2644, imdb_netflix_v5!A$2:H$7370, 5, FALSE), "")</f>
        <v>1974</v>
      </c>
      <c r="F2644" s="2" t="str">
        <f>IF(A2644&lt;&gt;"", VLOOKUP(A2644, imdb_netflix_v5!A$2:H$7370, 7, FALSE), "")</f>
        <v>NA</v>
      </c>
    </row>
    <row r="2645" ht="15.75" customHeight="1">
      <c r="A2645" s="1" t="str">
        <f>IFERROR(__xludf.DUMMYFUNCTION("""COMPUTED_VALUE"""),"hellsing")</f>
        <v>hellsing</v>
      </c>
      <c r="B2645" s="1" t="str">
        <f>IF(A2645&lt;&gt;"", VLOOKUP(A2645, imdb_netflix_v5!A$2:H$7370, 2, FALSE), "")</f>
        <v>TV Show</v>
      </c>
      <c r="C2645" s="2" t="str">
        <f>IF(A2645&lt;&gt;"", VLOOKUP(A2645, imdb_netflix_v5!A$2:H$7370, 3, FALSE), "")</f>
        <v>Action, Animation, Fantasy</v>
      </c>
      <c r="D2645" s="2">
        <f>IF(A2645&lt;&gt;"", VLOOKUP(A2645, imdb_netflix_v5!A$2:H$7370, 4, FALSE), "")</f>
        <v>7.7</v>
      </c>
      <c r="E2645" s="2">
        <f>IF(A2645&lt;&gt;"", VLOOKUP(A2645, imdb_netflix_v5!A$2:H$7370, 5, FALSE), "")</f>
        <v>2001</v>
      </c>
      <c r="F2645" s="2" t="str">
        <f>IF(A2645&lt;&gt;"", VLOOKUP(A2645, imdb_netflix_v5!A$2:H$7370, 7, FALSE), "")</f>
        <v>NA</v>
      </c>
    </row>
    <row r="2646" ht="15.75" customHeight="1">
      <c r="A2646" s="1" t="str">
        <f>IFERROR(__xludf.DUMMYFUNCTION("""COMPUTED_VALUE"""),"sam bahadur")</f>
        <v>sam bahadur</v>
      </c>
      <c r="B2646" s="1" t="str">
        <f>IF(A2646&lt;&gt;"", VLOOKUP(A2646, imdb_netflix_v5!A$2:H$7370, 2, FALSE), "")</f>
        <v>Movie</v>
      </c>
      <c r="C2646" s="2" t="str">
        <f>IF(A2646&lt;&gt;"", VLOOKUP(A2646, imdb_netflix_v5!A$2:H$7370, 3, FALSE), "")</f>
        <v>Biography, Drama, War</v>
      </c>
      <c r="D2646" s="2">
        <f>IF(A2646&lt;&gt;"", VLOOKUP(A2646, imdb_netflix_v5!A$2:H$7370, 4, FALSE), "")</f>
        <v>7.7</v>
      </c>
      <c r="E2646" s="2">
        <f>IF(A2646&lt;&gt;"", VLOOKUP(A2646, imdb_netflix_v5!A$2:H$7370, 5, FALSE), "")</f>
        <v>2023</v>
      </c>
      <c r="F2646" s="2" t="str">
        <f>IF(A2646&lt;&gt;"", VLOOKUP(A2646, imdb_netflix_v5!A$2:H$7370, 7, FALSE), "")</f>
        <v>NA</v>
      </c>
    </row>
    <row r="2647" ht="15.75" customHeight="1">
      <c r="A2647" s="1" t="str">
        <f>IFERROR(__xludf.DUMMYFUNCTION("""COMPUTED_VALUE"""),"human target")</f>
        <v>human target</v>
      </c>
      <c r="B2647" s="1" t="str">
        <f>IF(A2647&lt;&gt;"", VLOOKUP(A2647, imdb_netflix_v5!A$2:H$7370, 2, FALSE), "")</f>
        <v>TV Show</v>
      </c>
      <c r="C2647" s="2" t="str">
        <f>IF(A2647&lt;&gt;"", VLOOKUP(A2647, imdb_netflix_v5!A$2:H$7370, 3, FALSE), "")</f>
        <v>Action, Adventure, Crime</v>
      </c>
      <c r="D2647" s="2">
        <f>IF(A2647&lt;&gt;"", VLOOKUP(A2647, imdb_netflix_v5!A$2:H$7370, 4, FALSE), "")</f>
        <v>7.7</v>
      </c>
      <c r="E2647" s="2">
        <f>IF(A2647&lt;&gt;"", VLOOKUP(A2647, imdb_netflix_v5!A$2:H$7370, 5, FALSE), "")</f>
        <v>2010</v>
      </c>
      <c r="F2647" s="2" t="str">
        <f>IF(A2647&lt;&gt;"", VLOOKUP(A2647, imdb_netflix_v5!A$2:H$7370, 7, FALSE), "")</f>
        <v>NA</v>
      </c>
    </row>
    <row r="2648" ht="15.75" customHeight="1">
      <c r="A2648" s="1" t="str">
        <f>IFERROR(__xludf.DUMMYFUNCTION("""COMPUTED_VALUE"""),"sanditon")</f>
        <v>sanditon</v>
      </c>
      <c r="B2648" s="1" t="str">
        <f>IF(A2648&lt;&gt;"", VLOOKUP(A2648, imdb_netflix_v5!A$2:H$7370, 2, FALSE), "")</f>
        <v>TV Show</v>
      </c>
      <c r="C2648" s="2" t="str">
        <f>IF(A2648&lt;&gt;"", VLOOKUP(A2648, imdb_netflix_v5!A$2:H$7370, 3, FALSE), "")</f>
        <v>Drama, Romance</v>
      </c>
      <c r="D2648" s="2">
        <f>IF(A2648&lt;&gt;"", VLOOKUP(A2648, imdb_netflix_v5!A$2:H$7370, 4, FALSE), "")</f>
        <v>7.7</v>
      </c>
      <c r="E2648" s="2">
        <f>IF(A2648&lt;&gt;"", VLOOKUP(A2648, imdb_netflix_v5!A$2:H$7370, 5, FALSE), "")</f>
        <v>2019</v>
      </c>
      <c r="F2648" s="2" t="str">
        <f>IF(A2648&lt;&gt;"", VLOOKUP(A2648, imdb_netflix_v5!A$2:H$7370, 7, FALSE), "")</f>
        <v>NA</v>
      </c>
    </row>
    <row r="2649" ht="15.75" customHeight="1">
      <c r="A2649" s="1" t="str">
        <f>IFERROR(__xludf.DUMMYFUNCTION("""COMPUTED_VALUE"""),"rookie blue")</f>
        <v>rookie blue</v>
      </c>
      <c r="B2649" s="1" t="str">
        <f>IF(A2649&lt;&gt;"", VLOOKUP(A2649, imdb_netflix_v5!A$2:H$7370, 2, FALSE), "")</f>
        <v>TV Show</v>
      </c>
      <c r="C2649" s="2" t="str">
        <f>IF(A2649&lt;&gt;"", VLOOKUP(A2649, imdb_netflix_v5!A$2:H$7370, 3, FALSE), "")</f>
        <v>Action, Crime, Drama</v>
      </c>
      <c r="D2649" s="2">
        <f>IF(A2649&lt;&gt;"", VLOOKUP(A2649, imdb_netflix_v5!A$2:H$7370, 4, FALSE), "")</f>
        <v>7.7</v>
      </c>
      <c r="E2649" s="2">
        <f>IF(A2649&lt;&gt;"", VLOOKUP(A2649, imdb_netflix_v5!A$2:H$7370, 5, FALSE), "")</f>
        <v>2010</v>
      </c>
      <c r="F2649" s="2" t="str">
        <f>IF(A2649&lt;&gt;"", VLOOKUP(A2649, imdb_netflix_v5!A$2:H$7370, 7, FALSE), "")</f>
        <v>NA</v>
      </c>
    </row>
    <row r="2650" ht="15.75" customHeight="1">
      <c r="A2650" s="1" t="str">
        <f>IFERROR(__xludf.DUMMYFUNCTION("""COMPUTED_VALUE"""),"holiday")</f>
        <v>holiday</v>
      </c>
      <c r="B2650" s="1" t="str">
        <f>IF(A2650&lt;&gt;"", VLOOKUP(A2650, imdb_netflix_v5!A$2:H$7370, 2, FALSE), "")</f>
        <v>Movie</v>
      </c>
      <c r="C2650" s="2" t="str">
        <f>IF(A2650&lt;&gt;"", VLOOKUP(A2650, imdb_netflix_v5!A$2:H$7370, 3, FALSE), "")</f>
        <v>Comedy, Romance</v>
      </c>
      <c r="D2650" s="2">
        <f>IF(A2650&lt;&gt;"", VLOOKUP(A2650, imdb_netflix_v5!A$2:H$7370, 4, FALSE), "")</f>
        <v>7.7</v>
      </c>
      <c r="E2650" s="2">
        <f>IF(A2650&lt;&gt;"", VLOOKUP(A2650, imdb_netflix_v5!A$2:H$7370, 5, FALSE), "")</f>
        <v>1938</v>
      </c>
      <c r="F2650" s="2" t="str">
        <f>IF(A2650&lt;&gt;"", VLOOKUP(A2650, imdb_netflix_v5!A$2:H$7370, 7, FALSE), "")</f>
        <v>NA</v>
      </c>
    </row>
    <row r="2651" ht="15.75" customHeight="1">
      <c r="A2651" s="1" t="str">
        <f>IFERROR(__xludf.DUMMYFUNCTION("""COMPUTED_VALUE"""),"the joy luck club")</f>
        <v>the joy luck club</v>
      </c>
      <c r="B2651" s="1" t="str">
        <f>IF(A2651&lt;&gt;"", VLOOKUP(A2651, imdb_netflix_v5!A$2:H$7370, 2, FALSE), "")</f>
        <v>Movie</v>
      </c>
      <c r="C2651" s="2" t="str">
        <f>IF(A2651&lt;&gt;"", VLOOKUP(A2651, imdb_netflix_v5!A$2:H$7370, 3, FALSE), "")</f>
        <v>Drama</v>
      </c>
      <c r="D2651" s="2">
        <f>IF(A2651&lt;&gt;"", VLOOKUP(A2651, imdb_netflix_v5!A$2:H$7370, 4, FALSE), "")</f>
        <v>7.7</v>
      </c>
      <c r="E2651" s="2">
        <f>IF(A2651&lt;&gt;"", VLOOKUP(A2651, imdb_netflix_v5!A$2:H$7370, 5, FALSE), "")</f>
        <v>1993</v>
      </c>
      <c r="F2651" s="2" t="str">
        <f>IF(A2651&lt;&gt;"", VLOOKUP(A2651, imdb_netflix_v5!A$2:H$7370, 7, FALSE), "")</f>
        <v>NA</v>
      </c>
    </row>
    <row r="2652" ht="15.75" customHeight="1">
      <c r="A2652" s="1" t="str">
        <f>IFERROR(__xludf.DUMMYFUNCTION("""COMPUTED_VALUE"""),"f for fake")</f>
        <v>f for fake</v>
      </c>
      <c r="B2652" s="1" t="str">
        <f>IF(A2652&lt;&gt;"", VLOOKUP(A2652, imdb_netflix_v5!A$2:H$7370, 2, FALSE), "")</f>
        <v>Movie</v>
      </c>
      <c r="C2652" s="2" t="str">
        <f>IF(A2652&lt;&gt;"", VLOOKUP(A2652, imdb_netflix_v5!A$2:H$7370, 3, FALSE), "")</f>
        <v>Documentary</v>
      </c>
      <c r="D2652" s="2">
        <f>IF(A2652&lt;&gt;"", VLOOKUP(A2652, imdb_netflix_v5!A$2:H$7370, 4, FALSE), "")</f>
        <v>7.7</v>
      </c>
      <c r="E2652" s="2">
        <f>IF(A2652&lt;&gt;"", VLOOKUP(A2652, imdb_netflix_v5!A$2:H$7370, 5, FALSE), "")</f>
        <v>1973</v>
      </c>
      <c r="F2652" s="2" t="str">
        <f>IF(A2652&lt;&gt;"", VLOOKUP(A2652, imdb_netflix_v5!A$2:H$7370, 7, FALSE), "")</f>
        <v>NA</v>
      </c>
    </row>
    <row r="2653" ht="15.75" customHeight="1">
      <c r="A2653" s="1" t="str">
        <f>IFERROR(__xludf.DUMMYFUNCTION("""COMPUTED_VALUE"""),"the great silence")</f>
        <v>the great silence</v>
      </c>
      <c r="B2653" s="1" t="str">
        <f>IF(A2653&lt;&gt;"", VLOOKUP(A2653, imdb_netflix_v5!A$2:H$7370, 2, FALSE), "")</f>
        <v>Movie</v>
      </c>
      <c r="C2653" s="2" t="str">
        <f>IF(A2653&lt;&gt;"", VLOOKUP(A2653, imdb_netflix_v5!A$2:H$7370, 3, FALSE), "")</f>
        <v>Drama, Western</v>
      </c>
      <c r="D2653" s="2">
        <f>IF(A2653&lt;&gt;"", VLOOKUP(A2653, imdb_netflix_v5!A$2:H$7370, 4, FALSE), "")</f>
        <v>7.7</v>
      </c>
      <c r="E2653" s="2">
        <f>IF(A2653&lt;&gt;"", VLOOKUP(A2653, imdb_netflix_v5!A$2:H$7370, 5, FALSE), "")</f>
        <v>1968</v>
      </c>
      <c r="F2653" s="2" t="str">
        <f>IF(A2653&lt;&gt;"", VLOOKUP(A2653, imdb_netflix_v5!A$2:H$7370, 7, FALSE), "")</f>
        <v>NA</v>
      </c>
    </row>
    <row r="2654" ht="15.75" customHeight="1">
      <c r="A2654" s="1" t="str">
        <f>IFERROR(__xludf.DUMMYFUNCTION("""COMPUTED_VALUE"""),"sword of the stranger")</f>
        <v>sword of the stranger</v>
      </c>
      <c r="B2654" s="1" t="str">
        <f>IF(A2654&lt;&gt;"", VLOOKUP(A2654, imdb_netflix_v5!A$2:H$7370, 2, FALSE), "")</f>
        <v>Movie</v>
      </c>
      <c r="C2654" s="2" t="str">
        <f>IF(A2654&lt;&gt;"", VLOOKUP(A2654, imdb_netflix_v5!A$2:H$7370, 3, FALSE), "")</f>
        <v>Action, Adventure, Animation</v>
      </c>
      <c r="D2654" s="2">
        <f>IF(A2654&lt;&gt;"", VLOOKUP(A2654, imdb_netflix_v5!A$2:H$7370, 4, FALSE), "")</f>
        <v>7.7</v>
      </c>
      <c r="E2654" s="2">
        <f>IF(A2654&lt;&gt;"", VLOOKUP(A2654, imdb_netflix_v5!A$2:H$7370, 5, FALSE), "")</f>
        <v>2007</v>
      </c>
      <c r="F2654" s="2" t="str">
        <f>IF(A2654&lt;&gt;"", VLOOKUP(A2654, imdb_netflix_v5!A$2:H$7370, 7, FALSE), "")</f>
        <v>NA</v>
      </c>
    </row>
    <row r="2655" ht="15.75" customHeight="1">
      <c r="A2655" s="1" t="str">
        <f>IFERROR(__xludf.DUMMYFUNCTION("""COMPUTED_VALUE"""),"condor")</f>
        <v>condor</v>
      </c>
      <c r="B2655" s="1" t="str">
        <f>IF(A2655&lt;&gt;"", VLOOKUP(A2655, imdb_netflix_v5!A$2:H$7370, 2, FALSE), "")</f>
        <v>TV Show</v>
      </c>
      <c r="C2655" s="2" t="str">
        <f>IF(A2655&lt;&gt;"", VLOOKUP(A2655, imdb_netflix_v5!A$2:H$7370, 3, FALSE), "")</f>
        <v>Action, Drama, Thriller</v>
      </c>
      <c r="D2655" s="2">
        <f>IF(A2655&lt;&gt;"", VLOOKUP(A2655, imdb_netflix_v5!A$2:H$7370, 4, FALSE), "")</f>
        <v>7.7</v>
      </c>
      <c r="E2655" s="2">
        <f>IF(A2655&lt;&gt;"", VLOOKUP(A2655, imdb_netflix_v5!A$2:H$7370, 5, FALSE), "")</f>
        <v>2018</v>
      </c>
      <c r="F2655" s="2" t="str">
        <f>IF(A2655&lt;&gt;"", VLOOKUP(A2655, imdb_netflix_v5!A$2:H$7370, 7, FALSE), "")</f>
        <v>NA</v>
      </c>
    </row>
    <row r="2656" ht="15.75" customHeight="1">
      <c r="A2656" s="1" t="str">
        <f>IFERROR(__xludf.DUMMYFUNCTION("""COMPUTED_VALUE"""),"diego maradona")</f>
        <v>diego maradona</v>
      </c>
      <c r="B2656" s="1" t="str">
        <f>IF(A2656&lt;&gt;"", VLOOKUP(A2656, imdb_netflix_v5!A$2:H$7370, 2, FALSE), "")</f>
        <v>Movie</v>
      </c>
      <c r="C2656" s="2" t="str">
        <f>IF(A2656&lt;&gt;"", VLOOKUP(A2656, imdb_netflix_v5!A$2:H$7370, 3, FALSE), "")</f>
        <v>Biography, Documentary, Sport</v>
      </c>
      <c r="D2656" s="2">
        <f>IF(A2656&lt;&gt;"", VLOOKUP(A2656, imdb_netflix_v5!A$2:H$7370, 4, FALSE), "")</f>
        <v>7.7</v>
      </c>
      <c r="E2656" s="2">
        <f>IF(A2656&lt;&gt;"", VLOOKUP(A2656, imdb_netflix_v5!A$2:H$7370, 5, FALSE), "")</f>
        <v>2019</v>
      </c>
      <c r="F2656" s="2" t="str">
        <f>IF(A2656&lt;&gt;"", VLOOKUP(A2656, imdb_netflix_v5!A$2:H$7370, 7, FALSE), "")</f>
        <v>NA</v>
      </c>
    </row>
    <row r="2657" ht="15.75" customHeight="1">
      <c r="A2657" s="1" t="str">
        <f>IFERROR(__xludf.DUMMYFUNCTION("""COMPUTED_VALUE"""),"the count of monte-cristo")</f>
        <v>the count of monte-cristo</v>
      </c>
      <c r="B2657" s="1" t="str">
        <f>IF(A2657&lt;&gt;"", VLOOKUP(A2657, imdb_netflix_v5!A$2:H$7370, 2, FALSE), "")</f>
        <v>Movie</v>
      </c>
      <c r="C2657" s="2" t="str">
        <f>IF(A2657&lt;&gt;"", VLOOKUP(A2657, imdb_netflix_v5!A$2:H$7370, 3, FALSE), "")</f>
        <v>Action, Adventure, Drama</v>
      </c>
      <c r="D2657" s="2">
        <f>IF(A2657&lt;&gt;"", VLOOKUP(A2657, imdb_netflix_v5!A$2:H$7370, 4, FALSE), "")</f>
        <v>7.7</v>
      </c>
      <c r="E2657" s="2">
        <f>IF(A2657&lt;&gt;"", VLOOKUP(A2657, imdb_netflix_v5!A$2:H$7370, 5, FALSE), "")</f>
        <v>2024</v>
      </c>
      <c r="F2657" s="2" t="str">
        <f>IF(A2657&lt;&gt;"", VLOOKUP(A2657, imdb_netflix_v5!A$2:H$7370, 7, FALSE), "")</f>
        <v>NA</v>
      </c>
    </row>
    <row r="2658" ht="15.75" customHeight="1">
      <c r="A2658" s="1" t="str">
        <f>IFERROR(__xludf.DUMMYFUNCTION("""COMPUTED_VALUE"""),"the time travelers wife")</f>
        <v>the time travelers wife</v>
      </c>
      <c r="B2658" s="1" t="str">
        <f>IF(A2658&lt;&gt;"", VLOOKUP(A2658, imdb_netflix_v5!A$2:H$7370, 2, FALSE), "")</f>
        <v>TV Show</v>
      </c>
      <c r="C2658" s="2" t="str">
        <f>IF(A2658&lt;&gt;"", VLOOKUP(A2658, imdb_netflix_v5!A$2:H$7370, 3, FALSE), "")</f>
        <v>Drama, Sci-Fi</v>
      </c>
      <c r="D2658" s="2">
        <f>IF(A2658&lt;&gt;"", VLOOKUP(A2658, imdb_netflix_v5!A$2:H$7370, 4, FALSE), "")</f>
        <v>7.7</v>
      </c>
      <c r="E2658" s="2">
        <f>IF(A2658&lt;&gt;"", VLOOKUP(A2658, imdb_netflix_v5!A$2:H$7370, 5, FALSE), "")</f>
        <v>2022</v>
      </c>
      <c r="F2658" s="2" t="str">
        <f>IF(A2658&lt;&gt;"", VLOOKUP(A2658, imdb_netflix_v5!A$2:H$7370, 7, FALSE), "")</f>
        <v>NA</v>
      </c>
    </row>
    <row r="2659" ht="15.75" customHeight="1">
      <c r="A2659" s="1" t="str">
        <f>IFERROR(__xludf.DUMMYFUNCTION("""COMPUTED_VALUE"""),"night court")</f>
        <v>night court</v>
      </c>
      <c r="B2659" s="1" t="str">
        <f>IF(A2659&lt;&gt;"", VLOOKUP(A2659, imdb_netflix_v5!A$2:H$7370, 2, FALSE), "")</f>
        <v>TV Show</v>
      </c>
      <c r="C2659" s="2" t="str">
        <f>IF(A2659&lt;&gt;"", VLOOKUP(A2659, imdb_netflix_v5!A$2:H$7370, 3, FALSE), "")</f>
        <v>Comedy</v>
      </c>
      <c r="D2659" s="2">
        <f>IF(A2659&lt;&gt;"", VLOOKUP(A2659, imdb_netflix_v5!A$2:H$7370, 4, FALSE), "")</f>
        <v>7.7</v>
      </c>
      <c r="E2659" s="2">
        <f>IF(A2659&lt;&gt;"", VLOOKUP(A2659, imdb_netflix_v5!A$2:H$7370, 5, FALSE), "")</f>
        <v>1984</v>
      </c>
      <c r="F2659" s="2" t="str">
        <f>IF(A2659&lt;&gt;"", VLOOKUP(A2659, imdb_netflix_v5!A$2:H$7370, 7, FALSE), "")</f>
        <v>NA</v>
      </c>
    </row>
    <row r="2660" ht="15.75" customHeight="1">
      <c r="A2660" s="1" t="str">
        <f>IFERROR(__xludf.DUMMYFUNCTION("""COMPUTED_VALUE"""),"oye lucky! lucky oye!")</f>
        <v>oye lucky! lucky oye!</v>
      </c>
      <c r="B2660" s="1" t="str">
        <f>IF(A2660&lt;&gt;"", VLOOKUP(A2660, imdb_netflix_v5!A$2:H$7370, 2, FALSE), "")</f>
        <v>Movie</v>
      </c>
      <c r="C2660" s="2" t="str">
        <f>IF(A2660&lt;&gt;"", VLOOKUP(A2660, imdb_netflix_v5!A$2:H$7370, 3, FALSE), "")</f>
        <v>Comedy, Crime, Drama</v>
      </c>
      <c r="D2660" s="2">
        <f>IF(A2660&lt;&gt;"", VLOOKUP(A2660, imdb_netflix_v5!A$2:H$7370, 4, FALSE), "")</f>
        <v>7.7</v>
      </c>
      <c r="E2660" s="2">
        <f>IF(A2660&lt;&gt;"", VLOOKUP(A2660, imdb_netflix_v5!A$2:H$7370, 5, FALSE), "")</f>
        <v>2008</v>
      </c>
      <c r="F2660" s="2" t="str">
        <f>IF(A2660&lt;&gt;"", VLOOKUP(A2660, imdb_netflix_v5!A$2:H$7370, 7, FALSE), "")</f>
        <v>NA</v>
      </c>
    </row>
    <row r="2661" ht="15.75" customHeight="1">
      <c r="A2661" s="1" t="str">
        <f>IFERROR(__xludf.DUMMYFUNCTION("""COMPUTED_VALUE"""),"smash")</f>
        <v>smash</v>
      </c>
      <c r="B2661" s="1" t="str">
        <f>IF(A2661&lt;&gt;"", VLOOKUP(A2661, imdb_netflix_v5!A$2:H$7370, 2, FALSE), "")</f>
        <v>TV Show</v>
      </c>
      <c r="C2661" s="2" t="str">
        <f>IF(A2661&lt;&gt;"", VLOOKUP(A2661, imdb_netflix_v5!A$2:H$7370, 3, FALSE), "")</f>
        <v>Drama, Musical</v>
      </c>
      <c r="D2661" s="2">
        <f>IF(A2661&lt;&gt;"", VLOOKUP(A2661, imdb_netflix_v5!A$2:H$7370, 4, FALSE), "")</f>
        <v>7.7</v>
      </c>
      <c r="E2661" s="2">
        <f>IF(A2661&lt;&gt;"", VLOOKUP(A2661, imdb_netflix_v5!A$2:H$7370, 5, FALSE), "")</f>
        <v>2012</v>
      </c>
      <c r="F2661" s="2" t="str">
        <f>IF(A2661&lt;&gt;"", VLOOKUP(A2661, imdb_netflix_v5!A$2:H$7370, 7, FALSE), "")</f>
        <v>NA</v>
      </c>
    </row>
    <row r="2662" ht="15.75" customHeight="1">
      <c r="A2662" s="1" t="str">
        <f>IFERROR(__xludf.DUMMYFUNCTION("""COMPUTED_VALUE"""),"the outlaws")</f>
        <v>the outlaws</v>
      </c>
      <c r="B2662" s="1" t="str">
        <f>IF(A2662&lt;&gt;"", VLOOKUP(A2662, imdb_netflix_v5!A$2:H$7370, 2, FALSE), "")</f>
        <v>TV Show</v>
      </c>
      <c r="C2662" s="2" t="str">
        <f>IF(A2662&lt;&gt;"", VLOOKUP(A2662, imdb_netflix_v5!A$2:H$7370, 3, FALSE), "")</f>
        <v>Comedy, Crime, Drama</v>
      </c>
      <c r="D2662" s="2">
        <f>IF(A2662&lt;&gt;"", VLOOKUP(A2662, imdb_netflix_v5!A$2:H$7370, 4, FALSE), "")</f>
        <v>7.7</v>
      </c>
      <c r="E2662" s="2">
        <f>IF(A2662&lt;&gt;"", VLOOKUP(A2662, imdb_netflix_v5!A$2:H$7370, 5, FALSE), "")</f>
        <v>2021</v>
      </c>
      <c r="F2662" s="2" t="str">
        <f>IF(A2662&lt;&gt;"", VLOOKUP(A2662, imdb_netflix_v5!A$2:H$7370, 7, FALSE), "")</f>
        <v>NA</v>
      </c>
    </row>
    <row r="2663" ht="15.75" customHeight="1">
      <c r="A2663" s="1" t="str">
        <f>IFERROR(__xludf.DUMMYFUNCTION("""COMPUTED_VALUE"""),"guns &amp; gulaabs")</f>
        <v>guns &amp; gulaabs</v>
      </c>
      <c r="B2663" s="1" t="str">
        <f>IF(A2663&lt;&gt;"", VLOOKUP(A2663, imdb_netflix_v5!A$2:H$7370, 2, FALSE), "")</f>
        <v>TV Show</v>
      </c>
      <c r="C2663" s="2" t="str">
        <f>IF(A2663&lt;&gt;"", VLOOKUP(A2663, imdb_netflix_v5!A$2:H$7370, 3, FALSE), "")</f>
        <v>Comedy, Crime, Romance</v>
      </c>
      <c r="D2663" s="2">
        <f>IF(A2663&lt;&gt;"", VLOOKUP(A2663, imdb_netflix_v5!A$2:H$7370, 4, FALSE), "")</f>
        <v>7.7</v>
      </c>
      <c r="E2663" s="2">
        <f>IF(A2663&lt;&gt;"", VLOOKUP(A2663, imdb_netflix_v5!A$2:H$7370, 5, FALSE), "")</f>
        <v>2023</v>
      </c>
      <c r="F2663" s="2">
        <f>IF(A2663&lt;&gt;"", VLOOKUP(A2663, imdb_netflix_v5!A$2:H$7370, 7, FALSE), "")</f>
        <v>13300000</v>
      </c>
    </row>
    <row r="2664" ht="15.75" customHeight="1">
      <c r="A2664" s="1" t="str">
        <f>IFERROR(__xludf.DUMMYFUNCTION("""COMPUTED_VALUE"""),"stutz")</f>
        <v>stutz</v>
      </c>
      <c r="B2664" s="1" t="str">
        <f>IF(A2664&lt;&gt;"", VLOOKUP(A2664, imdb_netflix_v5!A$2:H$7370, 2, FALSE), "")</f>
        <v>Movie</v>
      </c>
      <c r="C2664" s="2" t="str">
        <f>IF(A2664&lt;&gt;"", VLOOKUP(A2664, imdb_netflix_v5!A$2:H$7370, 3, FALSE), "")</f>
        <v>Documentary</v>
      </c>
      <c r="D2664" s="2">
        <f>IF(A2664&lt;&gt;"", VLOOKUP(A2664, imdb_netflix_v5!A$2:H$7370, 4, FALSE), "")</f>
        <v>7.7</v>
      </c>
      <c r="E2664" s="2">
        <f>IF(A2664&lt;&gt;"", VLOOKUP(A2664, imdb_netflix_v5!A$2:H$7370, 5, FALSE), "")</f>
        <v>2022</v>
      </c>
      <c r="F2664" s="2" t="str">
        <f>IF(A2664&lt;&gt;"", VLOOKUP(A2664, imdb_netflix_v5!A$2:H$7370, 7, FALSE), "")</f>
        <v>NA</v>
      </c>
    </row>
    <row r="2665" ht="15.75" customHeight="1">
      <c r="A2665" s="1" t="str">
        <f>IFERROR(__xludf.DUMMYFUNCTION("""COMPUTED_VALUE"""),"3 women")</f>
        <v>3 women</v>
      </c>
      <c r="B2665" s="1" t="str">
        <f>IF(A2665&lt;&gt;"", VLOOKUP(A2665, imdb_netflix_v5!A$2:H$7370, 2, FALSE), "")</f>
        <v>Movie</v>
      </c>
      <c r="C2665" s="2" t="str">
        <f>IF(A2665&lt;&gt;"", VLOOKUP(A2665, imdb_netflix_v5!A$2:H$7370, 3, FALSE), "")</f>
        <v>Drama, Mystery, Thriller</v>
      </c>
      <c r="D2665" s="2">
        <f>IF(A2665&lt;&gt;"", VLOOKUP(A2665, imdb_netflix_v5!A$2:H$7370, 4, FALSE), "")</f>
        <v>7.7</v>
      </c>
      <c r="E2665" s="2">
        <f>IF(A2665&lt;&gt;"", VLOOKUP(A2665, imdb_netflix_v5!A$2:H$7370, 5, FALSE), "")</f>
        <v>1977</v>
      </c>
      <c r="F2665" s="2" t="str">
        <f>IF(A2665&lt;&gt;"", VLOOKUP(A2665, imdb_netflix_v5!A$2:H$7370, 7, FALSE), "")</f>
        <v>NA</v>
      </c>
    </row>
    <row r="2666" ht="15.75" customHeight="1">
      <c r="A2666" s="1" t="str">
        <f>IFERROR(__xludf.DUMMYFUNCTION("""COMPUTED_VALUE"""),"extraordinary")</f>
        <v>extraordinary</v>
      </c>
      <c r="B2666" s="1" t="str">
        <f>IF(A2666&lt;&gt;"", VLOOKUP(A2666, imdb_netflix_v5!A$2:H$7370, 2, FALSE), "")</f>
        <v>TV Show</v>
      </c>
      <c r="C2666" s="2" t="str">
        <f>IF(A2666&lt;&gt;"", VLOOKUP(A2666, imdb_netflix_v5!A$2:H$7370, 3, FALSE), "")</f>
        <v>Comedy, Sci-Fi</v>
      </c>
      <c r="D2666" s="2">
        <f>IF(A2666&lt;&gt;"", VLOOKUP(A2666, imdb_netflix_v5!A$2:H$7370, 4, FALSE), "")</f>
        <v>7.7</v>
      </c>
      <c r="E2666" s="2">
        <f>IF(A2666&lt;&gt;"", VLOOKUP(A2666, imdb_netflix_v5!A$2:H$7370, 5, FALSE), "")</f>
        <v>2023</v>
      </c>
      <c r="F2666" s="2" t="str">
        <f>IF(A2666&lt;&gt;"", VLOOKUP(A2666, imdb_netflix_v5!A$2:H$7370, 7, FALSE), "")</f>
        <v>NA</v>
      </c>
    </row>
    <row r="2667" ht="15.75" customHeight="1">
      <c r="A2667" s="1" t="str">
        <f>IFERROR(__xludf.DUMMYFUNCTION("""COMPUTED_VALUE"""),"destiny")</f>
        <v>destiny</v>
      </c>
      <c r="B2667" s="1" t="str">
        <f>IF(A2667&lt;&gt;"", VLOOKUP(A2667, imdb_netflix_v5!A$2:H$7370, 2, FALSE), "")</f>
        <v>Movie</v>
      </c>
      <c r="C2667" s="2" t="str">
        <f>IF(A2667&lt;&gt;"", VLOOKUP(A2667, imdb_netflix_v5!A$2:H$7370, 3, FALSE), "")</f>
        <v>Drama</v>
      </c>
      <c r="D2667" s="2">
        <f>IF(A2667&lt;&gt;"", VLOOKUP(A2667, imdb_netflix_v5!A$2:H$7370, 4, FALSE), "")</f>
        <v>7.7</v>
      </c>
      <c r="E2667" s="2">
        <f>IF(A2667&lt;&gt;"", VLOOKUP(A2667, imdb_netflix_v5!A$2:H$7370, 5, FALSE), "")</f>
        <v>2006</v>
      </c>
      <c r="F2667" s="2" t="str">
        <f>IF(A2667&lt;&gt;"", VLOOKUP(A2667, imdb_netflix_v5!A$2:H$7370, 7, FALSE), "")</f>
        <v>NA</v>
      </c>
    </row>
    <row r="2668" ht="15.75" customHeight="1">
      <c r="A2668" s="1" t="str">
        <f>IFERROR(__xludf.DUMMYFUNCTION("""COMPUTED_VALUE"""),"fleishman is in trouble")</f>
        <v>fleishman is in trouble</v>
      </c>
      <c r="B2668" s="1" t="str">
        <f>IF(A2668&lt;&gt;"", VLOOKUP(A2668, imdb_netflix_v5!A$2:H$7370, 2, FALSE), "")</f>
        <v>TV Show</v>
      </c>
      <c r="C2668" s="2" t="str">
        <f>IF(A2668&lt;&gt;"", VLOOKUP(A2668, imdb_netflix_v5!A$2:H$7370, 3, FALSE), "")</f>
        <v>Drama</v>
      </c>
      <c r="D2668" s="2">
        <f>IF(A2668&lt;&gt;"", VLOOKUP(A2668, imdb_netflix_v5!A$2:H$7370, 4, FALSE), "")</f>
        <v>7.7</v>
      </c>
      <c r="E2668" s="2">
        <f>IF(A2668&lt;&gt;"", VLOOKUP(A2668, imdb_netflix_v5!A$2:H$7370, 5, FALSE), "")</f>
        <v>2022</v>
      </c>
      <c r="F2668" s="2" t="str">
        <f>IF(A2668&lt;&gt;"", VLOOKUP(A2668, imdb_netflix_v5!A$2:H$7370, 7, FALSE), "")</f>
        <v>NA</v>
      </c>
    </row>
    <row r="2669" ht="15.75" customHeight="1">
      <c r="A2669" s="1" t="str">
        <f>IFERROR(__xludf.DUMMYFUNCTION("""COMPUTED_VALUE"""),"latalante")</f>
        <v>latalante</v>
      </c>
      <c r="B2669" s="1" t="str">
        <f>IF(A2669&lt;&gt;"", VLOOKUP(A2669, imdb_netflix_v5!A$2:H$7370, 2, FALSE), "")</f>
        <v>Movie</v>
      </c>
      <c r="C2669" s="2" t="str">
        <f>IF(A2669&lt;&gt;"", VLOOKUP(A2669, imdb_netflix_v5!A$2:H$7370, 3, FALSE), "")</f>
        <v>Comedy, Drama, Romance</v>
      </c>
      <c r="D2669" s="2">
        <f>IF(A2669&lt;&gt;"", VLOOKUP(A2669, imdb_netflix_v5!A$2:H$7370, 4, FALSE), "")</f>
        <v>7.7</v>
      </c>
      <c r="E2669" s="2">
        <f>IF(A2669&lt;&gt;"", VLOOKUP(A2669, imdb_netflix_v5!A$2:H$7370, 5, FALSE), "")</f>
        <v>1934</v>
      </c>
      <c r="F2669" s="2" t="str">
        <f>IF(A2669&lt;&gt;"", VLOOKUP(A2669, imdb_netflix_v5!A$2:H$7370, 7, FALSE), "")</f>
        <v>NA</v>
      </c>
    </row>
    <row r="2670" ht="15.75" customHeight="1">
      <c r="A2670" s="1" t="str">
        <f>IFERROR(__xludf.DUMMYFUNCTION("""COMPUTED_VALUE"""),"the finder")</f>
        <v>the finder</v>
      </c>
      <c r="B2670" s="1" t="str">
        <f>IF(A2670&lt;&gt;"", VLOOKUP(A2670, imdb_netflix_v5!A$2:H$7370, 2, FALSE), "")</f>
        <v>TV Show</v>
      </c>
      <c r="C2670" s="2" t="str">
        <f>IF(A2670&lt;&gt;"", VLOOKUP(A2670, imdb_netflix_v5!A$2:H$7370, 3, FALSE), "")</f>
        <v>Comedy, Crime, Drama</v>
      </c>
      <c r="D2670" s="2">
        <f>IF(A2670&lt;&gt;"", VLOOKUP(A2670, imdb_netflix_v5!A$2:H$7370, 4, FALSE), "")</f>
        <v>7.7</v>
      </c>
      <c r="E2670" s="2">
        <f>IF(A2670&lt;&gt;"", VLOOKUP(A2670, imdb_netflix_v5!A$2:H$7370, 5, FALSE), "")</f>
        <v>2012</v>
      </c>
      <c r="F2670" s="2" t="str">
        <f>IF(A2670&lt;&gt;"", VLOOKUP(A2670, imdb_netflix_v5!A$2:H$7370, 7, FALSE), "")</f>
        <v>NA</v>
      </c>
    </row>
    <row r="2671" ht="15.75" customHeight="1">
      <c r="A2671" s="1" t="str">
        <f>IFERROR(__xludf.DUMMYFUNCTION("""COMPUTED_VALUE"""),"the jengaburu curse")</f>
        <v>the jengaburu curse</v>
      </c>
      <c r="B2671" s="1" t="str">
        <f>IF(A2671&lt;&gt;"", VLOOKUP(A2671, imdb_netflix_v5!A$2:H$7370, 2, FALSE), "")</f>
        <v>TV Show</v>
      </c>
      <c r="C2671" s="2" t="str">
        <f>IF(A2671&lt;&gt;"", VLOOKUP(A2671, imdb_netflix_v5!A$2:H$7370, 3, FALSE), "")</f>
        <v>Crime, Mystery, Thriller</v>
      </c>
      <c r="D2671" s="2">
        <f>IF(A2671&lt;&gt;"", VLOOKUP(A2671, imdb_netflix_v5!A$2:H$7370, 4, FALSE), "")</f>
        <v>7.7</v>
      </c>
      <c r="E2671" s="2">
        <f>IF(A2671&lt;&gt;"", VLOOKUP(A2671, imdb_netflix_v5!A$2:H$7370, 5, FALSE), "")</f>
        <v>2023</v>
      </c>
      <c r="F2671" s="2" t="str">
        <f>IF(A2671&lt;&gt;"", VLOOKUP(A2671, imdb_netflix_v5!A$2:H$7370, 7, FALSE), "")</f>
        <v>NA</v>
      </c>
    </row>
    <row r="2672" ht="15.75" customHeight="1">
      <c r="A2672" s="1" t="str">
        <f>IFERROR(__xludf.DUMMYFUNCTION("""COMPUTED_VALUE"""),"home for christmas")</f>
        <v>home for christmas</v>
      </c>
      <c r="B2672" s="1" t="str">
        <f>IF(A2672&lt;&gt;"", VLOOKUP(A2672, imdb_netflix_v5!A$2:H$7370, 2, FALSE), "")</f>
        <v>TV Show</v>
      </c>
      <c r="C2672" s="2" t="str">
        <f>IF(A2672&lt;&gt;"", VLOOKUP(A2672, imdb_netflix_v5!A$2:H$7370, 3, FALSE), "")</f>
        <v>Comedy, Drama, Romance</v>
      </c>
      <c r="D2672" s="2">
        <f>IF(A2672&lt;&gt;"", VLOOKUP(A2672, imdb_netflix_v5!A$2:H$7370, 4, FALSE), "")</f>
        <v>7.7</v>
      </c>
      <c r="E2672" s="2">
        <f>IF(A2672&lt;&gt;"", VLOOKUP(A2672, imdb_netflix_v5!A$2:H$7370, 5, FALSE), "")</f>
        <v>2019</v>
      </c>
      <c r="F2672" s="2" t="str">
        <f>IF(A2672&lt;&gt;"", VLOOKUP(A2672, imdb_netflix_v5!A$2:H$7370, 7, FALSE), "")</f>
        <v>NA</v>
      </c>
    </row>
    <row r="2673" ht="15.75" customHeight="1">
      <c r="A2673" s="1" t="str">
        <f>IFERROR(__xludf.DUMMYFUNCTION("""COMPUTED_VALUE"""),"mr selfridge")</f>
        <v>mr selfridge</v>
      </c>
      <c r="B2673" s="1" t="str">
        <f>IF(A2673&lt;&gt;"", VLOOKUP(A2673, imdb_netflix_v5!A$2:H$7370, 2, FALSE), "")</f>
        <v>TV Show</v>
      </c>
      <c r="C2673" s="2" t="str">
        <f>IF(A2673&lt;&gt;"", VLOOKUP(A2673, imdb_netflix_v5!A$2:H$7370, 3, FALSE), "")</f>
        <v>Drama, History</v>
      </c>
      <c r="D2673" s="2">
        <f>IF(A2673&lt;&gt;"", VLOOKUP(A2673, imdb_netflix_v5!A$2:H$7370, 4, FALSE), "")</f>
        <v>7.7</v>
      </c>
      <c r="E2673" s="2">
        <f>IF(A2673&lt;&gt;"", VLOOKUP(A2673, imdb_netflix_v5!A$2:H$7370, 5, FALSE), "")</f>
        <v>2013</v>
      </c>
      <c r="F2673" s="2" t="str">
        <f>IF(A2673&lt;&gt;"", VLOOKUP(A2673, imdb_netflix_v5!A$2:H$7370, 7, FALSE), "")</f>
        <v>NA</v>
      </c>
    </row>
    <row r="2674" ht="15.75" customHeight="1">
      <c r="A2674" s="1" t="str">
        <f>IFERROR(__xludf.DUMMYFUNCTION("""COMPUTED_VALUE"""),"intolerance")</f>
        <v>intolerance</v>
      </c>
      <c r="B2674" s="1" t="str">
        <f>IF(A2674&lt;&gt;"", VLOOKUP(A2674, imdb_netflix_v5!A$2:H$7370, 2, FALSE), "")</f>
        <v>Movie</v>
      </c>
      <c r="C2674" s="2" t="str">
        <f>IF(A2674&lt;&gt;"", VLOOKUP(A2674, imdb_netflix_v5!A$2:H$7370, 3, FALSE), "")</f>
        <v>Drama, History</v>
      </c>
      <c r="D2674" s="2">
        <f>IF(A2674&lt;&gt;"", VLOOKUP(A2674, imdb_netflix_v5!A$2:H$7370, 4, FALSE), "")</f>
        <v>7.7</v>
      </c>
      <c r="E2674" s="2">
        <f>IF(A2674&lt;&gt;"", VLOOKUP(A2674, imdb_netflix_v5!A$2:H$7370, 5, FALSE), "")</f>
        <v>1916</v>
      </c>
      <c r="F2674" s="2" t="str">
        <f>IF(A2674&lt;&gt;"", VLOOKUP(A2674, imdb_netflix_v5!A$2:H$7370, 7, FALSE), "")</f>
        <v>NA</v>
      </c>
    </row>
    <row r="2675" ht="15.75" customHeight="1">
      <c r="A2675" s="1" t="str">
        <f>IFERROR(__xludf.DUMMYFUNCTION("""COMPUTED_VALUE"""),"swatantrya veer savarkar")</f>
        <v>swatantrya veer savarkar</v>
      </c>
      <c r="B2675" s="1" t="str">
        <f>IF(A2675&lt;&gt;"", VLOOKUP(A2675, imdb_netflix_v5!A$2:H$7370, 2, FALSE), "")</f>
        <v>Movie</v>
      </c>
      <c r="C2675" s="2" t="str">
        <f>IF(A2675&lt;&gt;"", VLOOKUP(A2675, imdb_netflix_v5!A$2:H$7370, 3, FALSE), "")</f>
        <v>Biography, Drama</v>
      </c>
      <c r="D2675" s="2">
        <f>IF(A2675&lt;&gt;"", VLOOKUP(A2675, imdb_netflix_v5!A$2:H$7370, 4, FALSE), "")</f>
        <v>7.7</v>
      </c>
      <c r="E2675" s="2">
        <f>IF(A2675&lt;&gt;"", VLOOKUP(A2675, imdb_netflix_v5!A$2:H$7370, 5, FALSE), "")</f>
        <v>2024</v>
      </c>
      <c r="F2675" s="2" t="str">
        <f>IF(A2675&lt;&gt;"", VLOOKUP(A2675, imdb_netflix_v5!A$2:H$7370, 7, FALSE), "")</f>
        <v>NA</v>
      </c>
    </row>
    <row r="2676" ht="15.75" customHeight="1">
      <c r="A2676" s="1" t="str">
        <f>IFERROR(__xludf.DUMMYFUNCTION("""COMPUTED_VALUE"""),"a very english scandal")</f>
        <v>a very english scandal</v>
      </c>
      <c r="B2676" s="1" t="str">
        <f>IF(A2676&lt;&gt;"", VLOOKUP(A2676, imdb_netflix_v5!A$2:H$7370, 2, FALSE), "")</f>
        <v>TV Show</v>
      </c>
      <c r="C2676" s="2" t="str">
        <f>IF(A2676&lt;&gt;"", VLOOKUP(A2676, imdb_netflix_v5!A$2:H$7370, 3, FALSE), "")</f>
        <v>Biography, Comedy, Crime</v>
      </c>
      <c r="D2676" s="2">
        <f>IF(A2676&lt;&gt;"", VLOOKUP(A2676, imdb_netflix_v5!A$2:H$7370, 4, FALSE), "")</f>
        <v>7.7</v>
      </c>
      <c r="E2676" s="2">
        <f>IF(A2676&lt;&gt;"", VLOOKUP(A2676, imdb_netflix_v5!A$2:H$7370, 5, FALSE), "")</f>
        <v>2018</v>
      </c>
      <c r="F2676" s="2" t="str">
        <f>IF(A2676&lt;&gt;"", VLOOKUP(A2676, imdb_netflix_v5!A$2:H$7370, 7, FALSE), "")</f>
        <v>NA</v>
      </c>
    </row>
    <row r="2677" ht="15.75" customHeight="1">
      <c r="A2677" s="1" t="str">
        <f>IFERROR(__xludf.DUMMYFUNCTION("""COMPUTED_VALUE"""),"high fidelity")</f>
        <v>high fidelity</v>
      </c>
      <c r="B2677" s="1" t="str">
        <f>IF(A2677&lt;&gt;"", VLOOKUP(A2677, imdb_netflix_v5!A$2:H$7370, 2, FALSE), "")</f>
        <v>TV Show</v>
      </c>
      <c r="C2677" s="2" t="str">
        <f>IF(A2677&lt;&gt;"", VLOOKUP(A2677, imdb_netflix_v5!A$2:H$7370, 3, FALSE), "")</f>
        <v>Comedy, Drama, Romance</v>
      </c>
      <c r="D2677" s="2">
        <f>IF(A2677&lt;&gt;"", VLOOKUP(A2677, imdb_netflix_v5!A$2:H$7370, 4, FALSE), "")</f>
        <v>7.7</v>
      </c>
      <c r="E2677" s="2">
        <f>IF(A2677&lt;&gt;"", VLOOKUP(A2677, imdb_netflix_v5!A$2:H$7370, 5, FALSE), "")</f>
        <v>2020</v>
      </c>
      <c r="F2677" s="2" t="str">
        <f>IF(A2677&lt;&gt;"", VLOOKUP(A2677, imdb_netflix_v5!A$2:H$7370, 7, FALSE), "")</f>
        <v>NA</v>
      </c>
    </row>
    <row r="2678" ht="15.75" customHeight="1">
      <c r="A2678" s="1" t="str">
        <f>IFERROR(__xludf.DUMMYFUNCTION("""COMPUTED_VALUE"""),"mr. india")</f>
        <v>mr. india</v>
      </c>
      <c r="B2678" s="1" t="str">
        <f>IF(A2678&lt;&gt;"", VLOOKUP(A2678, imdb_netflix_v5!A$2:H$7370, 2, FALSE), "")</f>
        <v>Movie</v>
      </c>
      <c r="C2678" s="2" t="str">
        <f>IF(A2678&lt;&gt;"", VLOOKUP(A2678, imdb_netflix_v5!A$2:H$7370, 3, FALSE), "")</f>
        <v>Action, Comedy, Drama</v>
      </c>
      <c r="D2678" s="2">
        <f>IF(A2678&lt;&gt;"", VLOOKUP(A2678, imdb_netflix_v5!A$2:H$7370, 4, FALSE), "")</f>
        <v>7.7</v>
      </c>
      <c r="E2678" s="2">
        <f>IF(A2678&lt;&gt;"", VLOOKUP(A2678, imdb_netflix_v5!A$2:H$7370, 5, FALSE), "")</f>
        <v>1987</v>
      </c>
      <c r="F2678" s="2" t="str">
        <f>IF(A2678&lt;&gt;"", VLOOKUP(A2678, imdb_netflix_v5!A$2:H$7370, 7, FALSE), "")</f>
        <v>NA</v>
      </c>
    </row>
    <row r="2679" ht="15.75" customHeight="1">
      <c r="A2679" s="1" t="str">
        <f>IFERROR(__xludf.DUMMYFUNCTION("""COMPUTED_VALUE"""),"the eight mountains")</f>
        <v>the eight mountains</v>
      </c>
      <c r="B2679" s="1" t="str">
        <f>IF(A2679&lt;&gt;"", VLOOKUP(A2679, imdb_netflix_v5!A$2:H$7370, 2, FALSE), "")</f>
        <v>Movie</v>
      </c>
      <c r="C2679" s="2" t="str">
        <f>IF(A2679&lt;&gt;"", VLOOKUP(A2679, imdb_netflix_v5!A$2:H$7370, 3, FALSE), "")</f>
        <v>Drama</v>
      </c>
      <c r="D2679" s="2">
        <f>IF(A2679&lt;&gt;"", VLOOKUP(A2679, imdb_netflix_v5!A$2:H$7370, 4, FALSE), "")</f>
        <v>7.7</v>
      </c>
      <c r="E2679" s="2">
        <f>IF(A2679&lt;&gt;"", VLOOKUP(A2679, imdb_netflix_v5!A$2:H$7370, 5, FALSE), "")</f>
        <v>2022</v>
      </c>
      <c r="F2679" s="2" t="str">
        <f>IF(A2679&lt;&gt;"", VLOOKUP(A2679, imdb_netflix_v5!A$2:H$7370, 7, FALSE), "")</f>
        <v>NA</v>
      </c>
    </row>
    <row r="2680" ht="15.75" customHeight="1">
      <c r="A2680" s="1" t="str">
        <f>IFERROR(__xludf.DUMMYFUNCTION("""COMPUTED_VALUE"""),"a young doctors notebook &amp; other stories")</f>
        <v>a young doctors notebook &amp; other stories</v>
      </c>
      <c r="B2680" s="1" t="str">
        <f>IF(A2680&lt;&gt;"", VLOOKUP(A2680, imdb_netflix_v5!A$2:H$7370, 2, FALSE), "")</f>
        <v>TV Show</v>
      </c>
      <c r="C2680" s="2" t="str">
        <f>IF(A2680&lt;&gt;"", VLOOKUP(A2680, imdb_netflix_v5!A$2:H$7370, 3, FALSE), "")</f>
        <v>Comedy, Drama, History</v>
      </c>
      <c r="D2680" s="2">
        <f>IF(A2680&lt;&gt;"", VLOOKUP(A2680, imdb_netflix_v5!A$2:H$7370, 4, FALSE), "")</f>
        <v>7.7</v>
      </c>
      <c r="E2680" s="2">
        <f>IF(A2680&lt;&gt;"", VLOOKUP(A2680, imdb_netflix_v5!A$2:H$7370, 5, FALSE), "")</f>
        <v>2012</v>
      </c>
      <c r="F2680" s="2" t="str">
        <f>IF(A2680&lt;&gt;"", VLOOKUP(A2680, imdb_netflix_v5!A$2:H$7370, 7, FALSE), "")</f>
        <v>NA</v>
      </c>
    </row>
    <row r="2681" ht="15.75" customHeight="1">
      <c r="A2681" s="1" t="str">
        <f>IFERROR(__xludf.DUMMYFUNCTION("""COMPUTED_VALUE"""),"mankatha")</f>
        <v>mankatha</v>
      </c>
      <c r="B2681" s="1" t="str">
        <f>IF(A2681&lt;&gt;"", VLOOKUP(A2681, imdb_netflix_v5!A$2:H$7370, 2, FALSE), "")</f>
        <v>Movie</v>
      </c>
      <c r="C2681" s="2" t="str">
        <f>IF(A2681&lt;&gt;"", VLOOKUP(A2681, imdb_netflix_v5!A$2:H$7370, 3, FALSE), "")</f>
        <v>Action, Crime, Thriller</v>
      </c>
      <c r="D2681" s="2">
        <f>IF(A2681&lt;&gt;"", VLOOKUP(A2681, imdb_netflix_v5!A$2:H$7370, 4, FALSE), "")</f>
        <v>7.7</v>
      </c>
      <c r="E2681" s="2">
        <f>IF(A2681&lt;&gt;"", VLOOKUP(A2681, imdb_netflix_v5!A$2:H$7370, 5, FALSE), "")</f>
        <v>2011</v>
      </c>
      <c r="F2681" s="2" t="str">
        <f>IF(A2681&lt;&gt;"", VLOOKUP(A2681, imdb_netflix_v5!A$2:H$7370, 7, FALSE), "")</f>
        <v>NA</v>
      </c>
    </row>
    <row r="2682" ht="15.75" customHeight="1">
      <c r="A2682" s="1" t="str">
        <f>IFERROR(__xludf.DUMMYFUNCTION("""COMPUTED_VALUE"""),"the blue angel")</f>
        <v>the blue angel</v>
      </c>
      <c r="B2682" s="1" t="str">
        <f>IF(A2682&lt;&gt;"", VLOOKUP(A2682, imdb_netflix_v5!A$2:H$7370, 2, FALSE), "")</f>
        <v>Movie</v>
      </c>
      <c r="C2682" s="2" t="str">
        <f>IF(A2682&lt;&gt;"", VLOOKUP(A2682, imdb_netflix_v5!A$2:H$7370, 3, FALSE), "")</f>
        <v>Drama, Music, Romance</v>
      </c>
      <c r="D2682" s="2">
        <f>IF(A2682&lt;&gt;"", VLOOKUP(A2682, imdb_netflix_v5!A$2:H$7370, 4, FALSE), "")</f>
        <v>7.7</v>
      </c>
      <c r="E2682" s="2">
        <f>IF(A2682&lt;&gt;"", VLOOKUP(A2682, imdb_netflix_v5!A$2:H$7370, 5, FALSE), "")</f>
        <v>1930</v>
      </c>
      <c r="F2682" s="2" t="str">
        <f>IF(A2682&lt;&gt;"", VLOOKUP(A2682, imdb_netflix_v5!A$2:H$7370, 7, FALSE), "")</f>
        <v>NA</v>
      </c>
    </row>
    <row r="2683" ht="15.75" customHeight="1">
      <c r="A2683" s="1" t="str">
        <f>IFERROR(__xludf.DUMMYFUNCTION("""COMPUTED_VALUE"""),"inspector avinash")</f>
        <v>inspector avinash</v>
      </c>
      <c r="B2683" s="1" t="str">
        <f>IF(A2683&lt;&gt;"", VLOOKUP(A2683, imdb_netflix_v5!A$2:H$7370, 2, FALSE), "")</f>
        <v>TV Show</v>
      </c>
      <c r="C2683" s="2" t="str">
        <f>IF(A2683&lt;&gt;"", VLOOKUP(A2683, imdb_netflix_v5!A$2:H$7370, 3, FALSE), "")</f>
        <v>Action, Crime, Thriller</v>
      </c>
      <c r="D2683" s="2">
        <f>IF(A2683&lt;&gt;"", VLOOKUP(A2683, imdb_netflix_v5!A$2:H$7370, 4, FALSE), "")</f>
        <v>7.7</v>
      </c>
      <c r="E2683" s="2">
        <f>IF(A2683&lt;&gt;"", VLOOKUP(A2683, imdb_netflix_v5!A$2:H$7370, 5, FALSE), "")</f>
        <v>2023</v>
      </c>
      <c r="F2683" s="2" t="str">
        <f>IF(A2683&lt;&gt;"", VLOOKUP(A2683, imdb_netflix_v5!A$2:H$7370, 7, FALSE), "")</f>
        <v>NA</v>
      </c>
    </row>
    <row r="2684" ht="15.75" customHeight="1">
      <c r="A2684" s="1" t="str">
        <f>IFERROR(__xludf.DUMMYFUNCTION("""COMPUTED_VALUE"""),"modern love mumbai")</f>
        <v>modern love mumbai</v>
      </c>
      <c r="B2684" s="1" t="str">
        <f>IF(A2684&lt;&gt;"", VLOOKUP(A2684, imdb_netflix_v5!A$2:H$7370, 2, FALSE), "")</f>
        <v>TV Show</v>
      </c>
      <c r="C2684" s="2" t="str">
        <f>IF(A2684&lt;&gt;"", VLOOKUP(A2684, imdb_netflix_v5!A$2:H$7370, 3, FALSE), "")</f>
        <v>Comedy, Romance</v>
      </c>
      <c r="D2684" s="2">
        <f>IF(A2684&lt;&gt;"", VLOOKUP(A2684, imdb_netflix_v5!A$2:H$7370, 4, FALSE), "")</f>
        <v>7.7</v>
      </c>
      <c r="E2684" s="2">
        <f>IF(A2684&lt;&gt;"", VLOOKUP(A2684, imdb_netflix_v5!A$2:H$7370, 5, FALSE), "")</f>
        <v>2022</v>
      </c>
      <c r="F2684" s="2" t="str">
        <f>IF(A2684&lt;&gt;"", VLOOKUP(A2684, imdb_netflix_v5!A$2:H$7370, 7, FALSE), "")</f>
        <v>NA</v>
      </c>
    </row>
    <row r="2685" ht="15.75" customHeight="1">
      <c r="A2685" s="1" t="str">
        <f>IFERROR(__xludf.DUMMYFUNCTION("""COMPUTED_VALUE"""),"kolya")</f>
        <v>kolya</v>
      </c>
      <c r="B2685" s="1" t="str">
        <f>IF(A2685&lt;&gt;"", VLOOKUP(A2685, imdb_netflix_v5!A$2:H$7370, 2, FALSE), "")</f>
        <v>Movie</v>
      </c>
      <c r="C2685" s="2" t="str">
        <f>IF(A2685&lt;&gt;"", VLOOKUP(A2685, imdb_netflix_v5!A$2:H$7370, 3, FALSE), "")</f>
        <v>Comedy, Drama, Music</v>
      </c>
      <c r="D2685" s="2">
        <f>IF(A2685&lt;&gt;"", VLOOKUP(A2685, imdb_netflix_v5!A$2:H$7370, 4, FALSE), "")</f>
        <v>7.7</v>
      </c>
      <c r="E2685" s="2">
        <f>IF(A2685&lt;&gt;"", VLOOKUP(A2685, imdb_netflix_v5!A$2:H$7370, 5, FALSE), "")</f>
        <v>1996</v>
      </c>
      <c r="F2685" s="2" t="str">
        <f>IF(A2685&lt;&gt;"", VLOOKUP(A2685, imdb_netflix_v5!A$2:H$7370, 7, FALSE), "")</f>
        <v>NA</v>
      </c>
    </row>
    <row r="2686" ht="15.75" customHeight="1">
      <c r="A2686" s="1" t="str">
        <f>IFERROR(__xludf.DUMMYFUNCTION("""COMPUTED_VALUE"""),"captain blood")</f>
        <v>captain blood</v>
      </c>
      <c r="B2686" s="1" t="str">
        <f>IF(A2686&lt;&gt;"", VLOOKUP(A2686, imdb_netflix_v5!A$2:H$7370, 2, FALSE), "")</f>
        <v>Movie</v>
      </c>
      <c r="C2686" s="2" t="str">
        <f>IF(A2686&lt;&gt;"", VLOOKUP(A2686, imdb_netflix_v5!A$2:H$7370, 3, FALSE), "")</f>
        <v>Action, Adventure, History</v>
      </c>
      <c r="D2686" s="2">
        <f>IF(A2686&lt;&gt;"", VLOOKUP(A2686, imdb_netflix_v5!A$2:H$7370, 4, FALSE), "")</f>
        <v>7.7</v>
      </c>
      <c r="E2686" s="2">
        <f>IF(A2686&lt;&gt;"", VLOOKUP(A2686, imdb_netflix_v5!A$2:H$7370, 5, FALSE), "")</f>
        <v>1935</v>
      </c>
      <c r="F2686" s="2" t="str">
        <f>IF(A2686&lt;&gt;"", VLOOKUP(A2686, imdb_netflix_v5!A$2:H$7370, 7, FALSE), "")</f>
        <v>NA</v>
      </c>
    </row>
    <row r="2687" ht="15.75" customHeight="1">
      <c r="A2687" s="1" t="str">
        <f>IFERROR(__xludf.DUMMYFUNCTION("""COMPUTED_VALUE"""),"taxi")</f>
        <v>taxi</v>
      </c>
      <c r="B2687" s="1" t="str">
        <f>IF(A2687&lt;&gt;"", VLOOKUP(A2687, imdb_netflix_v5!A$2:H$7370, 2, FALSE), "")</f>
        <v>TV Show</v>
      </c>
      <c r="C2687" s="2" t="str">
        <f>IF(A2687&lt;&gt;"", VLOOKUP(A2687, imdb_netflix_v5!A$2:H$7370, 3, FALSE), "")</f>
        <v>Comedy</v>
      </c>
      <c r="D2687" s="2">
        <f>IF(A2687&lt;&gt;"", VLOOKUP(A2687, imdb_netflix_v5!A$2:H$7370, 4, FALSE), "")</f>
        <v>7.7</v>
      </c>
      <c r="E2687" s="2">
        <f>IF(A2687&lt;&gt;"", VLOOKUP(A2687, imdb_netflix_v5!A$2:H$7370, 5, FALSE), "")</f>
        <v>1978</v>
      </c>
      <c r="F2687" s="2" t="str">
        <f>IF(A2687&lt;&gt;"", VLOOKUP(A2687, imdb_netflix_v5!A$2:H$7370, 7, FALSE), "")</f>
        <v>NA</v>
      </c>
    </row>
    <row r="2688" ht="15.75" customHeight="1">
      <c r="A2688" s="1" t="str">
        <f>IFERROR(__xludf.DUMMYFUNCTION("""COMPUTED_VALUE"""),"aarya")</f>
        <v>aarya</v>
      </c>
      <c r="B2688" s="1" t="str">
        <f>IF(A2688&lt;&gt;"", VLOOKUP(A2688, imdb_netflix_v5!A$2:H$7370, 2, FALSE), "")</f>
        <v>TV Show</v>
      </c>
      <c r="C2688" s="2" t="str">
        <f>IF(A2688&lt;&gt;"", VLOOKUP(A2688, imdb_netflix_v5!A$2:H$7370, 3, FALSE), "")</f>
        <v>Action, Crime, Drama</v>
      </c>
      <c r="D2688" s="2">
        <f>IF(A2688&lt;&gt;"", VLOOKUP(A2688, imdb_netflix_v5!A$2:H$7370, 4, FALSE), "")</f>
        <v>7.7</v>
      </c>
      <c r="E2688" s="2">
        <f>IF(A2688&lt;&gt;"", VLOOKUP(A2688, imdb_netflix_v5!A$2:H$7370, 5, FALSE), "")</f>
        <v>2020</v>
      </c>
      <c r="F2688" s="2" t="str">
        <f>IF(A2688&lt;&gt;"", VLOOKUP(A2688, imdb_netflix_v5!A$2:H$7370, 7, FALSE), "")</f>
        <v>NA</v>
      </c>
    </row>
    <row r="2689" ht="15.75" customHeight="1">
      <c r="A2689" s="1" t="str">
        <f>IFERROR(__xludf.DUMMYFUNCTION("""COMPUTED_VALUE"""),"hello mini")</f>
        <v>hello mini</v>
      </c>
      <c r="B2689" s="1" t="str">
        <f>IF(A2689&lt;&gt;"", VLOOKUP(A2689, imdb_netflix_v5!A$2:H$7370, 2, FALSE), "")</f>
        <v>TV Show</v>
      </c>
      <c r="C2689" s="2" t="str">
        <f>IF(A2689&lt;&gt;"", VLOOKUP(A2689, imdb_netflix_v5!A$2:H$7370, 3, FALSE), "")</f>
        <v>Thriller</v>
      </c>
      <c r="D2689" s="2">
        <f>IF(A2689&lt;&gt;"", VLOOKUP(A2689, imdb_netflix_v5!A$2:H$7370, 4, FALSE), "")</f>
        <v>7.7</v>
      </c>
      <c r="E2689" s="2">
        <f>IF(A2689&lt;&gt;"", VLOOKUP(A2689, imdb_netflix_v5!A$2:H$7370, 5, FALSE), "")</f>
        <v>2019</v>
      </c>
      <c r="F2689" s="2" t="str">
        <f>IF(A2689&lt;&gt;"", VLOOKUP(A2689, imdb_netflix_v5!A$2:H$7370, 7, FALSE), "")</f>
        <v>NA</v>
      </c>
    </row>
    <row r="2690" ht="15.75" customHeight="1">
      <c r="A2690" s="1" t="str">
        <f>IFERROR(__xludf.DUMMYFUNCTION("""COMPUTED_VALUE"""),"geetha govindam")</f>
        <v>geetha govindam</v>
      </c>
      <c r="B2690" s="1" t="str">
        <f>IF(A2690&lt;&gt;"", VLOOKUP(A2690, imdb_netflix_v5!A$2:H$7370, 2, FALSE), "")</f>
        <v>Movie</v>
      </c>
      <c r="C2690" s="2" t="str">
        <f>IF(A2690&lt;&gt;"", VLOOKUP(A2690, imdb_netflix_v5!A$2:H$7370, 3, FALSE), "")</f>
        <v>Comedy, Drama, Romance</v>
      </c>
      <c r="D2690" s="2">
        <f>IF(A2690&lt;&gt;"", VLOOKUP(A2690, imdb_netflix_v5!A$2:H$7370, 4, FALSE), "")</f>
        <v>7.7</v>
      </c>
      <c r="E2690" s="2">
        <f>IF(A2690&lt;&gt;"", VLOOKUP(A2690, imdb_netflix_v5!A$2:H$7370, 5, FALSE), "")</f>
        <v>2018</v>
      </c>
      <c r="F2690" s="2" t="str">
        <f>IF(A2690&lt;&gt;"", VLOOKUP(A2690, imdb_netflix_v5!A$2:H$7370, 7, FALSE), "")</f>
        <v>NA</v>
      </c>
    </row>
    <row r="2691" ht="15.75" customHeight="1">
      <c r="A2691" s="1" t="str">
        <f>IFERROR(__xludf.DUMMYFUNCTION("""COMPUTED_VALUE"""),"unreal")</f>
        <v>unreal</v>
      </c>
      <c r="B2691" s="1" t="str">
        <f>IF(A2691&lt;&gt;"", VLOOKUP(A2691, imdb_netflix_v5!A$2:H$7370, 2, FALSE), "")</f>
        <v>TV Show</v>
      </c>
      <c r="C2691" s="2" t="str">
        <f>IF(A2691&lt;&gt;"", VLOOKUP(A2691, imdb_netflix_v5!A$2:H$7370, 3, FALSE), "")</f>
        <v>Drama</v>
      </c>
      <c r="D2691" s="2">
        <f>IF(A2691&lt;&gt;"", VLOOKUP(A2691, imdb_netflix_v5!A$2:H$7370, 4, FALSE), "")</f>
        <v>7.7</v>
      </c>
      <c r="E2691" s="2">
        <f>IF(A2691&lt;&gt;"", VLOOKUP(A2691, imdb_netflix_v5!A$2:H$7370, 5, FALSE), "")</f>
        <v>2015</v>
      </c>
      <c r="F2691" s="2" t="str">
        <f>IF(A2691&lt;&gt;"", VLOOKUP(A2691, imdb_netflix_v5!A$2:H$7370, 7, FALSE), "")</f>
        <v>NA</v>
      </c>
    </row>
    <row r="2692" ht="15.75" customHeight="1">
      <c r="A2692" s="1" t="str">
        <f>IFERROR(__xludf.DUMMYFUNCTION("""COMPUTED_VALUE"""),"rory oshea was here")</f>
        <v>rory oshea was here</v>
      </c>
      <c r="B2692" s="1" t="str">
        <f>IF(A2692&lt;&gt;"", VLOOKUP(A2692, imdb_netflix_v5!A$2:H$7370, 2, FALSE), "")</f>
        <v>Movie</v>
      </c>
      <c r="C2692" s="2" t="str">
        <f>IF(A2692&lt;&gt;"", VLOOKUP(A2692, imdb_netflix_v5!A$2:H$7370, 3, FALSE), "")</f>
        <v>Comedy, Drama</v>
      </c>
      <c r="D2692" s="2">
        <f>IF(A2692&lt;&gt;"", VLOOKUP(A2692, imdb_netflix_v5!A$2:H$7370, 4, FALSE), "")</f>
        <v>7.7</v>
      </c>
      <c r="E2692" s="2">
        <f>IF(A2692&lt;&gt;"", VLOOKUP(A2692, imdb_netflix_v5!A$2:H$7370, 5, FALSE), "")</f>
        <v>2004</v>
      </c>
      <c r="F2692" s="2" t="str">
        <f>IF(A2692&lt;&gt;"", VLOOKUP(A2692, imdb_netflix_v5!A$2:H$7370, 7, FALSE), "")</f>
        <v>NA</v>
      </c>
    </row>
    <row r="2693" ht="15.75" customHeight="1">
      <c r="A2693" s="1" t="str">
        <f>IFERROR(__xludf.DUMMYFUNCTION("""COMPUTED_VALUE"""),"twelve oclock high")</f>
        <v>twelve oclock high</v>
      </c>
      <c r="B2693" s="1" t="str">
        <f>IF(A2693&lt;&gt;"", VLOOKUP(A2693, imdb_netflix_v5!A$2:H$7370, 2, FALSE), "")</f>
        <v>Movie</v>
      </c>
      <c r="C2693" s="2" t="str">
        <f>IF(A2693&lt;&gt;"", VLOOKUP(A2693, imdb_netflix_v5!A$2:H$7370, 3, FALSE), "")</f>
        <v>Drama, War</v>
      </c>
      <c r="D2693" s="2">
        <f>IF(A2693&lt;&gt;"", VLOOKUP(A2693, imdb_netflix_v5!A$2:H$7370, 4, FALSE), "")</f>
        <v>7.7</v>
      </c>
      <c r="E2693" s="2">
        <f>IF(A2693&lt;&gt;"", VLOOKUP(A2693, imdb_netflix_v5!A$2:H$7370, 5, FALSE), "")</f>
        <v>1949</v>
      </c>
      <c r="F2693" s="2" t="str">
        <f>IF(A2693&lt;&gt;"", VLOOKUP(A2693, imdb_netflix_v5!A$2:H$7370, 7, FALSE), "")</f>
        <v>NA</v>
      </c>
    </row>
    <row r="2694" ht="15.75" customHeight="1">
      <c r="A2694" s="1" t="str">
        <f>IFERROR(__xludf.DUMMYFUNCTION("""COMPUTED_VALUE"""),"classroom of the elite")</f>
        <v>classroom of the elite</v>
      </c>
      <c r="B2694" s="1" t="str">
        <f>IF(A2694&lt;&gt;"", VLOOKUP(A2694, imdb_netflix_v5!A$2:H$7370, 2, FALSE), "")</f>
        <v>TV Show</v>
      </c>
      <c r="C2694" s="2" t="str">
        <f>IF(A2694&lt;&gt;"", VLOOKUP(A2694, imdb_netflix_v5!A$2:H$7370, 3, FALSE), "")</f>
        <v>Animation, Drama</v>
      </c>
      <c r="D2694" s="2">
        <f>IF(A2694&lt;&gt;"", VLOOKUP(A2694, imdb_netflix_v5!A$2:H$7370, 4, FALSE), "")</f>
        <v>7.7</v>
      </c>
      <c r="E2694" s="2">
        <f>IF(A2694&lt;&gt;"", VLOOKUP(A2694, imdb_netflix_v5!A$2:H$7370, 5, FALSE), "")</f>
        <v>2017</v>
      </c>
      <c r="F2694" s="2" t="str">
        <f>IF(A2694&lt;&gt;"", VLOOKUP(A2694, imdb_netflix_v5!A$2:H$7370, 7, FALSE), "")</f>
        <v>NA</v>
      </c>
    </row>
    <row r="2695" ht="15.75" customHeight="1">
      <c r="A2695" s="1" t="str">
        <f>IFERROR(__xludf.DUMMYFUNCTION("""COMPUTED_VALUE"""),"the deepest breath")</f>
        <v>the deepest breath</v>
      </c>
      <c r="B2695" s="1" t="str">
        <f>IF(A2695&lt;&gt;"", VLOOKUP(A2695, imdb_netflix_v5!A$2:H$7370, 2, FALSE), "")</f>
        <v>Movie</v>
      </c>
      <c r="C2695" s="2" t="str">
        <f>IF(A2695&lt;&gt;"", VLOOKUP(A2695, imdb_netflix_v5!A$2:H$7370, 3, FALSE), "")</f>
        <v>Adventure, Documentary, Sport</v>
      </c>
      <c r="D2695" s="2">
        <f>IF(A2695&lt;&gt;"", VLOOKUP(A2695, imdb_netflix_v5!A$2:H$7370, 4, FALSE), "")</f>
        <v>7.7</v>
      </c>
      <c r="E2695" s="2">
        <f>IF(A2695&lt;&gt;"", VLOOKUP(A2695, imdb_netflix_v5!A$2:H$7370, 5, FALSE), "")</f>
        <v>2023</v>
      </c>
      <c r="F2695" s="2">
        <f>IF(A2695&lt;&gt;"", VLOOKUP(A2695, imdb_netflix_v5!A$2:H$7370, 7, FALSE), "")</f>
        <v>6500000</v>
      </c>
    </row>
    <row r="2696" ht="15.75" customHeight="1">
      <c r="A2696" s="1" t="str">
        <f>IFERROR(__xludf.DUMMYFUNCTION("""COMPUTED_VALUE"""),"stroszek")</f>
        <v>stroszek</v>
      </c>
      <c r="B2696" s="1" t="str">
        <f>IF(A2696&lt;&gt;"", VLOOKUP(A2696, imdb_netflix_v5!A$2:H$7370, 2, FALSE), "")</f>
        <v>Movie</v>
      </c>
      <c r="C2696" s="2" t="str">
        <f>IF(A2696&lt;&gt;"", VLOOKUP(A2696, imdb_netflix_v5!A$2:H$7370, 3, FALSE), "")</f>
        <v>Comedy, Drama</v>
      </c>
      <c r="D2696" s="2">
        <f>IF(A2696&lt;&gt;"", VLOOKUP(A2696, imdb_netflix_v5!A$2:H$7370, 4, FALSE), "")</f>
        <v>7.7</v>
      </c>
      <c r="E2696" s="2">
        <f>IF(A2696&lt;&gt;"", VLOOKUP(A2696, imdb_netflix_v5!A$2:H$7370, 5, FALSE), "")</f>
        <v>1977</v>
      </c>
      <c r="F2696" s="2" t="str">
        <f>IF(A2696&lt;&gt;"", VLOOKUP(A2696, imdb_netflix_v5!A$2:H$7370, 7, FALSE), "")</f>
        <v>NA</v>
      </c>
    </row>
    <row r="2697" ht="15.75" customHeight="1">
      <c r="A2697" s="1" t="str">
        <f>IFERROR(__xludf.DUMMYFUNCTION("""COMPUTED_VALUE"""),"about dry grasses")</f>
        <v>about dry grasses</v>
      </c>
      <c r="B2697" s="1" t="str">
        <f>IF(A2697&lt;&gt;"", VLOOKUP(A2697, imdb_netflix_v5!A$2:H$7370, 2, FALSE), "")</f>
        <v>Movie</v>
      </c>
      <c r="C2697" s="2" t="str">
        <f>IF(A2697&lt;&gt;"", VLOOKUP(A2697, imdb_netflix_v5!A$2:H$7370, 3, FALSE), "")</f>
        <v>Drama</v>
      </c>
      <c r="D2697" s="2">
        <f>IF(A2697&lt;&gt;"", VLOOKUP(A2697, imdb_netflix_v5!A$2:H$7370, 4, FALSE), "")</f>
        <v>7.7</v>
      </c>
      <c r="E2697" s="2">
        <f>IF(A2697&lt;&gt;"", VLOOKUP(A2697, imdb_netflix_v5!A$2:H$7370, 5, FALSE), "")</f>
        <v>2023</v>
      </c>
      <c r="F2697" s="2" t="str">
        <f>IF(A2697&lt;&gt;"", VLOOKUP(A2697, imdb_netflix_v5!A$2:H$7370, 7, FALSE), "")</f>
        <v>NA</v>
      </c>
    </row>
    <row r="2698" ht="15.75" customHeight="1">
      <c r="A2698" s="1" t="str">
        <f>IFERROR(__xludf.DUMMYFUNCTION("""COMPUTED_VALUE"""),"water")</f>
        <v>water</v>
      </c>
      <c r="B2698" s="1" t="str">
        <f>IF(A2698&lt;&gt;"", VLOOKUP(A2698, imdb_netflix_v5!A$2:H$7370, 2, FALSE), "")</f>
        <v>Movie</v>
      </c>
      <c r="C2698" s="2" t="str">
        <f>IF(A2698&lt;&gt;"", VLOOKUP(A2698, imdb_netflix_v5!A$2:H$7370, 3, FALSE), "")</f>
        <v>Drama</v>
      </c>
      <c r="D2698" s="2">
        <f>IF(A2698&lt;&gt;"", VLOOKUP(A2698, imdb_netflix_v5!A$2:H$7370, 4, FALSE), "")</f>
        <v>7.7</v>
      </c>
      <c r="E2698" s="2">
        <f>IF(A2698&lt;&gt;"", VLOOKUP(A2698, imdb_netflix_v5!A$2:H$7370, 5, FALSE), "")</f>
        <v>2005</v>
      </c>
      <c r="F2698" s="2" t="str">
        <f>IF(A2698&lt;&gt;"", VLOOKUP(A2698, imdb_netflix_v5!A$2:H$7370, 7, FALSE), "")</f>
        <v>NA</v>
      </c>
    </row>
    <row r="2699" ht="15.75" customHeight="1">
      <c r="A2699" s="1" t="str">
        <f>IFERROR(__xludf.DUMMYFUNCTION("""COMPUTED_VALUE"""),"the marriage of maria braun")</f>
        <v>the marriage of maria braun</v>
      </c>
      <c r="B2699" s="1" t="str">
        <f>IF(A2699&lt;&gt;"", VLOOKUP(A2699, imdb_netflix_v5!A$2:H$7370, 2, FALSE), "")</f>
        <v>Movie</v>
      </c>
      <c r="C2699" s="2" t="str">
        <f>IF(A2699&lt;&gt;"", VLOOKUP(A2699, imdb_netflix_v5!A$2:H$7370, 3, FALSE), "")</f>
        <v>Drama, Romance</v>
      </c>
      <c r="D2699" s="2">
        <f>IF(A2699&lt;&gt;"", VLOOKUP(A2699, imdb_netflix_v5!A$2:H$7370, 4, FALSE), "")</f>
        <v>7.7</v>
      </c>
      <c r="E2699" s="2">
        <f>IF(A2699&lt;&gt;"", VLOOKUP(A2699, imdb_netflix_v5!A$2:H$7370, 5, FALSE), "")</f>
        <v>1979</v>
      </c>
      <c r="F2699" s="2" t="str">
        <f>IF(A2699&lt;&gt;"", VLOOKUP(A2699, imdb_netflix_v5!A$2:H$7370, 7, FALSE), "")</f>
        <v>NA</v>
      </c>
    </row>
    <row r="2700" ht="15.75" customHeight="1">
      <c r="A2700" s="1" t="str">
        <f>IFERROR(__xludf.DUMMYFUNCTION("""COMPUTED_VALUE"""),"the women")</f>
        <v>the women</v>
      </c>
      <c r="B2700" s="1" t="str">
        <f>IF(A2700&lt;&gt;"", VLOOKUP(A2700, imdb_netflix_v5!A$2:H$7370, 2, FALSE), "")</f>
        <v>Movie</v>
      </c>
      <c r="C2700" s="2" t="str">
        <f>IF(A2700&lt;&gt;"", VLOOKUP(A2700, imdb_netflix_v5!A$2:H$7370, 3, FALSE), "")</f>
        <v>Comedy, Drama</v>
      </c>
      <c r="D2700" s="2">
        <f>IF(A2700&lt;&gt;"", VLOOKUP(A2700, imdb_netflix_v5!A$2:H$7370, 4, FALSE), "")</f>
        <v>7.7</v>
      </c>
      <c r="E2700" s="2">
        <f>IF(A2700&lt;&gt;"", VLOOKUP(A2700, imdb_netflix_v5!A$2:H$7370, 5, FALSE), "")</f>
        <v>1939</v>
      </c>
      <c r="F2700" s="2" t="str">
        <f>IF(A2700&lt;&gt;"", VLOOKUP(A2700, imdb_netflix_v5!A$2:H$7370, 7, FALSE), "")</f>
        <v>NA</v>
      </c>
    </row>
    <row r="2701" ht="15.75" customHeight="1">
      <c r="A2701" s="1" t="str">
        <f>IFERROR(__xludf.DUMMYFUNCTION("""COMPUTED_VALUE"""),"finding vivian maier")</f>
        <v>finding vivian maier</v>
      </c>
      <c r="B2701" s="1" t="str">
        <f>IF(A2701&lt;&gt;"", VLOOKUP(A2701, imdb_netflix_v5!A$2:H$7370, 2, FALSE), "")</f>
        <v>Movie</v>
      </c>
      <c r="C2701" s="2" t="str">
        <f>IF(A2701&lt;&gt;"", VLOOKUP(A2701, imdb_netflix_v5!A$2:H$7370, 3, FALSE), "")</f>
        <v>Biography, Documentary, Mystery</v>
      </c>
      <c r="D2701" s="2">
        <f>IF(A2701&lt;&gt;"", VLOOKUP(A2701, imdb_netflix_v5!A$2:H$7370, 4, FALSE), "")</f>
        <v>7.7</v>
      </c>
      <c r="E2701" s="2">
        <f>IF(A2701&lt;&gt;"", VLOOKUP(A2701, imdb_netflix_v5!A$2:H$7370, 5, FALSE), "")</f>
        <v>2013</v>
      </c>
      <c r="F2701" s="2" t="str">
        <f>IF(A2701&lt;&gt;"", VLOOKUP(A2701, imdb_netflix_v5!A$2:H$7370, 7, FALSE), "")</f>
        <v>NA</v>
      </c>
    </row>
    <row r="2702" ht="15.75" customHeight="1">
      <c r="A2702" s="1" t="str">
        <f>IFERROR(__xludf.DUMMYFUNCTION("""COMPUTED_VALUE"""),"five days at memorial")</f>
        <v>five days at memorial</v>
      </c>
      <c r="B2702" s="1" t="str">
        <f>IF(A2702&lt;&gt;"", VLOOKUP(A2702, imdb_netflix_v5!A$2:H$7370, 2, FALSE), "")</f>
        <v>TV Show</v>
      </c>
      <c r="C2702" s="2" t="str">
        <f>IF(A2702&lt;&gt;"", VLOOKUP(A2702, imdb_netflix_v5!A$2:H$7370, 3, FALSE), "")</f>
        <v>Biography, Drama</v>
      </c>
      <c r="D2702" s="2">
        <f>IF(A2702&lt;&gt;"", VLOOKUP(A2702, imdb_netflix_v5!A$2:H$7370, 4, FALSE), "")</f>
        <v>7.7</v>
      </c>
      <c r="E2702" s="2">
        <f>IF(A2702&lt;&gt;"", VLOOKUP(A2702, imdb_netflix_v5!A$2:H$7370, 5, FALSE), "")</f>
        <v>2022</v>
      </c>
      <c r="F2702" s="2" t="str">
        <f>IF(A2702&lt;&gt;"", VLOOKUP(A2702, imdb_netflix_v5!A$2:H$7370, 7, FALSE), "")</f>
        <v>NA</v>
      </c>
    </row>
    <row r="2703" ht="15.75" customHeight="1">
      <c r="A2703" s="1" t="str">
        <f>IFERROR(__xludf.DUMMYFUNCTION("""COMPUTED_VALUE"""),"smiles of a summer night")</f>
        <v>smiles of a summer night</v>
      </c>
      <c r="B2703" s="1" t="str">
        <f>IF(A2703&lt;&gt;"", VLOOKUP(A2703, imdb_netflix_v5!A$2:H$7370, 2, FALSE), "")</f>
        <v>Movie</v>
      </c>
      <c r="C2703" s="2" t="str">
        <f>IF(A2703&lt;&gt;"", VLOOKUP(A2703, imdb_netflix_v5!A$2:H$7370, 3, FALSE), "")</f>
        <v>Comedy, Romance</v>
      </c>
      <c r="D2703" s="2">
        <f>IF(A2703&lt;&gt;"", VLOOKUP(A2703, imdb_netflix_v5!A$2:H$7370, 4, FALSE), "")</f>
        <v>7.7</v>
      </c>
      <c r="E2703" s="2">
        <f>IF(A2703&lt;&gt;"", VLOOKUP(A2703, imdb_netflix_v5!A$2:H$7370, 5, FALSE), "")</f>
        <v>1955</v>
      </c>
      <c r="F2703" s="2" t="str">
        <f>IF(A2703&lt;&gt;"", VLOOKUP(A2703, imdb_netflix_v5!A$2:H$7370, 7, FALSE), "")</f>
        <v>NA</v>
      </c>
    </row>
    <row r="2704" ht="15.75" customHeight="1">
      <c r="A2704" s="1" t="str">
        <f>IFERROR(__xludf.DUMMYFUNCTION("""COMPUTED_VALUE"""),"the brink")</f>
        <v>the brink</v>
      </c>
      <c r="B2704" s="1" t="str">
        <f>IF(A2704&lt;&gt;"", VLOOKUP(A2704, imdb_netflix_v5!A$2:H$7370, 2, FALSE), "")</f>
        <v>TV Show</v>
      </c>
      <c r="C2704" s="2" t="str">
        <f>IF(A2704&lt;&gt;"", VLOOKUP(A2704, imdb_netflix_v5!A$2:H$7370, 3, FALSE), "")</f>
        <v>Comedy</v>
      </c>
      <c r="D2704" s="2">
        <f>IF(A2704&lt;&gt;"", VLOOKUP(A2704, imdb_netflix_v5!A$2:H$7370, 4, FALSE), "")</f>
        <v>7.7</v>
      </c>
      <c r="E2704" s="2">
        <f>IF(A2704&lt;&gt;"", VLOOKUP(A2704, imdb_netflix_v5!A$2:H$7370, 5, FALSE), "")</f>
        <v>2015</v>
      </c>
      <c r="F2704" s="2" t="str">
        <f>IF(A2704&lt;&gt;"", VLOOKUP(A2704, imdb_netflix_v5!A$2:H$7370, 7, FALSE), "")</f>
        <v>NA</v>
      </c>
    </row>
    <row r="2705" ht="15.75" customHeight="1">
      <c r="A2705" s="1" t="str">
        <f>IFERROR(__xludf.DUMMYFUNCTION("""COMPUTED_VALUE"""),"ball of fire")</f>
        <v>ball of fire</v>
      </c>
      <c r="B2705" s="1" t="str">
        <f>IF(A2705&lt;&gt;"", VLOOKUP(A2705, imdb_netflix_v5!A$2:H$7370, 2, FALSE), "")</f>
        <v>Movie</v>
      </c>
      <c r="C2705" s="2" t="str">
        <f>IF(A2705&lt;&gt;"", VLOOKUP(A2705, imdb_netflix_v5!A$2:H$7370, 3, FALSE), "")</f>
        <v>Comedy, Romance</v>
      </c>
      <c r="D2705" s="2">
        <f>IF(A2705&lt;&gt;"", VLOOKUP(A2705, imdb_netflix_v5!A$2:H$7370, 4, FALSE), "")</f>
        <v>7.7</v>
      </c>
      <c r="E2705" s="2">
        <f>IF(A2705&lt;&gt;"", VLOOKUP(A2705, imdb_netflix_v5!A$2:H$7370, 5, FALSE), "")</f>
        <v>1941</v>
      </c>
      <c r="F2705" s="2" t="str">
        <f>IF(A2705&lt;&gt;"", VLOOKUP(A2705, imdb_netflix_v5!A$2:H$7370, 7, FALSE), "")</f>
        <v>NA</v>
      </c>
    </row>
    <row r="2706" ht="15.75" customHeight="1">
      <c r="A2706" s="1" t="str">
        <f>IFERROR(__xludf.DUMMYFUNCTION("""COMPUTED_VALUE"""),"cocaine cowboys")</f>
        <v>cocaine cowboys</v>
      </c>
      <c r="B2706" s="1" t="str">
        <f>IF(A2706&lt;&gt;"", VLOOKUP(A2706, imdb_netflix_v5!A$2:H$7370, 2, FALSE), "")</f>
        <v>Movie</v>
      </c>
      <c r="C2706" s="2" t="str">
        <f>IF(A2706&lt;&gt;"", VLOOKUP(A2706, imdb_netflix_v5!A$2:H$7370, 3, FALSE), "")</f>
        <v>Crime, Documentary, History</v>
      </c>
      <c r="D2706" s="2">
        <f>IF(A2706&lt;&gt;"", VLOOKUP(A2706, imdb_netflix_v5!A$2:H$7370, 4, FALSE), "")</f>
        <v>7.7</v>
      </c>
      <c r="E2706" s="2">
        <f>IF(A2706&lt;&gt;"", VLOOKUP(A2706, imdb_netflix_v5!A$2:H$7370, 5, FALSE), "")</f>
        <v>2006</v>
      </c>
      <c r="F2706" s="2" t="str">
        <f>IF(A2706&lt;&gt;"", VLOOKUP(A2706, imdb_netflix_v5!A$2:H$7370, 7, FALSE), "")</f>
        <v>NA</v>
      </c>
    </row>
    <row r="2707" ht="15.75" customHeight="1">
      <c r="A2707" s="1" t="str">
        <f>IFERROR(__xludf.DUMMYFUNCTION("""COMPUTED_VALUE"""),"heartbreak high")</f>
        <v>heartbreak high</v>
      </c>
      <c r="B2707" s="1" t="str">
        <f>IF(A2707&lt;&gt;"", VLOOKUP(A2707, imdb_netflix_v5!A$2:H$7370, 2, FALSE), "")</f>
        <v>TV Show</v>
      </c>
      <c r="C2707" s="2" t="str">
        <f>IF(A2707&lt;&gt;"", VLOOKUP(A2707, imdb_netflix_v5!A$2:H$7370, 3, FALSE), "")</f>
        <v>Drama, Romance</v>
      </c>
      <c r="D2707" s="2">
        <f>IF(A2707&lt;&gt;"", VLOOKUP(A2707, imdb_netflix_v5!A$2:H$7370, 4, FALSE), "")</f>
        <v>7.7</v>
      </c>
      <c r="E2707" s="2">
        <f>IF(A2707&lt;&gt;"", VLOOKUP(A2707, imdb_netflix_v5!A$2:H$7370, 5, FALSE), "")</f>
        <v>2022</v>
      </c>
      <c r="F2707" s="2">
        <f>IF(A2707&lt;&gt;"", VLOOKUP(A2707, imdb_netflix_v5!A$2:H$7370, 7, FALSE), "")</f>
        <v>9480000</v>
      </c>
    </row>
    <row r="2708" ht="15.75" customHeight="1">
      <c r="A2708" s="1" t="str">
        <f>IFERROR(__xludf.DUMMYFUNCTION("""COMPUTED_VALUE"""),"the outer limits")</f>
        <v>the outer limits</v>
      </c>
      <c r="B2708" s="1" t="str">
        <f>IF(A2708&lt;&gt;"", VLOOKUP(A2708, imdb_netflix_v5!A$2:H$7370, 2, FALSE), "")</f>
        <v>TV Show</v>
      </c>
      <c r="C2708" s="2" t="str">
        <f>IF(A2708&lt;&gt;"", VLOOKUP(A2708, imdb_netflix_v5!A$2:H$7370, 3, FALSE), "")</f>
        <v>Drama, Fantasy, Horror</v>
      </c>
      <c r="D2708" s="2">
        <f>IF(A2708&lt;&gt;"", VLOOKUP(A2708, imdb_netflix_v5!A$2:H$7370, 4, FALSE), "")</f>
        <v>7.7</v>
      </c>
      <c r="E2708" s="2">
        <f>IF(A2708&lt;&gt;"", VLOOKUP(A2708, imdb_netflix_v5!A$2:H$7370, 5, FALSE), "")</f>
        <v>1995</v>
      </c>
      <c r="F2708" s="2" t="str">
        <f>IF(A2708&lt;&gt;"", VLOOKUP(A2708, imdb_netflix_v5!A$2:H$7370, 7, FALSE), "")</f>
        <v>NA</v>
      </c>
    </row>
    <row r="2709" ht="15.75" customHeight="1">
      <c r="A2709" s="1" t="str">
        <f>IFERROR(__xludf.DUMMYFUNCTION("""COMPUTED_VALUE"""),"the road home")</f>
        <v>the road home</v>
      </c>
      <c r="B2709" s="1" t="str">
        <f>IF(A2709&lt;&gt;"", VLOOKUP(A2709, imdb_netflix_v5!A$2:H$7370, 2, FALSE), "")</f>
        <v>Movie</v>
      </c>
      <c r="C2709" s="2" t="str">
        <f>IF(A2709&lt;&gt;"", VLOOKUP(A2709, imdb_netflix_v5!A$2:H$7370, 3, FALSE), "")</f>
        <v>Drama, Romance</v>
      </c>
      <c r="D2709" s="2">
        <f>IF(A2709&lt;&gt;"", VLOOKUP(A2709, imdb_netflix_v5!A$2:H$7370, 4, FALSE), "")</f>
        <v>7.7</v>
      </c>
      <c r="E2709" s="2">
        <f>IF(A2709&lt;&gt;"", VLOOKUP(A2709, imdb_netflix_v5!A$2:H$7370, 5, FALSE), "")</f>
        <v>1999</v>
      </c>
      <c r="F2709" s="2" t="str">
        <f>IF(A2709&lt;&gt;"", VLOOKUP(A2709, imdb_netflix_v5!A$2:H$7370, 7, FALSE), "")</f>
        <v>NA</v>
      </c>
    </row>
    <row r="2710" ht="15.75" customHeight="1">
      <c r="A2710" s="1" t="str">
        <f>IFERROR(__xludf.DUMMYFUNCTION("""COMPUTED_VALUE"""),"lets sin")</f>
        <v>lets sin</v>
      </c>
      <c r="B2710" s="1" t="str">
        <f>IF(A2710&lt;&gt;"", VLOOKUP(A2710, imdb_netflix_v5!A$2:H$7370, 2, FALSE), "")</f>
        <v>Movie</v>
      </c>
      <c r="C2710" s="2" t="str">
        <f>IF(A2710&lt;&gt;"", VLOOKUP(A2710, imdb_netflix_v5!A$2:H$7370, 3, FALSE), "")</f>
        <v>Action, Crime, Drama</v>
      </c>
      <c r="D2710" s="2">
        <f>IF(A2710&lt;&gt;"", VLOOKUP(A2710, imdb_netflix_v5!A$2:H$7370, 4, FALSE), "")</f>
        <v>7.7</v>
      </c>
      <c r="E2710" s="2">
        <f>IF(A2710&lt;&gt;"", VLOOKUP(A2710, imdb_netflix_v5!A$2:H$7370, 5, FALSE), "")</f>
        <v>2014</v>
      </c>
      <c r="F2710" s="2" t="str">
        <f>IF(A2710&lt;&gt;"", VLOOKUP(A2710, imdb_netflix_v5!A$2:H$7370, 7, FALSE), "")</f>
        <v>NA</v>
      </c>
    </row>
    <row r="2711" ht="15.75" customHeight="1">
      <c r="A2711" s="1" t="str">
        <f>IFERROR(__xludf.DUMMYFUNCTION("""COMPUTED_VALUE"""),"ashes and diamonds")</f>
        <v>ashes and diamonds</v>
      </c>
      <c r="B2711" s="1" t="str">
        <f>IF(A2711&lt;&gt;"", VLOOKUP(A2711, imdb_netflix_v5!A$2:H$7370, 2, FALSE), "")</f>
        <v>Movie</v>
      </c>
      <c r="C2711" s="2" t="str">
        <f>IF(A2711&lt;&gt;"", VLOOKUP(A2711, imdb_netflix_v5!A$2:H$7370, 3, FALSE), "")</f>
        <v>Drama, Romance, War</v>
      </c>
      <c r="D2711" s="2">
        <f>IF(A2711&lt;&gt;"", VLOOKUP(A2711, imdb_netflix_v5!A$2:H$7370, 4, FALSE), "")</f>
        <v>7.7</v>
      </c>
      <c r="E2711" s="2">
        <f>IF(A2711&lt;&gt;"", VLOOKUP(A2711, imdb_netflix_v5!A$2:H$7370, 5, FALSE), "")</f>
        <v>1958</v>
      </c>
      <c r="F2711" s="2" t="str">
        <f>IF(A2711&lt;&gt;"", VLOOKUP(A2711, imdb_netflix_v5!A$2:H$7370, 7, FALSE), "")</f>
        <v>NA</v>
      </c>
    </row>
    <row r="2712" ht="15.75" customHeight="1">
      <c r="A2712" s="1" t="str">
        <f>IFERROR(__xludf.DUMMYFUNCTION("""COMPUTED_VALUE"""),"nightmare alley")</f>
        <v>nightmare alley</v>
      </c>
      <c r="B2712" s="1" t="str">
        <f>IF(A2712&lt;&gt;"", VLOOKUP(A2712, imdb_netflix_v5!A$2:H$7370, 2, FALSE), "")</f>
        <v>Movie</v>
      </c>
      <c r="C2712" s="2" t="str">
        <f>IF(A2712&lt;&gt;"", VLOOKUP(A2712, imdb_netflix_v5!A$2:H$7370, 3, FALSE), "")</f>
        <v>Drama, Film-Noir</v>
      </c>
      <c r="D2712" s="2">
        <f>IF(A2712&lt;&gt;"", VLOOKUP(A2712, imdb_netflix_v5!A$2:H$7370, 4, FALSE), "")</f>
        <v>7.7</v>
      </c>
      <c r="E2712" s="2">
        <f>IF(A2712&lt;&gt;"", VLOOKUP(A2712, imdb_netflix_v5!A$2:H$7370, 5, FALSE), "")</f>
        <v>1947</v>
      </c>
      <c r="F2712" s="2" t="str">
        <f>IF(A2712&lt;&gt;"", VLOOKUP(A2712, imdb_netflix_v5!A$2:H$7370, 7, FALSE), "")</f>
        <v>NA</v>
      </c>
    </row>
    <row r="2713" ht="15.75" customHeight="1">
      <c r="A2713" s="1" t="str">
        <f>IFERROR(__xludf.DUMMYFUNCTION("""COMPUTED_VALUE"""),"the unknown soldier")</f>
        <v>the unknown soldier</v>
      </c>
      <c r="B2713" s="1" t="str">
        <f>IF(A2713&lt;&gt;"", VLOOKUP(A2713, imdb_netflix_v5!A$2:H$7370, 2, FALSE), "")</f>
        <v>Movie</v>
      </c>
      <c r="C2713" s="2" t="str">
        <f>IF(A2713&lt;&gt;"", VLOOKUP(A2713, imdb_netflix_v5!A$2:H$7370, 3, FALSE), "")</f>
        <v>Drama, War</v>
      </c>
      <c r="D2713" s="2">
        <f>IF(A2713&lt;&gt;"", VLOOKUP(A2713, imdb_netflix_v5!A$2:H$7370, 4, FALSE), "")</f>
        <v>7.7</v>
      </c>
      <c r="E2713" s="2">
        <f>IF(A2713&lt;&gt;"", VLOOKUP(A2713, imdb_netflix_v5!A$2:H$7370, 5, FALSE), "")</f>
        <v>2017</v>
      </c>
      <c r="F2713" s="2" t="str">
        <f>IF(A2713&lt;&gt;"", VLOOKUP(A2713, imdb_netflix_v5!A$2:H$7370, 7, FALSE), "")</f>
        <v>NA</v>
      </c>
    </row>
    <row r="2714" ht="15.75" customHeight="1">
      <c r="A2714" s="1" t="str">
        <f>IFERROR(__xludf.DUMMYFUNCTION("""COMPUTED_VALUE"""),"beastars")</f>
        <v>beastars</v>
      </c>
      <c r="B2714" s="1" t="str">
        <f>IF(A2714&lt;&gt;"", VLOOKUP(A2714, imdb_netflix_v5!A$2:H$7370, 2, FALSE), "")</f>
        <v>TV Show</v>
      </c>
      <c r="C2714" s="2" t="str">
        <f>IF(A2714&lt;&gt;"", VLOOKUP(A2714, imdb_netflix_v5!A$2:H$7370, 3, FALSE), "")</f>
        <v>Animation, Crime, Drama</v>
      </c>
      <c r="D2714" s="2">
        <f>IF(A2714&lt;&gt;"", VLOOKUP(A2714, imdb_netflix_v5!A$2:H$7370, 4, FALSE), "")</f>
        <v>7.7</v>
      </c>
      <c r="E2714" s="2">
        <f>IF(A2714&lt;&gt;"", VLOOKUP(A2714, imdb_netflix_v5!A$2:H$7370, 5, FALSE), "")</f>
        <v>2019</v>
      </c>
      <c r="F2714" s="2" t="str">
        <f>IF(A2714&lt;&gt;"", VLOOKUP(A2714, imdb_netflix_v5!A$2:H$7370, 7, FALSE), "")</f>
        <v>NA</v>
      </c>
    </row>
    <row r="2715" ht="15.75" customHeight="1">
      <c r="A2715" s="1" t="str">
        <f>IFERROR(__xludf.DUMMYFUNCTION("""COMPUTED_VALUE"""),"elmer gantry")</f>
        <v>elmer gantry</v>
      </c>
      <c r="B2715" s="1" t="str">
        <f>IF(A2715&lt;&gt;"", VLOOKUP(A2715, imdb_netflix_v5!A$2:H$7370, 2, FALSE), "")</f>
        <v>Movie</v>
      </c>
      <c r="C2715" s="2" t="str">
        <f>IF(A2715&lt;&gt;"", VLOOKUP(A2715, imdb_netflix_v5!A$2:H$7370, 3, FALSE), "")</f>
        <v>Drama</v>
      </c>
      <c r="D2715" s="2">
        <f>IF(A2715&lt;&gt;"", VLOOKUP(A2715, imdb_netflix_v5!A$2:H$7370, 4, FALSE), "")</f>
        <v>7.7</v>
      </c>
      <c r="E2715" s="2">
        <f>IF(A2715&lt;&gt;"", VLOOKUP(A2715, imdb_netflix_v5!A$2:H$7370, 5, FALSE), "")</f>
        <v>1960</v>
      </c>
      <c r="F2715" s="2" t="str">
        <f>IF(A2715&lt;&gt;"", VLOOKUP(A2715, imdb_netflix_v5!A$2:H$7370, 7, FALSE), "")</f>
        <v>NA</v>
      </c>
    </row>
    <row r="2716" ht="15.75" customHeight="1">
      <c r="A2716" s="1" t="str">
        <f>IFERROR(__xludf.DUMMYFUNCTION("""COMPUTED_VALUE"""),"mouchette")</f>
        <v>mouchette</v>
      </c>
      <c r="B2716" s="1" t="str">
        <f>IF(A2716&lt;&gt;"", VLOOKUP(A2716, imdb_netflix_v5!A$2:H$7370, 2, FALSE), "")</f>
        <v>Movie</v>
      </c>
      <c r="C2716" s="2" t="str">
        <f>IF(A2716&lt;&gt;"", VLOOKUP(A2716, imdb_netflix_v5!A$2:H$7370, 3, FALSE), "")</f>
        <v>Drama</v>
      </c>
      <c r="D2716" s="2">
        <f>IF(A2716&lt;&gt;"", VLOOKUP(A2716, imdb_netflix_v5!A$2:H$7370, 4, FALSE), "")</f>
        <v>7.7</v>
      </c>
      <c r="E2716" s="2">
        <f>IF(A2716&lt;&gt;"", VLOOKUP(A2716, imdb_netflix_v5!A$2:H$7370, 5, FALSE), "")</f>
        <v>1967</v>
      </c>
      <c r="F2716" s="2" t="str">
        <f>IF(A2716&lt;&gt;"", VLOOKUP(A2716, imdb_netflix_v5!A$2:H$7370, 7, FALSE), "")</f>
        <v>NA</v>
      </c>
    </row>
    <row r="2717" ht="15.75" customHeight="1">
      <c r="A2717" s="1" t="str">
        <f>IFERROR(__xludf.DUMMYFUNCTION("""COMPUTED_VALUE"""),"theres still tomorrow")</f>
        <v>theres still tomorrow</v>
      </c>
      <c r="B2717" s="1" t="str">
        <f>IF(A2717&lt;&gt;"", VLOOKUP(A2717, imdb_netflix_v5!A$2:H$7370, 2, FALSE), "")</f>
        <v>Movie</v>
      </c>
      <c r="C2717" s="2" t="str">
        <f>IF(A2717&lt;&gt;"", VLOOKUP(A2717, imdb_netflix_v5!A$2:H$7370, 3, FALSE), "")</f>
        <v>Comedy, Drama</v>
      </c>
      <c r="D2717" s="2">
        <f>IF(A2717&lt;&gt;"", VLOOKUP(A2717, imdb_netflix_v5!A$2:H$7370, 4, FALSE), "")</f>
        <v>7.7</v>
      </c>
      <c r="E2717" s="2">
        <f>IF(A2717&lt;&gt;"", VLOOKUP(A2717, imdb_netflix_v5!A$2:H$7370, 5, FALSE), "")</f>
        <v>2023</v>
      </c>
      <c r="F2717" s="2" t="str">
        <f>IF(A2717&lt;&gt;"", VLOOKUP(A2717, imdb_netflix_v5!A$2:H$7370, 7, FALSE), "")</f>
        <v>NA</v>
      </c>
    </row>
    <row r="2718" ht="15.75" customHeight="1">
      <c r="A2718" s="1" t="str">
        <f>IFERROR(__xludf.DUMMYFUNCTION("""COMPUTED_VALUE"""),"bang bang youre dead")</f>
        <v>bang bang youre dead</v>
      </c>
      <c r="B2718" s="1" t="str">
        <f>IF(A2718&lt;&gt;"", VLOOKUP(A2718, imdb_netflix_v5!A$2:H$7370, 2, FALSE), "")</f>
        <v>Movie</v>
      </c>
      <c r="C2718" s="2" t="str">
        <f>IF(A2718&lt;&gt;"", VLOOKUP(A2718, imdb_netflix_v5!A$2:H$7370, 3, FALSE), "")</f>
        <v>Crime, Drama, Thriller</v>
      </c>
      <c r="D2718" s="2">
        <f>IF(A2718&lt;&gt;"", VLOOKUP(A2718, imdb_netflix_v5!A$2:H$7370, 4, FALSE), "")</f>
        <v>7.7</v>
      </c>
      <c r="E2718" s="2">
        <f>IF(A2718&lt;&gt;"", VLOOKUP(A2718, imdb_netflix_v5!A$2:H$7370, 5, FALSE), "")</f>
        <v>2002</v>
      </c>
      <c r="F2718" s="2" t="str">
        <f>IF(A2718&lt;&gt;"", VLOOKUP(A2718, imdb_netflix_v5!A$2:H$7370, 7, FALSE), "")</f>
        <v>NA</v>
      </c>
    </row>
    <row r="2719" ht="15.75" customHeight="1">
      <c r="A2719" s="1" t="str">
        <f>IFERROR(__xludf.DUMMYFUNCTION("""COMPUTED_VALUE"""),"when the wind blows")</f>
        <v>when the wind blows</v>
      </c>
      <c r="B2719" s="1" t="str">
        <f>IF(A2719&lt;&gt;"", VLOOKUP(A2719, imdb_netflix_v5!A$2:H$7370, 2, FALSE), "")</f>
        <v>Movie</v>
      </c>
      <c r="C2719" s="2" t="str">
        <f>IF(A2719&lt;&gt;"", VLOOKUP(A2719, imdb_netflix_v5!A$2:H$7370, 3, FALSE), "")</f>
        <v>Animation, Drama, War</v>
      </c>
      <c r="D2719" s="2">
        <f>IF(A2719&lt;&gt;"", VLOOKUP(A2719, imdb_netflix_v5!A$2:H$7370, 4, FALSE), "")</f>
        <v>7.7</v>
      </c>
      <c r="E2719" s="2">
        <f>IF(A2719&lt;&gt;"", VLOOKUP(A2719, imdb_netflix_v5!A$2:H$7370, 5, FALSE), "")</f>
        <v>1986</v>
      </c>
      <c r="F2719" s="2" t="str">
        <f>IF(A2719&lt;&gt;"", VLOOKUP(A2719, imdb_netflix_v5!A$2:H$7370, 7, FALSE), "")</f>
        <v>NA</v>
      </c>
    </row>
    <row r="2720" ht="15.75" customHeight="1">
      <c r="A2720" s="1" t="str">
        <f>IFERROR(__xludf.DUMMYFUNCTION("""COMPUTED_VALUE"""),"the gunfighter")</f>
        <v>the gunfighter</v>
      </c>
      <c r="B2720" s="1" t="str">
        <f>IF(A2720&lt;&gt;"", VLOOKUP(A2720, imdb_netflix_v5!A$2:H$7370, 2, FALSE), "")</f>
        <v>Movie</v>
      </c>
      <c r="C2720" s="2" t="str">
        <f>IF(A2720&lt;&gt;"", VLOOKUP(A2720, imdb_netflix_v5!A$2:H$7370, 3, FALSE), "")</f>
        <v>Western</v>
      </c>
      <c r="D2720" s="2">
        <f>IF(A2720&lt;&gt;"", VLOOKUP(A2720, imdb_netflix_v5!A$2:H$7370, 4, FALSE), "")</f>
        <v>7.7</v>
      </c>
      <c r="E2720" s="2">
        <f>IF(A2720&lt;&gt;"", VLOOKUP(A2720, imdb_netflix_v5!A$2:H$7370, 5, FALSE), "")</f>
        <v>1950</v>
      </c>
      <c r="F2720" s="2" t="str">
        <f>IF(A2720&lt;&gt;"", VLOOKUP(A2720, imdb_netflix_v5!A$2:H$7370, 7, FALSE), "")</f>
        <v>NA</v>
      </c>
    </row>
    <row r="2721" ht="15.75" customHeight="1">
      <c r="A2721" s="1" t="str">
        <f>IFERROR(__xludf.DUMMYFUNCTION("""COMPUTED_VALUE"""),"my demon")</f>
        <v>my demon</v>
      </c>
      <c r="B2721" s="1" t="str">
        <f>IF(A2721&lt;&gt;"", VLOOKUP(A2721, imdb_netflix_v5!A$2:H$7370, 2, FALSE), "")</f>
        <v>TV Show</v>
      </c>
      <c r="C2721" s="2" t="str">
        <f>IF(A2721&lt;&gt;"", VLOOKUP(A2721, imdb_netflix_v5!A$2:H$7370, 3, FALSE), "")</f>
        <v>Comedy, Drama, Fantasy</v>
      </c>
      <c r="D2721" s="2">
        <f>IF(A2721&lt;&gt;"", VLOOKUP(A2721, imdb_netflix_v5!A$2:H$7370, 4, FALSE), "")</f>
        <v>7.7</v>
      </c>
      <c r="E2721" s="2">
        <f>IF(A2721&lt;&gt;"", VLOOKUP(A2721, imdb_netflix_v5!A$2:H$7370, 5, FALSE), "")</f>
        <v>2023</v>
      </c>
      <c r="F2721" s="2">
        <f>IF(A2721&lt;&gt;"", VLOOKUP(A2721, imdb_netflix_v5!A$2:H$7370, 7, FALSE), "")</f>
        <v>33600000</v>
      </c>
    </row>
    <row r="2722" ht="15.75" customHeight="1">
      <c r="A2722" s="1" t="str">
        <f>IFERROR(__xludf.DUMMYFUNCTION("""COMPUTED_VALUE"""),"diary of a country priest")</f>
        <v>diary of a country priest</v>
      </c>
      <c r="B2722" s="1" t="str">
        <f>IF(A2722&lt;&gt;"", VLOOKUP(A2722, imdb_netflix_v5!A$2:H$7370, 2, FALSE), "")</f>
        <v>Movie</v>
      </c>
      <c r="C2722" s="2" t="str">
        <f>IF(A2722&lt;&gt;"", VLOOKUP(A2722, imdb_netflix_v5!A$2:H$7370, 3, FALSE), "")</f>
        <v>Drama</v>
      </c>
      <c r="D2722" s="2">
        <f>IF(A2722&lt;&gt;"", VLOOKUP(A2722, imdb_netflix_v5!A$2:H$7370, 4, FALSE), "")</f>
        <v>7.7</v>
      </c>
      <c r="E2722" s="2">
        <f>IF(A2722&lt;&gt;"", VLOOKUP(A2722, imdb_netflix_v5!A$2:H$7370, 5, FALSE), "")</f>
        <v>1951</v>
      </c>
      <c r="F2722" s="2" t="str">
        <f>IF(A2722&lt;&gt;"", VLOOKUP(A2722, imdb_netflix_v5!A$2:H$7370, 7, FALSE), "")</f>
        <v>NA</v>
      </c>
    </row>
    <row r="2723" ht="15.75" customHeight="1">
      <c r="A2723" s="1" t="str">
        <f>IFERROR(__xludf.DUMMYFUNCTION("""COMPUTED_VALUE"""),"don")</f>
        <v>don</v>
      </c>
      <c r="B2723" s="1" t="str">
        <f>IF(A2723&lt;&gt;"", VLOOKUP(A2723, imdb_netflix_v5!A$2:H$7370, 2, FALSE), "")</f>
        <v>Movie</v>
      </c>
      <c r="C2723" s="2" t="str">
        <f>IF(A2723&lt;&gt;"", VLOOKUP(A2723, imdb_netflix_v5!A$2:H$7370, 3, FALSE), "")</f>
        <v>Action, Crime, Thriller</v>
      </c>
      <c r="D2723" s="2">
        <f>IF(A2723&lt;&gt;"", VLOOKUP(A2723, imdb_netflix_v5!A$2:H$7370, 4, FALSE), "")</f>
        <v>7.7</v>
      </c>
      <c r="E2723" s="2">
        <f>IF(A2723&lt;&gt;"", VLOOKUP(A2723, imdb_netflix_v5!A$2:H$7370, 5, FALSE), "")</f>
        <v>1978</v>
      </c>
      <c r="F2723" s="2">
        <f>IF(A2723&lt;&gt;"", VLOOKUP(A2723, imdb_netflix_v5!A$2:H$7370, 7, FALSE), "")</f>
        <v>2740000</v>
      </c>
    </row>
    <row r="2724" ht="15.75" customHeight="1">
      <c r="A2724" s="1" t="str">
        <f>IFERROR(__xludf.DUMMYFUNCTION("""COMPUTED_VALUE"""),"the barber of siberia")</f>
        <v>the barber of siberia</v>
      </c>
      <c r="B2724" s="1" t="str">
        <f>IF(A2724&lt;&gt;"", VLOOKUP(A2724, imdb_netflix_v5!A$2:H$7370, 2, FALSE), "")</f>
        <v>Movie</v>
      </c>
      <c r="C2724" s="2" t="str">
        <f>IF(A2724&lt;&gt;"", VLOOKUP(A2724, imdb_netflix_v5!A$2:H$7370, 3, FALSE), "")</f>
        <v>Comedy, Drama, History</v>
      </c>
      <c r="D2724" s="2">
        <f>IF(A2724&lt;&gt;"", VLOOKUP(A2724, imdb_netflix_v5!A$2:H$7370, 4, FALSE), "")</f>
        <v>7.7</v>
      </c>
      <c r="E2724" s="2">
        <f>IF(A2724&lt;&gt;"", VLOOKUP(A2724, imdb_netflix_v5!A$2:H$7370, 5, FALSE), "")</f>
        <v>1998</v>
      </c>
      <c r="F2724" s="2" t="str">
        <f>IF(A2724&lt;&gt;"", VLOOKUP(A2724, imdb_netflix_v5!A$2:H$7370, 7, FALSE), "")</f>
        <v>NA</v>
      </c>
    </row>
    <row r="2725" ht="15.75" customHeight="1">
      <c r="A2725" s="1" t="str">
        <f>IFERROR(__xludf.DUMMYFUNCTION("""COMPUTED_VALUE"""),"the paradise")</f>
        <v>the paradise</v>
      </c>
      <c r="B2725" s="1" t="str">
        <f>IF(A2725&lt;&gt;"", VLOOKUP(A2725, imdb_netflix_v5!A$2:H$7370, 2, FALSE), "")</f>
        <v>TV Show</v>
      </c>
      <c r="C2725" s="2" t="str">
        <f>IF(A2725&lt;&gt;"", VLOOKUP(A2725, imdb_netflix_v5!A$2:H$7370, 3, FALSE), "")</f>
        <v>Drama, History</v>
      </c>
      <c r="D2725" s="2">
        <f>IF(A2725&lt;&gt;"", VLOOKUP(A2725, imdb_netflix_v5!A$2:H$7370, 4, FALSE), "")</f>
        <v>7.7</v>
      </c>
      <c r="E2725" s="2">
        <f>IF(A2725&lt;&gt;"", VLOOKUP(A2725, imdb_netflix_v5!A$2:H$7370, 5, FALSE), "")</f>
        <v>2012</v>
      </c>
      <c r="F2725" s="2" t="str">
        <f>IF(A2725&lt;&gt;"", VLOOKUP(A2725, imdb_netflix_v5!A$2:H$7370, 7, FALSE), "")</f>
        <v>NA</v>
      </c>
    </row>
    <row r="2726" ht="15.75" customHeight="1">
      <c r="A2726" s="1" t="str">
        <f>IFERROR(__xludf.DUMMYFUNCTION("""COMPUTED_VALUE"""),"two women")</f>
        <v>two women</v>
      </c>
      <c r="B2726" s="1" t="str">
        <f>IF(A2726&lt;&gt;"", VLOOKUP(A2726, imdb_netflix_v5!A$2:H$7370, 2, FALSE), "")</f>
        <v>Movie</v>
      </c>
      <c r="C2726" s="2" t="str">
        <f>IF(A2726&lt;&gt;"", VLOOKUP(A2726, imdb_netflix_v5!A$2:H$7370, 3, FALSE), "")</f>
        <v>Drama, War</v>
      </c>
      <c r="D2726" s="2">
        <f>IF(A2726&lt;&gt;"", VLOOKUP(A2726, imdb_netflix_v5!A$2:H$7370, 4, FALSE), "")</f>
        <v>7.7</v>
      </c>
      <c r="E2726" s="2">
        <f>IF(A2726&lt;&gt;"", VLOOKUP(A2726, imdb_netflix_v5!A$2:H$7370, 5, FALSE), "")</f>
        <v>1960</v>
      </c>
      <c r="F2726" s="2" t="str">
        <f>IF(A2726&lt;&gt;"", VLOOKUP(A2726, imdb_netflix_v5!A$2:H$7370, 7, FALSE), "")</f>
        <v>NA</v>
      </c>
    </row>
    <row r="2727" ht="15.75" customHeight="1">
      <c r="A2727" s="1" t="str">
        <f>IFERROR(__xludf.DUMMYFUNCTION("""COMPUTED_VALUE"""),"machuca")</f>
        <v>machuca</v>
      </c>
      <c r="B2727" s="1" t="str">
        <f>IF(A2727&lt;&gt;"", VLOOKUP(A2727, imdb_netflix_v5!A$2:H$7370, 2, FALSE), "")</f>
        <v>Movie</v>
      </c>
      <c r="C2727" s="2" t="str">
        <f>IF(A2727&lt;&gt;"", VLOOKUP(A2727, imdb_netflix_v5!A$2:H$7370, 3, FALSE), "")</f>
        <v>Biography, Drama, History</v>
      </c>
      <c r="D2727" s="2">
        <f>IF(A2727&lt;&gt;"", VLOOKUP(A2727, imdb_netflix_v5!A$2:H$7370, 4, FALSE), "")</f>
        <v>7.7</v>
      </c>
      <c r="E2727" s="2">
        <f>IF(A2727&lt;&gt;"", VLOOKUP(A2727, imdb_netflix_v5!A$2:H$7370, 5, FALSE), "")</f>
        <v>2004</v>
      </c>
      <c r="F2727" s="2" t="str">
        <f>IF(A2727&lt;&gt;"", VLOOKUP(A2727, imdb_netflix_v5!A$2:H$7370, 7, FALSE), "")</f>
        <v>NA</v>
      </c>
    </row>
    <row r="2728" ht="15.75" customHeight="1">
      <c r="A2728" s="1" t="str">
        <f>IFERROR(__xludf.DUMMYFUNCTION("""COMPUTED_VALUE"""),"forks over knives")</f>
        <v>forks over knives</v>
      </c>
      <c r="B2728" s="1" t="str">
        <f>IF(A2728&lt;&gt;"", VLOOKUP(A2728, imdb_netflix_v5!A$2:H$7370, 2, FALSE), "")</f>
        <v>Movie</v>
      </c>
      <c r="C2728" s="2" t="str">
        <f>IF(A2728&lt;&gt;"", VLOOKUP(A2728, imdb_netflix_v5!A$2:H$7370, 3, FALSE), "")</f>
        <v>Documentary</v>
      </c>
      <c r="D2728" s="2">
        <f>IF(A2728&lt;&gt;"", VLOOKUP(A2728, imdb_netflix_v5!A$2:H$7370, 4, FALSE), "")</f>
        <v>7.7</v>
      </c>
      <c r="E2728" s="2">
        <f>IF(A2728&lt;&gt;"", VLOOKUP(A2728, imdb_netflix_v5!A$2:H$7370, 5, FALSE), "")</f>
        <v>2011</v>
      </c>
      <c r="F2728" s="2" t="str">
        <f>IF(A2728&lt;&gt;"", VLOOKUP(A2728, imdb_netflix_v5!A$2:H$7370, 7, FALSE), "")</f>
        <v>NA</v>
      </c>
    </row>
    <row r="2729" ht="15.75" customHeight="1">
      <c r="A2729" s="1" t="str">
        <f>IFERROR(__xludf.DUMMYFUNCTION("""COMPUTED_VALUE"""),"our hospitality")</f>
        <v>our hospitality</v>
      </c>
      <c r="B2729" s="1" t="str">
        <f>IF(A2729&lt;&gt;"", VLOOKUP(A2729, imdb_netflix_v5!A$2:H$7370, 2, FALSE), "")</f>
        <v>Movie</v>
      </c>
      <c r="C2729" s="2" t="str">
        <f>IF(A2729&lt;&gt;"", VLOOKUP(A2729, imdb_netflix_v5!A$2:H$7370, 3, FALSE), "")</f>
        <v>Comedy, Romance, Thriller</v>
      </c>
      <c r="D2729" s="2">
        <f>IF(A2729&lt;&gt;"", VLOOKUP(A2729, imdb_netflix_v5!A$2:H$7370, 4, FALSE), "")</f>
        <v>7.7</v>
      </c>
      <c r="E2729" s="2">
        <f>IF(A2729&lt;&gt;"", VLOOKUP(A2729, imdb_netflix_v5!A$2:H$7370, 5, FALSE), "")</f>
        <v>1923</v>
      </c>
      <c r="F2729" s="2" t="str">
        <f>IF(A2729&lt;&gt;"", VLOOKUP(A2729, imdb_netflix_v5!A$2:H$7370, 7, FALSE), "")</f>
        <v>NA</v>
      </c>
    </row>
    <row r="2730" ht="15.75" customHeight="1">
      <c r="A2730" s="1" t="str">
        <f>IFERROR(__xludf.DUMMYFUNCTION("""COMPUTED_VALUE"""),"darker than black")</f>
        <v>darker than black</v>
      </c>
      <c r="B2730" s="1" t="str">
        <f>IF(A2730&lt;&gt;"", VLOOKUP(A2730, imdb_netflix_v5!A$2:H$7370, 2, FALSE), "")</f>
        <v>TV Show</v>
      </c>
      <c r="C2730" s="2" t="str">
        <f>IF(A2730&lt;&gt;"", VLOOKUP(A2730, imdb_netflix_v5!A$2:H$7370, 3, FALSE), "")</f>
        <v>Action, Animation, Crime</v>
      </c>
      <c r="D2730" s="2">
        <f>IF(A2730&lt;&gt;"", VLOOKUP(A2730, imdb_netflix_v5!A$2:H$7370, 4, FALSE), "")</f>
        <v>7.7</v>
      </c>
      <c r="E2730" s="2">
        <f>IF(A2730&lt;&gt;"", VLOOKUP(A2730, imdb_netflix_v5!A$2:H$7370, 5, FALSE), "")</f>
        <v>2007</v>
      </c>
      <c r="F2730" s="2" t="str">
        <f>IF(A2730&lt;&gt;"", VLOOKUP(A2730, imdb_netflix_v5!A$2:H$7370, 7, FALSE), "")</f>
        <v>NA</v>
      </c>
    </row>
    <row r="2731" ht="15.75" customHeight="1">
      <c r="A2731" s="1" t="str">
        <f>IFERROR(__xludf.DUMMYFUNCTION("""COMPUTED_VALUE"""),"hell")</f>
        <v>hell</v>
      </c>
      <c r="B2731" s="1" t="str">
        <f>IF(A2731&lt;&gt;"", VLOOKUP(A2731, imdb_netflix_v5!A$2:H$7370, 2, FALSE), "")</f>
        <v>Movie</v>
      </c>
      <c r="C2731" s="2" t="str">
        <f>IF(A2731&lt;&gt;"", VLOOKUP(A2731, imdb_netflix_v5!A$2:H$7370, 3, FALSE), "")</f>
        <v>Action, Comedy, Crime</v>
      </c>
      <c r="D2731" s="2">
        <f>IF(A2731&lt;&gt;"", VLOOKUP(A2731, imdb_netflix_v5!A$2:H$7370, 4, FALSE), "")</f>
        <v>7.7</v>
      </c>
      <c r="E2731" s="2">
        <f>IF(A2731&lt;&gt;"", VLOOKUP(A2731, imdb_netflix_v5!A$2:H$7370, 5, FALSE), "")</f>
        <v>2010</v>
      </c>
      <c r="F2731" s="2" t="str">
        <f>IF(A2731&lt;&gt;"", VLOOKUP(A2731, imdb_netflix_v5!A$2:H$7370, 7, FALSE), "")</f>
        <v>NA</v>
      </c>
    </row>
    <row r="2732" ht="15.75" customHeight="1">
      <c r="A2732" s="1" t="str">
        <f>IFERROR(__xludf.DUMMYFUNCTION("""COMPUTED_VALUE"""),"boruto naruto the movie")</f>
        <v>boruto naruto the movie</v>
      </c>
      <c r="B2732" s="1" t="str">
        <f>IF(A2732&lt;&gt;"", VLOOKUP(A2732, imdb_netflix_v5!A$2:H$7370, 2, FALSE), "")</f>
        <v>Movie</v>
      </c>
      <c r="C2732" s="2" t="str">
        <f>IF(A2732&lt;&gt;"", VLOOKUP(A2732, imdb_netflix_v5!A$2:H$7370, 3, FALSE), "")</f>
        <v>Action, Adventure, Animation</v>
      </c>
      <c r="D2732" s="2">
        <f>IF(A2732&lt;&gt;"", VLOOKUP(A2732, imdb_netflix_v5!A$2:H$7370, 4, FALSE), "")</f>
        <v>7.7</v>
      </c>
      <c r="E2732" s="2">
        <f>IF(A2732&lt;&gt;"", VLOOKUP(A2732, imdb_netflix_v5!A$2:H$7370, 5, FALSE), "")</f>
        <v>2015</v>
      </c>
      <c r="F2732" s="2" t="str">
        <f>IF(A2732&lt;&gt;"", VLOOKUP(A2732, imdb_netflix_v5!A$2:H$7370, 7, FALSE), "")</f>
        <v>NA</v>
      </c>
    </row>
    <row r="2733" ht="15.75" customHeight="1">
      <c r="A2733" s="1" t="str">
        <f>IFERROR(__xludf.DUMMYFUNCTION("""COMPUTED_VALUE"""),"beforeigners")</f>
        <v>beforeigners</v>
      </c>
      <c r="B2733" s="1" t="str">
        <f>IF(A2733&lt;&gt;"", VLOOKUP(A2733, imdb_netflix_v5!A$2:H$7370, 2, FALSE), "")</f>
        <v>TV Show</v>
      </c>
      <c r="C2733" s="2" t="str">
        <f>IF(A2733&lt;&gt;"", VLOOKUP(A2733, imdb_netflix_v5!A$2:H$7370, 3, FALSE), "")</f>
        <v>Crime, Drama, Sci-Fi</v>
      </c>
      <c r="D2733" s="2">
        <f>IF(A2733&lt;&gt;"", VLOOKUP(A2733, imdb_netflix_v5!A$2:H$7370, 4, FALSE), "")</f>
        <v>7.7</v>
      </c>
      <c r="E2733" s="2">
        <f>IF(A2733&lt;&gt;"", VLOOKUP(A2733, imdb_netflix_v5!A$2:H$7370, 5, FALSE), "")</f>
        <v>2019</v>
      </c>
      <c r="F2733" s="2" t="str">
        <f>IF(A2733&lt;&gt;"", VLOOKUP(A2733, imdb_netflix_v5!A$2:H$7370, 7, FALSE), "")</f>
        <v>NA</v>
      </c>
    </row>
    <row r="2734" ht="15.75" customHeight="1">
      <c r="A2734" s="1" t="str">
        <f>IFERROR(__xludf.DUMMYFUNCTION("""COMPUTED_VALUE"""),"the young girls of rochefort")</f>
        <v>the young girls of rochefort</v>
      </c>
      <c r="B2734" s="1" t="str">
        <f>IF(A2734&lt;&gt;"", VLOOKUP(A2734, imdb_netflix_v5!A$2:H$7370, 2, FALSE), "")</f>
        <v>Movie</v>
      </c>
      <c r="C2734" s="2" t="str">
        <f>IF(A2734&lt;&gt;"", VLOOKUP(A2734, imdb_netflix_v5!A$2:H$7370, 3, FALSE), "")</f>
        <v>Comedy, Drama, Musical</v>
      </c>
      <c r="D2734" s="2">
        <f>IF(A2734&lt;&gt;"", VLOOKUP(A2734, imdb_netflix_v5!A$2:H$7370, 4, FALSE), "")</f>
        <v>7.7</v>
      </c>
      <c r="E2734" s="2">
        <f>IF(A2734&lt;&gt;"", VLOOKUP(A2734, imdb_netflix_v5!A$2:H$7370, 5, FALSE), "")</f>
        <v>1967</v>
      </c>
      <c r="F2734" s="2" t="str">
        <f>IF(A2734&lt;&gt;"", VLOOKUP(A2734, imdb_netflix_v5!A$2:H$7370, 7, FALSE), "")</f>
        <v>NA</v>
      </c>
    </row>
    <row r="2735" ht="15.75" customHeight="1">
      <c r="A2735" s="1" t="str">
        <f>IFERROR(__xludf.DUMMYFUNCTION("""COMPUTED_VALUE"""),"fed up")</f>
        <v>fed up</v>
      </c>
      <c r="B2735" s="1" t="str">
        <f>IF(A2735&lt;&gt;"", VLOOKUP(A2735, imdb_netflix_v5!A$2:H$7370, 2, FALSE), "")</f>
        <v>Movie</v>
      </c>
      <c r="C2735" s="2" t="str">
        <f>IF(A2735&lt;&gt;"", VLOOKUP(A2735, imdb_netflix_v5!A$2:H$7370, 3, FALSE), "")</f>
        <v>Documentary</v>
      </c>
      <c r="D2735" s="2">
        <f>IF(A2735&lt;&gt;"", VLOOKUP(A2735, imdb_netflix_v5!A$2:H$7370, 4, FALSE), "")</f>
        <v>7.7</v>
      </c>
      <c r="E2735" s="2">
        <f>IF(A2735&lt;&gt;"", VLOOKUP(A2735, imdb_netflix_v5!A$2:H$7370, 5, FALSE), "")</f>
        <v>2014</v>
      </c>
      <c r="F2735" s="2" t="str">
        <f>IF(A2735&lt;&gt;"", VLOOKUP(A2735, imdb_netflix_v5!A$2:H$7370, 7, FALSE), "")</f>
        <v>NA</v>
      </c>
    </row>
    <row r="2736" ht="15.75" customHeight="1">
      <c r="A2736" s="1" t="str">
        <f>IFERROR(__xludf.DUMMYFUNCTION("""COMPUTED_VALUE"""),"le doulos")</f>
        <v>le doulos</v>
      </c>
      <c r="B2736" s="1" t="str">
        <f>IF(A2736&lt;&gt;"", VLOOKUP(A2736, imdb_netflix_v5!A$2:H$7370, 2, FALSE), "")</f>
        <v>Movie</v>
      </c>
      <c r="C2736" s="2" t="str">
        <f>IF(A2736&lt;&gt;"", VLOOKUP(A2736, imdb_netflix_v5!A$2:H$7370, 3, FALSE), "")</f>
        <v>Crime, Thriller</v>
      </c>
      <c r="D2736" s="2">
        <f>IF(A2736&lt;&gt;"", VLOOKUP(A2736, imdb_netflix_v5!A$2:H$7370, 4, FALSE), "")</f>
        <v>7.7</v>
      </c>
      <c r="E2736" s="2">
        <f>IF(A2736&lt;&gt;"", VLOOKUP(A2736, imdb_netflix_v5!A$2:H$7370, 5, FALSE), "")</f>
        <v>1962</v>
      </c>
      <c r="F2736" s="2" t="str">
        <f>IF(A2736&lt;&gt;"", VLOOKUP(A2736, imdb_netflix_v5!A$2:H$7370, 7, FALSE), "")</f>
        <v>NA</v>
      </c>
    </row>
    <row r="2737" ht="15.75" customHeight="1">
      <c r="A2737" s="1" t="str">
        <f>IFERROR(__xludf.DUMMYFUNCTION("""COMPUTED_VALUE"""),"sans soleil")</f>
        <v>sans soleil</v>
      </c>
      <c r="B2737" s="1" t="str">
        <f>IF(A2737&lt;&gt;"", VLOOKUP(A2737, imdb_netflix_v5!A$2:H$7370, 2, FALSE), "")</f>
        <v>Movie</v>
      </c>
      <c r="C2737" s="2" t="str">
        <f>IF(A2737&lt;&gt;"", VLOOKUP(A2737, imdb_netflix_v5!A$2:H$7370, 3, FALSE), "")</f>
        <v>Documentary, Drama</v>
      </c>
      <c r="D2737" s="2">
        <f>IF(A2737&lt;&gt;"", VLOOKUP(A2737, imdb_netflix_v5!A$2:H$7370, 4, FALSE), "")</f>
        <v>7.7</v>
      </c>
      <c r="E2737" s="2">
        <f>IF(A2737&lt;&gt;"", VLOOKUP(A2737, imdb_netflix_v5!A$2:H$7370, 5, FALSE), "")</f>
        <v>1983</v>
      </c>
      <c r="F2737" s="2" t="str">
        <f>IF(A2737&lt;&gt;"", VLOOKUP(A2737, imdb_netflix_v5!A$2:H$7370, 7, FALSE), "")</f>
        <v>NA</v>
      </c>
    </row>
    <row r="2738" ht="15.75" customHeight="1">
      <c r="A2738" s="1" t="str">
        <f>IFERROR(__xludf.DUMMYFUNCTION("""COMPUTED_VALUE"""),"berserk the golden age arc ii - the battle for doldrey")</f>
        <v>berserk the golden age arc ii - the battle for doldrey</v>
      </c>
      <c r="B2738" s="1" t="str">
        <f>IF(A2738&lt;&gt;"", VLOOKUP(A2738, imdb_netflix_v5!A$2:H$7370, 2, FALSE), "")</f>
        <v>Movie</v>
      </c>
      <c r="C2738" s="2" t="str">
        <f>IF(A2738&lt;&gt;"", VLOOKUP(A2738, imdb_netflix_v5!A$2:H$7370, 3, FALSE), "")</f>
        <v>Action, Adventure, Animation</v>
      </c>
      <c r="D2738" s="2">
        <f>IF(A2738&lt;&gt;"", VLOOKUP(A2738, imdb_netflix_v5!A$2:H$7370, 4, FALSE), "")</f>
        <v>7.7</v>
      </c>
      <c r="E2738" s="2">
        <f>IF(A2738&lt;&gt;"", VLOOKUP(A2738, imdb_netflix_v5!A$2:H$7370, 5, FALSE), "")</f>
        <v>2012</v>
      </c>
      <c r="F2738" s="2" t="str">
        <f>IF(A2738&lt;&gt;"", VLOOKUP(A2738, imdb_netflix_v5!A$2:H$7370, 7, FALSE), "")</f>
        <v>NA</v>
      </c>
    </row>
    <row r="2739" ht="15.75" customHeight="1">
      <c r="A2739" s="1" t="str">
        <f>IFERROR(__xludf.DUMMYFUNCTION("""COMPUTED_VALUE"""),"cyber vaar")</f>
        <v>cyber vaar</v>
      </c>
      <c r="B2739" s="1" t="str">
        <f>IF(A2739&lt;&gt;"", VLOOKUP(A2739, imdb_netflix_v5!A$2:H$7370, 2, FALSE), "")</f>
        <v>TV Show</v>
      </c>
      <c r="C2739" s="2" t="str">
        <f>IF(A2739&lt;&gt;"", VLOOKUP(A2739, imdb_netflix_v5!A$2:H$7370, 3, FALSE), "")</f>
        <v>Crime, Mystery, Thriller</v>
      </c>
      <c r="D2739" s="2">
        <f>IF(A2739&lt;&gt;"", VLOOKUP(A2739, imdb_netflix_v5!A$2:H$7370, 4, FALSE), "")</f>
        <v>7.7</v>
      </c>
      <c r="E2739" s="2">
        <f>IF(A2739&lt;&gt;"", VLOOKUP(A2739, imdb_netflix_v5!A$2:H$7370, 5, FALSE), "")</f>
        <v>2022</v>
      </c>
      <c r="F2739" s="2" t="str">
        <f>IF(A2739&lt;&gt;"", VLOOKUP(A2739, imdb_netflix_v5!A$2:H$7370, 7, FALSE), "")</f>
        <v>NA</v>
      </c>
    </row>
    <row r="2740" ht="15.75" customHeight="1">
      <c r="A2740" s="1" t="str">
        <f>IFERROR(__xludf.DUMMYFUNCTION("""COMPUTED_VALUE"""),"pandoras box")</f>
        <v>pandoras box</v>
      </c>
      <c r="B2740" s="1" t="str">
        <f>IF(A2740&lt;&gt;"", VLOOKUP(A2740, imdb_netflix_v5!A$2:H$7370, 2, FALSE), "")</f>
        <v>Movie</v>
      </c>
      <c r="C2740" s="2" t="str">
        <f>IF(A2740&lt;&gt;"", VLOOKUP(A2740, imdb_netflix_v5!A$2:H$7370, 3, FALSE), "")</f>
        <v>Crime, Drama, Romance</v>
      </c>
      <c r="D2740" s="2">
        <f>IF(A2740&lt;&gt;"", VLOOKUP(A2740, imdb_netflix_v5!A$2:H$7370, 4, FALSE), "")</f>
        <v>7.7</v>
      </c>
      <c r="E2740" s="2">
        <f>IF(A2740&lt;&gt;"", VLOOKUP(A2740, imdb_netflix_v5!A$2:H$7370, 5, FALSE), "")</f>
        <v>1929</v>
      </c>
      <c r="F2740" s="2" t="str">
        <f>IF(A2740&lt;&gt;"", VLOOKUP(A2740, imdb_netflix_v5!A$2:H$7370, 7, FALSE), "")</f>
        <v>NA</v>
      </c>
    </row>
    <row r="2741" ht="15.75" customHeight="1">
      <c r="A2741" s="1" t="str">
        <f>IFERROR(__xludf.DUMMYFUNCTION("""COMPUTED_VALUE"""),"pelle the conqueror")</f>
        <v>pelle the conqueror</v>
      </c>
      <c r="B2741" s="1" t="str">
        <f>IF(A2741&lt;&gt;"", VLOOKUP(A2741, imdb_netflix_v5!A$2:H$7370, 2, FALSE), "")</f>
        <v>Movie</v>
      </c>
      <c r="C2741" s="2" t="str">
        <f>IF(A2741&lt;&gt;"", VLOOKUP(A2741, imdb_netflix_v5!A$2:H$7370, 3, FALSE), "")</f>
        <v>Drama</v>
      </c>
      <c r="D2741" s="2">
        <f>IF(A2741&lt;&gt;"", VLOOKUP(A2741, imdb_netflix_v5!A$2:H$7370, 4, FALSE), "")</f>
        <v>7.7</v>
      </c>
      <c r="E2741" s="2">
        <f>IF(A2741&lt;&gt;"", VLOOKUP(A2741, imdb_netflix_v5!A$2:H$7370, 5, FALSE), "")</f>
        <v>1987</v>
      </c>
      <c r="F2741" s="2" t="str">
        <f>IF(A2741&lt;&gt;"", VLOOKUP(A2741, imdb_netflix_v5!A$2:H$7370, 7, FALSE), "")</f>
        <v>NA</v>
      </c>
    </row>
    <row r="2742" ht="15.75" customHeight="1">
      <c r="A2742" s="1" t="str">
        <f>IFERROR(__xludf.DUMMYFUNCTION("""COMPUTED_VALUE"""),"city of life and death")</f>
        <v>city of life and death</v>
      </c>
      <c r="B2742" s="1" t="str">
        <f>IF(A2742&lt;&gt;"", VLOOKUP(A2742, imdb_netflix_v5!A$2:H$7370, 2, FALSE), "")</f>
        <v>Movie</v>
      </c>
      <c r="C2742" s="2" t="str">
        <f>IF(A2742&lt;&gt;"", VLOOKUP(A2742, imdb_netflix_v5!A$2:H$7370, 3, FALSE), "")</f>
        <v>Drama, History, War</v>
      </c>
      <c r="D2742" s="2">
        <f>IF(A2742&lt;&gt;"", VLOOKUP(A2742, imdb_netflix_v5!A$2:H$7370, 4, FALSE), "")</f>
        <v>7.7</v>
      </c>
      <c r="E2742" s="2">
        <f>IF(A2742&lt;&gt;"", VLOOKUP(A2742, imdb_netflix_v5!A$2:H$7370, 5, FALSE), "")</f>
        <v>2009</v>
      </c>
      <c r="F2742" s="2" t="str">
        <f>IF(A2742&lt;&gt;"", VLOOKUP(A2742, imdb_netflix_v5!A$2:H$7370, 7, FALSE), "")</f>
        <v>NA</v>
      </c>
    </row>
    <row r="2743" ht="15.75" customHeight="1">
      <c r="A2743" s="1" t="str">
        <f>IFERROR(__xludf.DUMMYFUNCTION("""COMPUTED_VALUE"""),"shall we dance?")</f>
        <v>shall we dance?</v>
      </c>
      <c r="B2743" s="1" t="str">
        <f>IF(A2743&lt;&gt;"", VLOOKUP(A2743, imdb_netflix_v5!A$2:H$7370, 2, FALSE), "")</f>
        <v>Movie</v>
      </c>
      <c r="C2743" s="2" t="str">
        <f>IF(A2743&lt;&gt;"", VLOOKUP(A2743, imdb_netflix_v5!A$2:H$7370, 3, FALSE), "")</f>
        <v>Comedy, Drama, Music</v>
      </c>
      <c r="D2743" s="2">
        <f>IF(A2743&lt;&gt;"", VLOOKUP(A2743, imdb_netflix_v5!A$2:H$7370, 4, FALSE), "")</f>
        <v>7.7</v>
      </c>
      <c r="E2743" s="2">
        <f>IF(A2743&lt;&gt;"", VLOOKUP(A2743, imdb_netflix_v5!A$2:H$7370, 5, FALSE), "")</f>
        <v>1996</v>
      </c>
      <c r="F2743" s="2" t="str">
        <f>IF(A2743&lt;&gt;"", VLOOKUP(A2743, imdb_netflix_v5!A$2:H$7370, 7, FALSE), "")</f>
        <v>NA</v>
      </c>
    </row>
    <row r="2744" ht="15.75" customHeight="1">
      <c r="A2744" s="1" t="str">
        <f>IFERROR(__xludf.DUMMYFUNCTION("""COMPUTED_VALUE"""),"mephisto")</f>
        <v>mephisto</v>
      </c>
      <c r="B2744" s="1" t="str">
        <f>IF(A2744&lt;&gt;"", VLOOKUP(A2744, imdb_netflix_v5!A$2:H$7370, 2, FALSE), "")</f>
        <v>Movie</v>
      </c>
      <c r="C2744" s="2" t="str">
        <f>IF(A2744&lt;&gt;"", VLOOKUP(A2744, imdb_netflix_v5!A$2:H$7370, 3, FALSE), "")</f>
        <v>Drama</v>
      </c>
      <c r="D2744" s="2">
        <f>IF(A2744&lt;&gt;"", VLOOKUP(A2744, imdb_netflix_v5!A$2:H$7370, 4, FALSE), "")</f>
        <v>7.7</v>
      </c>
      <c r="E2744" s="2">
        <f>IF(A2744&lt;&gt;"", VLOOKUP(A2744, imdb_netflix_v5!A$2:H$7370, 5, FALSE), "")</f>
        <v>1981</v>
      </c>
      <c r="F2744" s="2" t="str">
        <f>IF(A2744&lt;&gt;"", VLOOKUP(A2744, imdb_netflix_v5!A$2:H$7370, 7, FALSE), "")</f>
        <v>NA</v>
      </c>
    </row>
    <row r="2745" ht="15.75" customHeight="1">
      <c r="A2745" s="1" t="str">
        <f>IFERROR(__xludf.DUMMYFUNCTION("""COMPUTED_VALUE"""),"kuzey güney")</f>
        <v>kuzey güney</v>
      </c>
      <c r="B2745" s="1" t="str">
        <f>IF(A2745&lt;&gt;"", VLOOKUP(A2745, imdb_netflix_v5!A$2:H$7370, 2, FALSE), "")</f>
        <v>TV Show</v>
      </c>
      <c r="C2745" s="2" t="str">
        <f>IF(A2745&lt;&gt;"", VLOOKUP(A2745, imdb_netflix_v5!A$2:H$7370, 3, FALSE), "")</f>
        <v>Drama</v>
      </c>
      <c r="D2745" s="2">
        <f>IF(A2745&lt;&gt;"", VLOOKUP(A2745, imdb_netflix_v5!A$2:H$7370, 4, FALSE), "")</f>
        <v>7.7</v>
      </c>
      <c r="E2745" s="2">
        <f>IF(A2745&lt;&gt;"", VLOOKUP(A2745, imdb_netflix_v5!A$2:H$7370, 5, FALSE), "")</f>
        <v>2011</v>
      </c>
      <c r="F2745" s="2" t="str">
        <f>IF(A2745&lt;&gt;"", VLOOKUP(A2745, imdb_netflix_v5!A$2:H$7370, 7, FALSE), "")</f>
        <v>NA</v>
      </c>
    </row>
    <row r="2746" ht="15.75" customHeight="1">
      <c r="A2746" s="1" t="str">
        <f>IFERROR(__xludf.DUMMYFUNCTION("""COMPUTED_VALUE"""),"miss scarlet &amp; the duke")</f>
        <v>miss scarlet &amp; the duke</v>
      </c>
      <c r="B2746" s="1" t="str">
        <f>IF(A2746&lt;&gt;"", VLOOKUP(A2746, imdb_netflix_v5!A$2:H$7370, 2, FALSE), "")</f>
        <v>TV Show</v>
      </c>
      <c r="C2746" s="2" t="str">
        <f>IF(A2746&lt;&gt;"", VLOOKUP(A2746, imdb_netflix_v5!A$2:H$7370, 3, FALSE), "")</f>
        <v>Crime, Drama, Thriller</v>
      </c>
      <c r="D2746" s="2">
        <f>IF(A2746&lt;&gt;"", VLOOKUP(A2746, imdb_netflix_v5!A$2:H$7370, 4, FALSE), "")</f>
        <v>7.7</v>
      </c>
      <c r="E2746" s="2">
        <f>IF(A2746&lt;&gt;"", VLOOKUP(A2746, imdb_netflix_v5!A$2:H$7370, 5, FALSE), "")</f>
        <v>2020</v>
      </c>
      <c r="F2746" s="2" t="str">
        <f>IF(A2746&lt;&gt;"", VLOOKUP(A2746, imdb_netflix_v5!A$2:H$7370, 7, FALSE), "")</f>
        <v>NA</v>
      </c>
    </row>
    <row r="2747" ht="15.75" customHeight="1">
      <c r="A2747" s="1" t="str">
        <f>IFERROR(__xludf.DUMMYFUNCTION("""COMPUTED_VALUE"""),"always")</f>
        <v>always</v>
      </c>
      <c r="B2747" s="1" t="str">
        <f>IF(A2747&lt;&gt;"", VLOOKUP(A2747, imdb_netflix_v5!A$2:H$7370, 2, FALSE), "")</f>
        <v>Movie</v>
      </c>
      <c r="C2747" s="2" t="str">
        <f>IF(A2747&lt;&gt;"", VLOOKUP(A2747, imdb_netflix_v5!A$2:H$7370, 3, FALSE), "")</f>
        <v>Action, Drama, Romance</v>
      </c>
      <c r="D2747" s="2">
        <f>IF(A2747&lt;&gt;"", VLOOKUP(A2747, imdb_netflix_v5!A$2:H$7370, 4, FALSE), "")</f>
        <v>7.7</v>
      </c>
      <c r="E2747" s="2">
        <f>IF(A2747&lt;&gt;"", VLOOKUP(A2747, imdb_netflix_v5!A$2:H$7370, 5, FALSE), "")</f>
        <v>2011</v>
      </c>
      <c r="F2747" s="2" t="str">
        <f>IF(A2747&lt;&gt;"", VLOOKUP(A2747, imdb_netflix_v5!A$2:H$7370, 7, FALSE), "")</f>
        <v>NA</v>
      </c>
    </row>
    <row r="2748" ht="15.75" customHeight="1">
      <c r="A2748" s="1" t="str">
        <f>IFERROR(__xludf.DUMMYFUNCTION("""COMPUTED_VALUE"""),"blind chance")</f>
        <v>blind chance</v>
      </c>
      <c r="B2748" s="1" t="str">
        <f>IF(A2748&lt;&gt;"", VLOOKUP(A2748, imdb_netflix_v5!A$2:H$7370, 2, FALSE), "")</f>
        <v>Movie</v>
      </c>
      <c r="C2748" s="2" t="str">
        <f>IF(A2748&lt;&gt;"", VLOOKUP(A2748, imdb_netflix_v5!A$2:H$7370, 3, FALSE), "")</f>
        <v>Drama, Romance</v>
      </c>
      <c r="D2748" s="2">
        <f>IF(A2748&lt;&gt;"", VLOOKUP(A2748, imdb_netflix_v5!A$2:H$7370, 4, FALSE), "")</f>
        <v>7.7</v>
      </c>
      <c r="E2748" s="2">
        <f>IF(A2748&lt;&gt;"", VLOOKUP(A2748, imdb_netflix_v5!A$2:H$7370, 5, FALSE), "")</f>
        <v>1987</v>
      </c>
      <c r="F2748" s="2" t="str">
        <f>IF(A2748&lt;&gt;"", VLOOKUP(A2748, imdb_netflix_v5!A$2:H$7370, 7, FALSE), "")</f>
        <v>NA</v>
      </c>
    </row>
    <row r="2749" ht="15.75" customHeight="1">
      <c r="A2749" s="1" t="str">
        <f>IFERROR(__xludf.DUMMYFUNCTION("""COMPUTED_VALUE"""),"character")</f>
        <v>character</v>
      </c>
      <c r="B2749" s="1" t="str">
        <f>IF(A2749&lt;&gt;"", VLOOKUP(A2749, imdb_netflix_v5!A$2:H$7370, 2, FALSE), "")</f>
        <v>Movie</v>
      </c>
      <c r="C2749" s="2" t="str">
        <f>IF(A2749&lt;&gt;"", VLOOKUP(A2749, imdb_netflix_v5!A$2:H$7370, 3, FALSE), "")</f>
        <v>Crime, Drama, Mystery</v>
      </c>
      <c r="D2749" s="2">
        <f>IF(A2749&lt;&gt;"", VLOOKUP(A2749, imdb_netflix_v5!A$2:H$7370, 4, FALSE), "")</f>
        <v>7.7</v>
      </c>
      <c r="E2749" s="2">
        <f>IF(A2749&lt;&gt;"", VLOOKUP(A2749, imdb_netflix_v5!A$2:H$7370, 5, FALSE), "")</f>
        <v>1997</v>
      </c>
      <c r="F2749" s="2" t="str">
        <f>IF(A2749&lt;&gt;"", VLOOKUP(A2749, imdb_netflix_v5!A$2:H$7370, 7, FALSE), "")</f>
        <v>NA</v>
      </c>
    </row>
    <row r="2750" ht="15.75" customHeight="1">
      <c r="A2750" s="1" t="str">
        <f>IFERROR(__xludf.DUMMYFUNCTION("""COMPUTED_VALUE"""),"physical 100")</f>
        <v>physical 100</v>
      </c>
      <c r="B2750" s="1" t="str">
        <f>IF(A2750&lt;&gt;"", VLOOKUP(A2750, imdb_netflix_v5!A$2:H$7370, 2, FALSE), "")</f>
        <v>TV Show</v>
      </c>
      <c r="C2750" s="2" t="str">
        <f>IF(A2750&lt;&gt;"", VLOOKUP(A2750, imdb_netflix_v5!A$2:H$7370, 3, FALSE), "")</f>
        <v>Game-Show, Reality-TV</v>
      </c>
      <c r="D2750" s="2">
        <f>IF(A2750&lt;&gt;"", VLOOKUP(A2750, imdb_netflix_v5!A$2:H$7370, 4, FALSE), "")</f>
        <v>7.7</v>
      </c>
      <c r="E2750" s="2">
        <f>IF(A2750&lt;&gt;"", VLOOKUP(A2750, imdb_netflix_v5!A$2:H$7370, 5, FALSE), "")</f>
        <v>2023</v>
      </c>
      <c r="F2750" s="2">
        <f>IF(A2750&lt;&gt;"", VLOOKUP(A2750, imdb_netflix_v5!A$2:H$7370, 7, FALSE), "")</f>
        <v>14370000</v>
      </c>
    </row>
    <row r="2751" ht="15.75" customHeight="1">
      <c r="A2751" s="1" t="str">
        <f>IFERROR(__xludf.DUMMYFUNCTION("""COMPUTED_VALUE"""),"aranyak")</f>
        <v>aranyak</v>
      </c>
      <c r="B2751" s="1" t="str">
        <f>IF(A2751&lt;&gt;"", VLOOKUP(A2751, imdb_netflix_v5!A$2:H$7370, 2, FALSE), "")</f>
        <v>TV Show</v>
      </c>
      <c r="C2751" s="2" t="str">
        <f>IF(A2751&lt;&gt;"", VLOOKUP(A2751, imdb_netflix_v5!A$2:H$7370, 3, FALSE), "")</f>
        <v>Crime, Drama, Mystery</v>
      </c>
      <c r="D2751" s="2">
        <f>IF(A2751&lt;&gt;"", VLOOKUP(A2751, imdb_netflix_v5!A$2:H$7370, 4, FALSE), "")</f>
        <v>7.7</v>
      </c>
      <c r="E2751" s="2">
        <f>IF(A2751&lt;&gt;"", VLOOKUP(A2751, imdb_netflix_v5!A$2:H$7370, 5, FALSE), "")</f>
        <v>2021</v>
      </c>
      <c r="F2751" s="2">
        <f>IF(A2751&lt;&gt;"", VLOOKUP(A2751, imdb_netflix_v5!A$2:H$7370, 7, FALSE), "")</f>
        <v>10360000</v>
      </c>
    </row>
    <row r="2752" ht="15.75" customHeight="1">
      <c r="A2752" s="1" t="str">
        <f>IFERROR(__xludf.DUMMYFUNCTION("""COMPUTED_VALUE"""),"human")</f>
        <v>human</v>
      </c>
      <c r="B2752" s="1" t="str">
        <f>IF(A2752&lt;&gt;"", VLOOKUP(A2752, imdb_netflix_v5!A$2:H$7370, 2, FALSE), "")</f>
        <v>TV Show</v>
      </c>
      <c r="C2752" s="2" t="str">
        <f>IF(A2752&lt;&gt;"", VLOOKUP(A2752, imdb_netflix_v5!A$2:H$7370, 3, FALSE), "")</f>
        <v>Drama, Thriller</v>
      </c>
      <c r="D2752" s="2">
        <f>IF(A2752&lt;&gt;"", VLOOKUP(A2752, imdb_netflix_v5!A$2:H$7370, 4, FALSE), "")</f>
        <v>7.7</v>
      </c>
      <c r="E2752" s="2">
        <f>IF(A2752&lt;&gt;"", VLOOKUP(A2752, imdb_netflix_v5!A$2:H$7370, 5, FALSE), "")</f>
        <v>2022</v>
      </c>
      <c r="F2752" s="2" t="str">
        <f>IF(A2752&lt;&gt;"", VLOOKUP(A2752, imdb_netflix_v5!A$2:H$7370, 7, FALSE), "")</f>
        <v>NA</v>
      </c>
    </row>
    <row r="2753" ht="15.75" customHeight="1">
      <c r="A2753" s="1" t="str">
        <f>IFERROR(__xludf.DUMMYFUNCTION("""COMPUTED_VALUE"""),"waterloo bridge")</f>
        <v>waterloo bridge</v>
      </c>
      <c r="B2753" s="1" t="str">
        <f>IF(A2753&lt;&gt;"", VLOOKUP(A2753, imdb_netflix_v5!A$2:H$7370, 2, FALSE), "")</f>
        <v>Movie</v>
      </c>
      <c r="C2753" s="2" t="str">
        <f>IF(A2753&lt;&gt;"", VLOOKUP(A2753, imdb_netflix_v5!A$2:H$7370, 3, FALSE), "")</f>
        <v>Drama, Romance, War</v>
      </c>
      <c r="D2753" s="2">
        <f>IF(A2753&lt;&gt;"", VLOOKUP(A2753, imdb_netflix_v5!A$2:H$7370, 4, FALSE), "")</f>
        <v>7.7</v>
      </c>
      <c r="E2753" s="2">
        <f>IF(A2753&lt;&gt;"", VLOOKUP(A2753, imdb_netflix_v5!A$2:H$7370, 5, FALSE), "")</f>
        <v>1940</v>
      </c>
      <c r="F2753" s="2" t="str">
        <f>IF(A2753&lt;&gt;"", VLOOKUP(A2753, imdb_netflix_v5!A$2:H$7370, 7, FALSE), "")</f>
        <v>NA</v>
      </c>
    </row>
    <row r="2754" ht="15.75" customHeight="1">
      <c r="A2754" s="1" t="str">
        <f>IFERROR(__xludf.DUMMYFUNCTION("""COMPUTED_VALUE"""),"the official story")</f>
        <v>the official story</v>
      </c>
      <c r="B2754" s="1" t="str">
        <f>IF(A2754&lt;&gt;"", VLOOKUP(A2754, imdb_netflix_v5!A$2:H$7370, 2, FALSE), "")</f>
        <v>Movie</v>
      </c>
      <c r="C2754" s="2" t="str">
        <f>IF(A2754&lt;&gt;"", VLOOKUP(A2754, imdb_netflix_v5!A$2:H$7370, 3, FALSE), "")</f>
        <v>Drama, History</v>
      </c>
      <c r="D2754" s="2">
        <f>IF(A2754&lt;&gt;"", VLOOKUP(A2754, imdb_netflix_v5!A$2:H$7370, 4, FALSE), "")</f>
        <v>7.7</v>
      </c>
      <c r="E2754" s="2">
        <f>IF(A2754&lt;&gt;"", VLOOKUP(A2754, imdb_netflix_v5!A$2:H$7370, 5, FALSE), "")</f>
        <v>1985</v>
      </c>
      <c r="F2754" s="2" t="str">
        <f>IF(A2754&lt;&gt;"", VLOOKUP(A2754, imdb_netflix_v5!A$2:H$7370, 7, FALSE), "")</f>
        <v>NA</v>
      </c>
    </row>
    <row r="2755" ht="15.75" customHeight="1">
      <c r="A2755" s="1" t="str">
        <f>IFERROR(__xludf.DUMMYFUNCTION("""COMPUTED_VALUE"""),"ivan the terrible, part i")</f>
        <v>ivan the terrible, part i</v>
      </c>
      <c r="B2755" s="1" t="str">
        <f>IF(A2755&lt;&gt;"", VLOOKUP(A2755, imdb_netflix_v5!A$2:H$7370, 2, FALSE), "")</f>
        <v>Movie</v>
      </c>
      <c r="C2755" s="2" t="str">
        <f>IF(A2755&lt;&gt;"", VLOOKUP(A2755, imdb_netflix_v5!A$2:H$7370, 3, FALSE), "")</f>
        <v>Biography, Drama, History</v>
      </c>
      <c r="D2755" s="2">
        <f>IF(A2755&lt;&gt;"", VLOOKUP(A2755, imdb_netflix_v5!A$2:H$7370, 4, FALSE), "")</f>
        <v>7.7</v>
      </c>
      <c r="E2755" s="2">
        <f>IF(A2755&lt;&gt;"", VLOOKUP(A2755, imdb_netflix_v5!A$2:H$7370, 5, FALSE), "")</f>
        <v>1944</v>
      </c>
      <c r="F2755" s="2" t="str">
        <f>IF(A2755&lt;&gt;"", VLOOKUP(A2755, imdb_netflix_v5!A$2:H$7370, 7, FALSE), "")</f>
        <v>NA</v>
      </c>
    </row>
    <row r="2756" ht="15.75" customHeight="1">
      <c r="A2756" s="1" t="str">
        <f>IFERROR(__xludf.DUMMYFUNCTION("""COMPUTED_VALUE"""),"a letter to three wives")</f>
        <v>a letter to three wives</v>
      </c>
      <c r="B2756" s="1" t="str">
        <f>IF(A2756&lt;&gt;"", VLOOKUP(A2756, imdb_netflix_v5!A$2:H$7370, 2, FALSE), "")</f>
        <v>Movie</v>
      </c>
      <c r="C2756" s="2" t="str">
        <f>IF(A2756&lt;&gt;"", VLOOKUP(A2756, imdb_netflix_v5!A$2:H$7370, 3, FALSE), "")</f>
        <v>Comedy, Drama, Romance</v>
      </c>
      <c r="D2756" s="2">
        <f>IF(A2756&lt;&gt;"", VLOOKUP(A2756, imdb_netflix_v5!A$2:H$7370, 4, FALSE), "")</f>
        <v>7.7</v>
      </c>
      <c r="E2756" s="2">
        <f>IF(A2756&lt;&gt;"", VLOOKUP(A2756, imdb_netflix_v5!A$2:H$7370, 5, FALSE), "")</f>
        <v>1949</v>
      </c>
      <c r="F2756" s="2" t="str">
        <f>IF(A2756&lt;&gt;"", VLOOKUP(A2756, imdb_netflix_v5!A$2:H$7370, 7, FALSE), "")</f>
        <v>NA</v>
      </c>
    </row>
    <row r="2757" ht="15.75" customHeight="1">
      <c r="A2757" s="1" t="str">
        <f>IFERROR(__xludf.DUMMYFUNCTION("""COMPUTED_VALUE"""),"mind game")</f>
        <v>mind game</v>
      </c>
      <c r="B2757" s="1" t="str">
        <f>IF(A2757&lt;&gt;"", VLOOKUP(A2757, imdb_netflix_v5!A$2:H$7370, 2, FALSE), "")</f>
        <v>Movie</v>
      </c>
      <c r="C2757" s="2" t="str">
        <f>IF(A2757&lt;&gt;"", VLOOKUP(A2757, imdb_netflix_v5!A$2:H$7370, 3, FALSE), "")</f>
        <v>Adventure, Animation, Comedy</v>
      </c>
      <c r="D2757" s="2">
        <f>IF(A2757&lt;&gt;"", VLOOKUP(A2757, imdb_netflix_v5!A$2:H$7370, 4, FALSE), "")</f>
        <v>7.7</v>
      </c>
      <c r="E2757" s="2">
        <f>IF(A2757&lt;&gt;"", VLOOKUP(A2757, imdb_netflix_v5!A$2:H$7370, 5, FALSE), "")</f>
        <v>2004</v>
      </c>
      <c r="F2757" s="2" t="str">
        <f>IF(A2757&lt;&gt;"", VLOOKUP(A2757, imdb_netflix_v5!A$2:H$7370, 7, FALSE), "")</f>
        <v>NA</v>
      </c>
    </row>
    <row r="2758" ht="15.75" customHeight="1">
      <c r="A2758" s="1" t="str">
        <f>IFERROR(__xludf.DUMMYFUNCTION("""COMPUTED_VALUE"""),"eli stone")</f>
        <v>eli stone</v>
      </c>
      <c r="B2758" s="1" t="str">
        <f>IF(A2758&lt;&gt;"", VLOOKUP(A2758, imdb_netflix_v5!A$2:H$7370, 2, FALSE), "")</f>
        <v>TV Show</v>
      </c>
      <c r="C2758" s="2" t="str">
        <f>IF(A2758&lt;&gt;"", VLOOKUP(A2758, imdb_netflix_v5!A$2:H$7370, 3, FALSE), "")</f>
        <v>Comedy, Drama, Fantasy</v>
      </c>
      <c r="D2758" s="2">
        <f>IF(A2758&lt;&gt;"", VLOOKUP(A2758, imdb_netflix_v5!A$2:H$7370, 4, FALSE), "")</f>
        <v>7.7</v>
      </c>
      <c r="E2758" s="2">
        <f>IF(A2758&lt;&gt;"", VLOOKUP(A2758, imdb_netflix_v5!A$2:H$7370, 5, FALSE), "")</f>
        <v>2008</v>
      </c>
      <c r="F2758" s="2" t="str">
        <f>IF(A2758&lt;&gt;"", VLOOKUP(A2758, imdb_netflix_v5!A$2:H$7370, 7, FALSE), "")</f>
        <v>NA</v>
      </c>
    </row>
    <row r="2759" ht="15.75" customHeight="1">
      <c r="A2759" s="1" t="str">
        <f>IFERROR(__xludf.DUMMYFUNCTION("""COMPUTED_VALUE"""),"harlots")</f>
        <v>harlots</v>
      </c>
      <c r="B2759" s="1" t="str">
        <f>IF(A2759&lt;&gt;"", VLOOKUP(A2759, imdb_netflix_v5!A$2:H$7370, 2, FALSE), "")</f>
        <v>TV Show</v>
      </c>
      <c r="C2759" s="2" t="str">
        <f>IF(A2759&lt;&gt;"", VLOOKUP(A2759, imdb_netflix_v5!A$2:H$7370, 3, FALSE), "")</f>
        <v>Drama</v>
      </c>
      <c r="D2759" s="2">
        <f>IF(A2759&lt;&gt;"", VLOOKUP(A2759, imdb_netflix_v5!A$2:H$7370, 4, FALSE), "")</f>
        <v>7.7</v>
      </c>
      <c r="E2759" s="2">
        <f>IF(A2759&lt;&gt;"", VLOOKUP(A2759, imdb_netflix_v5!A$2:H$7370, 5, FALSE), "")</f>
        <v>2017</v>
      </c>
      <c r="F2759" s="2" t="str">
        <f>IF(A2759&lt;&gt;"", VLOOKUP(A2759, imdb_netflix_v5!A$2:H$7370, 7, FALSE), "")</f>
        <v>NA</v>
      </c>
    </row>
    <row r="2760" ht="15.75" customHeight="1">
      <c r="A2760" s="1" t="str">
        <f>IFERROR(__xludf.DUMMYFUNCTION("""COMPUTED_VALUE"""),"the cure")</f>
        <v>the cure</v>
      </c>
      <c r="B2760" s="1" t="str">
        <f>IF(A2760&lt;&gt;"", VLOOKUP(A2760, imdb_netflix_v5!A$2:H$7370, 2, FALSE), "")</f>
        <v>Movie</v>
      </c>
      <c r="C2760" s="2" t="str">
        <f>IF(A2760&lt;&gt;"", VLOOKUP(A2760, imdb_netflix_v5!A$2:H$7370, 3, FALSE), "")</f>
        <v>Adventure, Drama</v>
      </c>
      <c r="D2760" s="2">
        <f>IF(A2760&lt;&gt;"", VLOOKUP(A2760, imdb_netflix_v5!A$2:H$7370, 4, FALSE), "")</f>
        <v>7.7</v>
      </c>
      <c r="E2760" s="2">
        <f>IF(A2760&lt;&gt;"", VLOOKUP(A2760, imdb_netflix_v5!A$2:H$7370, 5, FALSE), "")</f>
        <v>1995</v>
      </c>
      <c r="F2760" s="2" t="str">
        <f>IF(A2760&lt;&gt;"", VLOOKUP(A2760, imdb_netflix_v5!A$2:H$7370, 7, FALSE), "")</f>
        <v>NA</v>
      </c>
    </row>
    <row r="2761" ht="15.75" customHeight="1">
      <c r="A2761" s="1" t="str">
        <f>IFERROR(__xludf.DUMMYFUNCTION("""COMPUTED_VALUE"""),"shark tank")</f>
        <v>shark tank</v>
      </c>
      <c r="B2761" s="1" t="str">
        <f>IF(A2761&lt;&gt;"", VLOOKUP(A2761, imdb_netflix_v5!A$2:H$7370, 2, FALSE), "")</f>
        <v>TV Show</v>
      </c>
      <c r="C2761" s="2" t="str">
        <f>IF(A2761&lt;&gt;"", VLOOKUP(A2761, imdb_netflix_v5!A$2:H$7370, 3, FALSE), "")</f>
        <v>Family, Game-Show, Reality-TV</v>
      </c>
      <c r="D2761" s="2">
        <f>IF(A2761&lt;&gt;"", VLOOKUP(A2761, imdb_netflix_v5!A$2:H$7370, 4, FALSE), "")</f>
        <v>7.7</v>
      </c>
      <c r="E2761" s="2">
        <f>IF(A2761&lt;&gt;"", VLOOKUP(A2761, imdb_netflix_v5!A$2:H$7370, 5, FALSE), "")</f>
        <v>2009</v>
      </c>
      <c r="F2761" s="2" t="str">
        <f>IF(A2761&lt;&gt;"", VLOOKUP(A2761, imdb_netflix_v5!A$2:H$7370, 7, FALSE), "")</f>
        <v>NA</v>
      </c>
    </row>
    <row r="2762" ht="15.75" customHeight="1">
      <c r="A2762" s="1" t="str">
        <f>IFERROR(__xludf.DUMMYFUNCTION("""COMPUTED_VALUE"""),"three men and a leg")</f>
        <v>three men and a leg</v>
      </c>
      <c r="B2762" s="1" t="str">
        <f>IF(A2762&lt;&gt;"", VLOOKUP(A2762, imdb_netflix_v5!A$2:H$7370, 2, FALSE), "")</f>
        <v>Movie</v>
      </c>
      <c r="C2762" s="2" t="str">
        <f>IF(A2762&lt;&gt;"", VLOOKUP(A2762, imdb_netflix_v5!A$2:H$7370, 3, FALSE), "")</f>
        <v>Comedy</v>
      </c>
      <c r="D2762" s="2">
        <f>IF(A2762&lt;&gt;"", VLOOKUP(A2762, imdb_netflix_v5!A$2:H$7370, 4, FALSE), "")</f>
        <v>7.7</v>
      </c>
      <c r="E2762" s="2">
        <f>IF(A2762&lt;&gt;"", VLOOKUP(A2762, imdb_netflix_v5!A$2:H$7370, 5, FALSE), "")</f>
        <v>1997</v>
      </c>
      <c r="F2762" s="2" t="str">
        <f>IF(A2762&lt;&gt;"", VLOOKUP(A2762, imdb_netflix_v5!A$2:H$7370, 7, FALSE), "")</f>
        <v>NA</v>
      </c>
    </row>
    <row r="2763" ht="15.75" customHeight="1">
      <c r="A2763" s="1" t="str">
        <f>IFERROR(__xludf.DUMMYFUNCTION("""COMPUTED_VALUE"""),"law &amp; order organized crime")</f>
        <v>law &amp; order organized crime</v>
      </c>
      <c r="B2763" s="1" t="str">
        <f>IF(A2763&lt;&gt;"", VLOOKUP(A2763, imdb_netflix_v5!A$2:H$7370, 2, FALSE), "")</f>
        <v>TV Show</v>
      </c>
      <c r="C2763" s="2" t="str">
        <f>IF(A2763&lt;&gt;"", VLOOKUP(A2763, imdb_netflix_v5!A$2:H$7370, 3, FALSE), "")</f>
        <v>Action, Crime, Drama</v>
      </c>
      <c r="D2763" s="2">
        <f>IF(A2763&lt;&gt;"", VLOOKUP(A2763, imdb_netflix_v5!A$2:H$7370, 4, FALSE), "")</f>
        <v>7.7</v>
      </c>
      <c r="E2763" s="2">
        <f>IF(A2763&lt;&gt;"", VLOOKUP(A2763, imdb_netflix_v5!A$2:H$7370, 5, FALSE), "")</f>
        <v>2021</v>
      </c>
      <c r="F2763" s="2" t="str">
        <f>IF(A2763&lt;&gt;"", VLOOKUP(A2763, imdb_netflix_v5!A$2:H$7370, 7, FALSE), "")</f>
        <v>NA</v>
      </c>
    </row>
    <row r="2764" ht="15.75" customHeight="1">
      <c r="A2764" s="1" t="str">
        <f>IFERROR(__xludf.DUMMYFUNCTION("""COMPUTED_VALUE"""),"chewing gum")</f>
        <v>chewing gum</v>
      </c>
      <c r="B2764" s="1" t="str">
        <f>IF(A2764&lt;&gt;"", VLOOKUP(A2764, imdb_netflix_v5!A$2:H$7370, 2, FALSE), "")</f>
        <v>TV Show</v>
      </c>
      <c r="C2764" s="2" t="str">
        <f>IF(A2764&lt;&gt;"", VLOOKUP(A2764, imdb_netflix_v5!A$2:H$7370, 3, FALSE), "")</f>
        <v>Comedy</v>
      </c>
      <c r="D2764" s="2">
        <f>IF(A2764&lt;&gt;"", VLOOKUP(A2764, imdb_netflix_v5!A$2:H$7370, 4, FALSE), "")</f>
        <v>7.7</v>
      </c>
      <c r="E2764" s="2">
        <f>IF(A2764&lt;&gt;"", VLOOKUP(A2764, imdb_netflix_v5!A$2:H$7370, 5, FALSE), "")</f>
        <v>2015</v>
      </c>
      <c r="F2764" s="2" t="str">
        <f>IF(A2764&lt;&gt;"", VLOOKUP(A2764, imdb_netflix_v5!A$2:H$7370, 7, FALSE), "")</f>
        <v>NA</v>
      </c>
    </row>
    <row r="2765" ht="15.75" customHeight="1">
      <c r="A2765" s="1" t="str">
        <f>IFERROR(__xludf.DUMMYFUNCTION("""COMPUTED_VALUE"""),"high potential")</f>
        <v>high potential</v>
      </c>
      <c r="B2765" s="1" t="str">
        <f>IF(A2765&lt;&gt;"", VLOOKUP(A2765, imdb_netflix_v5!A$2:H$7370, 2, FALSE), "")</f>
        <v>TV Show</v>
      </c>
      <c r="C2765" s="2" t="str">
        <f>IF(A2765&lt;&gt;"", VLOOKUP(A2765, imdb_netflix_v5!A$2:H$7370, 3, FALSE), "")</f>
        <v>Crime, Drama, Mystery</v>
      </c>
      <c r="D2765" s="2">
        <f>IF(A2765&lt;&gt;"", VLOOKUP(A2765, imdb_netflix_v5!A$2:H$7370, 4, FALSE), "")</f>
        <v>7.7</v>
      </c>
      <c r="E2765" s="2">
        <f>IF(A2765&lt;&gt;"", VLOOKUP(A2765, imdb_netflix_v5!A$2:H$7370, 5, FALSE), "")</f>
        <v>2024</v>
      </c>
      <c r="F2765" s="2" t="str">
        <f>IF(A2765&lt;&gt;"", VLOOKUP(A2765, imdb_netflix_v5!A$2:H$7370, 7, FALSE), "")</f>
        <v>NA</v>
      </c>
    </row>
    <row r="2766" ht="15.75" customHeight="1">
      <c r="A2766" s="1" t="str">
        <f>IFERROR(__xludf.DUMMYFUNCTION("""COMPUTED_VALUE"""),"nerkonda paarvai")</f>
        <v>nerkonda paarvai</v>
      </c>
      <c r="B2766" s="1" t="str">
        <f>IF(A2766&lt;&gt;"", VLOOKUP(A2766, imdb_netflix_v5!A$2:H$7370, 2, FALSE), "")</f>
        <v>Movie</v>
      </c>
      <c r="C2766" s="2" t="str">
        <f>IF(A2766&lt;&gt;"", VLOOKUP(A2766, imdb_netflix_v5!A$2:H$7370, 3, FALSE), "")</f>
        <v>Action, Crime, Drama</v>
      </c>
      <c r="D2766" s="2">
        <f>IF(A2766&lt;&gt;"", VLOOKUP(A2766, imdb_netflix_v5!A$2:H$7370, 4, FALSE), "")</f>
        <v>7.7</v>
      </c>
      <c r="E2766" s="2">
        <f>IF(A2766&lt;&gt;"", VLOOKUP(A2766, imdb_netflix_v5!A$2:H$7370, 5, FALSE), "")</f>
        <v>2019</v>
      </c>
      <c r="F2766" s="2" t="str">
        <f>IF(A2766&lt;&gt;"", VLOOKUP(A2766, imdb_netflix_v5!A$2:H$7370, 7, FALSE), "")</f>
        <v>NA</v>
      </c>
    </row>
    <row r="2767" ht="15.75" customHeight="1">
      <c r="A2767" s="1" t="str">
        <f>IFERROR(__xludf.DUMMYFUNCTION("""COMPUTED_VALUE"""),"thou gildst the even")</f>
        <v>thou gildst the even</v>
      </c>
      <c r="B2767" s="1" t="str">
        <f>IF(A2767&lt;&gt;"", VLOOKUP(A2767, imdb_netflix_v5!A$2:H$7370, 2, FALSE), "")</f>
        <v>Movie</v>
      </c>
      <c r="C2767" s="2" t="str">
        <f>IF(A2767&lt;&gt;"", VLOOKUP(A2767, imdb_netflix_v5!A$2:H$7370, 3, FALSE), "")</f>
        <v>Drama, Fantasy, Romance</v>
      </c>
      <c r="D2767" s="2">
        <f>IF(A2767&lt;&gt;"", VLOOKUP(A2767, imdb_netflix_v5!A$2:H$7370, 4, FALSE), "")</f>
        <v>7.7</v>
      </c>
      <c r="E2767" s="2">
        <f>IF(A2767&lt;&gt;"", VLOOKUP(A2767, imdb_netflix_v5!A$2:H$7370, 5, FALSE), "")</f>
        <v>2013</v>
      </c>
      <c r="F2767" s="2" t="str">
        <f>IF(A2767&lt;&gt;"", VLOOKUP(A2767, imdb_netflix_v5!A$2:H$7370, 7, FALSE), "")</f>
        <v>NA</v>
      </c>
    </row>
    <row r="2768" ht="15.75" customHeight="1">
      <c r="A2768" s="1" t="str">
        <f>IFERROR(__xludf.DUMMYFUNCTION("""COMPUTED_VALUE"""),"the practice")</f>
        <v>the practice</v>
      </c>
      <c r="B2768" s="1" t="str">
        <f>IF(A2768&lt;&gt;"", VLOOKUP(A2768, imdb_netflix_v5!A$2:H$7370, 2, FALSE), "")</f>
        <v>TV Show</v>
      </c>
      <c r="C2768" s="2" t="str">
        <f>IF(A2768&lt;&gt;"", VLOOKUP(A2768, imdb_netflix_v5!A$2:H$7370, 3, FALSE), "")</f>
        <v>Crime, Drama, Mystery</v>
      </c>
      <c r="D2768" s="2">
        <f>IF(A2768&lt;&gt;"", VLOOKUP(A2768, imdb_netflix_v5!A$2:H$7370, 4, FALSE), "")</f>
        <v>7.7</v>
      </c>
      <c r="E2768" s="2">
        <f>IF(A2768&lt;&gt;"", VLOOKUP(A2768, imdb_netflix_v5!A$2:H$7370, 5, FALSE), "")</f>
        <v>1997</v>
      </c>
      <c r="F2768" s="2" t="str">
        <f>IF(A2768&lt;&gt;"", VLOOKUP(A2768, imdb_netflix_v5!A$2:H$7370, 7, FALSE), "")</f>
        <v>NA</v>
      </c>
    </row>
    <row r="2769" ht="15.75" customHeight="1">
      <c r="A2769" s="1" t="str">
        <f>IFERROR(__xludf.DUMMYFUNCTION("""COMPUTED_VALUE"""),"roadrunner a film about anthony bourdain")</f>
        <v>roadrunner a film about anthony bourdain</v>
      </c>
      <c r="B2769" s="1" t="str">
        <f>IF(A2769&lt;&gt;"", VLOOKUP(A2769, imdb_netflix_v5!A$2:H$7370, 2, FALSE), "")</f>
        <v>Movie</v>
      </c>
      <c r="C2769" s="2" t="str">
        <f>IF(A2769&lt;&gt;"", VLOOKUP(A2769, imdb_netflix_v5!A$2:H$7370, 3, FALSE), "")</f>
        <v>Documentary</v>
      </c>
      <c r="D2769" s="2">
        <f>IF(A2769&lt;&gt;"", VLOOKUP(A2769, imdb_netflix_v5!A$2:H$7370, 4, FALSE), "")</f>
        <v>7.7</v>
      </c>
      <c r="E2769" s="2">
        <f>IF(A2769&lt;&gt;"", VLOOKUP(A2769, imdb_netflix_v5!A$2:H$7370, 5, FALSE), "")</f>
        <v>2021</v>
      </c>
      <c r="F2769" s="2" t="str">
        <f>IF(A2769&lt;&gt;"", VLOOKUP(A2769, imdb_netflix_v5!A$2:H$7370, 7, FALSE), "")</f>
        <v>NA</v>
      </c>
    </row>
    <row r="2770" ht="15.75" customHeight="1">
      <c r="A2770" s="1" t="str">
        <f>IFERROR(__xludf.DUMMYFUNCTION("""COMPUTED_VALUE"""),"zero days")</f>
        <v>zero days</v>
      </c>
      <c r="B2770" s="1" t="str">
        <f>IF(A2770&lt;&gt;"", VLOOKUP(A2770, imdb_netflix_v5!A$2:H$7370, 2, FALSE), "")</f>
        <v>Movie</v>
      </c>
      <c r="C2770" s="2" t="str">
        <f>IF(A2770&lt;&gt;"", VLOOKUP(A2770, imdb_netflix_v5!A$2:H$7370, 3, FALSE), "")</f>
        <v>Documentary</v>
      </c>
      <c r="D2770" s="2">
        <f>IF(A2770&lt;&gt;"", VLOOKUP(A2770, imdb_netflix_v5!A$2:H$7370, 4, FALSE), "")</f>
        <v>7.7</v>
      </c>
      <c r="E2770" s="2">
        <f>IF(A2770&lt;&gt;"", VLOOKUP(A2770, imdb_netflix_v5!A$2:H$7370, 5, FALSE), "")</f>
        <v>2016</v>
      </c>
      <c r="F2770" s="2" t="str">
        <f>IF(A2770&lt;&gt;"", VLOOKUP(A2770, imdb_netflix_v5!A$2:H$7370, 7, FALSE), "")</f>
        <v>NA</v>
      </c>
    </row>
    <row r="2771" ht="15.75" customHeight="1">
      <c r="A2771" s="1" t="str">
        <f>IFERROR(__xludf.DUMMYFUNCTION("""COMPUTED_VALUE"""),"inside look the assassination of gianni versace - american crime story")</f>
        <v>inside look the assassination of gianni versace - american crime story</v>
      </c>
      <c r="B2771" s="1" t="str">
        <f>IF(A2771&lt;&gt;"", VLOOKUP(A2771, imdb_netflix_v5!A$2:H$7370, 2, FALSE), "")</f>
        <v>TV Show</v>
      </c>
      <c r="C2771" s="2" t="str">
        <f>IF(A2771&lt;&gt;"", VLOOKUP(A2771, imdb_netflix_v5!A$2:H$7370, 3, FALSE), "")</f>
        <v>Documentary, Short</v>
      </c>
      <c r="D2771" s="2">
        <f>IF(A2771&lt;&gt;"", VLOOKUP(A2771, imdb_netflix_v5!A$2:H$7370, 4, FALSE), "")</f>
        <v>7.7</v>
      </c>
      <c r="E2771" s="2">
        <f>IF(A2771&lt;&gt;"", VLOOKUP(A2771, imdb_netflix_v5!A$2:H$7370, 5, FALSE), "")</f>
        <v>2017</v>
      </c>
      <c r="F2771" s="2" t="str">
        <f>IF(A2771&lt;&gt;"", VLOOKUP(A2771, imdb_netflix_v5!A$2:H$7370, 7, FALSE), "")</f>
        <v>NA</v>
      </c>
    </row>
    <row r="2772" ht="15.75" customHeight="1">
      <c r="A2772" s="1" t="str">
        <f>IFERROR(__xludf.DUMMYFUNCTION("""COMPUTED_VALUE"""),"murderball")</f>
        <v>murderball</v>
      </c>
      <c r="B2772" s="1" t="str">
        <f>IF(A2772&lt;&gt;"", VLOOKUP(A2772, imdb_netflix_v5!A$2:H$7370, 2, FALSE), "")</f>
        <v>Movie</v>
      </c>
      <c r="C2772" s="2" t="str">
        <f>IF(A2772&lt;&gt;"", VLOOKUP(A2772, imdb_netflix_v5!A$2:H$7370, 3, FALSE), "")</f>
        <v>Documentary, Sport</v>
      </c>
      <c r="D2772" s="2">
        <f>IF(A2772&lt;&gt;"", VLOOKUP(A2772, imdb_netflix_v5!A$2:H$7370, 4, FALSE), "")</f>
        <v>7.7</v>
      </c>
      <c r="E2772" s="2">
        <f>IF(A2772&lt;&gt;"", VLOOKUP(A2772, imdb_netflix_v5!A$2:H$7370, 5, FALSE), "")</f>
        <v>2005</v>
      </c>
      <c r="F2772" s="2" t="str">
        <f>IF(A2772&lt;&gt;"", VLOOKUP(A2772, imdb_netflix_v5!A$2:H$7370, 7, FALSE), "")</f>
        <v>NA</v>
      </c>
    </row>
    <row r="2773" ht="15.75" customHeight="1">
      <c r="A2773" s="1" t="str">
        <f>IFERROR(__xludf.DUMMYFUNCTION("""COMPUTED_VALUE"""),"through the olive trees")</f>
        <v>through the olive trees</v>
      </c>
      <c r="B2773" s="1" t="str">
        <f>IF(A2773&lt;&gt;"", VLOOKUP(A2773, imdb_netflix_v5!A$2:H$7370, 2, FALSE), "")</f>
        <v>Movie</v>
      </c>
      <c r="C2773" s="2" t="str">
        <f>IF(A2773&lt;&gt;"", VLOOKUP(A2773, imdb_netflix_v5!A$2:H$7370, 3, FALSE), "")</f>
        <v>Drama</v>
      </c>
      <c r="D2773" s="2">
        <f>IF(A2773&lt;&gt;"", VLOOKUP(A2773, imdb_netflix_v5!A$2:H$7370, 4, FALSE), "")</f>
        <v>7.7</v>
      </c>
      <c r="E2773" s="2">
        <f>IF(A2773&lt;&gt;"", VLOOKUP(A2773, imdb_netflix_v5!A$2:H$7370, 5, FALSE), "")</f>
        <v>1994</v>
      </c>
      <c r="F2773" s="2" t="str">
        <f>IF(A2773&lt;&gt;"", VLOOKUP(A2773, imdb_netflix_v5!A$2:H$7370, 7, FALSE), "")</f>
        <v>NA</v>
      </c>
    </row>
    <row r="2774" ht="15.75" customHeight="1">
      <c r="A2774" s="1" t="str">
        <f>IFERROR(__xludf.DUMMYFUNCTION("""COMPUTED_VALUE"""),"komi cant communicate")</f>
        <v>komi cant communicate</v>
      </c>
      <c r="B2774" s="1" t="str">
        <f>IF(A2774&lt;&gt;"", VLOOKUP(A2774, imdb_netflix_v5!A$2:H$7370, 2, FALSE), "")</f>
        <v>TV Show</v>
      </c>
      <c r="C2774" s="2" t="str">
        <f>IF(A2774&lt;&gt;"", VLOOKUP(A2774, imdb_netflix_v5!A$2:H$7370, 3, FALSE), "")</f>
        <v>Animation, Comedy, Drama</v>
      </c>
      <c r="D2774" s="2">
        <f>IF(A2774&lt;&gt;"", VLOOKUP(A2774, imdb_netflix_v5!A$2:H$7370, 4, FALSE), "")</f>
        <v>7.7</v>
      </c>
      <c r="E2774" s="2">
        <f>IF(A2774&lt;&gt;"", VLOOKUP(A2774, imdb_netflix_v5!A$2:H$7370, 5, FALSE), "")</f>
        <v>2021</v>
      </c>
      <c r="F2774" s="2" t="str">
        <f>IF(A2774&lt;&gt;"", VLOOKUP(A2774, imdb_netflix_v5!A$2:H$7370, 7, FALSE), "")</f>
        <v>NA</v>
      </c>
    </row>
    <row r="2775" ht="15.75" customHeight="1">
      <c r="A2775" s="1" t="str">
        <f>IFERROR(__xludf.DUMMYFUNCTION("""COMPUTED_VALUE"""),"dodsworth")</f>
        <v>dodsworth</v>
      </c>
      <c r="B2775" s="1" t="str">
        <f>IF(A2775&lt;&gt;"", VLOOKUP(A2775, imdb_netflix_v5!A$2:H$7370, 2, FALSE), "")</f>
        <v>Movie</v>
      </c>
      <c r="C2775" s="2" t="str">
        <f>IF(A2775&lt;&gt;"", VLOOKUP(A2775, imdb_netflix_v5!A$2:H$7370, 3, FALSE), "")</f>
        <v>Drama, Romance</v>
      </c>
      <c r="D2775" s="2">
        <f>IF(A2775&lt;&gt;"", VLOOKUP(A2775, imdb_netflix_v5!A$2:H$7370, 4, FALSE), "")</f>
        <v>7.7</v>
      </c>
      <c r="E2775" s="2">
        <f>IF(A2775&lt;&gt;"", VLOOKUP(A2775, imdb_netflix_v5!A$2:H$7370, 5, FALSE), "")</f>
        <v>1936</v>
      </c>
      <c r="F2775" s="2" t="str">
        <f>IF(A2775&lt;&gt;"", VLOOKUP(A2775, imdb_netflix_v5!A$2:H$7370, 7, FALSE), "")</f>
        <v>NA</v>
      </c>
    </row>
    <row r="2776" ht="15.75" customHeight="1">
      <c r="A2776" s="1" t="str">
        <f>IFERROR(__xludf.DUMMYFUNCTION("""COMPUTED_VALUE"""),"saas, bahu aur flamingo")</f>
        <v>saas, bahu aur flamingo</v>
      </c>
      <c r="B2776" s="1" t="str">
        <f>IF(A2776&lt;&gt;"", VLOOKUP(A2776, imdb_netflix_v5!A$2:H$7370, 2, FALSE), "")</f>
        <v>TV Show</v>
      </c>
      <c r="C2776" s="2" t="str">
        <f>IF(A2776&lt;&gt;"", VLOOKUP(A2776, imdb_netflix_v5!A$2:H$7370, 3, FALSE), "")</f>
        <v>Action, Crime, Drama</v>
      </c>
      <c r="D2776" s="2">
        <f>IF(A2776&lt;&gt;"", VLOOKUP(A2776, imdb_netflix_v5!A$2:H$7370, 4, FALSE), "")</f>
        <v>7.7</v>
      </c>
      <c r="E2776" s="2">
        <f>IF(A2776&lt;&gt;"", VLOOKUP(A2776, imdb_netflix_v5!A$2:H$7370, 5, FALSE), "")</f>
        <v>2023</v>
      </c>
      <c r="F2776" s="2" t="str">
        <f>IF(A2776&lt;&gt;"", VLOOKUP(A2776, imdb_netflix_v5!A$2:H$7370, 7, FALSE), "")</f>
        <v>NA</v>
      </c>
    </row>
    <row r="2777" ht="15.75" customHeight="1">
      <c r="A2777" s="1" t="str">
        <f>IFERROR(__xludf.DUMMYFUNCTION("""COMPUTED_VALUE"""),"the classic")</f>
        <v>the classic</v>
      </c>
      <c r="B2777" s="1" t="str">
        <f>IF(A2777&lt;&gt;"", VLOOKUP(A2777, imdb_netflix_v5!A$2:H$7370, 2, FALSE), "")</f>
        <v>Movie</v>
      </c>
      <c r="C2777" s="2" t="str">
        <f>IF(A2777&lt;&gt;"", VLOOKUP(A2777, imdb_netflix_v5!A$2:H$7370, 3, FALSE), "")</f>
        <v>Drama, Romance</v>
      </c>
      <c r="D2777" s="2">
        <f>IF(A2777&lt;&gt;"", VLOOKUP(A2777, imdb_netflix_v5!A$2:H$7370, 4, FALSE), "")</f>
        <v>7.7</v>
      </c>
      <c r="E2777" s="2">
        <f>IF(A2777&lt;&gt;"", VLOOKUP(A2777, imdb_netflix_v5!A$2:H$7370, 5, FALSE), "")</f>
        <v>2003</v>
      </c>
      <c r="F2777" s="2" t="str">
        <f>IF(A2777&lt;&gt;"", VLOOKUP(A2777, imdb_netflix_v5!A$2:H$7370, 7, FALSE), "")</f>
        <v>NA</v>
      </c>
    </row>
    <row r="2778" ht="15.75" customHeight="1">
      <c r="A2778" s="1" t="str">
        <f>IFERROR(__xludf.DUMMYFUNCTION("""COMPUTED_VALUE"""),"being erica")</f>
        <v>being erica</v>
      </c>
      <c r="B2778" s="1" t="str">
        <f>IF(A2778&lt;&gt;"", VLOOKUP(A2778, imdb_netflix_v5!A$2:H$7370, 2, FALSE), "")</f>
        <v>TV Show</v>
      </c>
      <c r="C2778" s="2" t="str">
        <f>IF(A2778&lt;&gt;"", VLOOKUP(A2778, imdb_netflix_v5!A$2:H$7370, 3, FALSE), "")</f>
        <v>Adventure, Comedy, Drama</v>
      </c>
      <c r="D2778" s="2">
        <f>IF(A2778&lt;&gt;"", VLOOKUP(A2778, imdb_netflix_v5!A$2:H$7370, 4, FALSE), "")</f>
        <v>7.7</v>
      </c>
      <c r="E2778" s="2">
        <f>IF(A2778&lt;&gt;"", VLOOKUP(A2778, imdb_netflix_v5!A$2:H$7370, 5, FALSE), "")</f>
        <v>2009</v>
      </c>
      <c r="F2778" s="2" t="str">
        <f>IF(A2778&lt;&gt;"", VLOOKUP(A2778, imdb_netflix_v5!A$2:H$7370, 7, FALSE), "")</f>
        <v>NA</v>
      </c>
    </row>
    <row r="2779" ht="15.75" customHeight="1">
      <c r="A2779" s="1" t="str">
        <f>IFERROR(__xludf.DUMMYFUNCTION("""COMPUTED_VALUE"""),"when father was away on business")</f>
        <v>when father was away on business</v>
      </c>
      <c r="B2779" s="1" t="str">
        <f>IF(A2779&lt;&gt;"", VLOOKUP(A2779, imdb_netflix_v5!A$2:H$7370, 2, FALSE), "")</f>
        <v>Movie</v>
      </c>
      <c r="C2779" s="2" t="str">
        <f>IF(A2779&lt;&gt;"", VLOOKUP(A2779, imdb_netflix_v5!A$2:H$7370, 3, FALSE), "")</f>
        <v>Drama</v>
      </c>
      <c r="D2779" s="2">
        <f>IF(A2779&lt;&gt;"", VLOOKUP(A2779, imdb_netflix_v5!A$2:H$7370, 4, FALSE), "")</f>
        <v>7.7</v>
      </c>
      <c r="E2779" s="2">
        <f>IF(A2779&lt;&gt;"", VLOOKUP(A2779, imdb_netflix_v5!A$2:H$7370, 5, FALSE), "")</f>
        <v>1985</v>
      </c>
      <c r="F2779" s="2" t="str">
        <f>IF(A2779&lt;&gt;"", VLOOKUP(A2779, imdb_netflix_v5!A$2:H$7370, 7, FALSE), "")</f>
        <v>NA</v>
      </c>
    </row>
    <row r="2780" ht="15.75" customHeight="1">
      <c r="A2780" s="1" t="str">
        <f>IFERROR(__xludf.DUMMYFUNCTION("""COMPUTED_VALUE"""),"one piece film z")</f>
        <v>one piece film z</v>
      </c>
      <c r="B2780" s="1" t="str">
        <f>IF(A2780&lt;&gt;"", VLOOKUP(A2780, imdb_netflix_v5!A$2:H$7370, 2, FALSE), "")</f>
        <v>Movie</v>
      </c>
      <c r="C2780" s="2" t="str">
        <f>IF(A2780&lt;&gt;"", VLOOKUP(A2780, imdb_netflix_v5!A$2:H$7370, 3, FALSE), "")</f>
        <v>Action, Adventure, Animation</v>
      </c>
      <c r="D2780" s="2">
        <f>IF(A2780&lt;&gt;"", VLOOKUP(A2780, imdb_netflix_v5!A$2:H$7370, 4, FALSE), "")</f>
        <v>7.7</v>
      </c>
      <c r="E2780" s="2">
        <f>IF(A2780&lt;&gt;"", VLOOKUP(A2780, imdb_netflix_v5!A$2:H$7370, 5, FALSE), "")</f>
        <v>2012</v>
      </c>
      <c r="F2780" s="2" t="str">
        <f>IF(A2780&lt;&gt;"", VLOOKUP(A2780, imdb_netflix_v5!A$2:H$7370, 7, FALSE), "")</f>
        <v>NA</v>
      </c>
    </row>
    <row r="2781" ht="15.75" customHeight="1">
      <c r="A2781" s="1" t="str">
        <f>IFERROR(__xludf.DUMMYFUNCTION("""COMPUTED_VALUE"""),"the serpent queen")</f>
        <v>the serpent queen</v>
      </c>
      <c r="B2781" s="1" t="str">
        <f>IF(A2781&lt;&gt;"", VLOOKUP(A2781, imdb_netflix_v5!A$2:H$7370, 2, FALSE), "")</f>
        <v>TV Show</v>
      </c>
      <c r="C2781" s="2" t="str">
        <f>IF(A2781&lt;&gt;"", VLOOKUP(A2781, imdb_netflix_v5!A$2:H$7370, 3, FALSE), "")</f>
        <v>Drama</v>
      </c>
      <c r="D2781" s="2">
        <f>IF(A2781&lt;&gt;"", VLOOKUP(A2781, imdb_netflix_v5!A$2:H$7370, 4, FALSE), "")</f>
        <v>7.7</v>
      </c>
      <c r="E2781" s="2">
        <f>IF(A2781&lt;&gt;"", VLOOKUP(A2781, imdb_netflix_v5!A$2:H$7370, 5, FALSE), "")</f>
        <v>2022</v>
      </c>
      <c r="F2781" s="2" t="str">
        <f>IF(A2781&lt;&gt;"", VLOOKUP(A2781, imdb_netflix_v5!A$2:H$7370, 7, FALSE), "")</f>
        <v>NA</v>
      </c>
    </row>
    <row r="2782" ht="15.75" customHeight="1">
      <c r="A2782" s="1" t="str">
        <f>IFERROR(__xludf.DUMMYFUNCTION("""COMPUTED_VALUE"""),"american crime")</f>
        <v>american crime</v>
      </c>
      <c r="B2782" s="1" t="str">
        <f>IF(A2782&lt;&gt;"", VLOOKUP(A2782, imdb_netflix_v5!A$2:H$7370, 2, FALSE), "")</f>
        <v>TV Show</v>
      </c>
      <c r="C2782" s="2" t="str">
        <f>IF(A2782&lt;&gt;"", VLOOKUP(A2782, imdb_netflix_v5!A$2:H$7370, 3, FALSE), "")</f>
        <v>Crime, Drama</v>
      </c>
      <c r="D2782" s="2">
        <f>IF(A2782&lt;&gt;"", VLOOKUP(A2782, imdb_netflix_v5!A$2:H$7370, 4, FALSE), "")</f>
        <v>7.7</v>
      </c>
      <c r="E2782" s="2">
        <f>IF(A2782&lt;&gt;"", VLOOKUP(A2782, imdb_netflix_v5!A$2:H$7370, 5, FALSE), "")</f>
        <v>2015</v>
      </c>
      <c r="F2782" s="2" t="str">
        <f>IF(A2782&lt;&gt;"", VLOOKUP(A2782, imdb_netflix_v5!A$2:H$7370, 7, FALSE), "")</f>
        <v>NA</v>
      </c>
    </row>
    <row r="2783" ht="15.75" customHeight="1">
      <c r="A2783" s="1" t="str">
        <f>IFERROR(__xludf.DUMMYFUNCTION("""COMPUTED_VALUE"""),"port of shadows")</f>
        <v>port of shadows</v>
      </c>
      <c r="B2783" s="1" t="str">
        <f>IF(A2783&lt;&gt;"", VLOOKUP(A2783, imdb_netflix_v5!A$2:H$7370, 2, FALSE), "")</f>
        <v>Movie</v>
      </c>
      <c r="C2783" s="2" t="str">
        <f>IF(A2783&lt;&gt;"", VLOOKUP(A2783, imdb_netflix_v5!A$2:H$7370, 3, FALSE), "")</f>
        <v>Crime, Drama, Romance</v>
      </c>
      <c r="D2783" s="2">
        <f>IF(A2783&lt;&gt;"", VLOOKUP(A2783, imdb_netflix_v5!A$2:H$7370, 4, FALSE), "")</f>
        <v>7.7</v>
      </c>
      <c r="E2783" s="2">
        <f>IF(A2783&lt;&gt;"", VLOOKUP(A2783, imdb_netflix_v5!A$2:H$7370, 5, FALSE), "")</f>
        <v>1938</v>
      </c>
      <c r="F2783" s="2" t="str">
        <f>IF(A2783&lt;&gt;"", VLOOKUP(A2783, imdb_netflix_v5!A$2:H$7370, 7, FALSE), "")</f>
        <v>NA</v>
      </c>
    </row>
    <row r="2784" ht="15.75" customHeight="1">
      <c r="A2784" s="1" t="str">
        <f>IFERROR(__xludf.DUMMYFUNCTION("""COMPUTED_VALUE"""),"oceans")</f>
        <v>oceans</v>
      </c>
      <c r="B2784" s="1" t="str">
        <f>IF(A2784&lt;&gt;"", VLOOKUP(A2784, imdb_netflix_v5!A$2:H$7370, 2, FALSE), "")</f>
        <v>Movie</v>
      </c>
      <c r="C2784" s="2" t="str">
        <f>IF(A2784&lt;&gt;"", VLOOKUP(A2784, imdb_netflix_v5!A$2:H$7370, 3, FALSE), "")</f>
        <v>Documentary</v>
      </c>
      <c r="D2784" s="2">
        <f>IF(A2784&lt;&gt;"", VLOOKUP(A2784, imdb_netflix_v5!A$2:H$7370, 4, FALSE), "")</f>
        <v>7.7</v>
      </c>
      <c r="E2784" s="2">
        <f>IF(A2784&lt;&gt;"", VLOOKUP(A2784, imdb_netflix_v5!A$2:H$7370, 5, FALSE), "")</f>
        <v>2008</v>
      </c>
      <c r="F2784" s="2" t="str">
        <f>IF(A2784&lt;&gt;"", VLOOKUP(A2784, imdb_netflix_v5!A$2:H$7370, 7, FALSE), "")</f>
        <v>NA</v>
      </c>
    </row>
    <row r="2785" ht="15.75" customHeight="1">
      <c r="A2785" s="1" t="str">
        <f>IFERROR(__xludf.DUMMYFUNCTION("""COMPUTED_VALUE"""),"baked")</f>
        <v>baked</v>
      </c>
      <c r="B2785" s="1" t="str">
        <f>IF(A2785&lt;&gt;"", VLOOKUP(A2785, imdb_netflix_v5!A$2:H$7370, 2, FALSE), "")</f>
        <v>TV Show</v>
      </c>
      <c r="C2785" s="2" t="str">
        <f>IF(A2785&lt;&gt;"", VLOOKUP(A2785, imdb_netflix_v5!A$2:H$7370, 3, FALSE), "")</f>
        <v>Comedy</v>
      </c>
      <c r="D2785" s="2">
        <f>IF(A2785&lt;&gt;"", VLOOKUP(A2785, imdb_netflix_v5!A$2:H$7370, 4, FALSE), "")</f>
        <v>7.7</v>
      </c>
      <c r="E2785" s="2">
        <f>IF(A2785&lt;&gt;"", VLOOKUP(A2785, imdb_netflix_v5!A$2:H$7370, 5, FALSE), "")</f>
        <v>2015</v>
      </c>
      <c r="F2785" s="2" t="str">
        <f>IF(A2785&lt;&gt;"", VLOOKUP(A2785, imdb_netflix_v5!A$2:H$7370, 7, FALSE), "")</f>
        <v>NA</v>
      </c>
    </row>
    <row r="2786" ht="15.75" customHeight="1">
      <c r="A2786" s="1" t="str">
        <f>IFERROR(__xludf.DUMMYFUNCTION("""COMPUTED_VALUE"""),"wwe raw")</f>
        <v>wwe raw</v>
      </c>
      <c r="B2786" s="1" t="str">
        <f>IF(A2786&lt;&gt;"", VLOOKUP(A2786, imdb_netflix_v5!A$2:H$7370, 2, FALSE), "")</f>
        <v>TV Show</v>
      </c>
      <c r="C2786" s="2" t="str">
        <f>IF(A2786&lt;&gt;"", VLOOKUP(A2786, imdb_netflix_v5!A$2:H$7370, 3, FALSE), "")</f>
        <v>Action, Sport</v>
      </c>
      <c r="D2786" s="2">
        <f>IF(A2786&lt;&gt;"", VLOOKUP(A2786, imdb_netflix_v5!A$2:H$7370, 4, FALSE), "")</f>
        <v>7.7</v>
      </c>
      <c r="E2786" s="2">
        <f>IF(A2786&lt;&gt;"", VLOOKUP(A2786, imdb_netflix_v5!A$2:H$7370, 5, FALSE), "")</f>
        <v>1993</v>
      </c>
      <c r="F2786" s="2" t="str">
        <f>IF(A2786&lt;&gt;"", VLOOKUP(A2786, imdb_netflix_v5!A$2:H$7370, 7, FALSE), "")</f>
        <v>NA</v>
      </c>
    </row>
    <row r="2787" ht="15.75" customHeight="1">
      <c r="A2787" s="1" t="str">
        <f>IFERROR(__xludf.DUMMYFUNCTION("""COMPUTED_VALUE"""),"invisible life")</f>
        <v>invisible life</v>
      </c>
      <c r="B2787" s="1" t="str">
        <f>IF(A2787&lt;&gt;"", VLOOKUP(A2787, imdb_netflix_v5!A$2:H$7370, 2, FALSE), "")</f>
        <v>Movie</v>
      </c>
      <c r="C2787" s="2" t="str">
        <f>IF(A2787&lt;&gt;"", VLOOKUP(A2787, imdb_netflix_v5!A$2:H$7370, 3, FALSE), "")</f>
        <v>Drama</v>
      </c>
      <c r="D2787" s="2">
        <f>IF(A2787&lt;&gt;"", VLOOKUP(A2787, imdb_netflix_v5!A$2:H$7370, 4, FALSE), "")</f>
        <v>7.7</v>
      </c>
      <c r="E2787" s="2">
        <f>IF(A2787&lt;&gt;"", VLOOKUP(A2787, imdb_netflix_v5!A$2:H$7370, 5, FALSE), "")</f>
        <v>2019</v>
      </c>
      <c r="F2787" s="2" t="str">
        <f>IF(A2787&lt;&gt;"", VLOOKUP(A2787, imdb_netflix_v5!A$2:H$7370, 7, FALSE), "")</f>
        <v>NA</v>
      </c>
    </row>
    <row r="2788" ht="15.75" customHeight="1">
      <c r="A2788" s="1" t="str">
        <f>IFERROR(__xludf.DUMMYFUNCTION("""COMPUTED_VALUE"""),"once upon a time... in hollywood")</f>
        <v>once upon a time... in hollywood</v>
      </c>
      <c r="B2788" s="1" t="str">
        <f>IF(A2788&lt;&gt;"", VLOOKUP(A2788, imdb_netflix_v5!A$2:H$7370, 2, FALSE), "")</f>
        <v>Movie</v>
      </c>
      <c r="C2788" s="2" t="str">
        <f>IF(A2788&lt;&gt;"", VLOOKUP(A2788, imdb_netflix_v5!A$2:H$7370, 3, FALSE), "")</f>
        <v>Comedy, Drama</v>
      </c>
      <c r="D2788" s="2">
        <f>IF(A2788&lt;&gt;"", VLOOKUP(A2788, imdb_netflix_v5!A$2:H$7370, 4, FALSE), "")</f>
        <v>7.6</v>
      </c>
      <c r="E2788" s="2">
        <f>IF(A2788&lt;&gt;"", VLOOKUP(A2788, imdb_netflix_v5!A$2:H$7370, 5, FALSE), "")</f>
        <v>2019</v>
      </c>
      <c r="F2788" s="2" t="str">
        <f>IF(A2788&lt;&gt;"", VLOOKUP(A2788, imdb_netflix_v5!A$2:H$7370, 7, FALSE), "")</f>
        <v>NA</v>
      </c>
    </row>
    <row r="2789" ht="15.75" customHeight="1">
      <c r="A2789" s="1">
        <f>IFERROR(__xludf.DUMMYFUNCTION("""COMPUTED_VALUE"""),300.0)</f>
        <v>300</v>
      </c>
      <c r="B2789" s="1" t="str">
        <f>IF(A2789&lt;&gt;"", VLOOKUP(A2789, imdb_netflix_v5!A$2:H$7370, 2, FALSE), "")</f>
        <v>Movie</v>
      </c>
      <c r="C2789" s="2" t="str">
        <f>IF(A2789&lt;&gt;"", VLOOKUP(A2789, imdb_netflix_v5!A$2:H$7370, 3, FALSE), "")</f>
        <v>Action, Drama</v>
      </c>
      <c r="D2789" s="2">
        <f>IF(A2789&lt;&gt;"", VLOOKUP(A2789, imdb_netflix_v5!A$2:H$7370, 4, FALSE), "")</f>
        <v>7.6</v>
      </c>
      <c r="E2789" s="2">
        <f>IF(A2789&lt;&gt;"", VLOOKUP(A2789, imdb_netflix_v5!A$2:H$7370, 5, FALSE), "")</f>
        <v>2006</v>
      </c>
      <c r="F2789" s="2" t="str">
        <f>IF(A2789&lt;&gt;"", VLOOKUP(A2789, imdb_netflix_v5!A$2:H$7370, 7, FALSE), "")</f>
        <v>NA</v>
      </c>
    </row>
    <row r="2790" ht="15.75" customHeight="1">
      <c r="A2790" s="1" t="str">
        <f>IFERROR(__xludf.DUMMYFUNCTION("""COMPUTED_VALUE"""),"star wars episode iii - revenge of the sith")</f>
        <v>star wars episode iii - revenge of the sith</v>
      </c>
      <c r="B2790" s="1" t="str">
        <f>IF(A2790&lt;&gt;"", VLOOKUP(A2790, imdb_netflix_v5!A$2:H$7370, 2, FALSE), "")</f>
        <v>Movie</v>
      </c>
      <c r="C2790" s="2" t="str">
        <f>IF(A2790&lt;&gt;"", VLOOKUP(A2790, imdb_netflix_v5!A$2:H$7370, 3, FALSE), "")</f>
        <v>Action, Adventure, Fantasy</v>
      </c>
      <c r="D2790" s="2">
        <f>IF(A2790&lt;&gt;"", VLOOKUP(A2790, imdb_netflix_v5!A$2:H$7370, 4, FALSE), "")</f>
        <v>7.6</v>
      </c>
      <c r="E2790" s="2">
        <f>IF(A2790&lt;&gt;"", VLOOKUP(A2790, imdb_netflix_v5!A$2:H$7370, 5, FALSE), "")</f>
        <v>2005</v>
      </c>
      <c r="F2790" s="2" t="str">
        <f>IF(A2790&lt;&gt;"", VLOOKUP(A2790, imdb_netflix_v5!A$2:H$7370, 7, FALSE), "")</f>
        <v>NA</v>
      </c>
    </row>
    <row r="2791" ht="15.75" customHeight="1">
      <c r="A2791" s="1" t="str">
        <f>IFERROR(__xludf.DUMMYFUNCTION("""COMPUTED_VALUE"""),"guardians of the galaxy vol. 2")</f>
        <v>guardians of the galaxy vol. 2</v>
      </c>
      <c r="B2791" s="1" t="str">
        <f>IF(A2791&lt;&gt;"", VLOOKUP(A2791, imdb_netflix_v5!A$2:H$7370, 2, FALSE), "")</f>
        <v>Movie</v>
      </c>
      <c r="C2791" s="2" t="str">
        <f>IF(A2791&lt;&gt;"", VLOOKUP(A2791, imdb_netflix_v5!A$2:H$7370, 3, FALSE), "")</f>
        <v>Action, Adventure, Comedy</v>
      </c>
      <c r="D2791" s="2">
        <f>IF(A2791&lt;&gt;"", VLOOKUP(A2791, imdb_netflix_v5!A$2:H$7370, 4, FALSE), "")</f>
        <v>7.6</v>
      </c>
      <c r="E2791" s="2">
        <f>IF(A2791&lt;&gt;"", VLOOKUP(A2791, imdb_netflix_v5!A$2:H$7370, 5, FALSE), "")</f>
        <v>2017</v>
      </c>
      <c r="F2791" s="2" t="str">
        <f>IF(A2791&lt;&gt;"", VLOOKUP(A2791, imdb_netflix_v5!A$2:H$7370, 7, FALSE), "")</f>
        <v>NA</v>
      </c>
    </row>
    <row r="2792" ht="15.75" customHeight="1">
      <c r="A2792" s="1" t="str">
        <f>IFERROR(__xludf.DUMMYFUNCTION("""COMPUTED_VALUE"""),"american psycho")</f>
        <v>american psycho</v>
      </c>
      <c r="B2792" s="1" t="str">
        <f>IF(A2792&lt;&gt;"", VLOOKUP(A2792, imdb_netflix_v5!A$2:H$7370, 2, FALSE), "")</f>
        <v>Movie</v>
      </c>
      <c r="C2792" s="2" t="str">
        <f>IF(A2792&lt;&gt;"", VLOOKUP(A2792, imdb_netflix_v5!A$2:H$7370, 3, FALSE), "")</f>
        <v>Crime, Drama, Horror</v>
      </c>
      <c r="D2792" s="2">
        <f>IF(A2792&lt;&gt;"", VLOOKUP(A2792, imdb_netflix_v5!A$2:H$7370, 4, FALSE), "")</f>
        <v>7.6</v>
      </c>
      <c r="E2792" s="2">
        <f>IF(A2792&lt;&gt;"", VLOOKUP(A2792, imdb_netflix_v5!A$2:H$7370, 5, FALSE), "")</f>
        <v>2000</v>
      </c>
      <c r="F2792" s="2" t="str">
        <f>IF(A2792&lt;&gt;"", VLOOKUP(A2792, imdb_netflix_v5!A$2:H$7370, 7, FALSE), "")</f>
        <v>NA</v>
      </c>
    </row>
    <row r="2793" ht="15.75" customHeight="1">
      <c r="A2793" s="1" t="str">
        <f>IFERROR(__xludf.DUMMYFUNCTION("""COMPUTED_VALUE"""),"deadpool 2")</f>
        <v>deadpool 2</v>
      </c>
      <c r="B2793" s="1" t="str">
        <f>IF(A2793&lt;&gt;"", VLOOKUP(A2793, imdb_netflix_v5!A$2:H$7370, 2, FALSE), "")</f>
        <v>Movie</v>
      </c>
      <c r="C2793" s="2" t="str">
        <f>IF(A2793&lt;&gt;"", VLOOKUP(A2793, imdb_netflix_v5!A$2:H$7370, 3, FALSE), "")</f>
        <v>Action, Adventure, Comedy</v>
      </c>
      <c r="D2793" s="2">
        <f>IF(A2793&lt;&gt;"", VLOOKUP(A2793, imdb_netflix_v5!A$2:H$7370, 4, FALSE), "")</f>
        <v>7.6</v>
      </c>
      <c r="E2793" s="2">
        <f>IF(A2793&lt;&gt;"", VLOOKUP(A2793, imdb_netflix_v5!A$2:H$7370, 5, FALSE), "")</f>
        <v>2018</v>
      </c>
      <c r="F2793" s="2" t="str">
        <f>IF(A2793&lt;&gt;"", VLOOKUP(A2793, imdb_netflix_v5!A$2:H$7370, 7, FALSE), "")</f>
        <v>NA</v>
      </c>
    </row>
    <row r="2794" ht="15.75" customHeight="1">
      <c r="A2794" s="1" t="str">
        <f>IFERROR(__xludf.DUMMYFUNCTION("""COMPUTED_VALUE"""),"sherlock holmes")</f>
        <v>sherlock holmes</v>
      </c>
      <c r="B2794" s="1" t="str">
        <f>IF(A2794&lt;&gt;"", VLOOKUP(A2794, imdb_netflix_v5!A$2:H$7370, 2, FALSE), "")</f>
        <v>Movie</v>
      </c>
      <c r="C2794" s="2" t="str">
        <f>IF(A2794&lt;&gt;"", VLOOKUP(A2794, imdb_netflix_v5!A$2:H$7370, 3, FALSE), "")</f>
        <v>Action, Adventure, Mystery</v>
      </c>
      <c r="D2794" s="2">
        <f>IF(A2794&lt;&gt;"", VLOOKUP(A2794, imdb_netflix_v5!A$2:H$7370, 4, FALSE), "")</f>
        <v>7.6</v>
      </c>
      <c r="E2794" s="2">
        <f>IF(A2794&lt;&gt;"", VLOOKUP(A2794, imdb_netflix_v5!A$2:H$7370, 5, FALSE), "")</f>
        <v>2009</v>
      </c>
      <c r="F2794" s="2" t="str">
        <f>IF(A2794&lt;&gt;"", VLOOKUP(A2794, imdb_netflix_v5!A$2:H$7370, 7, FALSE), "")</f>
        <v>NA</v>
      </c>
    </row>
    <row r="2795" ht="15.75" customHeight="1">
      <c r="A2795" s="1" t="str">
        <f>IFERROR(__xludf.DUMMYFUNCTION("""COMPUTED_VALUE"""),"superbad")</f>
        <v>superbad</v>
      </c>
      <c r="B2795" s="1" t="str">
        <f>IF(A2795&lt;&gt;"", VLOOKUP(A2795, imdb_netflix_v5!A$2:H$7370, 2, FALSE), "")</f>
        <v>Movie</v>
      </c>
      <c r="C2795" s="2" t="str">
        <f>IF(A2795&lt;&gt;"", VLOOKUP(A2795, imdb_netflix_v5!A$2:H$7370, 3, FALSE), "")</f>
        <v>Comedy</v>
      </c>
      <c r="D2795" s="2">
        <f>IF(A2795&lt;&gt;"", VLOOKUP(A2795, imdb_netflix_v5!A$2:H$7370, 4, FALSE), "")</f>
        <v>7.6</v>
      </c>
      <c r="E2795" s="2">
        <f>IF(A2795&lt;&gt;"", VLOOKUP(A2795, imdb_netflix_v5!A$2:H$7370, 5, FALSE), "")</f>
        <v>2007</v>
      </c>
      <c r="F2795" s="2" t="str">
        <f>IF(A2795&lt;&gt;"", VLOOKUP(A2795, imdb_netflix_v5!A$2:H$7370, 7, FALSE), "")</f>
        <v>NA</v>
      </c>
    </row>
    <row r="2796" ht="15.75" customHeight="1">
      <c r="A2796" s="1" t="str">
        <f>IFERROR(__xludf.DUMMYFUNCTION("""COMPUTED_VALUE"""),"harry potter and the half-blood prince")</f>
        <v>harry potter and the half-blood prince</v>
      </c>
      <c r="B2796" s="1" t="str">
        <f>IF(A2796&lt;&gt;"", VLOOKUP(A2796, imdb_netflix_v5!A$2:H$7370, 2, FALSE), "")</f>
        <v>Movie</v>
      </c>
      <c r="C2796" s="2" t="str">
        <f>IF(A2796&lt;&gt;"", VLOOKUP(A2796, imdb_netflix_v5!A$2:H$7370, 3, FALSE), "")</f>
        <v>Action, Adventure, Family</v>
      </c>
      <c r="D2796" s="2">
        <f>IF(A2796&lt;&gt;"", VLOOKUP(A2796, imdb_netflix_v5!A$2:H$7370, 4, FALSE), "")</f>
        <v>7.6</v>
      </c>
      <c r="E2796" s="2">
        <f>IF(A2796&lt;&gt;"", VLOOKUP(A2796, imdb_netflix_v5!A$2:H$7370, 5, FALSE), "")</f>
        <v>2009</v>
      </c>
      <c r="F2796" s="2" t="str">
        <f>IF(A2796&lt;&gt;"", VLOOKUP(A2796, imdb_netflix_v5!A$2:H$7370, 7, FALSE), "")</f>
        <v>NA</v>
      </c>
    </row>
    <row r="2797" ht="15.75" customHeight="1">
      <c r="A2797" s="1" t="str">
        <f>IFERROR(__xludf.DUMMYFUNCTION("""COMPUTED_VALUE"""),"kick-ass")</f>
        <v>kick-ass</v>
      </c>
      <c r="B2797" s="1" t="str">
        <f>IF(A2797&lt;&gt;"", VLOOKUP(A2797, imdb_netflix_v5!A$2:H$7370, 2, FALSE), "")</f>
        <v>Movie</v>
      </c>
      <c r="C2797" s="2" t="str">
        <f>IF(A2797&lt;&gt;"", VLOOKUP(A2797, imdb_netflix_v5!A$2:H$7370, 3, FALSE), "")</f>
        <v>Action, Comedy, Crime</v>
      </c>
      <c r="D2797" s="2">
        <f>IF(A2797&lt;&gt;"", VLOOKUP(A2797, imdb_netflix_v5!A$2:H$7370, 4, FALSE), "")</f>
        <v>7.6</v>
      </c>
      <c r="E2797" s="2">
        <f>IF(A2797&lt;&gt;"", VLOOKUP(A2797, imdb_netflix_v5!A$2:H$7370, 5, FALSE), "")</f>
        <v>2010</v>
      </c>
      <c r="F2797" s="2" t="str">
        <f>IF(A2797&lt;&gt;"", VLOOKUP(A2797, imdb_netflix_v5!A$2:H$7370, 7, FALSE), "")</f>
        <v>NA</v>
      </c>
    </row>
    <row r="2798" ht="15.75" customHeight="1">
      <c r="A2798" s="1" t="str">
        <f>IFERROR(__xludf.DUMMYFUNCTION("""COMPUTED_VALUE"""),"despicable me")</f>
        <v>despicable me</v>
      </c>
      <c r="B2798" s="1" t="str">
        <f>IF(A2798&lt;&gt;"", VLOOKUP(A2798, imdb_netflix_v5!A$2:H$7370, 2, FALSE), "")</f>
        <v>Movie</v>
      </c>
      <c r="C2798" s="2" t="str">
        <f>IF(A2798&lt;&gt;"", VLOOKUP(A2798, imdb_netflix_v5!A$2:H$7370, 3, FALSE), "")</f>
        <v>Adventure, Animation, Comedy</v>
      </c>
      <c r="D2798" s="2">
        <f>IF(A2798&lt;&gt;"", VLOOKUP(A2798, imdb_netflix_v5!A$2:H$7370, 4, FALSE), "")</f>
        <v>7.6</v>
      </c>
      <c r="E2798" s="2">
        <f>IF(A2798&lt;&gt;"", VLOOKUP(A2798, imdb_netflix_v5!A$2:H$7370, 5, FALSE), "")</f>
        <v>2010</v>
      </c>
      <c r="F2798" s="2">
        <f>IF(A2798&lt;&gt;"", VLOOKUP(A2798, imdb_netflix_v5!A$2:H$7370, 7, FALSE), "")</f>
        <v>5590000</v>
      </c>
    </row>
    <row r="2799" ht="15.75" customHeight="1">
      <c r="A2799" s="1" t="str">
        <f>IFERROR(__xludf.DUMMYFUNCTION("""COMPUTED_VALUE"""),"minority report")</f>
        <v>minority report</v>
      </c>
      <c r="B2799" s="1" t="str">
        <f>IF(A2799&lt;&gt;"", VLOOKUP(A2799, imdb_netflix_v5!A$2:H$7370, 2, FALSE), "")</f>
        <v>Movie</v>
      </c>
      <c r="C2799" s="2" t="str">
        <f>IF(A2799&lt;&gt;"", VLOOKUP(A2799, imdb_netflix_v5!A$2:H$7370, 3, FALSE), "")</f>
        <v>Action, Crime, Mystery</v>
      </c>
      <c r="D2799" s="2">
        <f>IF(A2799&lt;&gt;"", VLOOKUP(A2799, imdb_netflix_v5!A$2:H$7370, 4, FALSE), "")</f>
        <v>7.6</v>
      </c>
      <c r="E2799" s="2">
        <f>IF(A2799&lt;&gt;"", VLOOKUP(A2799, imdb_netflix_v5!A$2:H$7370, 5, FALSE), "")</f>
        <v>2002</v>
      </c>
      <c r="F2799" s="2" t="str">
        <f>IF(A2799&lt;&gt;"", VLOOKUP(A2799, imdb_netflix_v5!A$2:H$7370, 7, FALSE), "")</f>
        <v>NA</v>
      </c>
    </row>
    <row r="2800" ht="15.75" customHeight="1">
      <c r="A2800" s="1" t="str">
        <f>IFERROR(__xludf.DUMMYFUNCTION("""COMPUTED_VALUE"""),"rise of the planet of the apes")</f>
        <v>rise of the planet of the apes</v>
      </c>
      <c r="B2800" s="1" t="str">
        <f>IF(A2800&lt;&gt;"", VLOOKUP(A2800, imdb_netflix_v5!A$2:H$7370, 2, FALSE), "")</f>
        <v>Movie</v>
      </c>
      <c r="C2800" s="2" t="str">
        <f>IF(A2800&lt;&gt;"", VLOOKUP(A2800, imdb_netflix_v5!A$2:H$7370, 3, FALSE), "")</f>
        <v>Action, Drama, Sci-Fi</v>
      </c>
      <c r="D2800" s="2">
        <f>IF(A2800&lt;&gt;"", VLOOKUP(A2800, imdb_netflix_v5!A$2:H$7370, 4, FALSE), "")</f>
        <v>7.6</v>
      </c>
      <c r="E2800" s="2">
        <f>IF(A2800&lt;&gt;"", VLOOKUP(A2800, imdb_netflix_v5!A$2:H$7370, 5, FALSE), "")</f>
        <v>2011</v>
      </c>
      <c r="F2800" s="2" t="str">
        <f>IF(A2800&lt;&gt;"", VLOOKUP(A2800, imdb_netflix_v5!A$2:H$7370, 7, FALSE), "")</f>
        <v>NA</v>
      </c>
    </row>
    <row r="2801" ht="15.75" customHeight="1">
      <c r="A2801" s="1" t="str">
        <f>IFERROR(__xludf.DUMMYFUNCTION("""COMPUTED_VALUE"""),"love actually")</f>
        <v>love actually</v>
      </c>
      <c r="B2801" s="1" t="str">
        <f>IF(A2801&lt;&gt;"", VLOOKUP(A2801, imdb_netflix_v5!A$2:H$7370, 2, FALSE), "")</f>
        <v>Movie</v>
      </c>
      <c r="C2801" s="2" t="str">
        <f>IF(A2801&lt;&gt;"", VLOOKUP(A2801, imdb_netflix_v5!A$2:H$7370, 3, FALSE), "")</f>
        <v>Comedy, Drama, Romance</v>
      </c>
      <c r="D2801" s="2">
        <f>IF(A2801&lt;&gt;"", VLOOKUP(A2801, imdb_netflix_v5!A$2:H$7370, 4, FALSE), "")</f>
        <v>7.6</v>
      </c>
      <c r="E2801" s="2">
        <f>IF(A2801&lt;&gt;"", VLOOKUP(A2801, imdb_netflix_v5!A$2:H$7370, 5, FALSE), "")</f>
        <v>2003</v>
      </c>
      <c r="F2801" s="2" t="str">
        <f>IF(A2801&lt;&gt;"", VLOOKUP(A2801, imdb_netflix_v5!A$2:H$7370, 7, FALSE), "")</f>
        <v>NA</v>
      </c>
    </row>
    <row r="2802" ht="15.75" customHeight="1">
      <c r="A2802" s="1" t="str">
        <f>IFERROR(__xludf.DUMMYFUNCTION("""COMPUTED_VALUE"""),"kung fu panda")</f>
        <v>kung fu panda</v>
      </c>
      <c r="B2802" s="1" t="str">
        <f>IF(A2802&lt;&gt;"", VLOOKUP(A2802, imdb_netflix_v5!A$2:H$7370, 2, FALSE), "")</f>
        <v>Movie</v>
      </c>
      <c r="C2802" s="2" t="str">
        <f>IF(A2802&lt;&gt;"", VLOOKUP(A2802, imdb_netflix_v5!A$2:H$7370, 3, FALSE), "")</f>
        <v>Action, Adventure, Animation</v>
      </c>
      <c r="D2802" s="2">
        <f>IF(A2802&lt;&gt;"", VLOOKUP(A2802, imdb_netflix_v5!A$2:H$7370, 4, FALSE), "")</f>
        <v>7.6</v>
      </c>
      <c r="E2802" s="2">
        <f>IF(A2802&lt;&gt;"", VLOOKUP(A2802, imdb_netflix_v5!A$2:H$7370, 5, FALSE), "")</f>
        <v>2008</v>
      </c>
      <c r="F2802" s="2" t="str">
        <f>IF(A2802&lt;&gt;"", VLOOKUP(A2802, imdb_netflix_v5!A$2:H$7370, 7, FALSE), "")</f>
        <v>NA</v>
      </c>
    </row>
    <row r="2803" ht="15.75" customHeight="1">
      <c r="A2803" s="1" t="str">
        <f>IFERROR(__xludf.DUMMYFUNCTION("""COMPUTED_VALUE"""),"the butterfly effect")</f>
        <v>the butterfly effect</v>
      </c>
      <c r="B2803" s="1" t="str">
        <f>IF(A2803&lt;&gt;"", VLOOKUP(A2803, imdb_netflix_v5!A$2:H$7370, 2, FALSE), "")</f>
        <v>Movie</v>
      </c>
      <c r="C2803" s="2" t="str">
        <f>IF(A2803&lt;&gt;"", VLOOKUP(A2803, imdb_netflix_v5!A$2:H$7370, 3, FALSE), "")</f>
        <v>Drama, Sci-Fi, Thriller</v>
      </c>
      <c r="D2803" s="2">
        <f>IF(A2803&lt;&gt;"", VLOOKUP(A2803, imdb_netflix_v5!A$2:H$7370, 4, FALSE), "")</f>
        <v>7.6</v>
      </c>
      <c r="E2803" s="2">
        <f>IF(A2803&lt;&gt;"", VLOOKUP(A2803, imdb_netflix_v5!A$2:H$7370, 5, FALSE), "")</f>
        <v>2004</v>
      </c>
      <c r="F2803" s="2" t="str">
        <f>IF(A2803&lt;&gt;"", VLOOKUP(A2803, imdb_netflix_v5!A$2:H$7370, 7, FALSE), "")</f>
        <v>NA</v>
      </c>
    </row>
    <row r="2804" ht="15.75" customHeight="1">
      <c r="A2804" s="1" t="str">
        <f>IFERROR(__xludf.DUMMYFUNCTION("""COMPUTED_VALUE"""),"the fifth element")</f>
        <v>the fifth element</v>
      </c>
      <c r="B2804" s="1" t="str">
        <f>IF(A2804&lt;&gt;"", VLOOKUP(A2804, imdb_netflix_v5!A$2:H$7370, 2, FALSE), "")</f>
        <v>Movie</v>
      </c>
      <c r="C2804" s="2" t="str">
        <f>IF(A2804&lt;&gt;"", VLOOKUP(A2804, imdb_netflix_v5!A$2:H$7370, 3, FALSE), "")</f>
        <v>Action, Adventure, Sci-Fi</v>
      </c>
      <c r="D2804" s="2">
        <f>IF(A2804&lt;&gt;"", VLOOKUP(A2804, imdb_netflix_v5!A$2:H$7370, 4, FALSE), "")</f>
        <v>7.6</v>
      </c>
      <c r="E2804" s="2">
        <f>IF(A2804&lt;&gt;"", VLOOKUP(A2804, imdb_netflix_v5!A$2:H$7370, 5, FALSE), "")</f>
        <v>1997</v>
      </c>
      <c r="F2804" s="2" t="str">
        <f>IF(A2804&lt;&gt;"", VLOOKUP(A2804, imdb_netflix_v5!A$2:H$7370, 7, FALSE), "")</f>
        <v>NA</v>
      </c>
    </row>
    <row r="2805" ht="15.75" customHeight="1">
      <c r="A2805" s="1" t="str">
        <f>IFERROR(__xludf.DUMMYFUNCTION("""COMPUTED_VALUE"""),"dawn of the planet of the apes")</f>
        <v>dawn of the planet of the apes</v>
      </c>
      <c r="B2805" s="1" t="str">
        <f>IF(A2805&lt;&gt;"", VLOOKUP(A2805, imdb_netflix_v5!A$2:H$7370, 2, FALSE), "")</f>
        <v>Movie</v>
      </c>
      <c r="C2805" s="2" t="str">
        <f>IF(A2805&lt;&gt;"", VLOOKUP(A2805, imdb_netflix_v5!A$2:H$7370, 3, FALSE), "")</f>
        <v>Action, Adventure, Drama</v>
      </c>
      <c r="D2805" s="2">
        <f>IF(A2805&lt;&gt;"", VLOOKUP(A2805, imdb_netflix_v5!A$2:H$7370, 4, FALSE), "")</f>
        <v>7.6</v>
      </c>
      <c r="E2805" s="2">
        <f>IF(A2805&lt;&gt;"", VLOOKUP(A2805, imdb_netflix_v5!A$2:H$7370, 5, FALSE), "")</f>
        <v>2014</v>
      </c>
      <c r="F2805" s="2" t="str">
        <f>IF(A2805&lt;&gt;"", VLOOKUP(A2805, imdb_netflix_v5!A$2:H$7370, 7, FALSE), "")</f>
        <v>NA</v>
      </c>
    </row>
    <row r="2806" ht="15.75" customHeight="1">
      <c r="A2806" s="1" t="str">
        <f>IFERROR(__xludf.DUMMYFUNCTION("""COMPUTED_VALUE"""),"saw")</f>
        <v>saw</v>
      </c>
      <c r="B2806" s="1" t="str">
        <f>IF(A2806&lt;&gt;"", VLOOKUP(A2806, imdb_netflix_v5!A$2:H$7370, 2, FALSE), "")</f>
        <v>Movie</v>
      </c>
      <c r="C2806" s="2" t="str">
        <f>IF(A2806&lt;&gt;"", VLOOKUP(A2806, imdb_netflix_v5!A$2:H$7370, 3, FALSE), "")</f>
        <v>Horror, Mystery, Thriller</v>
      </c>
      <c r="D2806" s="2">
        <f>IF(A2806&lt;&gt;"", VLOOKUP(A2806, imdb_netflix_v5!A$2:H$7370, 4, FALSE), "")</f>
        <v>7.6</v>
      </c>
      <c r="E2806" s="2">
        <f>IF(A2806&lt;&gt;"", VLOOKUP(A2806, imdb_netflix_v5!A$2:H$7370, 5, FALSE), "")</f>
        <v>2004</v>
      </c>
      <c r="F2806" s="2" t="str">
        <f>IF(A2806&lt;&gt;"", VLOOKUP(A2806, imdb_netflix_v5!A$2:H$7370, 7, FALSE), "")</f>
        <v>NA</v>
      </c>
    </row>
    <row r="2807" ht="15.75" customHeight="1">
      <c r="A2807" s="1" t="str">
        <f>IFERROR(__xludf.DUMMYFUNCTION("""COMPUTED_VALUE"""),"moneyball")</f>
        <v>moneyball</v>
      </c>
      <c r="B2807" s="1" t="str">
        <f>IF(A2807&lt;&gt;"", VLOOKUP(A2807, imdb_netflix_v5!A$2:H$7370, 2, FALSE), "")</f>
        <v>Movie</v>
      </c>
      <c r="C2807" s="2" t="str">
        <f>IF(A2807&lt;&gt;"", VLOOKUP(A2807, imdb_netflix_v5!A$2:H$7370, 3, FALSE), "")</f>
        <v>Biography, Drama, Sport</v>
      </c>
      <c r="D2807" s="2">
        <f>IF(A2807&lt;&gt;"", VLOOKUP(A2807, imdb_netflix_v5!A$2:H$7370, 4, FALSE), "")</f>
        <v>7.6</v>
      </c>
      <c r="E2807" s="2">
        <f>IF(A2807&lt;&gt;"", VLOOKUP(A2807, imdb_netflix_v5!A$2:H$7370, 5, FALSE), "")</f>
        <v>2011</v>
      </c>
      <c r="F2807" s="2" t="str">
        <f>IF(A2807&lt;&gt;"", VLOOKUP(A2807, imdb_netflix_v5!A$2:H$7370, 7, FALSE), "")</f>
        <v>NA</v>
      </c>
    </row>
    <row r="2808" ht="15.75" customHeight="1">
      <c r="A2808" s="1" t="str">
        <f>IFERROR(__xludf.DUMMYFUNCTION("""COMPUTED_VALUE"""),"scott pilgrim vs. the world")</f>
        <v>scott pilgrim vs. the world</v>
      </c>
      <c r="B2808" s="1" t="str">
        <f>IF(A2808&lt;&gt;"", VLOOKUP(A2808, imdb_netflix_v5!A$2:H$7370, 2, FALSE), "")</f>
        <v>Movie</v>
      </c>
      <c r="C2808" s="2" t="str">
        <f>IF(A2808&lt;&gt;"", VLOOKUP(A2808, imdb_netflix_v5!A$2:H$7370, 3, FALSE), "")</f>
        <v>Action, Comedy, Fantasy</v>
      </c>
      <c r="D2808" s="2">
        <f>IF(A2808&lt;&gt;"", VLOOKUP(A2808, imdb_netflix_v5!A$2:H$7370, 4, FALSE), "")</f>
        <v>7.6</v>
      </c>
      <c r="E2808" s="2">
        <f>IF(A2808&lt;&gt;"", VLOOKUP(A2808, imdb_netflix_v5!A$2:H$7370, 5, FALSE), "")</f>
        <v>2010</v>
      </c>
      <c r="F2808" s="2" t="str">
        <f>IF(A2808&lt;&gt;"", VLOOKUP(A2808, imdb_netflix_v5!A$2:H$7370, 7, FALSE), "")</f>
        <v>NA</v>
      </c>
    </row>
    <row r="2809" ht="15.75" customHeight="1">
      <c r="A2809" s="1" t="str">
        <f>IFERROR(__xludf.DUMMYFUNCTION("""COMPUTED_VALUE"""),"midnight in paris")</f>
        <v>midnight in paris</v>
      </c>
      <c r="B2809" s="1" t="str">
        <f>IF(A2809&lt;&gt;"", VLOOKUP(A2809, imdb_netflix_v5!A$2:H$7370, 2, FALSE), "")</f>
        <v>Movie</v>
      </c>
      <c r="C2809" s="2" t="str">
        <f>IF(A2809&lt;&gt;"", VLOOKUP(A2809, imdb_netflix_v5!A$2:H$7370, 3, FALSE), "")</f>
        <v>Comedy, Fantasy, Romance</v>
      </c>
      <c r="D2809" s="2">
        <f>IF(A2809&lt;&gt;"", VLOOKUP(A2809, imdb_netflix_v5!A$2:H$7370, 4, FALSE), "")</f>
        <v>7.6</v>
      </c>
      <c r="E2809" s="2">
        <f>IF(A2809&lt;&gt;"", VLOOKUP(A2809, imdb_netflix_v5!A$2:H$7370, 5, FALSE), "")</f>
        <v>2011</v>
      </c>
      <c r="F2809" s="2" t="str">
        <f>IF(A2809&lt;&gt;"", VLOOKUP(A2809, imdb_netflix_v5!A$2:H$7370, 7, FALSE), "")</f>
        <v>NA</v>
      </c>
    </row>
    <row r="2810" ht="15.75" customHeight="1">
      <c r="A2810" s="1" t="str">
        <f>IFERROR(__xludf.DUMMYFUNCTION("""COMPUTED_VALUE"""),"the godfather part iii")</f>
        <v>the godfather part iii</v>
      </c>
      <c r="B2810" s="1" t="str">
        <f>IF(A2810&lt;&gt;"", VLOOKUP(A2810, imdb_netflix_v5!A$2:H$7370, 2, FALSE), "")</f>
        <v>Movie</v>
      </c>
      <c r="C2810" s="2" t="str">
        <f>IF(A2810&lt;&gt;"", VLOOKUP(A2810, imdb_netflix_v5!A$2:H$7370, 3, FALSE), "")</f>
        <v>Crime, Drama</v>
      </c>
      <c r="D2810" s="2">
        <f>IF(A2810&lt;&gt;"", VLOOKUP(A2810, imdb_netflix_v5!A$2:H$7370, 4, FALSE), "")</f>
        <v>7.6</v>
      </c>
      <c r="E2810" s="2">
        <f>IF(A2810&lt;&gt;"", VLOOKUP(A2810, imdb_netflix_v5!A$2:H$7370, 5, FALSE), "")</f>
        <v>1990</v>
      </c>
      <c r="F2810" s="2" t="str">
        <f>IF(A2810&lt;&gt;"", VLOOKUP(A2810, imdb_netflix_v5!A$2:H$7370, 7, FALSE), "")</f>
        <v>NA</v>
      </c>
    </row>
    <row r="2811" ht="15.75" customHeight="1">
      <c r="A2811" s="1" t="str">
        <f>IFERROR(__xludf.DUMMYFUNCTION("""COMPUTED_VALUE"""),"a star is born")</f>
        <v>a star is born</v>
      </c>
      <c r="B2811" s="1" t="str">
        <f>IF(A2811&lt;&gt;"", VLOOKUP(A2811, imdb_netflix_v5!A$2:H$7370, 2, FALSE), "")</f>
        <v>Movie</v>
      </c>
      <c r="C2811" s="2" t="str">
        <f>IF(A2811&lt;&gt;"", VLOOKUP(A2811, imdb_netflix_v5!A$2:H$7370, 3, FALSE), "")</f>
        <v>Drama, Music, Romance</v>
      </c>
      <c r="D2811" s="2">
        <f>IF(A2811&lt;&gt;"", VLOOKUP(A2811, imdb_netflix_v5!A$2:H$7370, 4, FALSE), "")</f>
        <v>7.6</v>
      </c>
      <c r="E2811" s="2">
        <f>IF(A2811&lt;&gt;"", VLOOKUP(A2811, imdb_netflix_v5!A$2:H$7370, 5, FALSE), "")</f>
        <v>2018</v>
      </c>
      <c r="F2811" s="2" t="str">
        <f>IF(A2811&lt;&gt;"", VLOOKUP(A2811, imdb_netflix_v5!A$2:H$7370, 7, FALSE), "")</f>
        <v>NA</v>
      </c>
    </row>
    <row r="2812" ht="15.75" customHeight="1">
      <c r="A2812" s="1" t="str">
        <f>IFERROR(__xludf.DUMMYFUNCTION("""COMPUTED_VALUE"""),"the machinist")</f>
        <v>the machinist</v>
      </c>
      <c r="B2812" s="1" t="str">
        <f>IF(A2812&lt;&gt;"", VLOOKUP(A2812, imdb_netflix_v5!A$2:H$7370, 2, FALSE), "")</f>
        <v>Movie</v>
      </c>
      <c r="C2812" s="2" t="str">
        <f>IF(A2812&lt;&gt;"", VLOOKUP(A2812, imdb_netflix_v5!A$2:H$7370, 3, FALSE), "")</f>
        <v>Drama, Thriller</v>
      </c>
      <c r="D2812" s="2">
        <f>IF(A2812&lt;&gt;"", VLOOKUP(A2812, imdb_netflix_v5!A$2:H$7370, 4, FALSE), "")</f>
        <v>7.6</v>
      </c>
      <c r="E2812" s="2">
        <f>IF(A2812&lt;&gt;"", VLOOKUP(A2812, imdb_netflix_v5!A$2:H$7370, 5, FALSE), "")</f>
        <v>2004</v>
      </c>
      <c r="F2812" s="2" t="str">
        <f>IF(A2812&lt;&gt;"", VLOOKUP(A2812, imdb_netflix_v5!A$2:H$7370, 7, FALSE), "")</f>
        <v>NA</v>
      </c>
    </row>
    <row r="2813" ht="15.75" customHeight="1">
      <c r="A2813" s="1" t="str">
        <f>IFERROR(__xludf.DUMMYFUNCTION("""COMPUTED_VALUE"""),"deadpool &amp; wolverine")</f>
        <v>deadpool &amp; wolverine</v>
      </c>
      <c r="B2813" s="1" t="str">
        <f>IF(A2813&lt;&gt;"", VLOOKUP(A2813, imdb_netflix_v5!A$2:H$7370, 2, FALSE), "")</f>
        <v>Movie</v>
      </c>
      <c r="C2813" s="2" t="str">
        <f>IF(A2813&lt;&gt;"", VLOOKUP(A2813, imdb_netflix_v5!A$2:H$7370, 3, FALSE), "")</f>
        <v>Action, Adventure, Comedy</v>
      </c>
      <c r="D2813" s="2">
        <f>IF(A2813&lt;&gt;"", VLOOKUP(A2813, imdb_netflix_v5!A$2:H$7370, 4, FALSE), "")</f>
        <v>7.6</v>
      </c>
      <c r="E2813" s="2">
        <f>IF(A2813&lt;&gt;"", VLOOKUP(A2813, imdb_netflix_v5!A$2:H$7370, 5, FALSE), "")</f>
        <v>2024</v>
      </c>
      <c r="F2813" s="2" t="str">
        <f>IF(A2813&lt;&gt;"", VLOOKUP(A2813, imdb_netflix_v5!A$2:H$7370, 7, FALSE), "")</f>
        <v>NA</v>
      </c>
    </row>
    <row r="2814" ht="15.75" customHeight="1">
      <c r="A2814" s="1" t="str">
        <f>IFERROR(__xludf.DUMMYFUNCTION("""COMPUTED_VALUE"""),"die hard with a vengeance")</f>
        <v>die hard with a vengeance</v>
      </c>
      <c r="B2814" s="1" t="str">
        <f>IF(A2814&lt;&gt;"", VLOOKUP(A2814, imdb_netflix_v5!A$2:H$7370, 2, FALSE), "")</f>
        <v>Movie</v>
      </c>
      <c r="C2814" s="2" t="str">
        <f>IF(A2814&lt;&gt;"", VLOOKUP(A2814, imdb_netflix_v5!A$2:H$7370, 3, FALSE), "")</f>
        <v>Action, Adventure, Thriller</v>
      </c>
      <c r="D2814" s="2">
        <f>IF(A2814&lt;&gt;"", VLOOKUP(A2814, imdb_netflix_v5!A$2:H$7370, 4, FALSE), "")</f>
        <v>7.6</v>
      </c>
      <c r="E2814" s="2">
        <f>IF(A2814&lt;&gt;"", VLOOKUP(A2814, imdb_netflix_v5!A$2:H$7370, 5, FALSE), "")</f>
        <v>1995</v>
      </c>
      <c r="F2814" s="2" t="str">
        <f>IF(A2814&lt;&gt;"", VLOOKUP(A2814, imdb_netflix_v5!A$2:H$7370, 7, FALSE), "")</f>
        <v>NA</v>
      </c>
    </row>
    <row r="2815" ht="15.75" customHeight="1">
      <c r="A2815" s="1" t="str">
        <f>IFERROR(__xludf.DUMMYFUNCTION("""COMPUTED_VALUE"""),"inside man")</f>
        <v>inside man</v>
      </c>
      <c r="B2815" s="1" t="str">
        <f>IF(A2815&lt;&gt;"", VLOOKUP(A2815, imdb_netflix_v5!A$2:H$7370, 2, FALSE), "")</f>
        <v>Movie</v>
      </c>
      <c r="C2815" s="2" t="str">
        <f>IF(A2815&lt;&gt;"", VLOOKUP(A2815, imdb_netflix_v5!A$2:H$7370, 3, FALSE), "")</f>
        <v>Crime, Drama, Mystery</v>
      </c>
      <c r="D2815" s="2">
        <f>IF(A2815&lt;&gt;"", VLOOKUP(A2815, imdb_netflix_v5!A$2:H$7370, 4, FALSE), "")</f>
        <v>7.6</v>
      </c>
      <c r="E2815" s="2">
        <f>IF(A2815&lt;&gt;"", VLOOKUP(A2815, imdb_netflix_v5!A$2:H$7370, 5, FALSE), "")</f>
        <v>2006</v>
      </c>
      <c r="F2815" s="2">
        <f>IF(A2815&lt;&gt;"", VLOOKUP(A2815, imdb_netflix_v5!A$2:H$7370, 7, FALSE), "")</f>
        <v>24970000</v>
      </c>
    </row>
    <row r="2816" ht="15.75" customHeight="1">
      <c r="A2816" s="1" t="str">
        <f>IFERROR(__xludf.DUMMYFUNCTION("""COMPUTED_VALUE"""),"the others")</f>
        <v>the others</v>
      </c>
      <c r="B2816" s="1" t="str">
        <f>IF(A2816&lt;&gt;"", VLOOKUP(A2816, imdb_netflix_v5!A$2:H$7370, 2, FALSE), "")</f>
        <v>Movie</v>
      </c>
      <c r="C2816" s="2" t="str">
        <f>IF(A2816&lt;&gt;"", VLOOKUP(A2816, imdb_netflix_v5!A$2:H$7370, 3, FALSE), "")</f>
        <v>Horror, Mystery, Thriller</v>
      </c>
      <c r="D2816" s="2">
        <f>IF(A2816&lt;&gt;"", VLOOKUP(A2816, imdb_netflix_v5!A$2:H$7370, 4, FALSE), "")</f>
        <v>7.6</v>
      </c>
      <c r="E2816" s="2">
        <f>IF(A2816&lt;&gt;"", VLOOKUP(A2816, imdb_netflix_v5!A$2:H$7370, 5, FALSE), "")</f>
        <v>2001</v>
      </c>
      <c r="F2816" s="2" t="str">
        <f>IF(A2816&lt;&gt;"", VLOOKUP(A2816, imdb_netflix_v5!A$2:H$7370, 7, FALSE), "")</f>
        <v>NA</v>
      </c>
    </row>
    <row r="2817" ht="15.75" customHeight="1">
      <c r="A2817" s="1" t="str">
        <f>IFERROR(__xludf.DUMMYFUNCTION("""COMPUTED_VALUE"""),"moana")</f>
        <v>moana</v>
      </c>
      <c r="B2817" s="1" t="str">
        <f>IF(A2817&lt;&gt;"", VLOOKUP(A2817, imdb_netflix_v5!A$2:H$7370, 2, FALSE), "")</f>
        <v>Movie</v>
      </c>
      <c r="C2817" s="2" t="str">
        <f>IF(A2817&lt;&gt;"", VLOOKUP(A2817, imdb_netflix_v5!A$2:H$7370, 3, FALSE), "")</f>
        <v>Adventure, Animation, Comedy</v>
      </c>
      <c r="D2817" s="2">
        <f>IF(A2817&lt;&gt;"", VLOOKUP(A2817, imdb_netflix_v5!A$2:H$7370, 4, FALSE), "")</f>
        <v>7.6</v>
      </c>
      <c r="E2817" s="2">
        <f>IF(A2817&lt;&gt;"", VLOOKUP(A2817, imdb_netflix_v5!A$2:H$7370, 5, FALSE), "")</f>
        <v>2016</v>
      </c>
      <c r="F2817" s="2" t="str">
        <f>IF(A2817&lt;&gt;"", VLOOKUP(A2817, imdb_netflix_v5!A$2:H$7370, 7, FALSE), "")</f>
        <v>NA</v>
      </c>
    </row>
    <row r="2818" ht="15.75" customHeight="1">
      <c r="A2818" s="1" t="str">
        <f>IFERROR(__xludf.DUMMYFUNCTION("""COMPUTED_VALUE"""),"the blind side")</f>
        <v>the blind side</v>
      </c>
      <c r="B2818" s="1" t="str">
        <f>IF(A2818&lt;&gt;"", VLOOKUP(A2818, imdb_netflix_v5!A$2:H$7370, 2, FALSE), "")</f>
        <v>Movie</v>
      </c>
      <c r="C2818" s="2" t="str">
        <f>IF(A2818&lt;&gt;"", VLOOKUP(A2818, imdb_netflix_v5!A$2:H$7370, 3, FALSE), "")</f>
        <v>Biography, Drama, Sport</v>
      </c>
      <c r="D2818" s="2">
        <f>IF(A2818&lt;&gt;"", VLOOKUP(A2818, imdb_netflix_v5!A$2:H$7370, 4, FALSE), "")</f>
        <v>7.6</v>
      </c>
      <c r="E2818" s="2">
        <f>IF(A2818&lt;&gt;"", VLOOKUP(A2818, imdb_netflix_v5!A$2:H$7370, 5, FALSE), "")</f>
        <v>2009</v>
      </c>
      <c r="F2818" s="2">
        <f>IF(A2818&lt;&gt;"", VLOOKUP(A2818, imdb_netflix_v5!A$2:H$7370, 7, FALSE), "")</f>
        <v>8710000</v>
      </c>
    </row>
    <row r="2819" ht="15.75" customHeight="1">
      <c r="A2819" s="1" t="str">
        <f>IFERROR(__xludf.DUMMYFUNCTION("""COMPUTED_VALUE"""),"true grit")</f>
        <v>true grit</v>
      </c>
      <c r="B2819" s="1" t="str">
        <f>IF(A2819&lt;&gt;"", VLOOKUP(A2819, imdb_netflix_v5!A$2:H$7370, 2, FALSE), "")</f>
        <v>Movie</v>
      </c>
      <c r="C2819" s="2" t="str">
        <f>IF(A2819&lt;&gt;"", VLOOKUP(A2819, imdb_netflix_v5!A$2:H$7370, 3, FALSE), "")</f>
        <v>Drama, Western</v>
      </c>
      <c r="D2819" s="2">
        <f>IF(A2819&lt;&gt;"", VLOOKUP(A2819, imdb_netflix_v5!A$2:H$7370, 4, FALSE), "")</f>
        <v>7.6</v>
      </c>
      <c r="E2819" s="2">
        <f>IF(A2819&lt;&gt;"", VLOOKUP(A2819, imdb_netflix_v5!A$2:H$7370, 5, FALSE), "")</f>
        <v>2010</v>
      </c>
      <c r="F2819" s="2" t="str">
        <f>IF(A2819&lt;&gt;"", VLOOKUP(A2819, imdb_netflix_v5!A$2:H$7370, 7, FALSE), "")</f>
        <v>NA</v>
      </c>
    </row>
    <row r="2820" ht="15.75" customHeight="1">
      <c r="A2820" s="1" t="str">
        <f>IFERROR(__xludf.DUMMYFUNCTION("""COMPUTED_VALUE"""),"john wick chapter 4")</f>
        <v>john wick chapter 4</v>
      </c>
      <c r="B2820" s="1" t="str">
        <f>IF(A2820&lt;&gt;"", VLOOKUP(A2820, imdb_netflix_v5!A$2:H$7370, 2, FALSE), "")</f>
        <v>Movie</v>
      </c>
      <c r="C2820" s="2" t="str">
        <f>IF(A2820&lt;&gt;"", VLOOKUP(A2820, imdb_netflix_v5!A$2:H$7370, 3, FALSE), "")</f>
        <v>Action, Crime, Thriller</v>
      </c>
      <c r="D2820" s="2">
        <f>IF(A2820&lt;&gt;"", VLOOKUP(A2820, imdb_netflix_v5!A$2:H$7370, 4, FALSE), "")</f>
        <v>7.6</v>
      </c>
      <c r="E2820" s="2">
        <f>IF(A2820&lt;&gt;"", VLOOKUP(A2820, imdb_netflix_v5!A$2:H$7370, 5, FALSE), "")</f>
        <v>2023</v>
      </c>
      <c r="F2820" s="2" t="str">
        <f>IF(A2820&lt;&gt;"", VLOOKUP(A2820, imdb_netflix_v5!A$2:H$7370, 7, FALSE), "")</f>
        <v>NA</v>
      </c>
    </row>
    <row r="2821" ht="15.75" customHeight="1">
      <c r="A2821" s="1" t="str">
        <f>IFERROR(__xludf.DUMMYFUNCTION("""COMPUTED_VALUE"""),"greys anatomy")</f>
        <v>greys anatomy</v>
      </c>
      <c r="B2821" s="1" t="str">
        <f>IF(A2821&lt;&gt;"", VLOOKUP(A2821, imdb_netflix_v5!A$2:H$7370, 2, FALSE), "")</f>
        <v>TV Show</v>
      </c>
      <c r="C2821" s="2" t="str">
        <f>IF(A2821&lt;&gt;"", VLOOKUP(A2821, imdb_netflix_v5!A$2:H$7370, 3, FALSE), "")</f>
        <v>Drama, Romance</v>
      </c>
      <c r="D2821" s="2">
        <f>IF(A2821&lt;&gt;"", VLOOKUP(A2821, imdb_netflix_v5!A$2:H$7370, 4, FALSE), "")</f>
        <v>7.6</v>
      </c>
      <c r="E2821" s="2">
        <f>IF(A2821&lt;&gt;"", VLOOKUP(A2821, imdb_netflix_v5!A$2:H$7370, 5, FALSE), "")</f>
        <v>2005</v>
      </c>
      <c r="F2821" s="2">
        <f>IF(A2821&lt;&gt;"", VLOOKUP(A2821, imdb_netflix_v5!A$2:H$7370, 7, FALSE), "")</f>
        <v>15990000</v>
      </c>
    </row>
    <row r="2822" ht="15.75" customHeight="1">
      <c r="A2822" s="1" t="str">
        <f>IFERROR(__xludf.DUMMYFUNCTION("""COMPUTED_VALUE"""),"50/50")</f>
        <v>50/50</v>
      </c>
      <c r="B2822" s="1" t="str">
        <f>IF(A2822&lt;&gt;"", VLOOKUP(A2822, imdb_netflix_v5!A$2:H$7370, 2, FALSE), "")</f>
        <v>Movie</v>
      </c>
      <c r="C2822" s="2" t="str">
        <f>IF(A2822&lt;&gt;"", VLOOKUP(A2822, imdb_netflix_v5!A$2:H$7370, 3, FALSE), "")</f>
        <v>Comedy, Drama, Romance</v>
      </c>
      <c r="D2822" s="2">
        <f>IF(A2822&lt;&gt;"", VLOOKUP(A2822, imdb_netflix_v5!A$2:H$7370, 4, FALSE), "")</f>
        <v>7.6</v>
      </c>
      <c r="E2822" s="2">
        <f>IF(A2822&lt;&gt;"", VLOOKUP(A2822, imdb_netflix_v5!A$2:H$7370, 5, FALSE), "")</f>
        <v>2011</v>
      </c>
      <c r="F2822" s="2" t="str">
        <f>IF(A2822&lt;&gt;"", VLOOKUP(A2822, imdb_netflix_v5!A$2:H$7370, 7, FALSE), "")</f>
        <v>NA</v>
      </c>
    </row>
    <row r="2823" ht="15.75" customHeight="1">
      <c r="A2823" s="1" t="str">
        <f>IFERROR(__xludf.DUMMYFUNCTION("""COMPUTED_VALUE"""),"lord of war")</f>
        <v>lord of war</v>
      </c>
      <c r="B2823" s="1" t="str">
        <f>IF(A2823&lt;&gt;"", VLOOKUP(A2823, imdb_netflix_v5!A$2:H$7370, 2, FALSE), "")</f>
        <v>Movie</v>
      </c>
      <c r="C2823" s="2" t="str">
        <f>IF(A2823&lt;&gt;"", VLOOKUP(A2823, imdb_netflix_v5!A$2:H$7370, 3, FALSE), "")</f>
        <v>Crime, Drama</v>
      </c>
      <c r="D2823" s="2">
        <f>IF(A2823&lt;&gt;"", VLOOKUP(A2823, imdb_netflix_v5!A$2:H$7370, 4, FALSE), "")</f>
        <v>7.6</v>
      </c>
      <c r="E2823" s="2">
        <f>IF(A2823&lt;&gt;"", VLOOKUP(A2823, imdb_netflix_v5!A$2:H$7370, 5, FALSE), "")</f>
        <v>2005</v>
      </c>
      <c r="F2823" s="2" t="str">
        <f>IF(A2823&lt;&gt;"", VLOOKUP(A2823, imdb_netflix_v5!A$2:H$7370, 7, FALSE), "")</f>
        <v>NA</v>
      </c>
    </row>
    <row r="2824" ht="15.75" customHeight="1">
      <c r="A2824" s="1" t="str">
        <f>IFERROR(__xludf.DUMMYFUNCTION("""COMPUTED_VALUE"""),"310 to yuma")</f>
        <v>310 to yuma</v>
      </c>
      <c r="B2824" s="1" t="str">
        <f>IF(A2824&lt;&gt;"", VLOOKUP(A2824, imdb_netflix_v5!A$2:H$7370, 2, FALSE), "")</f>
        <v>Movie</v>
      </c>
      <c r="C2824" s="2" t="str">
        <f>IF(A2824&lt;&gt;"", VLOOKUP(A2824, imdb_netflix_v5!A$2:H$7370, 3, FALSE), "")</f>
        <v>Action, Crime, Drama</v>
      </c>
      <c r="D2824" s="2">
        <f>IF(A2824&lt;&gt;"", VLOOKUP(A2824, imdb_netflix_v5!A$2:H$7370, 4, FALSE), "")</f>
        <v>7.6</v>
      </c>
      <c r="E2824" s="2">
        <f>IF(A2824&lt;&gt;"", VLOOKUP(A2824, imdb_netflix_v5!A$2:H$7370, 5, FALSE), "")</f>
        <v>2007</v>
      </c>
      <c r="F2824" s="2" t="str">
        <f>IF(A2824&lt;&gt;"", VLOOKUP(A2824, imdb_netflix_v5!A$2:H$7370, 7, FALSE), "")</f>
        <v>NA</v>
      </c>
    </row>
    <row r="2825" ht="15.75" customHeight="1">
      <c r="A2825" s="1" t="str">
        <f>IFERROR(__xludf.DUMMYFUNCTION("""COMPUTED_VALUE"""),"bridge of spies")</f>
        <v>bridge of spies</v>
      </c>
      <c r="B2825" s="1" t="str">
        <f>IF(A2825&lt;&gt;"", VLOOKUP(A2825, imdb_netflix_v5!A$2:H$7370, 2, FALSE), "")</f>
        <v>Movie</v>
      </c>
      <c r="C2825" s="2" t="str">
        <f>IF(A2825&lt;&gt;"", VLOOKUP(A2825, imdb_netflix_v5!A$2:H$7370, 3, FALSE), "")</f>
        <v>Drama, History, Thriller</v>
      </c>
      <c r="D2825" s="2">
        <f>IF(A2825&lt;&gt;"", VLOOKUP(A2825, imdb_netflix_v5!A$2:H$7370, 4, FALSE), "")</f>
        <v>7.6</v>
      </c>
      <c r="E2825" s="2">
        <f>IF(A2825&lt;&gt;"", VLOOKUP(A2825, imdb_netflix_v5!A$2:H$7370, 5, FALSE), "")</f>
        <v>2015</v>
      </c>
      <c r="F2825" s="2" t="str">
        <f>IF(A2825&lt;&gt;"", VLOOKUP(A2825, imdb_netflix_v5!A$2:H$7370, 7, FALSE), "")</f>
        <v>NA</v>
      </c>
    </row>
    <row r="2826" ht="15.75" customHeight="1">
      <c r="A2826" s="1" t="str">
        <f>IFERROR(__xludf.DUMMYFUNCTION("""COMPUTED_VALUE"""),"seven pounds")</f>
        <v>seven pounds</v>
      </c>
      <c r="B2826" s="1" t="str">
        <f>IF(A2826&lt;&gt;"", VLOOKUP(A2826, imdb_netflix_v5!A$2:H$7370, 2, FALSE), "")</f>
        <v>Movie</v>
      </c>
      <c r="C2826" s="2" t="str">
        <f>IF(A2826&lt;&gt;"", VLOOKUP(A2826, imdb_netflix_v5!A$2:H$7370, 3, FALSE), "")</f>
        <v>Drama, Mystery, Thriller</v>
      </c>
      <c r="D2826" s="2">
        <f>IF(A2826&lt;&gt;"", VLOOKUP(A2826, imdb_netflix_v5!A$2:H$7370, 4, FALSE), "")</f>
        <v>7.6</v>
      </c>
      <c r="E2826" s="2">
        <f>IF(A2826&lt;&gt;"", VLOOKUP(A2826, imdb_netflix_v5!A$2:H$7370, 5, FALSE), "")</f>
        <v>2008</v>
      </c>
      <c r="F2826" s="2" t="str">
        <f>IF(A2826&lt;&gt;"", VLOOKUP(A2826, imdb_netflix_v5!A$2:H$7370, 7, FALSE), "")</f>
        <v>NA</v>
      </c>
    </row>
    <row r="2827" ht="15.75" customHeight="1">
      <c r="A2827" s="1" t="str">
        <f>IFERROR(__xludf.DUMMYFUNCTION("""COMPUTED_VALUE"""),"the royal tenenbaums")</f>
        <v>the royal tenenbaums</v>
      </c>
      <c r="B2827" s="1" t="str">
        <f>IF(A2827&lt;&gt;"", VLOOKUP(A2827, imdb_netflix_v5!A$2:H$7370, 2, FALSE), "")</f>
        <v>Movie</v>
      </c>
      <c r="C2827" s="2" t="str">
        <f>IF(A2827&lt;&gt;"", VLOOKUP(A2827, imdb_netflix_v5!A$2:H$7370, 3, FALSE), "")</f>
        <v>Comedy, Drama</v>
      </c>
      <c r="D2827" s="2">
        <f>IF(A2827&lt;&gt;"", VLOOKUP(A2827, imdb_netflix_v5!A$2:H$7370, 4, FALSE), "")</f>
        <v>7.6</v>
      </c>
      <c r="E2827" s="2">
        <f>IF(A2827&lt;&gt;"", VLOOKUP(A2827, imdb_netflix_v5!A$2:H$7370, 5, FALSE), "")</f>
        <v>2001</v>
      </c>
      <c r="F2827" s="2" t="str">
        <f>IF(A2827&lt;&gt;"", VLOOKUP(A2827, imdb_netflix_v5!A$2:H$7370, 7, FALSE), "")</f>
        <v>NA</v>
      </c>
    </row>
    <row r="2828" ht="15.75" customHeight="1">
      <c r="A2828" s="1" t="str">
        <f>IFERROR(__xludf.DUMMYFUNCTION("""COMPUTED_VALUE"""),"creed")</f>
        <v>creed</v>
      </c>
      <c r="B2828" s="1" t="str">
        <f>IF(A2828&lt;&gt;"", VLOOKUP(A2828, imdb_netflix_v5!A$2:H$7370, 2, FALSE), "")</f>
        <v>Movie</v>
      </c>
      <c r="C2828" s="2" t="str">
        <f>IF(A2828&lt;&gt;"", VLOOKUP(A2828, imdb_netflix_v5!A$2:H$7370, 3, FALSE), "")</f>
        <v>Action, Drama, Sport</v>
      </c>
      <c r="D2828" s="2">
        <f>IF(A2828&lt;&gt;"", VLOOKUP(A2828, imdb_netflix_v5!A$2:H$7370, 4, FALSE), "")</f>
        <v>7.6</v>
      </c>
      <c r="E2828" s="2">
        <f>IF(A2828&lt;&gt;"", VLOOKUP(A2828, imdb_netflix_v5!A$2:H$7370, 5, FALSE), "")</f>
        <v>2015</v>
      </c>
      <c r="F2828" s="2" t="str">
        <f>IF(A2828&lt;&gt;"", VLOOKUP(A2828, imdb_netflix_v5!A$2:H$7370, 7, FALSE), "")</f>
        <v>NA</v>
      </c>
    </row>
    <row r="2829" ht="15.75" customHeight="1">
      <c r="A2829" s="1" t="str">
        <f>IFERROR(__xludf.DUMMYFUNCTION("""COMPUTED_VALUE"""),"moulin rouge!")</f>
        <v>moulin rouge!</v>
      </c>
      <c r="B2829" s="1" t="str">
        <f>IF(A2829&lt;&gt;"", VLOOKUP(A2829, imdb_netflix_v5!A$2:H$7370, 2, FALSE), "")</f>
        <v>Movie</v>
      </c>
      <c r="C2829" s="2" t="str">
        <f>IF(A2829&lt;&gt;"", VLOOKUP(A2829, imdb_netflix_v5!A$2:H$7370, 3, FALSE), "")</f>
        <v>Drama, Musical, Romance</v>
      </c>
      <c r="D2829" s="2">
        <f>IF(A2829&lt;&gt;"", VLOOKUP(A2829, imdb_netflix_v5!A$2:H$7370, 4, FALSE), "")</f>
        <v>7.6</v>
      </c>
      <c r="E2829" s="2">
        <f>IF(A2829&lt;&gt;"", VLOOKUP(A2829, imdb_netflix_v5!A$2:H$7370, 5, FALSE), "")</f>
        <v>2001</v>
      </c>
      <c r="F2829" s="2" t="str">
        <f>IF(A2829&lt;&gt;"", VLOOKUP(A2829, imdb_netflix_v5!A$2:H$7370, 7, FALSE), "")</f>
        <v>NA</v>
      </c>
    </row>
    <row r="2830" ht="15.75" customHeight="1">
      <c r="A2830" s="1" t="str">
        <f>IFERROR(__xludf.DUMMYFUNCTION("""COMPUTED_VALUE"""),"gone baby gone")</f>
        <v>gone baby gone</v>
      </c>
      <c r="B2830" s="1" t="str">
        <f>IF(A2830&lt;&gt;"", VLOOKUP(A2830, imdb_netflix_v5!A$2:H$7370, 2, FALSE), "")</f>
        <v>Movie</v>
      </c>
      <c r="C2830" s="2" t="str">
        <f>IF(A2830&lt;&gt;"", VLOOKUP(A2830, imdb_netflix_v5!A$2:H$7370, 3, FALSE), "")</f>
        <v>Crime, Drama, Mystery</v>
      </c>
      <c r="D2830" s="2">
        <f>IF(A2830&lt;&gt;"", VLOOKUP(A2830, imdb_netflix_v5!A$2:H$7370, 4, FALSE), "")</f>
        <v>7.6</v>
      </c>
      <c r="E2830" s="2">
        <f>IF(A2830&lt;&gt;"", VLOOKUP(A2830, imdb_netflix_v5!A$2:H$7370, 5, FALSE), "")</f>
        <v>2007</v>
      </c>
      <c r="F2830" s="2" t="str">
        <f>IF(A2830&lt;&gt;"", VLOOKUP(A2830, imdb_netflix_v5!A$2:H$7370, 7, FALSE), "")</f>
        <v>NA</v>
      </c>
    </row>
    <row r="2831" ht="15.75" customHeight="1">
      <c r="A2831" s="1" t="str">
        <f>IFERROR(__xludf.DUMMYFUNCTION("""COMPUTED_VALUE"""),"the little mermaid")</f>
        <v>the little mermaid</v>
      </c>
      <c r="B2831" s="1" t="str">
        <f>IF(A2831&lt;&gt;"", VLOOKUP(A2831, imdb_netflix_v5!A$2:H$7370, 2, FALSE), "")</f>
        <v>Movie</v>
      </c>
      <c r="C2831" s="2" t="str">
        <f>IF(A2831&lt;&gt;"", VLOOKUP(A2831, imdb_netflix_v5!A$2:H$7370, 3, FALSE), "")</f>
        <v>Adventure, Animation, Family</v>
      </c>
      <c r="D2831" s="2">
        <f>IF(A2831&lt;&gt;"", VLOOKUP(A2831, imdb_netflix_v5!A$2:H$7370, 4, FALSE), "")</f>
        <v>7.6</v>
      </c>
      <c r="E2831" s="2">
        <f>IF(A2831&lt;&gt;"", VLOOKUP(A2831, imdb_netflix_v5!A$2:H$7370, 5, FALSE), "")</f>
        <v>1989</v>
      </c>
      <c r="F2831" s="2" t="str">
        <f>IF(A2831&lt;&gt;"", VLOOKUP(A2831, imdb_netflix_v5!A$2:H$7370, 7, FALSE), "")</f>
        <v>NA</v>
      </c>
    </row>
    <row r="2832" ht="15.75" customHeight="1">
      <c r="A2832" s="1" t="str">
        <f>IFERROR(__xludf.DUMMYFUNCTION("""COMPUTED_VALUE"""),"office space")</f>
        <v>office space</v>
      </c>
      <c r="B2832" s="1" t="str">
        <f>IF(A2832&lt;&gt;"", VLOOKUP(A2832, imdb_netflix_v5!A$2:H$7370, 2, FALSE), "")</f>
        <v>Movie</v>
      </c>
      <c r="C2832" s="2" t="str">
        <f>IF(A2832&lt;&gt;"", VLOOKUP(A2832, imdb_netflix_v5!A$2:H$7370, 3, FALSE), "")</f>
        <v>Comedy</v>
      </c>
      <c r="D2832" s="2">
        <f>IF(A2832&lt;&gt;"", VLOOKUP(A2832, imdb_netflix_v5!A$2:H$7370, 4, FALSE), "")</f>
        <v>7.6</v>
      </c>
      <c r="E2832" s="2">
        <f>IF(A2832&lt;&gt;"", VLOOKUP(A2832, imdb_netflix_v5!A$2:H$7370, 5, FALSE), "")</f>
        <v>1999</v>
      </c>
      <c r="F2832" s="2" t="str">
        <f>IF(A2832&lt;&gt;"", VLOOKUP(A2832, imdb_netflix_v5!A$2:H$7370, 7, FALSE), "")</f>
        <v>NA</v>
      </c>
    </row>
    <row r="2833" ht="15.75" customHeight="1">
      <c r="A2833" s="1" t="str">
        <f>IFERROR(__xludf.DUMMYFUNCTION("""COMPUTED_VALUE"""),"robocop")</f>
        <v>robocop</v>
      </c>
      <c r="B2833" s="1" t="str">
        <f>IF(A2833&lt;&gt;"", VLOOKUP(A2833, imdb_netflix_v5!A$2:H$7370, 2, FALSE), "")</f>
        <v>Movie</v>
      </c>
      <c r="C2833" s="2" t="str">
        <f>IF(A2833&lt;&gt;"", VLOOKUP(A2833, imdb_netflix_v5!A$2:H$7370, 3, FALSE), "")</f>
        <v>Action, Crime, Sci-Fi</v>
      </c>
      <c r="D2833" s="2">
        <f>IF(A2833&lt;&gt;"", VLOOKUP(A2833, imdb_netflix_v5!A$2:H$7370, 4, FALSE), "")</f>
        <v>7.6</v>
      </c>
      <c r="E2833" s="2">
        <f>IF(A2833&lt;&gt;"", VLOOKUP(A2833, imdb_netflix_v5!A$2:H$7370, 5, FALSE), "")</f>
        <v>1987</v>
      </c>
      <c r="F2833" s="2" t="str">
        <f>IF(A2833&lt;&gt;"", VLOOKUP(A2833, imdb_netflix_v5!A$2:H$7370, 7, FALSE), "")</f>
        <v>NA</v>
      </c>
    </row>
    <row r="2834" ht="15.75" customHeight="1">
      <c r="A2834" s="1" t="str">
        <f>IFERROR(__xludf.DUMMYFUNCTION("""COMPUTED_VALUE"""),"toy story 4")</f>
        <v>toy story 4</v>
      </c>
      <c r="B2834" s="1" t="str">
        <f>IF(A2834&lt;&gt;"", VLOOKUP(A2834, imdb_netflix_v5!A$2:H$7370, 2, FALSE), "")</f>
        <v>Movie</v>
      </c>
      <c r="C2834" s="2" t="str">
        <f>IF(A2834&lt;&gt;"", VLOOKUP(A2834, imdb_netflix_v5!A$2:H$7370, 3, FALSE), "")</f>
        <v>Adventure, Animation, Comedy</v>
      </c>
      <c r="D2834" s="2">
        <f>IF(A2834&lt;&gt;"", VLOOKUP(A2834, imdb_netflix_v5!A$2:H$7370, 4, FALSE), "")</f>
        <v>7.6</v>
      </c>
      <c r="E2834" s="2">
        <f>IF(A2834&lt;&gt;"", VLOOKUP(A2834, imdb_netflix_v5!A$2:H$7370, 5, FALSE), "")</f>
        <v>2019</v>
      </c>
      <c r="F2834" s="2" t="str">
        <f>IF(A2834&lt;&gt;"", VLOOKUP(A2834, imdb_netflix_v5!A$2:H$7370, 7, FALSE), "")</f>
        <v>NA</v>
      </c>
    </row>
    <row r="2835" ht="15.75" customHeight="1">
      <c r="A2835" s="1" t="str">
        <f>IFERROR(__xludf.DUMMYFUNCTION("""COMPUTED_VALUE"""),"stardust")</f>
        <v>stardust</v>
      </c>
      <c r="B2835" s="1" t="str">
        <f>IF(A2835&lt;&gt;"", VLOOKUP(A2835, imdb_netflix_v5!A$2:H$7370, 2, FALSE), "")</f>
        <v>Movie</v>
      </c>
      <c r="C2835" s="2" t="str">
        <f>IF(A2835&lt;&gt;"", VLOOKUP(A2835, imdb_netflix_v5!A$2:H$7370, 3, FALSE), "")</f>
        <v>Adventure, Fantasy, Romance</v>
      </c>
      <c r="D2835" s="2">
        <f>IF(A2835&lt;&gt;"", VLOOKUP(A2835, imdb_netflix_v5!A$2:H$7370, 4, FALSE), "")</f>
        <v>7.6</v>
      </c>
      <c r="E2835" s="2">
        <f>IF(A2835&lt;&gt;"", VLOOKUP(A2835, imdb_netflix_v5!A$2:H$7370, 5, FALSE), "")</f>
        <v>2007</v>
      </c>
      <c r="F2835" s="2" t="str">
        <f>IF(A2835&lt;&gt;"", VLOOKUP(A2835, imdb_netflix_v5!A$2:H$7370, 7, FALSE), "")</f>
        <v>NA</v>
      </c>
    </row>
    <row r="2836" ht="15.75" customHeight="1">
      <c r="A2836" s="1" t="str">
        <f>IFERROR(__xludf.DUMMYFUNCTION("""COMPUTED_VALUE"""),"end of watch")</f>
        <v>end of watch</v>
      </c>
      <c r="B2836" s="1" t="str">
        <f>IF(A2836&lt;&gt;"", VLOOKUP(A2836, imdb_netflix_v5!A$2:H$7370, 2, FALSE), "")</f>
        <v>Movie</v>
      </c>
      <c r="C2836" s="2" t="str">
        <f>IF(A2836&lt;&gt;"", VLOOKUP(A2836, imdb_netflix_v5!A$2:H$7370, 3, FALSE), "")</f>
        <v>Action, Crime, Drama</v>
      </c>
      <c r="D2836" s="2">
        <f>IF(A2836&lt;&gt;"", VLOOKUP(A2836, imdb_netflix_v5!A$2:H$7370, 4, FALSE), "")</f>
        <v>7.6</v>
      </c>
      <c r="E2836" s="2">
        <f>IF(A2836&lt;&gt;"", VLOOKUP(A2836, imdb_netflix_v5!A$2:H$7370, 5, FALSE), "")</f>
        <v>2012</v>
      </c>
      <c r="F2836" s="2" t="str">
        <f>IF(A2836&lt;&gt;"", VLOOKUP(A2836, imdb_netflix_v5!A$2:H$7370, 7, FALSE), "")</f>
        <v>NA</v>
      </c>
    </row>
    <row r="2837" ht="15.75" customHeight="1">
      <c r="A2837" s="1" t="str">
        <f>IFERROR(__xludf.DUMMYFUNCTION("""COMPUTED_VALUE"""),"train to busan")</f>
        <v>train to busan</v>
      </c>
      <c r="B2837" s="1" t="str">
        <f>IF(A2837&lt;&gt;"", VLOOKUP(A2837, imdb_netflix_v5!A$2:H$7370, 2, FALSE), "")</f>
        <v>Movie</v>
      </c>
      <c r="C2837" s="2" t="str">
        <f>IF(A2837&lt;&gt;"", VLOOKUP(A2837, imdb_netflix_v5!A$2:H$7370, 3, FALSE), "")</f>
        <v>Action, Horror, Thriller</v>
      </c>
      <c r="D2837" s="2">
        <f>IF(A2837&lt;&gt;"", VLOOKUP(A2837, imdb_netflix_v5!A$2:H$7370, 4, FALSE), "")</f>
        <v>7.6</v>
      </c>
      <c r="E2837" s="2">
        <f>IF(A2837&lt;&gt;"", VLOOKUP(A2837, imdb_netflix_v5!A$2:H$7370, 5, FALSE), "")</f>
        <v>2016</v>
      </c>
      <c r="F2837" s="2" t="str">
        <f>IF(A2837&lt;&gt;"", VLOOKUP(A2837, imdb_netflix_v5!A$2:H$7370, 7, FALSE), "")</f>
        <v>NA</v>
      </c>
    </row>
    <row r="2838" ht="15.75" customHeight="1">
      <c r="A2838" s="1" t="str">
        <f>IFERROR(__xludf.DUMMYFUNCTION("""COMPUTED_VALUE"""),"killers of the flower moon")</f>
        <v>killers of the flower moon</v>
      </c>
      <c r="B2838" s="1" t="str">
        <f>IF(A2838&lt;&gt;"", VLOOKUP(A2838, imdb_netflix_v5!A$2:H$7370, 2, FALSE), "")</f>
        <v>Movie</v>
      </c>
      <c r="C2838" s="2" t="str">
        <f>IF(A2838&lt;&gt;"", VLOOKUP(A2838, imdb_netflix_v5!A$2:H$7370, 3, FALSE), "")</f>
        <v>Crime, Drama, History</v>
      </c>
      <c r="D2838" s="2">
        <f>IF(A2838&lt;&gt;"", VLOOKUP(A2838, imdb_netflix_v5!A$2:H$7370, 4, FALSE), "")</f>
        <v>7.6</v>
      </c>
      <c r="E2838" s="2">
        <f>IF(A2838&lt;&gt;"", VLOOKUP(A2838, imdb_netflix_v5!A$2:H$7370, 5, FALSE), "")</f>
        <v>2023</v>
      </c>
      <c r="F2838" s="2" t="str">
        <f>IF(A2838&lt;&gt;"", VLOOKUP(A2838, imdb_netflix_v5!A$2:H$7370, 7, FALSE), "")</f>
        <v>NA</v>
      </c>
    </row>
    <row r="2839" ht="15.75" customHeight="1">
      <c r="A2839" s="1" t="str">
        <f>IFERROR(__xludf.DUMMYFUNCTION("""COMPUTED_VALUE"""),"eastern promises")</f>
        <v>eastern promises</v>
      </c>
      <c r="B2839" s="1" t="str">
        <f>IF(A2839&lt;&gt;"", VLOOKUP(A2839, imdb_netflix_v5!A$2:H$7370, 2, FALSE), "")</f>
        <v>Movie</v>
      </c>
      <c r="C2839" s="2" t="str">
        <f>IF(A2839&lt;&gt;"", VLOOKUP(A2839, imdb_netflix_v5!A$2:H$7370, 3, FALSE), "")</f>
        <v>Crime, Drama, Thriller</v>
      </c>
      <c r="D2839" s="2">
        <f>IF(A2839&lt;&gt;"", VLOOKUP(A2839, imdb_netflix_v5!A$2:H$7370, 4, FALSE), "")</f>
        <v>7.6</v>
      </c>
      <c r="E2839" s="2">
        <f>IF(A2839&lt;&gt;"", VLOOKUP(A2839, imdb_netflix_v5!A$2:H$7370, 5, FALSE), "")</f>
        <v>2007</v>
      </c>
      <c r="F2839" s="2" t="str">
        <f>IF(A2839&lt;&gt;"", VLOOKUP(A2839, imdb_netflix_v5!A$2:H$7370, 7, FALSE), "")</f>
        <v>NA</v>
      </c>
    </row>
    <row r="2840" ht="15.75" customHeight="1">
      <c r="A2840" s="1" t="str">
        <f>IFERROR(__xludf.DUMMYFUNCTION("""COMPUTED_VALUE"""),"the reader")</f>
        <v>the reader</v>
      </c>
      <c r="B2840" s="1" t="str">
        <f>IF(A2840&lt;&gt;"", VLOOKUP(A2840, imdb_netflix_v5!A$2:H$7370, 2, FALSE), "")</f>
        <v>Movie</v>
      </c>
      <c r="C2840" s="2" t="str">
        <f>IF(A2840&lt;&gt;"", VLOOKUP(A2840, imdb_netflix_v5!A$2:H$7370, 3, FALSE), "")</f>
        <v>Drama, Mystery, Romance</v>
      </c>
      <c r="D2840" s="2">
        <f>IF(A2840&lt;&gt;"", VLOOKUP(A2840, imdb_netflix_v5!A$2:H$7370, 4, FALSE), "")</f>
        <v>7.6</v>
      </c>
      <c r="E2840" s="2">
        <f>IF(A2840&lt;&gt;"", VLOOKUP(A2840, imdb_netflix_v5!A$2:H$7370, 5, FALSE), "")</f>
        <v>2008</v>
      </c>
      <c r="F2840" s="2" t="str">
        <f>IF(A2840&lt;&gt;"", VLOOKUP(A2840, imdb_netflix_v5!A$2:H$7370, 7, FALSE), "")</f>
        <v>NA</v>
      </c>
    </row>
    <row r="2841" ht="15.75" customHeight="1">
      <c r="A2841" s="1" t="str">
        <f>IFERROR(__xludf.DUMMYFUNCTION("""COMPUTED_VALUE"""),"hell or high water")</f>
        <v>hell or high water</v>
      </c>
      <c r="B2841" s="1" t="str">
        <f>IF(A2841&lt;&gt;"", VLOOKUP(A2841, imdb_netflix_v5!A$2:H$7370, 2, FALSE), "")</f>
        <v>Movie</v>
      </c>
      <c r="C2841" s="2" t="str">
        <f>IF(A2841&lt;&gt;"", VLOOKUP(A2841, imdb_netflix_v5!A$2:H$7370, 3, FALSE), "")</f>
        <v>Crime, Drama, Thriller</v>
      </c>
      <c r="D2841" s="2">
        <f>IF(A2841&lt;&gt;"", VLOOKUP(A2841, imdb_netflix_v5!A$2:H$7370, 4, FALSE), "")</f>
        <v>7.6</v>
      </c>
      <c r="E2841" s="2">
        <f>IF(A2841&lt;&gt;"", VLOOKUP(A2841, imdb_netflix_v5!A$2:H$7370, 5, FALSE), "")</f>
        <v>2016</v>
      </c>
      <c r="F2841" s="2" t="str">
        <f>IF(A2841&lt;&gt;"", VLOOKUP(A2841, imdb_netflix_v5!A$2:H$7370, 7, FALSE), "")</f>
        <v>NA</v>
      </c>
    </row>
    <row r="2842" ht="15.75" customHeight="1">
      <c r="A2842" s="1" t="str">
        <f>IFERROR(__xludf.DUMMYFUNCTION("""COMPUTED_VALUE"""),"the boondock saints")</f>
        <v>the boondock saints</v>
      </c>
      <c r="B2842" s="1" t="str">
        <f>IF(A2842&lt;&gt;"", VLOOKUP(A2842, imdb_netflix_v5!A$2:H$7370, 2, FALSE), "")</f>
        <v>Movie</v>
      </c>
      <c r="C2842" s="2" t="str">
        <f>IF(A2842&lt;&gt;"", VLOOKUP(A2842, imdb_netflix_v5!A$2:H$7370, 3, FALSE), "")</f>
        <v>Action, Crime, Thriller</v>
      </c>
      <c r="D2842" s="2">
        <f>IF(A2842&lt;&gt;"", VLOOKUP(A2842, imdb_netflix_v5!A$2:H$7370, 4, FALSE), "")</f>
        <v>7.6</v>
      </c>
      <c r="E2842" s="2">
        <f>IF(A2842&lt;&gt;"", VLOOKUP(A2842, imdb_netflix_v5!A$2:H$7370, 5, FALSE), "")</f>
        <v>1999</v>
      </c>
      <c r="F2842" s="2" t="str">
        <f>IF(A2842&lt;&gt;"", VLOOKUP(A2842, imdb_netflix_v5!A$2:H$7370, 7, FALSE), "")</f>
        <v>NA</v>
      </c>
    </row>
    <row r="2843" ht="15.75" customHeight="1">
      <c r="A2843" s="1" t="str">
        <f>IFERROR(__xludf.DUMMYFUNCTION("""COMPUTED_VALUE"""),"21 grams")</f>
        <v>21 grams</v>
      </c>
      <c r="B2843" s="1" t="str">
        <f>IF(A2843&lt;&gt;"", VLOOKUP(A2843, imdb_netflix_v5!A$2:H$7370, 2, FALSE), "")</f>
        <v>Movie</v>
      </c>
      <c r="C2843" s="2" t="str">
        <f>IF(A2843&lt;&gt;"", VLOOKUP(A2843, imdb_netflix_v5!A$2:H$7370, 3, FALSE), "")</f>
        <v>Crime, Drama, Thriller</v>
      </c>
      <c r="D2843" s="2">
        <f>IF(A2843&lt;&gt;"", VLOOKUP(A2843, imdb_netflix_v5!A$2:H$7370, 4, FALSE), "")</f>
        <v>7.6</v>
      </c>
      <c r="E2843" s="2">
        <f>IF(A2843&lt;&gt;"", VLOOKUP(A2843, imdb_netflix_v5!A$2:H$7370, 5, FALSE), "")</f>
        <v>2003</v>
      </c>
      <c r="F2843" s="2" t="str">
        <f>IF(A2843&lt;&gt;"", VLOOKUP(A2843, imdb_netflix_v5!A$2:H$7370, 7, FALSE), "")</f>
        <v>NA</v>
      </c>
    </row>
    <row r="2844" ht="15.75" customHeight="1">
      <c r="A2844" s="1" t="str">
        <f>IFERROR(__xludf.DUMMYFUNCTION("""COMPUTED_VALUE"""),"the whale")</f>
        <v>the whale</v>
      </c>
      <c r="B2844" s="1" t="str">
        <f>IF(A2844&lt;&gt;"", VLOOKUP(A2844, imdb_netflix_v5!A$2:H$7370, 2, FALSE), "")</f>
        <v>Movie</v>
      </c>
      <c r="C2844" s="2" t="str">
        <f>IF(A2844&lt;&gt;"", VLOOKUP(A2844, imdb_netflix_v5!A$2:H$7370, 3, FALSE), "")</f>
        <v>Drama</v>
      </c>
      <c r="D2844" s="2">
        <f>IF(A2844&lt;&gt;"", VLOOKUP(A2844, imdb_netflix_v5!A$2:H$7370, 4, FALSE), "")</f>
        <v>7.6</v>
      </c>
      <c r="E2844" s="2">
        <f>IF(A2844&lt;&gt;"", VLOOKUP(A2844, imdb_netflix_v5!A$2:H$7370, 5, FALSE), "")</f>
        <v>2022</v>
      </c>
      <c r="F2844" s="2" t="str">
        <f>IF(A2844&lt;&gt;"", VLOOKUP(A2844, imdb_netflix_v5!A$2:H$7370, 7, FALSE), "")</f>
        <v>NA</v>
      </c>
    </row>
    <row r="2845" ht="15.75" customHeight="1">
      <c r="A2845" s="1" t="str">
        <f>IFERROR(__xludf.DUMMYFUNCTION("""COMPUTED_VALUE"""),"match point")</f>
        <v>match point</v>
      </c>
      <c r="B2845" s="1" t="str">
        <f>IF(A2845&lt;&gt;"", VLOOKUP(A2845, imdb_netflix_v5!A$2:H$7370, 2, FALSE), "")</f>
        <v>Movie</v>
      </c>
      <c r="C2845" s="2" t="str">
        <f>IF(A2845&lt;&gt;"", VLOOKUP(A2845, imdb_netflix_v5!A$2:H$7370, 3, FALSE), "")</f>
        <v>Drama, Romance, Thriller</v>
      </c>
      <c r="D2845" s="2">
        <f>IF(A2845&lt;&gt;"", VLOOKUP(A2845, imdb_netflix_v5!A$2:H$7370, 4, FALSE), "")</f>
        <v>7.6</v>
      </c>
      <c r="E2845" s="2">
        <f>IF(A2845&lt;&gt;"", VLOOKUP(A2845, imdb_netflix_v5!A$2:H$7370, 5, FALSE), "")</f>
        <v>2005</v>
      </c>
      <c r="F2845" s="2" t="str">
        <f>IF(A2845&lt;&gt;"", VLOOKUP(A2845, imdb_netflix_v5!A$2:H$7370, 7, FALSE), "")</f>
        <v>NA</v>
      </c>
    </row>
    <row r="2846" ht="15.75" customHeight="1">
      <c r="A2846" s="1" t="str">
        <f>IFERROR(__xludf.DUMMYFUNCTION("""COMPUTED_VALUE"""),"traffic")</f>
        <v>traffic</v>
      </c>
      <c r="B2846" s="1" t="str">
        <f>IF(A2846&lt;&gt;"", VLOOKUP(A2846, imdb_netflix_v5!A$2:H$7370, 2, FALSE), "")</f>
        <v>Movie</v>
      </c>
      <c r="C2846" s="2" t="str">
        <f>IF(A2846&lt;&gt;"", VLOOKUP(A2846, imdb_netflix_v5!A$2:H$7370, 3, FALSE), "")</f>
        <v>Crime, Drama, Thriller</v>
      </c>
      <c r="D2846" s="2">
        <f>IF(A2846&lt;&gt;"", VLOOKUP(A2846, imdb_netflix_v5!A$2:H$7370, 4, FALSE), "")</f>
        <v>7.6</v>
      </c>
      <c r="E2846" s="2">
        <f>IF(A2846&lt;&gt;"", VLOOKUP(A2846, imdb_netflix_v5!A$2:H$7370, 5, FALSE), "")</f>
        <v>2000</v>
      </c>
      <c r="F2846" s="2" t="str">
        <f>IF(A2846&lt;&gt;"", VLOOKUP(A2846, imdb_netflix_v5!A$2:H$7370, 7, FALSE), "")</f>
        <v>NA</v>
      </c>
    </row>
    <row r="2847" ht="15.75" customHeight="1">
      <c r="A2847" s="1" t="str">
        <f>IFERROR(__xludf.DUMMYFUNCTION("""COMPUTED_VALUE"""),"close encounters of the third kind")</f>
        <v>close encounters of the third kind</v>
      </c>
      <c r="B2847" s="1" t="str">
        <f>IF(A2847&lt;&gt;"", VLOOKUP(A2847, imdb_netflix_v5!A$2:H$7370, 2, FALSE), "")</f>
        <v>Movie</v>
      </c>
      <c r="C2847" s="2" t="str">
        <f>IF(A2847&lt;&gt;"", VLOOKUP(A2847, imdb_netflix_v5!A$2:H$7370, 3, FALSE), "")</f>
        <v>Drama, Sci-Fi</v>
      </c>
      <c r="D2847" s="2">
        <f>IF(A2847&lt;&gt;"", VLOOKUP(A2847, imdb_netflix_v5!A$2:H$7370, 4, FALSE), "")</f>
        <v>7.6</v>
      </c>
      <c r="E2847" s="2">
        <f>IF(A2847&lt;&gt;"", VLOOKUP(A2847, imdb_netflix_v5!A$2:H$7370, 5, FALSE), "")</f>
        <v>1977</v>
      </c>
      <c r="F2847" s="2" t="str">
        <f>IF(A2847&lt;&gt;"", VLOOKUP(A2847, imdb_netflix_v5!A$2:H$7370, 7, FALSE), "")</f>
        <v>NA</v>
      </c>
    </row>
    <row r="2848" ht="15.75" customHeight="1">
      <c r="A2848" s="1" t="str">
        <f>IFERROR(__xludf.DUMMYFUNCTION("""COMPUTED_VALUE"""),"the raid redemption")</f>
        <v>the raid redemption</v>
      </c>
      <c r="B2848" s="1" t="str">
        <f>IF(A2848&lt;&gt;"", VLOOKUP(A2848, imdb_netflix_v5!A$2:H$7370, 2, FALSE), "")</f>
        <v>Movie</v>
      </c>
      <c r="C2848" s="2" t="str">
        <f>IF(A2848&lt;&gt;"", VLOOKUP(A2848, imdb_netflix_v5!A$2:H$7370, 3, FALSE), "")</f>
        <v>Action, Crime, Thriller</v>
      </c>
      <c r="D2848" s="2">
        <f>IF(A2848&lt;&gt;"", VLOOKUP(A2848, imdb_netflix_v5!A$2:H$7370, 4, FALSE), "")</f>
        <v>7.6</v>
      </c>
      <c r="E2848" s="2">
        <f>IF(A2848&lt;&gt;"", VLOOKUP(A2848, imdb_netflix_v5!A$2:H$7370, 5, FALSE), "")</f>
        <v>2011</v>
      </c>
      <c r="F2848" s="3">
        <f>IF(A2848&lt;&gt;"", VLOOKUP(A2848, imdb_netflix_v5!A$2:H$7370, 7, FALSE), "")</f>
        <v>2000000</v>
      </c>
    </row>
    <row r="2849" ht="15.75" customHeight="1">
      <c r="A2849" s="1" t="str">
        <f>IFERROR(__xludf.DUMMYFUNCTION("""COMPUTED_VALUE"""),"snow white and the seven dwarfs")</f>
        <v>snow white and the seven dwarfs</v>
      </c>
      <c r="B2849" s="1" t="str">
        <f>IF(A2849&lt;&gt;"", VLOOKUP(A2849, imdb_netflix_v5!A$2:H$7370, 2, FALSE), "")</f>
        <v>Movie</v>
      </c>
      <c r="C2849" s="2" t="str">
        <f>IF(A2849&lt;&gt;"", VLOOKUP(A2849, imdb_netflix_v5!A$2:H$7370, 3, FALSE), "")</f>
        <v>Adventure, Animation, Family</v>
      </c>
      <c r="D2849" s="2">
        <f>IF(A2849&lt;&gt;"", VLOOKUP(A2849, imdb_netflix_v5!A$2:H$7370, 4, FALSE), "")</f>
        <v>7.6</v>
      </c>
      <c r="E2849" s="2">
        <f>IF(A2849&lt;&gt;"", VLOOKUP(A2849, imdb_netflix_v5!A$2:H$7370, 5, FALSE), "")</f>
        <v>1937</v>
      </c>
      <c r="F2849" s="2" t="str">
        <f>IF(A2849&lt;&gt;"", VLOOKUP(A2849, imdb_netflix_v5!A$2:H$7370, 7, FALSE), "")</f>
        <v>NA</v>
      </c>
    </row>
    <row r="2850" ht="15.75" customHeight="1">
      <c r="A2850" s="1" t="str">
        <f>IFERROR(__xludf.DUMMYFUNCTION("""COMPUTED_VALUE"""),"dark city")</f>
        <v>dark city</v>
      </c>
      <c r="B2850" s="1" t="str">
        <f>IF(A2850&lt;&gt;"", VLOOKUP(A2850, imdb_netflix_v5!A$2:H$7370, 2, FALSE), "")</f>
        <v>Movie</v>
      </c>
      <c r="C2850" s="2" t="str">
        <f>IF(A2850&lt;&gt;"", VLOOKUP(A2850, imdb_netflix_v5!A$2:H$7370, 3, FALSE), "")</f>
        <v>Fantasy, Mystery, Sci-Fi</v>
      </c>
      <c r="D2850" s="2">
        <f>IF(A2850&lt;&gt;"", VLOOKUP(A2850, imdb_netflix_v5!A$2:H$7370, 4, FALSE), "")</f>
        <v>7.6</v>
      </c>
      <c r="E2850" s="2">
        <f>IF(A2850&lt;&gt;"", VLOOKUP(A2850, imdb_netflix_v5!A$2:H$7370, 5, FALSE), "")</f>
        <v>1998</v>
      </c>
      <c r="F2850" s="2" t="str">
        <f>IF(A2850&lt;&gt;"", VLOOKUP(A2850, imdb_netflix_v5!A$2:H$7370, 7, FALSE), "")</f>
        <v>NA</v>
      </c>
    </row>
    <row r="2851" ht="15.75" customHeight="1">
      <c r="A2851" s="1" t="str">
        <f>IFERROR(__xludf.DUMMYFUNCTION("""COMPUTED_VALUE"""),"falling down")</f>
        <v>falling down</v>
      </c>
      <c r="B2851" s="1" t="str">
        <f>IF(A2851&lt;&gt;"", VLOOKUP(A2851, imdb_netflix_v5!A$2:H$7370, 2, FALSE), "")</f>
        <v>Movie</v>
      </c>
      <c r="C2851" s="2" t="str">
        <f>IF(A2851&lt;&gt;"", VLOOKUP(A2851, imdb_netflix_v5!A$2:H$7370, 3, FALSE), "")</f>
        <v>Crime, Drama, Thriller</v>
      </c>
      <c r="D2851" s="2">
        <f>IF(A2851&lt;&gt;"", VLOOKUP(A2851, imdb_netflix_v5!A$2:H$7370, 4, FALSE), "")</f>
        <v>7.6</v>
      </c>
      <c r="E2851" s="2">
        <f>IF(A2851&lt;&gt;"", VLOOKUP(A2851, imdb_netflix_v5!A$2:H$7370, 5, FALSE), "")</f>
        <v>1993</v>
      </c>
      <c r="F2851" s="2" t="str">
        <f>IF(A2851&lt;&gt;"", VLOOKUP(A2851, imdb_netflix_v5!A$2:H$7370, 7, FALSE), "")</f>
        <v>NA</v>
      </c>
    </row>
    <row r="2852" ht="15.75" customHeight="1">
      <c r="A2852" s="1" t="str">
        <f>IFERROR(__xludf.DUMMYFUNCTION("""COMPUTED_VALUE"""),"run lola run")</f>
        <v>run lola run</v>
      </c>
      <c r="B2852" s="1" t="str">
        <f>IF(A2852&lt;&gt;"", VLOOKUP(A2852, imdb_netflix_v5!A$2:H$7370, 2, FALSE), "")</f>
        <v>Movie</v>
      </c>
      <c r="C2852" s="2" t="str">
        <f>IF(A2852&lt;&gt;"", VLOOKUP(A2852, imdb_netflix_v5!A$2:H$7370, 3, FALSE), "")</f>
        <v>Action, Crime, Thriller</v>
      </c>
      <c r="D2852" s="2">
        <f>IF(A2852&lt;&gt;"", VLOOKUP(A2852, imdb_netflix_v5!A$2:H$7370, 4, FALSE), "")</f>
        <v>7.6</v>
      </c>
      <c r="E2852" s="2">
        <f>IF(A2852&lt;&gt;"", VLOOKUP(A2852, imdb_netflix_v5!A$2:H$7370, 5, FALSE), "")</f>
        <v>1998</v>
      </c>
      <c r="F2852" s="2" t="str">
        <f>IF(A2852&lt;&gt;"", VLOOKUP(A2852, imdb_netflix_v5!A$2:H$7370, 7, FALSE), "")</f>
        <v>NA</v>
      </c>
    </row>
    <row r="2853" ht="15.75" customHeight="1">
      <c r="A2853" s="1" t="str">
        <f>IFERROR(__xludf.DUMMYFUNCTION("""COMPUTED_VALUE"""),"the fly")</f>
        <v>the fly</v>
      </c>
      <c r="B2853" s="1" t="str">
        <f>IF(A2853&lt;&gt;"", VLOOKUP(A2853, imdb_netflix_v5!A$2:H$7370, 2, FALSE), "")</f>
        <v>Movie</v>
      </c>
      <c r="C2853" s="2" t="str">
        <f>IF(A2853&lt;&gt;"", VLOOKUP(A2853, imdb_netflix_v5!A$2:H$7370, 3, FALSE), "")</f>
        <v>Drama, Horror, Sci-Fi</v>
      </c>
      <c r="D2853" s="2">
        <f>IF(A2853&lt;&gt;"", VLOOKUP(A2853, imdb_netflix_v5!A$2:H$7370, 4, FALSE), "")</f>
        <v>7.6</v>
      </c>
      <c r="E2853" s="2">
        <f>IF(A2853&lt;&gt;"", VLOOKUP(A2853, imdb_netflix_v5!A$2:H$7370, 5, FALSE), "")</f>
        <v>1986</v>
      </c>
      <c r="F2853" s="2" t="str">
        <f>IF(A2853&lt;&gt;"", VLOOKUP(A2853, imdb_netflix_v5!A$2:H$7370, 7, FALSE), "")</f>
        <v>NA</v>
      </c>
    </row>
    <row r="2854" ht="15.75" customHeight="1">
      <c r="A2854" s="1" t="str">
        <f>IFERROR(__xludf.DUMMYFUNCTION("""COMPUTED_VALUE"""),"the birds")</f>
        <v>the birds</v>
      </c>
      <c r="B2854" s="1" t="str">
        <f>IF(A2854&lt;&gt;"", VLOOKUP(A2854, imdb_netflix_v5!A$2:H$7370, 2, FALSE), "")</f>
        <v>Movie</v>
      </c>
      <c r="C2854" s="2" t="str">
        <f>IF(A2854&lt;&gt;"", VLOOKUP(A2854, imdb_netflix_v5!A$2:H$7370, 3, FALSE), "")</f>
        <v>Drama, Horror, Mystery</v>
      </c>
      <c r="D2854" s="2">
        <f>IF(A2854&lt;&gt;"", VLOOKUP(A2854, imdb_netflix_v5!A$2:H$7370, 4, FALSE), "")</f>
        <v>7.6</v>
      </c>
      <c r="E2854" s="2">
        <f>IF(A2854&lt;&gt;"", VLOOKUP(A2854, imdb_netflix_v5!A$2:H$7370, 5, FALSE), "")</f>
        <v>1963</v>
      </c>
      <c r="F2854" s="2" t="str">
        <f>IF(A2854&lt;&gt;"", VLOOKUP(A2854, imdb_netflix_v5!A$2:H$7370, 7, FALSE), "")</f>
        <v>NA</v>
      </c>
    </row>
    <row r="2855" ht="15.75" customHeight="1">
      <c r="A2855" s="1" t="str">
        <f>IFERROR(__xludf.DUMMYFUNCTION("""COMPUTED_VALUE"""),"the road warrior")</f>
        <v>the road warrior</v>
      </c>
      <c r="B2855" s="1" t="str">
        <f>IF(A2855&lt;&gt;"", VLOOKUP(A2855, imdb_netflix_v5!A$2:H$7370, 2, FALSE), "")</f>
        <v>Movie</v>
      </c>
      <c r="C2855" s="2" t="str">
        <f>IF(A2855&lt;&gt;"", VLOOKUP(A2855, imdb_netflix_v5!A$2:H$7370, 3, FALSE), "")</f>
        <v>Action, Adventure, Sci-Fi</v>
      </c>
      <c r="D2855" s="2">
        <f>IF(A2855&lt;&gt;"", VLOOKUP(A2855, imdb_netflix_v5!A$2:H$7370, 4, FALSE), "")</f>
        <v>7.6</v>
      </c>
      <c r="E2855" s="2">
        <f>IF(A2855&lt;&gt;"", VLOOKUP(A2855, imdb_netflix_v5!A$2:H$7370, 5, FALSE), "")</f>
        <v>1981</v>
      </c>
      <c r="F2855" s="2" t="str">
        <f>IF(A2855&lt;&gt;"", VLOOKUP(A2855, imdb_netflix_v5!A$2:H$7370, 7, FALSE), "")</f>
        <v>NA</v>
      </c>
    </row>
    <row r="2856" ht="15.75" customHeight="1">
      <c r="A2856" s="1" t="str">
        <f>IFERROR(__xludf.DUMMYFUNCTION("""COMPUTED_VALUE"""),"dazed and confused")</f>
        <v>dazed and confused</v>
      </c>
      <c r="B2856" s="1" t="str">
        <f>IF(A2856&lt;&gt;"", VLOOKUP(A2856, imdb_netflix_v5!A$2:H$7370, 2, FALSE), "")</f>
        <v>Movie</v>
      </c>
      <c r="C2856" s="2" t="str">
        <f>IF(A2856&lt;&gt;"", VLOOKUP(A2856, imdb_netflix_v5!A$2:H$7370, 3, FALSE), "")</f>
        <v>Comedy</v>
      </c>
      <c r="D2856" s="2">
        <f>IF(A2856&lt;&gt;"", VLOOKUP(A2856, imdb_netflix_v5!A$2:H$7370, 4, FALSE), "")</f>
        <v>7.6</v>
      </c>
      <c r="E2856" s="2">
        <f>IF(A2856&lt;&gt;"", VLOOKUP(A2856, imdb_netflix_v5!A$2:H$7370, 5, FALSE), "")</f>
        <v>1993</v>
      </c>
      <c r="F2856" s="2" t="str">
        <f>IF(A2856&lt;&gt;"", VLOOKUP(A2856, imdb_netflix_v5!A$2:H$7370, 7, FALSE), "")</f>
        <v>NA</v>
      </c>
    </row>
    <row r="2857" ht="15.75" customHeight="1">
      <c r="A2857" s="1" t="str">
        <f>IFERROR(__xludf.DUMMYFUNCTION("""COMPUTED_VALUE"""),"the thin red line")</f>
        <v>the thin red line</v>
      </c>
      <c r="B2857" s="1" t="str">
        <f>IF(A2857&lt;&gt;"", VLOOKUP(A2857, imdb_netflix_v5!A$2:H$7370, 2, FALSE), "")</f>
        <v>Movie</v>
      </c>
      <c r="C2857" s="2" t="str">
        <f>IF(A2857&lt;&gt;"", VLOOKUP(A2857, imdb_netflix_v5!A$2:H$7370, 3, FALSE), "")</f>
        <v>Drama, History, War</v>
      </c>
      <c r="D2857" s="2">
        <f>IF(A2857&lt;&gt;"", VLOOKUP(A2857, imdb_netflix_v5!A$2:H$7370, 4, FALSE), "")</f>
        <v>7.6</v>
      </c>
      <c r="E2857" s="2">
        <f>IF(A2857&lt;&gt;"", VLOOKUP(A2857, imdb_netflix_v5!A$2:H$7370, 5, FALSE), "")</f>
        <v>1998</v>
      </c>
      <c r="F2857" s="2" t="str">
        <f>IF(A2857&lt;&gt;"", VLOOKUP(A2857, imdb_netflix_v5!A$2:H$7370, 7, FALSE), "")</f>
        <v>NA</v>
      </c>
    </row>
    <row r="2858" ht="15.75" customHeight="1">
      <c r="A2858" s="1" t="str">
        <f>IFERROR(__xludf.DUMMYFUNCTION("""COMPUTED_VALUE"""),"the jungle book")</f>
        <v>the jungle book</v>
      </c>
      <c r="B2858" s="1" t="str">
        <f>IF(A2858&lt;&gt;"", VLOOKUP(A2858, imdb_netflix_v5!A$2:H$7370, 2, FALSE), "")</f>
        <v>Movie</v>
      </c>
      <c r="C2858" s="2" t="str">
        <f>IF(A2858&lt;&gt;"", VLOOKUP(A2858, imdb_netflix_v5!A$2:H$7370, 3, FALSE), "")</f>
        <v>Adventure, Animation, Comedy</v>
      </c>
      <c r="D2858" s="2">
        <f>IF(A2858&lt;&gt;"", VLOOKUP(A2858, imdb_netflix_v5!A$2:H$7370, 4, FALSE), "")</f>
        <v>7.6</v>
      </c>
      <c r="E2858" s="2">
        <f>IF(A2858&lt;&gt;"", VLOOKUP(A2858, imdb_netflix_v5!A$2:H$7370, 5, FALSE), "")</f>
        <v>1967</v>
      </c>
      <c r="F2858" s="2" t="str">
        <f>IF(A2858&lt;&gt;"", VLOOKUP(A2858, imdb_netflix_v5!A$2:H$7370, 7, FALSE), "")</f>
        <v>NA</v>
      </c>
    </row>
    <row r="2859" ht="15.75" customHeight="1">
      <c r="A2859" s="1" t="str">
        <f>IFERROR(__xludf.DUMMYFUNCTION("""COMPUTED_VALUE"""),"rushmore")</f>
        <v>rushmore</v>
      </c>
      <c r="B2859" s="1" t="str">
        <f>IF(A2859&lt;&gt;"", VLOOKUP(A2859, imdb_netflix_v5!A$2:H$7370, 2, FALSE), "")</f>
        <v>Movie</v>
      </c>
      <c r="C2859" s="2" t="str">
        <f>IF(A2859&lt;&gt;"", VLOOKUP(A2859, imdb_netflix_v5!A$2:H$7370, 3, FALSE), "")</f>
        <v>Comedy, Drama, Romance</v>
      </c>
      <c r="D2859" s="2">
        <f>IF(A2859&lt;&gt;"", VLOOKUP(A2859, imdb_netflix_v5!A$2:H$7370, 4, FALSE), "")</f>
        <v>7.6</v>
      </c>
      <c r="E2859" s="2">
        <f>IF(A2859&lt;&gt;"", VLOOKUP(A2859, imdb_netflix_v5!A$2:H$7370, 5, FALSE), "")</f>
        <v>1998</v>
      </c>
      <c r="F2859" s="2" t="str">
        <f>IF(A2859&lt;&gt;"", VLOOKUP(A2859, imdb_netflix_v5!A$2:H$7370, 7, FALSE), "")</f>
        <v>NA</v>
      </c>
    </row>
    <row r="2860" ht="15.75" customHeight="1">
      <c r="A2860" s="1" t="str">
        <f>IFERROR(__xludf.DUMMYFUNCTION("""COMPUTED_VALUE"""),"the last king of scotland")</f>
        <v>the last king of scotland</v>
      </c>
      <c r="B2860" s="1" t="str">
        <f>IF(A2860&lt;&gt;"", VLOOKUP(A2860, imdb_netflix_v5!A$2:H$7370, 2, FALSE), "")</f>
        <v>Movie</v>
      </c>
      <c r="C2860" s="2" t="str">
        <f>IF(A2860&lt;&gt;"", VLOOKUP(A2860, imdb_netflix_v5!A$2:H$7370, 3, FALSE), "")</f>
        <v>Biography, Drama, History</v>
      </c>
      <c r="D2860" s="2">
        <f>IF(A2860&lt;&gt;"", VLOOKUP(A2860, imdb_netflix_v5!A$2:H$7370, 4, FALSE), "")</f>
        <v>7.6</v>
      </c>
      <c r="E2860" s="2">
        <f>IF(A2860&lt;&gt;"", VLOOKUP(A2860, imdb_netflix_v5!A$2:H$7370, 5, FALSE), "")</f>
        <v>2006</v>
      </c>
      <c r="F2860" s="2" t="str">
        <f>IF(A2860&lt;&gt;"", VLOOKUP(A2860, imdb_netflix_v5!A$2:H$7370, 7, FALSE), "")</f>
        <v>NA</v>
      </c>
    </row>
    <row r="2861" ht="15.75" customHeight="1">
      <c r="A2861" s="1" t="str">
        <f>IFERROR(__xludf.DUMMYFUNCTION("""COMPUTED_VALUE"""),"breakfast at tiffanys")</f>
        <v>breakfast at tiffanys</v>
      </c>
      <c r="B2861" s="1" t="str">
        <f>IF(A2861&lt;&gt;"", VLOOKUP(A2861, imdb_netflix_v5!A$2:H$7370, 2, FALSE), "")</f>
        <v>Movie</v>
      </c>
      <c r="C2861" s="2" t="str">
        <f>IF(A2861&lt;&gt;"", VLOOKUP(A2861, imdb_netflix_v5!A$2:H$7370, 3, FALSE), "")</f>
        <v>Comedy, Drama, Romance</v>
      </c>
      <c r="D2861" s="2">
        <f>IF(A2861&lt;&gt;"", VLOOKUP(A2861, imdb_netflix_v5!A$2:H$7370, 4, FALSE), "")</f>
        <v>7.6</v>
      </c>
      <c r="E2861" s="2">
        <f>IF(A2861&lt;&gt;"", VLOOKUP(A2861, imdb_netflix_v5!A$2:H$7370, 5, FALSE), "")</f>
        <v>1961</v>
      </c>
      <c r="F2861" s="2" t="str">
        <f>IF(A2861&lt;&gt;"", VLOOKUP(A2861, imdb_netflix_v5!A$2:H$7370, 7, FALSE), "")</f>
        <v>NA</v>
      </c>
    </row>
    <row r="2862" ht="15.75" customHeight="1">
      <c r="A2862" s="1" t="str">
        <f>IFERROR(__xludf.DUMMYFUNCTION("""COMPUTED_VALUE"""),"the last of the mohicans")</f>
        <v>the last of the mohicans</v>
      </c>
      <c r="B2862" s="1" t="str">
        <f>IF(A2862&lt;&gt;"", VLOOKUP(A2862, imdb_netflix_v5!A$2:H$7370, 2, FALSE), "")</f>
        <v>Movie</v>
      </c>
      <c r="C2862" s="2" t="str">
        <f>IF(A2862&lt;&gt;"", VLOOKUP(A2862, imdb_netflix_v5!A$2:H$7370, 3, FALSE), "")</f>
        <v>Action, Adventure, Drama</v>
      </c>
      <c r="D2862" s="2">
        <f>IF(A2862&lt;&gt;"", VLOOKUP(A2862, imdb_netflix_v5!A$2:H$7370, 4, FALSE), "")</f>
        <v>7.6</v>
      </c>
      <c r="E2862" s="2">
        <f>IF(A2862&lt;&gt;"", VLOOKUP(A2862, imdb_netflix_v5!A$2:H$7370, 5, FALSE), "")</f>
        <v>1992</v>
      </c>
      <c r="F2862" s="2" t="str">
        <f>IF(A2862&lt;&gt;"", VLOOKUP(A2862, imdb_netflix_v5!A$2:H$7370, 7, FALSE), "")</f>
        <v>NA</v>
      </c>
    </row>
    <row r="2863" ht="15.75" customHeight="1">
      <c r="A2863" s="1" t="str">
        <f>IFERROR(__xludf.DUMMYFUNCTION("""COMPUTED_VALUE"""),"the naked gun from the files of police squad!")</f>
        <v>the naked gun from the files of police squad!</v>
      </c>
      <c r="B2863" s="1" t="str">
        <f>IF(A2863&lt;&gt;"", VLOOKUP(A2863, imdb_netflix_v5!A$2:H$7370, 2, FALSE), "")</f>
        <v>Movie</v>
      </c>
      <c r="C2863" s="2" t="str">
        <f>IF(A2863&lt;&gt;"", VLOOKUP(A2863, imdb_netflix_v5!A$2:H$7370, 3, FALSE), "")</f>
        <v>Comedy, Crime</v>
      </c>
      <c r="D2863" s="2">
        <f>IF(A2863&lt;&gt;"", VLOOKUP(A2863, imdb_netflix_v5!A$2:H$7370, 4, FALSE), "")</f>
        <v>7.6</v>
      </c>
      <c r="E2863" s="2">
        <f>IF(A2863&lt;&gt;"", VLOOKUP(A2863, imdb_netflix_v5!A$2:H$7370, 5, FALSE), "")</f>
        <v>1988</v>
      </c>
      <c r="F2863" s="2" t="str">
        <f>IF(A2863&lt;&gt;"", VLOOKUP(A2863, imdb_netflix_v5!A$2:H$7370, 7, FALSE), "")</f>
        <v>NA</v>
      </c>
    </row>
    <row r="2864" ht="15.75" customHeight="1">
      <c r="A2864" s="1" t="str">
        <f>IFERROR(__xludf.DUMMYFUNCTION("""COMPUTED_VALUE"""),"25th hour")</f>
        <v>25th hour</v>
      </c>
      <c r="B2864" s="1" t="str">
        <f>IF(A2864&lt;&gt;"", VLOOKUP(A2864, imdb_netflix_v5!A$2:H$7370, 2, FALSE), "")</f>
        <v>Movie</v>
      </c>
      <c r="C2864" s="2" t="str">
        <f>IF(A2864&lt;&gt;"", VLOOKUP(A2864, imdb_netflix_v5!A$2:H$7370, 3, FALSE), "")</f>
        <v>Drama</v>
      </c>
      <c r="D2864" s="2">
        <f>IF(A2864&lt;&gt;"", VLOOKUP(A2864, imdb_netflix_v5!A$2:H$7370, 4, FALSE), "")</f>
        <v>7.6</v>
      </c>
      <c r="E2864" s="2">
        <f>IF(A2864&lt;&gt;"", VLOOKUP(A2864, imdb_netflix_v5!A$2:H$7370, 5, FALSE), "")</f>
        <v>2002</v>
      </c>
      <c r="F2864" s="2" t="str">
        <f>IF(A2864&lt;&gt;"", VLOOKUP(A2864, imdb_netflix_v5!A$2:H$7370, 7, FALSE), "")</f>
        <v>NA</v>
      </c>
    </row>
    <row r="2865" ht="15.75" customHeight="1">
      <c r="A2865" s="1" t="str">
        <f>IFERROR(__xludf.DUMMYFUNCTION("""COMPUTED_VALUE"""),"inside out 2")</f>
        <v>inside out 2</v>
      </c>
      <c r="B2865" s="1" t="str">
        <f>IF(A2865&lt;&gt;"", VLOOKUP(A2865, imdb_netflix_v5!A$2:H$7370, 2, FALSE), "")</f>
        <v>Movie</v>
      </c>
      <c r="C2865" s="2" t="str">
        <f>IF(A2865&lt;&gt;"", VLOOKUP(A2865, imdb_netflix_v5!A$2:H$7370, 3, FALSE), "")</f>
        <v>Adventure, Animation, Comedy</v>
      </c>
      <c r="D2865" s="2">
        <f>IF(A2865&lt;&gt;"", VLOOKUP(A2865, imdb_netflix_v5!A$2:H$7370, 4, FALSE), "")</f>
        <v>7.6</v>
      </c>
      <c r="E2865" s="2">
        <f>IF(A2865&lt;&gt;"", VLOOKUP(A2865, imdb_netflix_v5!A$2:H$7370, 5, FALSE), "")</f>
        <v>2024</v>
      </c>
      <c r="F2865" s="2" t="str">
        <f>IF(A2865&lt;&gt;"", VLOOKUP(A2865, imdb_netflix_v5!A$2:H$7370, 7, FALSE), "")</f>
        <v>NA</v>
      </c>
    </row>
    <row r="2866" ht="15.75" customHeight="1">
      <c r="A2866" s="1" t="str">
        <f>IFERROR(__xludf.DUMMYFUNCTION("""COMPUTED_VALUE"""),"searching")</f>
        <v>searching</v>
      </c>
      <c r="B2866" s="1" t="str">
        <f>IF(A2866&lt;&gt;"", VLOOKUP(A2866, imdb_netflix_v5!A$2:H$7370, 2, FALSE), "")</f>
        <v>Movie</v>
      </c>
      <c r="C2866" s="2" t="str">
        <f>IF(A2866&lt;&gt;"", VLOOKUP(A2866, imdb_netflix_v5!A$2:H$7370, 3, FALSE), "")</f>
        <v>Drama, Mystery, Thriller</v>
      </c>
      <c r="D2866" s="2">
        <f>IF(A2866&lt;&gt;"", VLOOKUP(A2866, imdb_netflix_v5!A$2:H$7370, 4, FALSE), "")</f>
        <v>7.6</v>
      </c>
      <c r="E2866" s="2">
        <f>IF(A2866&lt;&gt;"", VLOOKUP(A2866, imdb_netflix_v5!A$2:H$7370, 5, FALSE), "")</f>
        <v>2018</v>
      </c>
      <c r="F2866" s="2" t="str">
        <f>IF(A2866&lt;&gt;"", VLOOKUP(A2866, imdb_netflix_v5!A$2:H$7370, 7, FALSE), "")</f>
        <v>NA</v>
      </c>
    </row>
    <row r="2867" ht="15.75" customHeight="1">
      <c r="A2867" s="1" t="str">
        <f>IFERROR(__xludf.DUMMYFUNCTION("""COMPUTED_VALUE"""),"thelma &amp; louise")</f>
        <v>thelma &amp; louise</v>
      </c>
      <c r="B2867" s="1" t="str">
        <f>IF(A2867&lt;&gt;"", VLOOKUP(A2867, imdb_netflix_v5!A$2:H$7370, 2, FALSE), "")</f>
        <v>Movie</v>
      </c>
      <c r="C2867" s="2" t="str">
        <f>IF(A2867&lt;&gt;"", VLOOKUP(A2867, imdb_netflix_v5!A$2:H$7370, 3, FALSE), "")</f>
        <v>Adventure, Crime, Drama</v>
      </c>
      <c r="D2867" s="2">
        <f>IF(A2867&lt;&gt;"", VLOOKUP(A2867, imdb_netflix_v5!A$2:H$7370, 4, FALSE), "")</f>
        <v>7.6</v>
      </c>
      <c r="E2867" s="2">
        <f>IF(A2867&lt;&gt;"", VLOOKUP(A2867, imdb_netflix_v5!A$2:H$7370, 5, FALSE), "")</f>
        <v>1991</v>
      </c>
      <c r="F2867" s="2" t="str">
        <f>IF(A2867&lt;&gt;"", VLOOKUP(A2867, imdb_netflix_v5!A$2:H$7370, 7, FALSE), "")</f>
        <v>NA</v>
      </c>
    </row>
    <row r="2868" ht="15.75" customHeight="1">
      <c r="A2868" s="1" t="str">
        <f>IFERROR(__xludf.DUMMYFUNCTION("""COMPUTED_VALUE"""),"the skin i live in")</f>
        <v>the skin i live in</v>
      </c>
      <c r="B2868" s="1" t="str">
        <f>IF(A2868&lt;&gt;"", VLOOKUP(A2868, imdb_netflix_v5!A$2:H$7370, 2, FALSE), "")</f>
        <v>Movie</v>
      </c>
      <c r="C2868" s="2" t="str">
        <f>IF(A2868&lt;&gt;"", VLOOKUP(A2868, imdb_netflix_v5!A$2:H$7370, 3, FALSE), "")</f>
        <v>Drama, Mystery, Thriller</v>
      </c>
      <c r="D2868" s="2">
        <f>IF(A2868&lt;&gt;"", VLOOKUP(A2868, imdb_netflix_v5!A$2:H$7370, 4, FALSE), "")</f>
        <v>7.6</v>
      </c>
      <c r="E2868" s="2">
        <f>IF(A2868&lt;&gt;"", VLOOKUP(A2868, imdb_netflix_v5!A$2:H$7370, 5, FALSE), "")</f>
        <v>2011</v>
      </c>
      <c r="F2868" s="2" t="str">
        <f>IF(A2868&lt;&gt;"", VLOOKUP(A2868, imdb_netflix_v5!A$2:H$7370, 7, FALSE), "")</f>
        <v>NA</v>
      </c>
    </row>
    <row r="2869" ht="15.75" customHeight="1">
      <c r="A2869" s="1" t="str">
        <f>IFERROR(__xludf.DUMMYFUNCTION("""COMPUTED_VALUE"""),"ponyo")</f>
        <v>ponyo</v>
      </c>
      <c r="B2869" s="1" t="str">
        <f>IF(A2869&lt;&gt;"", VLOOKUP(A2869, imdb_netflix_v5!A$2:H$7370, 2, FALSE), "")</f>
        <v>Movie</v>
      </c>
      <c r="C2869" s="2" t="str">
        <f>IF(A2869&lt;&gt;"", VLOOKUP(A2869, imdb_netflix_v5!A$2:H$7370, 3, FALSE), "")</f>
        <v>Adventure, Animation, Comedy</v>
      </c>
      <c r="D2869" s="2">
        <f>IF(A2869&lt;&gt;"", VLOOKUP(A2869, imdb_netflix_v5!A$2:H$7370, 4, FALSE), "")</f>
        <v>7.6</v>
      </c>
      <c r="E2869" s="2">
        <f>IF(A2869&lt;&gt;"", VLOOKUP(A2869, imdb_netflix_v5!A$2:H$7370, 5, FALSE), "")</f>
        <v>2008</v>
      </c>
      <c r="F2869" s="2" t="str">
        <f>IF(A2869&lt;&gt;"", VLOOKUP(A2869, imdb_netflix_v5!A$2:H$7370, 7, FALSE), "")</f>
        <v>NA</v>
      </c>
    </row>
    <row r="2870" ht="15.75" customHeight="1">
      <c r="A2870" s="1" t="str">
        <f>IFERROR(__xludf.DUMMYFUNCTION("""COMPUTED_VALUE"""),"planes, trains &amp; automobiles")</f>
        <v>planes, trains &amp; automobiles</v>
      </c>
      <c r="B2870" s="1" t="str">
        <f>IF(A2870&lt;&gt;"", VLOOKUP(A2870, imdb_netflix_v5!A$2:H$7370, 2, FALSE), "")</f>
        <v>Movie</v>
      </c>
      <c r="C2870" s="2" t="str">
        <f>IF(A2870&lt;&gt;"", VLOOKUP(A2870, imdb_netflix_v5!A$2:H$7370, 3, FALSE), "")</f>
        <v>Comedy, Drama</v>
      </c>
      <c r="D2870" s="2">
        <f>IF(A2870&lt;&gt;"", VLOOKUP(A2870, imdb_netflix_v5!A$2:H$7370, 4, FALSE), "")</f>
        <v>7.6</v>
      </c>
      <c r="E2870" s="2">
        <f>IF(A2870&lt;&gt;"", VLOOKUP(A2870, imdb_netflix_v5!A$2:H$7370, 5, FALSE), "")</f>
        <v>1987</v>
      </c>
      <c r="F2870" s="2" t="str">
        <f>IF(A2870&lt;&gt;"", VLOOKUP(A2870, imdb_netflix_v5!A$2:H$7370, 7, FALSE), "")</f>
        <v>NA</v>
      </c>
    </row>
    <row r="2871" ht="15.75" customHeight="1">
      <c r="A2871" s="1" t="str">
        <f>IFERROR(__xludf.DUMMYFUNCTION("""COMPUTED_VALUE"""),"i am sam")</f>
        <v>i am sam</v>
      </c>
      <c r="B2871" s="1" t="str">
        <f>IF(A2871&lt;&gt;"", VLOOKUP(A2871, imdb_netflix_v5!A$2:H$7370, 2, FALSE), "")</f>
        <v>Movie</v>
      </c>
      <c r="C2871" s="2" t="str">
        <f>IF(A2871&lt;&gt;"", VLOOKUP(A2871, imdb_netflix_v5!A$2:H$7370, 3, FALSE), "")</f>
        <v>Drama</v>
      </c>
      <c r="D2871" s="2">
        <f>IF(A2871&lt;&gt;"", VLOOKUP(A2871, imdb_netflix_v5!A$2:H$7370, 4, FALSE), "")</f>
        <v>7.6</v>
      </c>
      <c r="E2871" s="2">
        <f>IF(A2871&lt;&gt;"", VLOOKUP(A2871, imdb_netflix_v5!A$2:H$7370, 5, FALSE), "")</f>
        <v>2001</v>
      </c>
      <c r="F2871" s="2" t="str">
        <f>IF(A2871&lt;&gt;"", VLOOKUP(A2871, imdb_netflix_v5!A$2:H$7370, 7, FALSE), "")</f>
        <v>NA</v>
      </c>
    </row>
    <row r="2872" ht="15.75" customHeight="1">
      <c r="A2872" s="1" t="str">
        <f>IFERROR(__xludf.DUMMYFUNCTION("""COMPUTED_VALUE"""),"lost highway")</f>
        <v>lost highway</v>
      </c>
      <c r="B2872" s="1" t="str">
        <f>IF(A2872&lt;&gt;"", VLOOKUP(A2872, imdb_netflix_v5!A$2:H$7370, 2, FALSE), "")</f>
        <v>Movie</v>
      </c>
      <c r="C2872" s="2" t="str">
        <f>IF(A2872&lt;&gt;"", VLOOKUP(A2872, imdb_netflix_v5!A$2:H$7370, 3, FALSE), "")</f>
        <v>Drama, Mystery, Thriller</v>
      </c>
      <c r="D2872" s="2">
        <f>IF(A2872&lt;&gt;"", VLOOKUP(A2872, imdb_netflix_v5!A$2:H$7370, 4, FALSE), "")</f>
        <v>7.6</v>
      </c>
      <c r="E2872" s="2">
        <f>IF(A2872&lt;&gt;"", VLOOKUP(A2872, imdb_netflix_v5!A$2:H$7370, 5, FALSE), "")</f>
        <v>1997</v>
      </c>
      <c r="F2872" s="2" t="str">
        <f>IF(A2872&lt;&gt;"", VLOOKUP(A2872, imdb_netflix_v5!A$2:H$7370, 7, FALSE), "")</f>
        <v>NA</v>
      </c>
    </row>
    <row r="2873" ht="15.75" customHeight="1">
      <c r="A2873" s="1" t="str">
        <f>IFERROR(__xludf.DUMMYFUNCTION("""COMPUTED_VALUE"""),"escape from alcatraz")</f>
        <v>escape from alcatraz</v>
      </c>
      <c r="B2873" s="1" t="str">
        <f>IF(A2873&lt;&gt;"", VLOOKUP(A2873, imdb_netflix_v5!A$2:H$7370, 2, FALSE), "")</f>
        <v>Movie</v>
      </c>
      <c r="C2873" s="2" t="str">
        <f>IF(A2873&lt;&gt;"", VLOOKUP(A2873, imdb_netflix_v5!A$2:H$7370, 3, FALSE), "")</f>
        <v>Biography, Crime, Drama</v>
      </c>
      <c r="D2873" s="2">
        <f>IF(A2873&lt;&gt;"", VLOOKUP(A2873, imdb_netflix_v5!A$2:H$7370, 4, FALSE), "")</f>
        <v>7.6</v>
      </c>
      <c r="E2873" s="2">
        <f>IF(A2873&lt;&gt;"", VLOOKUP(A2873, imdb_netflix_v5!A$2:H$7370, 5, FALSE), "")</f>
        <v>1979</v>
      </c>
      <c r="F2873" s="2" t="str">
        <f>IF(A2873&lt;&gt;"", VLOOKUP(A2873, imdb_netflix_v5!A$2:H$7370, 7, FALSE), "")</f>
        <v>NA</v>
      </c>
    </row>
    <row r="2874" ht="15.75" customHeight="1">
      <c r="A2874" s="1" t="str">
        <f>IFERROR(__xludf.DUMMYFUNCTION("""COMPUTED_VALUE"""),"my cousin vinny")</f>
        <v>my cousin vinny</v>
      </c>
      <c r="B2874" s="1" t="str">
        <f>IF(A2874&lt;&gt;"", VLOOKUP(A2874, imdb_netflix_v5!A$2:H$7370, 2, FALSE), "")</f>
        <v>Movie</v>
      </c>
      <c r="C2874" s="2" t="str">
        <f>IF(A2874&lt;&gt;"", VLOOKUP(A2874, imdb_netflix_v5!A$2:H$7370, 3, FALSE), "")</f>
        <v>Comedy, Crime</v>
      </c>
      <c r="D2874" s="2">
        <f>IF(A2874&lt;&gt;"", VLOOKUP(A2874, imdb_netflix_v5!A$2:H$7370, 4, FALSE), "")</f>
        <v>7.6</v>
      </c>
      <c r="E2874" s="2">
        <f>IF(A2874&lt;&gt;"", VLOOKUP(A2874, imdb_netflix_v5!A$2:H$7370, 5, FALSE), "")</f>
        <v>1992</v>
      </c>
      <c r="F2874" s="2" t="str">
        <f>IF(A2874&lt;&gt;"", VLOOKUP(A2874, imdb_netflix_v5!A$2:H$7370, 7, FALSE), "")</f>
        <v>NA</v>
      </c>
    </row>
    <row r="2875" ht="15.75" customHeight="1">
      <c r="A2875" s="1" t="str">
        <f>IFERROR(__xludf.DUMMYFUNCTION("""COMPUTED_VALUE"""),"gifted")</f>
        <v>gifted</v>
      </c>
      <c r="B2875" s="1" t="str">
        <f>IF(A2875&lt;&gt;"", VLOOKUP(A2875, imdb_netflix_v5!A$2:H$7370, 2, FALSE), "")</f>
        <v>Movie</v>
      </c>
      <c r="C2875" s="2" t="str">
        <f>IF(A2875&lt;&gt;"", VLOOKUP(A2875, imdb_netflix_v5!A$2:H$7370, 3, FALSE), "")</f>
        <v>Drama</v>
      </c>
      <c r="D2875" s="2">
        <f>IF(A2875&lt;&gt;"", VLOOKUP(A2875, imdb_netflix_v5!A$2:H$7370, 4, FALSE), "")</f>
        <v>7.6</v>
      </c>
      <c r="E2875" s="2">
        <f>IF(A2875&lt;&gt;"", VLOOKUP(A2875, imdb_netflix_v5!A$2:H$7370, 5, FALSE), "")</f>
        <v>2017</v>
      </c>
      <c r="F2875" s="2" t="str">
        <f>IF(A2875&lt;&gt;"", VLOOKUP(A2875, imdb_netflix_v5!A$2:H$7370, 7, FALSE), "")</f>
        <v>NA</v>
      </c>
    </row>
    <row r="2876" ht="15.75" customHeight="1">
      <c r="A2876" s="1" t="str">
        <f>IFERROR(__xludf.DUMMYFUNCTION("""COMPUTED_VALUE"""),"desperate housewives")</f>
        <v>desperate housewives</v>
      </c>
      <c r="B2876" s="1" t="str">
        <f>IF(A2876&lt;&gt;"", VLOOKUP(A2876, imdb_netflix_v5!A$2:H$7370, 2, FALSE), "")</f>
        <v>TV Show</v>
      </c>
      <c r="C2876" s="2" t="str">
        <f>IF(A2876&lt;&gt;"", VLOOKUP(A2876, imdb_netflix_v5!A$2:H$7370, 3, FALSE), "")</f>
        <v>Comedy, Drama, Mystery</v>
      </c>
      <c r="D2876" s="2">
        <f>IF(A2876&lt;&gt;"", VLOOKUP(A2876, imdb_netflix_v5!A$2:H$7370, 4, FALSE), "")</f>
        <v>7.6</v>
      </c>
      <c r="E2876" s="2">
        <f>IF(A2876&lt;&gt;"", VLOOKUP(A2876, imdb_netflix_v5!A$2:H$7370, 5, FALSE), "")</f>
        <v>2004</v>
      </c>
      <c r="F2876" s="2" t="str">
        <f>IF(A2876&lt;&gt;"", VLOOKUP(A2876, imdb_netflix_v5!A$2:H$7370, 7, FALSE), "")</f>
        <v>NA</v>
      </c>
    </row>
    <row r="2877" ht="15.75" customHeight="1">
      <c r="A2877" s="1" t="str">
        <f>IFERROR(__xludf.DUMMYFUNCTION("""COMPUTED_VALUE"""),"the two popes")</f>
        <v>the two popes</v>
      </c>
      <c r="B2877" s="1" t="str">
        <f>IF(A2877&lt;&gt;"", VLOOKUP(A2877, imdb_netflix_v5!A$2:H$7370, 2, FALSE), "")</f>
        <v>Movie</v>
      </c>
      <c r="C2877" s="2" t="str">
        <f>IF(A2877&lt;&gt;"", VLOOKUP(A2877, imdb_netflix_v5!A$2:H$7370, 3, FALSE), "")</f>
        <v>Biography, Comedy, Drama</v>
      </c>
      <c r="D2877" s="2">
        <f>IF(A2877&lt;&gt;"", VLOOKUP(A2877, imdb_netflix_v5!A$2:H$7370, 4, FALSE), "")</f>
        <v>7.6</v>
      </c>
      <c r="E2877" s="2">
        <f>IF(A2877&lt;&gt;"", VLOOKUP(A2877, imdb_netflix_v5!A$2:H$7370, 5, FALSE), "")</f>
        <v>2019</v>
      </c>
      <c r="F2877" s="2" t="str">
        <f>IF(A2877&lt;&gt;"", VLOOKUP(A2877, imdb_netflix_v5!A$2:H$7370, 7, FALSE), "")</f>
        <v>NA</v>
      </c>
    </row>
    <row r="2878" ht="15.75" customHeight="1">
      <c r="A2878" s="1" t="str">
        <f>IFERROR(__xludf.DUMMYFUNCTION("""COMPUTED_VALUE"""),"star trek first contact")</f>
        <v>star trek first contact</v>
      </c>
      <c r="B2878" s="1" t="str">
        <f>IF(A2878&lt;&gt;"", VLOOKUP(A2878, imdb_netflix_v5!A$2:H$7370, 2, FALSE), "")</f>
        <v>Movie</v>
      </c>
      <c r="C2878" s="2" t="str">
        <f>IF(A2878&lt;&gt;"", VLOOKUP(A2878, imdb_netflix_v5!A$2:H$7370, 3, FALSE), "")</f>
        <v>Action, Adventure, Drama</v>
      </c>
      <c r="D2878" s="2">
        <f>IF(A2878&lt;&gt;"", VLOOKUP(A2878, imdb_netflix_v5!A$2:H$7370, 4, FALSE), "")</f>
        <v>7.6</v>
      </c>
      <c r="E2878" s="2">
        <f>IF(A2878&lt;&gt;"", VLOOKUP(A2878, imdb_netflix_v5!A$2:H$7370, 5, FALSE), "")</f>
        <v>1996</v>
      </c>
      <c r="F2878" s="2" t="str">
        <f>IF(A2878&lt;&gt;"", VLOOKUP(A2878, imdb_netflix_v5!A$2:H$7370, 7, FALSE), "")</f>
        <v>NA</v>
      </c>
    </row>
    <row r="2879" ht="15.75" customHeight="1">
      <c r="A2879" s="1" t="str">
        <f>IFERROR(__xludf.DUMMYFUNCTION("""COMPUTED_VALUE"""),"the florida project")</f>
        <v>the florida project</v>
      </c>
      <c r="B2879" s="1" t="str">
        <f>IF(A2879&lt;&gt;"", VLOOKUP(A2879, imdb_netflix_v5!A$2:H$7370, 2, FALSE), "")</f>
        <v>Movie</v>
      </c>
      <c r="C2879" s="2" t="str">
        <f>IF(A2879&lt;&gt;"", VLOOKUP(A2879, imdb_netflix_v5!A$2:H$7370, 3, FALSE), "")</f>
        <v>Drama</v>
      </c>
      <c r="D2879" s="2">
        <f>IF(A2879&lt;&gt;"", VLOOKUP(A2879, imdb_netflix_v5!A$2:H$7370, 4, FALSE), "")</f>
        <v>7.6</v>
      </c>
      <c r="E2879" s="2">
        <f>IF(A2879&lt;&gt;"", VLOOKUP(A2879, imdb_netflix_v5!A$2:H$7370, 5, FALSE), "")</f>
        <v>2017</v>
      </c>
      <c r="F2879" s="2" t="str">
        <f>IF(A2879&lt;&gt;"", VLOOKUP(A2879, imdb_netflix_v5!A$2:H$7370, 7, FALSE), "")</f>
        <v>NA</v>
      </c>
    </row>
    <row r="2880" ht="15.75" customHeight="1">
      <c r="A2880" s="1" t="str">
        <f>IFERROR(__xludf.DUMMYFUNCTION("""COMPUTED_VALUE"""),"the mitchells vs. the machines")</f>
        <v>the mitchells vs. the machines</v>
      </c>
      <c r="B2880" s="1" t="str">
        <f>IF(A2880&lt;&gt;"", VLOOKUP(A2880, imdb_netflix_v5!A$2:H$7370, 2, FALSE), "")</f>
        <v>Movie</v>
      </c>
      <c r="C2880" s="2" t="str">
        <f>IF(A2880&lt;&gt;"", VLOOKUP(A2880, imdb_netflix_v5!A$2:H$7370, 3, FALSE), "")</f>
        <v>Adventure, Animation, Comedy</v>
      </c>
      <c r="D2880" s="2">
        <f>IF(A2880&lt;&gt;"", VLOOKUP(A2880, imdb_netflix_v5!A$2:H$7370, 4, FALSE), "")</f>
        <v>7.6</v>
      </c>
      <c r="E2880" s="2">
        <f>IF(A2880&lt;&gt;"", VLOOKUP(A2880, imdb_netflix_v5!A$2:H$7370, 5, FALSE), "")</f>
        <v>2021</v>
      </c>
      <c r="F2880" s="2">
        <f>IF(A2880&lt;&gt;"", VLOOKUP(A2880, imdb_netflix_v5!A$2:H$7370, 7, FALSE), "")</f>
        <v>4890000</v>
      </c>
    </row>
    <row r="2881" ht="15.75" customHeight="1">
      <c r="A2881" s="1" t="str">
        <f>IFERROR(__xludf.DUMMYFUNCTION("""COMPUTED_VALUE"""),"barton fink")</f>
        <v>barton fink</v>
      </c>
      <c r="B2881" s="1" t="str">
        <f>IF(A2881&lt;&gt;"", VLOOKUP(A2881, imdb_netflix_v5!A$2:H$7370, 2, FALSE), "")</f>
        <v>Movie</v>
      </c>
      <c r="C2881" s="2" t="str">
        <f>IF(A2881&lt;&gt;"", VLOOKUP(A2881, imdb_netflix_v5!A$2:H$7370, 3, FALSE), "")</f>
        <v>Comedy, Drama, Thriller</v>
      </c>
      <c r="D2881" s="2">
        <f>IF(A2881&lt;&gt;"", VLOOKUP(A2881, imdb_netflix_v5!A$2:H$7370, 4, FALSE), "")</f>
        <v>7.6</v>
      </c>
      <c r="E2881" s="2">
        <f>IF(A2881&lt;&gt;"", VLOOKUP(A2881, imdb_netflix_v5!A$2:H$7370, 5, FALSE), "")</f>
        <v>1991</v>
      </c>
      <c r="F2881" s="2" t="str">
        <f>IF(A2881&lt;&gt;"", VLOOKUP(A2881, imdb_netflix_v5!A$2:H$7370, 7, FALSE), "")</f>
        <v>NA</v>
      </c>
    </row>
    <row r="2882" ht="15.75" customHeight="1">
      <c r="A2882" s="1" t="str">
        <f>IFERROR(__xludf.DUMMYFUNCTION("""COMPUTED_VALUE"""),"sound of freedom")</f>
        <v>sound of freedom</v>
      </c>
      <c r="B2882" s="1" t="str">
        <f>IF(A2882&lt;&gt;"", VLOOKUP(A2882, imdb_netflix_v5!A$2:H$7370, 2, FALSE), "")</f>
        <v>Movie</v>
      </c>
      <c r="C2882" s="2" t="str">
        <f>IF(A2882&lt;&gt;"", VLOOKUP(A2882, imdb_netflix_v5!A$2:H$7370, 3, FALSE), "")</f>
        <v>Biography, Crime, Drama</v>
      </c>
      <c r="D2882" s="2">
        <f>IF(A2882&lt;&gt;"", VLOOKUP(A2882, imdb_netflix_v5!A$2:H$7370, 4, FALSE), "")</f>
        <v>7.6</v>
      </c>
      <c r="E2882" s="2">
        <f>IF(A2882&lt;&gt;"", VLOOKUP(A2882, imdb_netflix_v5!A$2:H$7370, 5, FALSE), "")</f>
        <v>2023</v>
      </c>
      <c r="F2882" s="2" t="str">
        <f>IF(A2882&lt;&gt;"", VLOOKUP(A2882, imdb_netflix_v5!A$2:H$7370, 7, FALSE), "")</f>
        <v>NA</v>
      </c>
    </row>
    <row r="2883" ht="15.75" customHeight="1">
      <c r="A2883" s="1" t="str">
        <f>IFERROR(__xludf.DUMMYFUNCTION("""COMPUTED_VALUE"""),"west side story")</f>
        <v>west side story</v>
      </c>
      <c r="B2883" s="1" t="str">
        <f>IF(A2883&lt;&gt;"", VLOOKUP(A2883, imdb_netflix_v5!A$2:H$7370, 2, FALSE), "")</f>
        <v>Movie</v>
      </c>
      <c r="C2883" s="2" t="str">
        <f>IF(A2883&lt;&gt;"", VLOOKUP(A2883, imdb_netflix_v5!A$2:H$7370, 3, FALSE), "")</f>
        <v>Crime, Drama, Musical</v>
      </c>
      <c r="D2883" s="2">
        <f>IF(A2883&lt;&gt;"", VLOOKUP(A2883, imdb_netflix_v5!A$2:H$7370, 4, FALSE), "")</f>
        <v>7.6</v>
      </c>
      <c r="E2883" s="2">
        <f>IF(A2883&lt;&gt;"", VLOOKUP(A2883, imdb_netflix_v5!A$2:H$7370, 5, FALSE), "")</f>
        <v>1961</v>
      </c>
      <c r="F2883" s="2" t="str">
        <f>IF(A2883&lt;&gt;"", VLOOKUP(A2883, imdb_netflix_v5!A$2:H$7370, 7, FALSE), "")</f>
        <v>NA</v>
      </c>
    </row>
    <row r="2884" ht="15.75" customHeight="1">
      <c r="A2884" s="1" t="str">
        <f>IFERROR(__xludf.DUMMYFUNCTION("""COMPUTED_VALUE"""),"deliverance")</f>
        <v>deliverance</v>
      </c>
      <c r="B2884" s="1" t="str">
        <f>IF(A2884&lt;&gt;"", VLOOKUP(A2884, imdb_netflix_v5!A$2:H$7370, 2, FALSE), "")</f>
        <v>Movie</v>
      </c>
      <c r="C2884" s="2" t="str">
        <f>IF(A2884&lt;&gt;"", VLOOKUP(A2884, imdb_netflix_v5!A$2:H$7370, 3, FALSE), "")</f>
        <v>Adventure, Drama, Thriller</v>
      </c>
      <c r="D2884" s="2">
        <f>IF(A2884&lt;&gt;"", VLOOKUP(A2884, imdb_netflix_v5!A$2:H$7370, 4, FALSE), "")</f>
        <v>7.6</v>
      </c>
      <c r="E2884" s="2">
        <f>IF(A2884&lt;&gt;"", VLOOKUP(A2884, imdb_netflix_v5!A$2:H$7370, 5, FALSE), "")</f>
        <v>1972</v>
      </c>
      <c r="F2884" s="2" t="str">
        <f>IF(A2884&lt;&gt;"", VLOOKUP(A2884, imdb_netflix_v5!A$2:H$7370, 7, FALSE), "")</f>
        <v>NA</v>
      </c>
    </row>
    <row r="2885" ht="15.75" customHeight="1">
      <c r="A2885" s="1" t="str">
        <f>IFERROR(__xludf.DUMMYFUNCTION("""COMPUTED_VALUE"""),"guillermo del toros pinocchio")</f>
        <v>guillermo del toros pinocchio</v>
      </c>
      <c r="B2885" s="1" t="str">
        <f>IF(A2885&lt;&gt;"", VLOOKUP(A2885, imdb_netflix_v5!A$2:H$7370, 2, FALSE), "")</f>
        <v>Movie</v>
      </c>
      <c r="C2885" s="2" t="str">
        <f>IF(A2885&lt;&gt;"", VLOOKUP(A2885, imdb_netflix_v5!A$2:H$7370, 3, FALSE), "")</f>
        <v>Adventure, Animation, Drama</v>
      </c>
      <c r="D2885" s="2">
        <f>IF(A2885&lt;&gt;"", VLOOKUP(A2885, imdb_netflix_v5!A$2:H$7370, 4, FALSE), "")</f>
        <v>7.6</v>
      </c>
      <c r="E2885" s="2">
        <f>IF(A2885&lt;&gt;"", VLOOKUP(A2885, imdb_netflix_v5!A$2:H$7370, 5, FALSE), "")</f>
        <v>2022</v>
      </c>
      <c r="F2885" s="2" t="str">
        <f>IF(A2885&lt;&gt;"", VLOOKUP(A2885, imdb_netflix_v5!A$2:H$7370, 7, FALSE), "")</f>
        <v>NA</v>
      </c>
    </row>
    <row r="2886" ht="15.75" customHeight="1">
      <c r="A2886" s="1" t="str">
        <f>IFERROR(__xludf.DUMMYFUNCTION("""COMPUTED_VALUE"""),"the wave")</f>
        <v>the wave</v>
      </c>
      <c r="B2886" s="1" t="str">
        <f>IF(A2886&lt;&gt;"", VLOOKUP(A2886, imdb_netflix_v5!A$2:H$7370, 2, FALSE), "")</f>
        <v>Movie</v>
      </c>
      <c r="C2886" s="2" t="str">
        <f>IF(A2886&lt;&gt;"", VLOOKUP(A2886, imdb_netflix_v5!A$2:H$7370, 3, FALSE), "")</f>
        <v>Drama, Thriller</v>
      </c>
      <c r="D2886" s="2">
        <f>IF(A2886&lt;&gt;"", VLOOKUP(A2886, imdb_netflix_v5!A$2:H$7370, 4, FALSE), "")</f>
        <v>7.6</v>
      </c>
      <c r="E2886" s="2">
        <f>IF(A2886&lt;&gt;"", VLOOKUP(A2886, imdb_netflix_v5!A$2:H$7370, 5, FALSE), "")</f>
        <v>2008</v>
      </c>
      <c r="F2886" s="2" t="str">
        <f>IF(A2886&lt;&gt;"", VLOOKUP(A2886, imdb_netflix_v5!A$2:H$7370, 7, FALSE), "")</f>
        <v>NA</v>
      </c>
    </row>
    <row r="2887" ht="15.75" customHeight="1">
      <c r="A2887" s="1" t="str">
        <f>IFERROR(__xludf.DUMMYFUNCTION("""COMPUTED_VALUE"""),"enter the dragon")</f>
        <v>enter the dragon</v>
      </c>
      <c r="B2887" s="1" t="str">
        <f>IF(A2887&lt;&gt;"", VLOOKUP(A2887, imdb_netflix_v5!A$2:H$7370, 2, FALSE), "")</f>
        <v>Movie</v>
      </c>
      <c r="C2887" s="2" t="str">
        <f>IF(A2887&lt;&gt;"", VLOOKUP(A2887, imdb_netflix_v5!A$2:H$7370, 3, FALSE), "")</f>
        <v>Action, Crime, Thriller</v>
      </c>
      <c r="D2887" s="2">
        <f>IF(A2887&lt;&gt;"", VLOOKUP(A2887, imdb_netflix_v5!A$2:H$7370, 4, FALSE), "")</f>
        <v>7.6</v>
      </c>
      <c r="E2887" s="2">
        <f>IF(A2887&lt;&gt;"", VLOOKUP(A2887, imdb_netflix_v5!A$2:H$7370, 5, FALSE), "")</f>
        <v>1973</v>
      </c>
      <c r="F2887" s="2" t="str">
        <f>IF(A2887&lt;&gt;"", VLOOKUP(A2887, imdb_netflix_v5!A$2:H$7370, 7, FALSE), "")</f>
        <v>NA</v>
      </c>
    </row>
    <row r="2888" ht="15.75" customHeight="1">
      <c r="A2888" s="1" t="str">
        <f>IFERROR(__xludf.DUMMYFUNCTION("""COMPUTED_VALUE"""),"frost/nixon")</f>
        <v>frost/nixon</v>
      </c>
      <c r="B2888" s="1" t="str">
        <f>IF(A2888&lt;&gt;"", VLOOKUP(A2888, imdb_netflix_v5!A$2:H$7370, 2, FALSE), "")</f>
        <v>Movie</v>
      </c>
      <c r="C2888" s="2" t="str">
        <f>IF(A2888&lt;&gt;"", VLOOKUP(A2888, imdb_netflix_v5!A$2:H$7370, 3, FALSE), "")</f>
        <v>Biography, Drama, History</v>
      </c>
      <c r="D2888" s="2">
        <f>IF(A2888&lt;&gt;"", VLOOKUP(A2888, imdb_netflix_v5!A$2:H$7370, 4, FALSE), "")</f>
        <v>7.6</v>
      </c>
      <c r="E2888" s="2">
        <f>IF(A2888&lt;&gt;"", VLOOKUP(A2888, imdb_netflix_v5!A$2:H$7370, 5, FALSE), "")</f>
        <v>2008</v>
      </c>
      <c r="F2888" s="2" t="str">
        <f>IF(A2888&lt;&gt;"", VLOOKUP(A2888, imdb_netflix_v5!A$2:H$7370, 7, FALSE), "")</f>
        <v>NA</v>
      </c>
    </row>
    <row r="2889" ht="15.75" customHeight="1">
      <c r="A2889" s="1" t="str">
        <f>IFERROR(__xludf.DUMMYFUNCTION("""COMPUTED_VALUE"""),"united 93")</f>
        <v>united 93</v>
      </c>
      <c r="B2889" s="1" t="str">
        <f>IF(A2889&lt;&gt;"", VLOOKUP(A2889, imdb_netflix_v5!A$2:H$7370, 2, FALSE), "")</f>
        <v>Movie</v>
      </c>
      <c r="C2889" s="2" t="str">
        <f>IF(A2889&lt;&gt;"", VLOOKUP(A2889, imdb_netflix_v5!A$2:H$7370, 3, FALSE), "")</f>
        <v>Action, Drama, History</v>
      </c>
      <c r="D2889" s="2">
        <f>IF(A2889&lt;&gt;"", VLOOKUP(A2889, imdb_netflix_v5!A$2:H$7370, 4, FALSE), "")</f>
        <v>7.6</v>
      </c>
      <c r="E2889" s="2">
        <f>IF(A2889&lt;&gt;"", VLOOKUP(A2889, imdb_netflix_v5!A$2:H$7370, 5, FALSE), "")</f>
        <v>2006</v>
      </c>
      <c r="F2889" s="2" t="str">
        <f>IF(A2889&lt;&gt;"", VLOOKUP(A2889, imdb_netflix_v5!A$2:H$7370, 7, FALSE), "")</f>
        <v>NA</v>
      </c>
    </row>
    <row r="2890" ht="15.75" customHeight="1">
      <c r="A2890" s="1" t="str">
        <f>IFERROR(__xludf.DUMMYFUNCTION("""COMPUTED_VALUE"""),"dark waters")</f>
        <v>dark waters</v>
      </c>
      <c r="B2890" s="1" t="str">
        <f>IF(A2890&lt;&gt;"", VLOOKUP(A2890, imdb_netflix_v5!A$2:H$7370, 2, FALSE), "")</f>
        <v>Movie</v>
      </c>
      <c r="C2890" s="2" t="str">
        <f>IF(A2890&lt;&gt;"", VLOOKUP(A2890, imdb_netflix_v5!A$2:H$7370, 3, FALSE), "")</f>
        <v>Biography, Drama, History</v>
      </c>
      <c r="D2890" s="2">
        <f>IF(A2890&lt;&gt;"", VLOOKUP(A2890, imdb_netflix_v5!A$2:H$7370, 4, FALSE), "")</f>
        <v>7.6</v>
      </c>
      <c r="E2890" s="2">
        <f>IF(A2890&lt;&gt;"", VLOOKUP(A2890, imdb_netflix_v5!A$2:H$7370, 5, FALSE), "")</f>
        <v>2019</v>
      </c>
      <c r="F2890" s="2" t="str">
        <f>IF(A2890&lt;&gt;"", VLOOKUP(A2890, imdb_netflix_v5!A$2:H$7370, 7, FALSE), "")</f>
        <v>NA</v>
      </c>
    </row>
    <row r="2891" ht="15.75" customHeight="1">
      <c r="A2891" s="1" t="str">
        <f>IFERROR(__xludf.DUMMYFUNCTION("""COMPUTED_VALUE"""),"the peanut butter falcon")</f>
        <v>the peanut butter falcon</v>
      </c>
      <c r="B2891" s="1" t="str">
        <f>IF(A2891&lt;&gt;"", VLOOKUP(A2891, imdb_netflix_v5!A$2:H$7370, 2, FALSE), "")</f>
        <v>Movie</v>
      </c>
      <c r="C2891" s="2" t="str">
        <f>IF(A2891&lt;&gt;"", VLOOKUP(A2891, imdb_netflix_v5!A$2:H$7370, 3, FALSE), "")</f>
        <v>Adventure, Comedy, Drama</v>
      </c>
      <c r="D2891" s="2">
        <f>IF(A2891&lt;&gt;"", VLOOKUP(A2891, imdb_netflix_v5!A$2:H$7370, 4, FALSE), "")</f>
        <v>7.6</v>
      </c>
      <c r="E2891" s="2">
        <f>IF(A2891&lt;&gt;"", VLOOKUP(A2891, imdb_netflix_v5!A$2:H$7370, 5, FALSE), "")</f>
        <v>2019</v>
      </c>
      <c r="F2891" s="2" t="str">
        <f>IF(A2891&lt;&gt;"", VLOOKUP(A2891, imdb_netflix_v5!A$2:H$7370, 7, FALSE), "")</f>
        <v>NA</v>
      </c>
    </row>
    <row r="2892" ht="15.75" customHeight="1">
      <c r="A2892" s="1" t="str">
        <f>IFERROR(__xludf.DUMMYFUNCTION("""COMPUTED_VALUE"""),"volver")</f>
        <v>volver</v>
      </c>
      <c r="B2892" s="1" t="str">
        <f>IF(A2892&lt;&gt;"", VLOOKUP(A2892, imdb_netflix_v5!A$2:H$7370, 2, FALSE), "")</f>
        <v>Movie</v>
      </c>
      <c r="C2892" s="2" t="str">
        <f>IF(A2892&lt;&gt;"", VLOOKUP(A2892, imdb_netflix_v5!A$2:H$7370, 3, FALSE), "")</f>
        <v>Comedy, Drama</v>
      </c>
      <c r="D2892" s="2">
        <f>IF(A2892&lt;&gt;"", VLOOKUP(A2892, imdb_netflix_v5!A$2:H$7370, 4, FALSE), "")</f>
        <v>7.6</v>
      </c>
      <c r="E2892" s="2">
        <f>IF(A2892&lt;&gt;"", VLOOKUP(A2892, imdb_netflix_v5!A$2:H$7370, 5, FALSE), "")</f>
        <v>2006</v>
      </c>
      <c r="F2892" s="2" t="str">
        <f>IF(A2892&lt;&gt;"", VLOOKUP(A2892, imdb_netflix_v5!A$2:H$7370, 7, FALSE), "")</f>
        <v>NA</v>
      </c>
    </row>
    <row r="2893" ht="15.75" customHeight="1">
      <c r="A2893" s="1" t="str">
        <f>IFERROR(__xludf.DUMMYFUNCTION("""COMPUTED_VALUE"""),"the secret world of arrietty")</f>
        <v>the secret world of arrietty</v>
      </c>
      <c r="B2893" s="1" t="str">
        <f>IF(A2893&lt;&gt;"", VLOOKUP(A2893, imdb_netflix_v5!A$2:H$7370, 2, FALSE), "")</f>
        <v>Movie</v>
      </c>
      <c r="C2893" s="2" t="str">
        <f>IF(A2893&lt;&gt;"", VLOOKUP(A2893, imdb_netflix_v5!A$2:H$7370, 3, FALSE), "")</f>
        <v>Adventure, Animation, Drama</v>
      </c>
      <c r="D2893" s="2">
        <f>IF(A2893&lt;&gt;"", VLOOKUP(A2893, imdb_netflix_v5!A$2:H$7370, 4, FALSE), "")</f>
        <v>7.6</v>
      </c>
      <c r="E2893" s="2">
        <f>IF(A2893&lt;&gt;"", VLOOKUP(A2893, imdb_netflix_v5!A$2:H$7370, 5, FALSE), "")</f>
        <v>2010</v>
      </c>
      <c r="F2893" s="2" t="str">
        <f>IF(A2893&lt;&gt;"", VLOOKUP(A2893, imdb_netflix_v5!A$2:H$7370, 7, FALSE), "")</f>
        <v>NA</v>
      </c>
    </row>
    <row r="2894" ht="15.75" customHeight="1">
      <c r="A2894" s="1" t="str">
        <f>IFERROR(__xludf.DUMMYFUNCTION("""COMPUTED_VALUE"""),"aftersun")</f>
        <v>aftersun</v>
      </c>
      <c r="B2894" s="1" t="str">
        <f>IF(A2894&lt;&gt;"", VLOOKUP(A2894, imdb_netflix_v5!A$2:H$7370, 2, FALSE), "")</f>
        <v>Movie</v>
      </c>
      <c r="C2894" s="2" t="str">
        <f>IF(A2894&lt;&gt;"", VLOOKUP(A2894, imdb_netflix_v5!A$2:H$7370, 3, FALSE), "")</f>
        <v>Drama</v>
      </c>
      <c r="D2894" s="2">
        <f>IF(A2894&lt;&gt;"", VLOOKUP(A2894, imdb_netflix_v5!A$2:H$7370, 4, FALSE), "")</f>
        <v>7.6</v>
      </c>
      <c r="E2894" s="2">
        <f>IF(A2894&lt;&gt;"", VLOOKUP(A2894, imdb_netflix_v5!A$2:H$7370, 5, FALSE), "")</f>
        <v>2022</v>
      </c>
      <c r="F2894" s="2" t="str">
        <f>IF(A2894&lt;&gt;"", VLOOKUP(A2894, imdb_netflix_v5!A$2:H$7370, 7, FALSE), "")</f>
        <v>NA</v>
      </c>
    </row>
    <row r="2895" ht="15.75" customHeight="1">
      <c r="A2895" s="1" t="str">
        <f>IFERROR(__xludf.DUMMYFUNCTION("""COMPUTED_VALUE"""),"philomena")</f>
        <v>philomena</v>
      </c>
      <c r="B2895" s="1" t="str">
        <f>IF(A2895&lt;&gt;"", VLOOKUP(A2895, imdb_netflix_v5!A$2:H$7370, 2, FALSE), "")</f>
        <v>Movie</v>
      </c>
      <c r="C2895" s="2" t="str">
        <f>IF(A2895&lt;&gt;"", VLOOKUP(A2895, imdb_netflix_v5!A$2:H$7370, 3, FALSE), "")</f>
        <v>Biography, Comedy, Drama</v>
      </c>
      <c r="D2895" s="2">
        <f>IF(A2895&lt;&gt;"", VLOOKUP(A2895, imdb_netflix_v5!A$2:H$7370, 4, FALSE), "")</f>
        <v>7.6</v>
      </c>
      <c r="E2895" s="2">
        <f>IF(A2895&lt;&gt;"", VLOOKUP(A2895, imdb_netflix_v5!A$2:H$7370, 5, FALSE), "")</f>
        <v>2013</v>
      </c>
      <c r="F2895" s="2" t="str">
        <f>IF(A2895&lt;&gt;"", VLOOKUP(A2895, imdb_netflix_v5!A$2:H$7370, 7, FALSE), "")</f>
        <v>NA</v>
      </c>
    </row>
    <row r="2896" ht="15.75" customHeight="1">
      <c r="A2896" s="1" t="str">
        <f>IFERROR(__xludf.DUMMYFUNCTION("""COMPUTED_VALUE"""),"the outsider")</f>
        <v>the outsider</v>
      </c>
      <c r="B2896" s="1" t="str">
        <f>IF(A2896&lt;&gt;"", VLOOKUP(A2896, imdb_netflix_v5!A$2:H$7370, 2, FALSE), "")</f>
        <v>TV Show</v>
      </c>
      <c r="C2896" s="2" t="str">
        <f>IF(A2896&lt;&gt;"", VLOOKUP(A2896, imdb_netflix_v5!A$2:H$7370, 3, FALSE), "")</f>
        <v>Crime, Drama, Horror</v>
      </c>
      <c r="D2896" s="2">
        <f>IF(A2896&lt;&gt;"", VLOOKUP(A2896, imdb_netflix_v5!A$2:H$7370, 4, FALSE), "")</f>
        <v>7.6</v>
      </c>
      <c r="E2896" s="2">
        <f>IF(A2896&lt;&gt;"", VLOOKUP(A2896, imdb_netflix_v5!A$2:H$7370, 5, FALSE), "")</f>
        <v>2020</v>
      </c>
      <c r="F2896" s="2" t="str">
        <f>IF(A2896&lt;&gt;"", VLOOKUP(A2896, imdb_netflix_v5!A$2:H$7370, 7, FALSE), "")</f>
        <v>NA</v>
      </c>
    </row>
    <row r="2897" ht="15.75" customHeight="1">
      <c r="A2897" s="1" t="str">
        <f>IFERROR(__xludf.DUMMYFUNCTION("""COMPUTED_VALUE"""),"the hurricane")</f>
        <v>the hurricane</v>
      </c>
      <c r="B2897" s="1" t="str">
        <f>IF(A2897&lt;&gt;"", VLOOKUP(A2897, imdb_netflix_v5!A$2:H$7370, 2, FALSE), "")</f>
        <v>Movie</v>
      </c>
      <c r="C2897" s="2" t="str">
        <f>IF(A2897&lt;&gt;"", VLOOKUP(A2897, imdb_netflix_v5!A$2:H$7370, 3, FALSE), "")</f>
        <v>Biography, Drama, Sport</v>
      </c>
      <c r="D2897" s="2">
        <f>IF(A2897&lt;&gt;"", VLOOKUP(A2897, imdb_netflix_v5!A$2:H$7370, 4, FALSE), "")</f>
        <v>7.6</v>
      </c>
      <c r="E2897" s="2">
        <f>IF(A2897&lt;&gt;"", VLOOKUP(A2897, imdb_netflix_v5!A$2:H$7370, 5, FALSE), "")</f>
        <v>1999</v>
      </c>
      <c r="F2897" s="2" t="str">
        <f>IF(A2897&lt;&gt;"", VLOOKUP(A2897, imdb_netflix_v5!A$2:H$7370, 7, FALSE), "")</f>
        <v>NA</v>
      </c>
    </row>
    <row r="2898" ht="15.75" customHeight="1">
      <c r="A2898" s="1" t="str">
        <f>IFERROR(__xludf.DUMMYFUNCTION("""COMPUTED_VALUE"""),"foundation")</f>
        <v>foundation</v>
      </c>
      <c r="B2898" s="1" t="str">
        <f>IF(A2898&lt;&gt;"", VLOOKUP(A2898, imdb_netflix_v5!A$2:H$7370, 2, FALSE), "")</f>
        <v>TV Show</v>
      </c>
      <c r="C2898" s="2" t="str">
        <f>IF(A2898&lt;&gt;"", VLOOKUP(A2898, imdb_netflix_v5!A$2:H$7370, 3, FALSE), "")</f>
        <v>Drama, Sci-Fi</v>
      </c>
      <c r="D2898" s="2">
        <f>IF(A2898&lt;&gt;"", VLOOKUP(A2898, imdb_netflix_v5!A$2:H$7370, 4, FALSE), "")</f>
        <v>7.6</v>
      </c>
      <c r="E2898" s="2">
        <f>IF(A2898&lt;&gt;"", VLOOKUP(A2898, imdb_netflix_v5!A$2:H$7370, 5, FALSE), "")</f>
        <v>2021</v>
      </c>
      <c r="F2898" s="2" t="str">
        <f>IF(A2898&lt;&gt;"", VLOOKUP(A2898, imdb_netflix_v5!A$2:H$7370, 7, FALSE), "")</f>
        <v>NA</v>
      </c>
    </row>
    <row r="2899" ht="15.75" customHeight="1">
      <c r="A2899" s="1" t="str">
        <f>IFERROR(__xludf.DUMMYFUNCTION("""COMPUTED_VALUE"""),"see")</f>
        <v>see</v>
      </c>
      <c r="B2899" s="1" t="str">
        <f>IF(A2899&lt;&gt;"", VLOOKUP(A2899, imdb_netflix_v5!A$2:H$7370, 2, FALSE), "")</f>
        <v>TV Show</v>
      </c>
      <c r="C2899" s="2" t="str">
        <f>IF(A2899&lt;&gt;"", VLOOKUP(A2899, imdb_netflix_v5!A$2:H$7370, 3, FALSE), "")</f>
        <v>Action, Drama, Sci-Fi</v>
      </c>
      <c r="D2899" s="2">
        <f>IF(A2899&lt;&gt;"", VLOOKUP(A2899, imdb_netflix_v5!A$2:H$7370, 4, FALSE), "")</f>
        <v>7.6</v>
      </c>
      <c r="E2899" s="2">
        <f>IF(A2899&lt;&gt;"", VLOOKUP(A2899, imdb_netflix_v5!A$2:H$7370, 5, FALSE), "")</f>
        <v>2019</v>
      </c>
      <c r="F2899" s="2" t="str">
        <f>IF(A2899&lt;&gt;"", VLOOKUP(A2899, imdb_netflix_v5!A$2:H$7370, 7, FALSE), "")</f>
        <v>NA</v>
      </c>
    </row>
    <row r="2900" ht="15.75" customHeight="1">
      <c r="A2900" s="1" t="str">
        <f>IFERROR(__xludf.DUMMYFUNCTION("""COMPUTED_VALUE"""),"rebel without a cause")</f>
        <v>rebel without a cause</v>
      </c>
      <c r="B2900" s="1" t="str">
        <f>IF(A2900&lt;&gt;"", VLOOKUP(A2900, imdb_netflix_v5!A$2:H$7370, 2, FALSE), "")</f>
        <v>Movie</v>
      </c>
      <c r="C2900" s="2" t="str">
        <f>IF(A2900&lt;&gt;"", VLOOKUP(A2900, imdb_netflix_v5!A$2:H$7370, 3, FALSE), "")</f>
        <v>Drama</v>
      </c>
      <c r="D2900" s="2">
        <f>IF(A2900&lt;&gt;"", VLOOKUP(A2900, imdb_netflix_v5!A$2:H$7370, 4, FALSE), "")</f>
        <v>7.6</v>
      </c>
      <c r="E2900" s="2">
        <f>IF(A2900&lt;&gt;"", VLOOKUP(A2900, imdb_netflix_v5!A$2:H$7370, 5, FALSE), "")</f>
        <v>1955</v>
      </c>
      <c r="F2900" s="2" t="str">
        <f>IF(A2900&lt;&gt;"", VLOOKUP(A2900, imdb_netflix_v5!A$2:H$7370, 7, FALSE), "")</f>
        <v>NA</v>
      </c>
    </row>
    <row r="2901" ht="15.75" customHeight="1">
      <c r="A2901" s="1" t="str">
        <f>IFERROR(__xludf.DUMMYFUNCTION("""COMPUTED_VALUE"""),"the o.c.")</f>
        <v>the o.c.</v>
      </c>
      <c r="B2901" s="1" t="str">
        <f>IF(A2901&lt;&gt;"", VLOOKUP(A2901, imdb_netflix_v5!A$2:H$7370, 2, FALSE), "")</f>
        <v>TV Show</v>
      </c>
      <c r="C2901" s="2" t="str">
        <f>IF(A2901&lt;&gt;"", VLOOKUP(A2901, imdb_netflix_v5!A$2:H$7370, 3, FALSE), "")</f>
        <v>Comedy, Drama, Romance</v>
      </c>
      <c r="D2901" s="2">
        <f>IF(A2901&lt;&gt;"", VLOOKUP(A2901, imdb_netflix_v5!A$2:H$7370, 4, FALSE), "")</f>
        <v>7.6</v>
      </c>
      <c r="E2901" s="2">
        <f>IF(A2901&lt;&gt;"", VLOOKUP(A2901, imdb_netflix_v5!A$2:H$7370, 5, FALSE), "")</f>
        <v>2003</v>
      </c>
      <c r="F2901" s="2" t="str">
        <f>IF(A2901&lt;&gt;"", VLOOKUP(A2901, imdb_netflix_v5!A$2:H$7370, 7, FALSE), "")</f>
        <v>NA</v>
      </c>
    </row>
    <row r="2902" ht="15.75" customHeight="1">
      <c r="A2902" s="1" t="str">
        <f>IFERROR(__xludf.DUMMYFUNCTION("""COMPUTED_VALUE"""),"the iron claw")</f>
        <v>the iron claw</v>
      </c>
      <c r="B2902" s="1" t="str">
        <f>IF(A2902&lt;&gt;"", VLOOKUP(A2902, imdb_netflix_v5!A$2:H$7370, 2, FALSE), "")</f>
        <v>Movie</v>
      </c>
      <c r="C2902" s="2" t="str">
        <f>IF(A2902&lt;&gt;"", VLOOKUP(A2902, imdb_netflix_v5!A$2:H$7370, 3, FALSE), "")</f>
        <v>Biography, Drama, Sport</v>
      </c>
      <c r="D2902" s="2">
        <f>IF(A2902&lt;&gt;"", VLOOKUP(A2902, imdb_netflix_v5!A$2:H$7370, 4, FALSE), "")</f>
        <v>7.6</v>
      </c>
      <c r="E2902" s="2">
        <f>IF(A2902&lt;&gt;"", VLOOKUP(A2902, imdb_netflix_v5!A$2:H$7370, 5, FALSE), "")</f>
        <v>2023</v>
      </c>
      <c r="F2902" s="2" t="str">
        <f>IF(A2902&lt;&gt;"", VLOOKUP(A2902, imdb_netflix_v5!A$2:H$7370, 7, FALSE), "")</f>
        <v>NA</v>
      </c>
    </row>
    <row r="2903" ht="15.75" customHeight="1">
      <c r="A2903" s="1" t="str">
        <f>IFERROR(__xludf.DUMMYFUNCTION("""COMPUTED_VALUE"""),"american gods")</f>
        <v>american gods</v>
      </c>
      <c r="B2903" s="1" t="str">
        <f>IF(A2903&lt;&gt;"", VLOOKUP(A2903, imdb_netflix_v5!A$2:H$7370, 2, FALSE), "")</f>
        <v>TV Show</v>
      </c>
      <c r="C2903" s="2" t="str">
        <f>IF(A2903&lt;&gt;"", VLOOKUP(A2903, imdb_netflix_v5!A$2:H$7370, 3, FALSE), "")</f>
        <v>Drama, Fantasy, Mystery</v>
      </c>
      <c r="D2903" s="2">
        <f>IF(A2903&lt;&gt;"", VLOOKUP(A2903, imdb_netflix_v5!A$2:H$7370, 4, FALSE), "")</f>
        <v>7.6</v>
      </c>
      <c r="E2903" s="2">
        <f>IF(A2903&lt;&gt;"", VLOOKUP(A2903, imdb_netflix_v5!A$2:H$7370, 5, FALSE), "")</f>
        <v>2017</v>
      </c>
      <c r="F2903" s="2" t="str">
        <f>IF(A2903&lt;&gt;"", VLOOKUP(A2903, imdb_netflix_v5!A$2:H$7370, 7, FALSE), "")</f>
        <v>NA</v>
      </c>
    </row>
    <row r="2904" ht="15.75" customHeight="1">
      <c r="A2904" s="1" t="str">
        <f>IFERROR(__xludf.DUMMYFUNCTION("""COMPUTED_VALUE"""),"pushpa the rise - part 1")</f>
        <v>pushpa the rise - part 1</v>
      </c>
      <c r="B2904" s="1" t="str">
        <f>IF(A2904&lt;&gt;"", VLOOKUP(A2904, imdb_netflix_v5!A$2:H$7370, 2, FALSE), "")</f>
        <v>Movie</v>
      </c>
      <c r="C2904" s="2" t="str">
        <f>IF(A2904&lt;&gt;"", VLOOKUP(A2904, imdb_netflix_v5!A$2:H$7370, 3, FALSE), "")</f>
        <v>Action, Crime, Drama</v>
      </c>
      <c r="D2904" s="2">
        <f>IF(A2904&lt;&gt;"", VLOOKUP(A2904, imdb_netflix_v5!A$2:H$7370, 4, FALSE), "")</f>
        <v>7.6</v>
      </c>
      <c r="E2904" s="2">
        <f>IF(A2904&lt;&gt;"", VLOOKUP(A2904, imdb_netflix_v5!A$2:H$7370, 5, FALSE), "")</f>
        <v>2021</v>
      </c>
      <c r="F2904" s="2" t="str">
        <f>IF(A2904&lt;&gt;"", VLOOKUP(A2904, imdb_netflix_v5!A$2:H$7370, 7, FALSE), "")</f>
        <v>NA</v>
      </c>
    </row>
    <row r="2905" ht="15.75" customHeight="1">
      <c r="A2905" s="1" t="str">
        <f>IFERROR(__xludf.DUMMYFUNCTION("""COMPUTED_VALUE"""),"the bridges of madison county")</f>
        <v>the bridges of madison county</v>
      </c>
      <c r="B2905" s="1" t="str">
        <f>IF(A2905&lt;&gt;"", VLOOKUP(A2905, imdb_netflix_v5!A$2:H$7370, 2, FALSE), "")</f>
        <v>Movie</v>
      </c>
      <c r="C2905" s="2" t="str">
        <f>IF(A2905&lt;&gt;"", VLOOKUP(A2905, imdb_netflix_v5!A$2:H$7370, 3, FALSE), "")</f>
        <v>Drama, Romance</v>
      </c>
      <c r="D2905" s="2">
        <f>IF(A2905&lt;&gt;"", VLOOKUP(A2905, imdb_netflix_v5!A$2:H$7370, 4, FALSE), "")</f>
        <v>7.6</v>
      </c>
      <c r="E2905" s="2">
        <f>IF(A2905&lt;&gt;"", VLOOKUP(A2905, imdb_netflix_v5!A$2:H$7370, 5, FALSE), "")</f>
        <v>1995</v>
      </c>
      <c r="F2905" s="2" t="str">
        <f>IF(A2905&lt;&gt;"", VLOOKUP(A2905, imdb_netflix_v5!A$2:H$7370, 7, FALSE), "")</f>
        <v>NA</v>
      </c>
    </row>
    <row r="2906" ht="15.75" customHeight="1">
      <c r="A2906" s="1" t="str">
        <f>IFERROR(__xludf.DUMMYFUNCTION("""COMPUTED_VALUE"""),"the social dilemma")</f>
        <v>the social dilemma</v>
      </c>
      <c r="B2906" s="1" t="str">
        <f>IF(A2906&lt;&gt;"", VLOOKUP(A2906, imdb_netflix_v5!A$2:H$7370, 2, FALSE), "")</f>
        <v>Movie</v>
      </c>
      <c r="C2906" s="2" t="str">
        <f>IF(A2906&lt;&gt;"", VLOOKUP(A2906, imdb_netflix_v5!A$2:H$7370, 3, FALSE), "")</f>
        <v>Documentary, Drama</v>
      </c>
      <c r="D2906" s="2">
        <f>IF(A2906&lt;&gt;"", VLOOKUP(A2906, imdb_netflix_v5!A$2:H$7370, 4, FALSE), "")</f>
        <v>7.6</v>
      </c>
      <c r="E2906" s="2">
        <f>IF(A2906&lt;&gt;"", VLOOKUP(A2906, imdb_netflix_v5!A$2:H$7370, 5, FALSE), "")</f>
        <v>2020</v>
      </c>
      <c r="F2906" s="2" t="str">
        <f>IF(A2906&lt;&gt;"", VLOOKUP(A2906, imdb_netflix_v5!A$2:H$7370, 7, FALSE), "")</f>
        <v>NA</v>
      </c>
    </row>
    <row r="2907" ht="15.75" customHeight="1">
      <c r="A2907" s="1" t="str">
        <f>IFERROR(__xludf.DUMMYFUNCTION("""COMPUTED_VALUE"""),"maniac")</f>
        <v>maniac</v>
      </c>
      <c r="B2907" s="1" t="str">
        <f>IF(A2907&lt;&gt;"", VLOOKUP(A2907, imdb_netflix_v5!A$2:H$7370, 2, FALSE), "")</f>
        <v>TV Show</v>
      </c>
      <c r="C2907" s="2" t="str">
        <f>IF(A2907&lt;&gt;"", VLOOKUP(A2907, imdb_netflix_v5!A$2:H$7370, 3, FALSE), "")</f>
        <v>Comedy, Drama, Sci-Fi</v>
      </c>
      <c r="D2907" s="2">
        <f>IF(A2907&lt;&gt;"", VLOOKUP(A2907, imdb_netflix_v5!A$2:H$7370, 4, FALSE), "")</f>
        <v>7.6</v>
      </c>
      <c r="E2907" s="2">
        <f>IF(A2907&lt;&gt;"", VLOOKUP(A2907, imdb_netflix_v5!A$2:H$7370, 5, FALSE), "")</f>
        <v>2018</v>
      </c>
      <c r="F2907" s="2" t="str">
        <f>IF(A2907&lt;&gt;"", VLOOKUP(A2907, imdb_netflix_v5!A$2:H$7370, 7, FALSE), "")</f>
        <v>NA</v>
      </c>
    </row>
    <row r="2908" ht="15.75" customHeight="1">
      <c r="A2908" s="1" t="str">
        <f>IFERROR(__xludf.DUMMYFUNCTION("""COMPUTED_VALUE"""),"freedom writers")</f>
        <v>freedom writers</v>
      </c>
      <c r="B2908" s="1" t="str">
        <f>IF(A2908&lt;&gt;"", VLOOKUP(A2908, imdb_netflix_v5!A$2:H$7370, 2, FALSE), "")</f>
        <v>Movie</v>
      </c>
      <c r="C2908" s="2" t="str">
        <f>IF(A2908&lt;&gt;"", VLOOKUP(A2908, imdb_netflix_v5!A$2:H$7370, 3, FALSE), "")</f>
        <v>Biography, Crime, Drama</v>
      </c>
      <c r="D2908" s="2">
        <f>IF(A2908&lt;&gt;"", VLOOKUP(A2908, imdb_netflix_v5!A$2:H$7370, 4, FALSE), "")</f>
        <v>7.6</v>
      </c>
      <c r="E2908" s="2">
        <f>IF(A2908&lt;&gt;"", VLOOKUP(A2908, imdb_netflix_v5!A$2:H$7370, 5, FALSE), "")</f>
        <v>2007</v>
      </c>
      <c r="F2908" s="2" t="str">
        <f>IF(A2908&lt;&gt;"", VLOOKUP(A2908, imdb_netflix_v5!A$2:H$7370, 7, FALSE), "")</f>
        <v>NA</v>
      </c>
    </row>
    <row r="2909" ht="15.75" customHeight="1">
      <c r="A2909" s="1" t="str">
        <f>IFERROR(__xludf.DUMMYFUNCTION("""COMPUTED_VALUE"""),"after hours")</f>
        <v>after hours</v>
      </c>
      <c r="B2909" s="1" t="str">
        <f>IF(A2909&lt;&gt;"", VLOOKUP(A2909, imdb_netflix_v5!A$2:H$7370, 2, FALSE), "")</f>
        <v>Movie</v>
      </c>
      <c r="C2909" s="2" t="str">
        <f>IF(A2909&lt;&gt;"", VLOOKUP(A2909, imdb_netflix_v5!A$2:H$7370, 3, FALSE), "")</f>
        <v>Comedy, Crime, Drama</v>
      </c>
      <c r="D2909" s="2">
        <f>IF(A2909&lt;&gt;"", VLOOKUP(A2909, imdb_netflix_v5!A$2:H$7370, 4, FALSE), "")</f>
        <v>7.6</v>
      </c>
      <c r="E2909" s="2">
        <f>IF(A2909&lt;&gt;"", VLOOKUP(A2909, imdb_netflix_v5!A$2:H$7370, 5, FALSE), "")</f>
        <v>1985</v>
      </c>
      <c r="F2909" s="2" t="str">
        <f>IF(A2909&lt;&gt;"", VLOOKUP(A2909, imdb_netflix_v5!A$2:H$7370, 7, FALSE), "")</f>
        <v>NA</v>
      </c>
    </row>
    <row r="2910" ht="15.75" customHeight="1">
      <c r="A2910" s="1" t="str">
        <f>IFERROR(__xludf.DUMMYFUNCTION("""COMPUTED_VALUE"""),"the peripheral")</f>
        <v>the peripheral</v>
      </c>
      <c r="B2910" s="1" t="str">
        <f>IF(A2910&lt;&gt;"", VLOOKUP(A2910, imdb_netflix_v5!A$2:H$7370, 2, FALSE), "")</f>
        <v>TV Show</v>
      </c>
      <c r="C2910" s="2" t="str">
        <f>IF(A2910&lt;&gt;"", VLOOKUP(A2910, imdb_netflix_v5!A$2:H$7370, 3, FALSE), "")</f>
        <v>Drama, Mystery, Sci-Fi</v>
      </c>
      <c r="D2910" s="2">
        <f>IF(A2910&lt;&gt;"", VLOOKUP(A2910, imdb_netflix_v5!A$2:H$7370, 4, FALSE), "")</f>
        <v>7.6</v>
      </c>
      <c r="E2910" s="2">
        <f>IF(A2910&lt;&gt;"", VLOOKUP(A2910, imdb_netflix_v5!A$2:H$7370, 5, FALSE), "")</f>
        <v>2022</v>
      </c>
      <c r="F2910" s="2" t="str">
        <f>IF(A2910&lt;&gt;"", VLOOKUP(A2910, imdb_netflix_v5!A$2:H$7370, 7, FALSE), "")</f>
        <v>NA</v>
      </c>
    </row>
    <row r="2911" ht="15.75" customHeight="1">
      <c r="A2911" s="1" t="str">
        <f>IFERROR(__xludf.DUMMYFUNCTION("""COMPUTED_VALUE"""),"the kite runner")</f>
        <v>the kite runner</v>
      </c>
      <c r="B2911" s="1" t="str">
        <f>IF(A2911&lt;&gt;"", VLOOKUP(A2911, imdb_netflix_v5!A$2:H$7370, 2, FALSE), "")</f>
        <v>Movie</v>
      </c>
      <c r="C2911" s="2" t="str">
        <f>IF(A2911&lt;&gt;"", VLOOKUP(A2911, imdb_netflix_v5!A$2:H$7370, 3, FALSE), "")</f>
        <v>Drama</v>
      </c>
      <c r="D2911" s="2">
        <f>IF(A2911&lt;&gt;"", VLOOKUP(A2911, imdb_netflix_v5!A$2:H$7370, 4, FALSE), "")</f>
        <v>7.6</v>
      </c>
      <c r="E2911" s="2">
        <f>IF(A2911&lt;&gt;"", VLOOKUP(A2911, imdb_netflix_v5!A$2:H$7370, 5, FALSE), "")</f>
        <v>2007</v>
      </c>
      <c r="F2911" s="2" t="str">
        <f>IF(A2911&lt;&gt;"", VLOOKUP(A2911, imdb_netflix_v5!A$2:H$7370, 7, FALSE), "")</f>
        <v>NA</v>
      </c>
    </row>
    <row r="2912" ht="15.75" customHeight="1">
      <c r="A2912" s="1" t="str">
        <f>IFERROR(__xludf.DUMMYFUNCTION("""COMPUTED_VALUE"""),"three colors white")</f>
        <v>three colors white</v>
      </c>
      <c r="B2912" s="1" t="str">
        <f>IF(A2912&lt;&gt;"", VLOOKUP(A2912, imdb_netflix_v5!A$2:H$7370, 2, FALSE), "")</f>
        <v>Movie</v>
      </c>
      <c r="C2912" s="2" t="str">
        <f>IF(A2912&lt;&gt;"", VLOOKUP(A2912, imdb_netflix_v5!A$2:H$7370, 3, FALSE), "")</f>
        <v>Comedy, Drama, Romance</v>
      </c>
      <c r="D2912" s="2">
        <f>IF(A2912&lt;&gt;"", VLOOKUP(A2912, imdb_netflix_v5!A$2:H$7370, 4, FALSE), "")</f>
        <v>7.6</v>
      </c>
      <c r="E2912" s="2">
        <f>IF(A2912&lt;&gt;"", VLOOKUP(A2912, imdb_netflix_v5!A$2:H$7370, 5, FALSE), "")</f>
        <v>1994</v>
      </c>
      <c r="F2912" s="2" t="str">
        <f>IF(A2912&lt;&gt;"", VLOOKUP(A2912, imdb_netflix_v5!A$2:H$7370, 7, FALSE), "")</f>
        <v>NA</v>
      </c>
    </row>
    <row r="2913" ht="15.75" customHeight="1">
      <c r="A2913" s="1" t="str">
        <f>IFERROR(__xludf.DUMMYFUNCTION("""COMPUTED_VALUE"""),"only the brave")</f>
        <v>only the brave</v>
      </c>
      <c r="B2913" s="1" t="str">
        <f>IF(A2913&lt;&gt;"", VLOOKUP(A2913, imdb_netflix_v5!A$2:H$7370, 2, FALSE), "")</f>
        <v>Movie</v>
      </c>
      <c r="C2913" s="2" t="str">
        <f>IF(A2913&lt;&gt;"", VLOOKUP(A2913, imdb_netflix_v5!A$2:H$7370, 3, FALSE), "")</f>
        <v>Action, Biography, Drama</v>
      </c>
      <c r="D2913" s="2">
        <f>IF(A2913&lt;&gt;"", VLOOKUP(A2913, imdb_netflix_v5!A$2:H$7370, 4, FALSE), "")</f>
        <v>7.6</v>
      </c>
      <c r="E2913" s="2">
        <f>IF(A2913&lt;&gt;"", VLOOKUP(A2913, imdb_netflix_v5!A$2:H$7370, 5, FALSE), "")</f>
        <v>2017</v>
      </c>
      <c r="F2913" s="2" t="str">
        <f>IF(A2913&lt;&gt;"", VLOOKUP(A2913, imdb_netflix_v5!A$2:H$7370, 7, FALSE), "")</f>
        <v>NA</v>
      </c>
    </row>
    <row r="2914" ht="15.75" customHeight="1">
      <c r="A2914" s="1" t="str">
        <f>IFERROR(__xludf.DUMMYFUNCTION("""COMPUTED_VALUE"""),"fearless")</f>
        <v>fearless</v>
      </c>
      <c r="B2914" s="1" t="str">
        <f>IF(A2914&lt;&gt;"", VLOOKUP(A2914, imdb_netflix_v5!A$2:H$7370, 2, FALSE), "")</f>
        <v>Movie</v>
      </c>
      <c r="C2914" s="2" t="str">
        <f>IF(A2914&lt;&gt;"", VLOOKUP(A2914, imdb_netflix_v5!A$2:H$7370, 3, FALSE), "")</f>
        <v>Action, Biography, Drama</v>
      </c>
      <c r="D2914" s="2">
        <f>IF(A2914&lt;&gt;"", VLOOKUP(A2914, imdb_netflix_v5!A$2:H$7370, 4, FALSE), "")</f>
        <v>7.6</v>
      </c>
      <c r="E2914" s="2">
        <f>IF(A2914&lt;&gt;"", VLOOKUP(A2914, imdb_netflix_v5!A$2:H$7370, 5, FALSE), "")</f>
        <v>2006</v>
      </c>
      <c r="F2914" s="2" t="str">
        <f>IF(A2914&lt;&gt;"", VLOOKUP(A2914, imdb_netflix_v5!A$2:H$7370, 7, FALSE), "")</f>
        <v>NA</v>
      </c>
    </row>
    <row r="2915" ht="15.75" customHeight="1">
      <c r="A2915" s="1" t="str">
        <f>IFERROR(__xludf.DUMMYFUNCTION("""COMPUTED_VALUE"""),"mysterious skin")</f>
        <v>mysterious skin</v>
      </c>
      <c r="B2915" s="1" t="str">
        <f>IF(A2915&lt;&gt;"", VLOOKUP(A2915, imdb_netflix_v5!A$2:H$7370, 2, FALSE), "")</f>
        <v>Movie</v>
      </c>
      <c r="C2915" s="2" t="str">
        <f>IF(A2915&lt;&gt;"", VLOOKUP(A2915, imdb_netflix_v5!A$2:H$7370, 3, FALSE), "")</f>
        <v>Drama</v>
      </c>
      <c r="D2915" s="2">
        <f>IF(A2915&lt;&gt;"", VLOOKUP(A2915, imdb_netflix_v5!A$2:H$7370, 4, FALSE), "")</f>
        <v>7.6</v>
      </c>
      <c r="E2915" s="2">
        <f>IF(A2915&lt;&gt;"", VLOOKUP(A2915, imdb_netflix_v5!A$2:H$7370, 5, FALSE), "")</f>
        <v>2004</v>
      </c>
      <c r="F2915" s="2" t="str">
        <f>IF(A2915&lt;&gt;"", VLOOKUP(A2915, imdb_netflix_v5!A$2:H$7370, 7, FALSE), "")</f>
        <v>NA</v>
      </c>
    </row>
    <row r="2916" ht="15.75" customHeight="1">
      <c r="A2916" s="1" t="str">
        <f>IFERROR(__xludf.DUMMYFUNCTION("""COMPUTED_VALUE"""),"just mercy")</f>
        <v>just mercy</v>
      </c>
      <c r="B2916" s="1" t="str">
        <f>IF(A2916&lt;&gt;"", VLOOKUP(A2916, imdb_netflix_v5!A$2:H$7370, 2, FALSE), "")</f>
        <v>Movie</v>
      </c>
      <c r="C2916" s="2" t="str">
        <f>IF(A2916&lt;&gt;"", VLOOKUP(A2916, imdb_netflix_v5!A$2:H$7370, 3, FALSE), "")</f>
        <v>Biography, Crime, Drama</v>
      </c>
      <c r="D2916" s="2">
        <f>IF(A2916&lt;&gt;"", VLOOKUP(A2916, imdb_netflix_v5!A$2:H$7370, 4, FALSE), "")</f>
        <v>7.6</v>
      </c>
      <c r="E2916" s="2">
        <f>IF(A2916&lt;&gt;"", VLOOKUP(A2916, imdb_netflix_v5!A$2:H$7370, 5, FALSE), "")</f>
        <v>2019</v>
      </c>
      <c r="F2916" s="2" t="str">
        <f>IF(A2916&lt;&gt;"", VLOOKUP(A2916, imdb_netflix_v5!A$2:H$7370, 7, FALSE), "")</f>
        <v>NA</v>
      </c>
    </row>
    <row r="2917" ht="15.75" customHeight="1">
      <c r="A2917" s="1" t="str">
        <f>IFERROR(__xludf.DUMMYFUNCTION("""COMPUTED_VALUE"""),"a very long engagement")</f>
        <v>a very long engagement</v>
      </c>
      <c r="B2917" s="1" t="str">
        <f>IF(A2917&lt;&gt;"", VLOOKUP(A2917, imdb_netflix_v5!A$2:H$7370, 2, FALSE), "")</f>
        <v>Movie</v>
      </c>
      <c r="C2917" s="2" t="str">
        <f>IF(A2917&lt;&gt;"", VLOOKUP(A2917, imdb_netflix_v5!A$2:H$7370, 3, FALSE), "")</f>
        <v>Drama, Mystery, Romance</v>
      </c>
      <c r="D2917" s="2">
        <f>IF(A2917&lt;&gt;"", VLOOKUP(A2917, imdb_netflix_v5!A$2:H$7370, 4, FALSE), "")</f>
        <v>7.6</v>
      </c>
      <c r="E2917" s="2">
        <f>IF(A2917&lt;&gt;"", VLOOKUP(A2917, imdb_netflix_v5!A$2:H$7370, 5, FALSE), "")</f>
        <v>2004</v>
      </c>
      <c r="F2917" s="2" t="str">
        <f>IF(A2917&lt;&gt;"", VLOOKUP(A2917, imdb_netflix_v5!A$2:H$7370, 7, FALSE), "")</f>
        <v>NA</v>
      </c>
    </row>
    <row r="2918" ht="15.75" customHeight="1">
      <c r="A2918" s="1" t="str">
        <f>IFERROR(__xludf.DUMMYFUNCTION("""COMPUTED_VALUE"""),"your honor")</f>
        <v>your honor</v>
      </c>
      <c r="B2918" s="1" t="str">
        <f>IF(A2918&lt;&gt;"", VLOOKUP(A2918, imdb_netflix_v5!A$2:H$7370, 2, FALSE), "")</f>
        <v>TV Show</v>
      </c>
      <c r="C2918" s="2" t="str">
        <f>IF(A2918&lt;&gt;"", VLOOKUP(A2918, imdb_netflix_v5!A$2:H$7370, 3, FALSE), "")</f>
        <v>Crime, Drama, Thriller</v>
      </c>
      <c r="D2918" s="2">
        <f>IF(A2918&lt;&gt;"", VLOOKUP(A2918, imdb_netflix_v5!A$2:H$7370, 4, FALSE), "")</f>
        <v>7.6</v>
      </c>
      <c r="E2918" s="2">
        <f>IF(A2918&lt;&gt;"", VLOOKUP(A2918, imdb_netflix_v5!A$2:H$7370, 5, FALSE), "")</f>
        <v>2020</v>
      </c>
      <c r="F2918" s="2" t="str">
        <f>IF(A2918&lt;&gt;"", VLOOKUP(A2918, imdb_netflix_v5!A$2:H$7370, 7, FALSE), "")</f>
        <v>NA</v>
      </c>
    </row>
    <row r="2919" ht="15.75" customHeight="1">
      <c r="A2919" s="1" t="str">
        <f>IFERROR(__xludf.DUMMYFUNCTION("""COMPUTED_VALUE"""),"the station agent")</f>
        <v>the station agent</v>
      </c>
      <c r="B2919" s="1" t="str">
        <f>IF(A2919&lt;&gt;"", VLOOKUP(A2919, imdb_netflix_v5!A$2:H$7370, 2, FALSE), "")</f>
        <v>Movie</v>
      </c>
      <c r="C2919" s="2" t="str">
        <f>IF(A2919&lt;&gt;"", VLOOKUP(A2919, imdb_netflix_v5!A$2:H$7370, 3, FALSE), "")</f>
        <v>Comedy, Drama</v>
      </c>
      <c r="D2919" s="2">
        <f>IF(A2919&lt;&gt;"", VLOOKUP(A2919, imdb_netflix_v5!A$2:H$7370, 4, FALSE), "")</f>
        <v>7.6</v>
      </c>
      <c r="E2919" s="2">
        <f>IF(A2919&lt;&gt;"", VLOOKUP(A2919, imdb_netflix_v5!A$2:H$7370, 5, FALSE), "")</f>
        <v>2003</v>
      </c>
      <c r="F2919" s="2" t="str">
        <f>IF(A2919&lt;&gt;"", VLOOKUP(A2919, imdb_netflix_v5!A$2:H$7370, 7, FALSE), "")</f>
        <v>NA</v>
      </c>
    </row>
    <row r="2920" ht="15.75" customHeight="1">
      <c r="A2920" s="1" t="str">
        <f>IFERROR(__xludf.DUMMYFUNCTION("""COMPUTED_VALUE"""),"the body")</f>
        <v>the body</v>
      </c>
      <c r="B2920" s="1" t="str">
        <f>IF(A2920&lt;&gt;"", VLOOKUP(A2920, imdb_netflix_v5!A$2:H$7370, 2, FALSE), "")</f>
        <v>Movie</v>
      </c>
      <c r="C2920" s="2" t="str">
        <f>IF(A2920&lt;&gt;"", VLOOKUP(A2920, imdb_netflix_v5!A$2:H$7370, 3, FALSE), "")</f>
        <v>Crime, Drama, Mystery</v>
      </c>
      <c r="D2920" s="2">
        <f>IF(A2920&lt;&gt;"", VLOOKUP(A2920, imdb_netflix_v5!A$2:H$7370, 4, FALSE), "")</f>
        <v>7.6</v>
      </c>
      <c r="E2920" s="2">
        <f>IF(A2920&lt;&gt;"", VLOOKUP(A2920, imdb_netflix_v5!A$2:H$7370, 5, FALSE), "")</f>
        <v>2012</v>
      </c>
      <c r="F2920" s="2" t="str">
        <f>IF(A2920&lt;&gt;"", VLOOKUP(A2920, imdb_netflix_v5!A$2:H$7370, 7, FALSE), "")</f>
        <v>NA</v>
      </c>
    </row>
    <row r="2921" ht="15.75" customHeight="1">
      <c r="A2921" s="1" t="str">
        <f>IFERROR(__xludf.DUMMYFUNCTION("""COMPUTED_VALUE"""),"hotel mumbai")</f>
        <v>hotel mumbai</v>
      </c>
      <c r="B2921" s="1" t="str">
        <f>IF(A2921&lt;&gt;"", VLOOKUP(A2921, imdb_netflix_v5!A$2:H$7370, 2, FALSE), "")</f>
        <v>Movie</v>
      </c>
      <c r="C2921" s="2" t="str">
        <f>IF(A2921&lt;&gt;"", VLOOKUP(A2921, imdb_netflix_v5!A$2:H$7370, 3, FALSE), "")</f>
        <v>Action, Drama, History</v>
      </c>
      <c r="D2921" s="2">
        <f>IF(A2921&lt;&gt;"", VLOOKUP(A2921, imdb_netflix_v5!A$2:H$7370, 4, FALSE), "")</f>
        <v>7.6</v>
      </c>
      <c r="E2921" s="2">
        <f>IF(A2921&lt;&gt;"", VLOOKUP(A2921, imdb_netflix_v5!A$2:H$7370, 5, FALSE), "")</f>
        <v>2018</v>
      </c>
      <c r="F2921" s="2" t="str">
        <f>IF(A2921&lt;&gt;"", VLOOKUP(A2921, imdb_netflix_v5!A$2:H$7370, 7, FALSE), "")</f>
        <v>NA</v>
      </c>
    </row>
    <row r="2922" ht="15.75" customHeight="1">
      <c r="A2922" s="1" t="str">
        <f>IFERROR(__xludf.DUMMYFUNCTION("""COMPUTED_VALUE"""),"limitless")</f>
        <v>limitless</v>
      </c>
      <c r="B2922" s="1" t="str">
        <f>IF(A2922&lt;&gt;"", VLOOKUP(A2922, imdb_netflix_v5!A$2:H$7370, 2, FALSE), "")</f>
        <v>TV Show</v>
      </c>
      <c r="C2922" s="2" t="str">
        <f>IF(A2922&lt;&gt;"", VLOOKUP(A2922, imdb_netflix_v5!A$2:H$7370, 3, FALSE), "")</f>
        <v>Comedy, Crime, Drama</v>
      </c>
      <c r="D2922" s="2">
        <f>IF(A2922&lt;&gt;"", VLOOKUP(A2922, imdb_netflix_v5!A$2:H$7370, 4, FALSE), "")</f>
        <v>7.6</v>
      </c>
      <c r="E2922" s="2">
        <f>IF(A2922&lt;&gt;"", VLOOKUP(A2922, imdb_netflix_v5!A$2:H$7370, 5, FALSE), "")</f>
        <v>2015</v>
      </c>
      <c r="F2922" s="2" t="str">
        <f>IF(A2922&lt;&gt;"", VLOOKUP(A2922, imdb_netflix_v5!A$2:H$7370, 7, FALSE), "")</f>
        <v>NA</v>
      </c>
    </row>
    <row r="2923" ht="15.75" customHeight="1">
      <c r="A2923" s="1" t="str">
        <f>IFERROR(__xludf.DUMMYFUNCTION("""COMPUTED_VALUE"""),"sabrina")</f>
        <v>sabrina</v>
      </c>
      <c r="B2923" s="1" t="str">
        <f>IF(A2923&lt;&gt;"", VLOOKUP(A2923, imdb_netflix_v5!A$2:H$7370, 2, FALSE), "")</f>
        <v>Movie</v>
      </c>
      <c r="C2923" s="2" t="str">
        <f>IF(A2923&lt;&gt;"", VLOOKUP(A2923, imdb_netflix_v5!A$2:H$7370, 3, FALSE), "")</f>
        <v>Comedy, Drama, Romance</v>
      </c>
      <c r="D2923" s="2">
        <f>IF(A2923&lt;&gt;"", VLOOKUP(A2923, imdb_netflix_v5!A$2:H$7370, 4, FALSE), "")</f>
        <v>7.6</v>
      </c>
      <c r="E2923" s="2">
        <f>IF(A2923&lt;&gt;"", VLOOKUP(A2923, imdb_netflix_v5!A$2:H$7370, 5, FALSE), "")</f>
        <v>1954</v>
      </c>
      <c r="F2923" s="2" t="str">
        <f>IF(A2923&lt;&gt;"", VLOOKUP(A2923, imdb_netflix_v5!A$2:H$7370, 7, FALSE), "")</f>
        <v>NA</v>
      </c>
    </row>
    <row r="2924" ht="15.75" customHeight="1">
      <c r="A2924" s="1" t="str">
        <f>IFERROR(__xludf.DUMMYFUNCTION("""COMPUTED_VALUE"""),"cell 211")</f>
        <v>cell 211</v>
      </c>
      <c r="B2924" s="1" t="str">
        <f>IF(A2924&lt;&gt;"", VLOOKUP(A2924, imdb_netflix_v5!A$2:H$7370, 2, FALSE), "")</f>
        <v>Movie</v>
      </c>
      <c r="C2924" s="2" t="str">
        <f>IF(A2924&lt;&gt;"", VLOOKUP(A2924, imdb_netflix_v5!A$2:H$7370, 3, FALSE), "")</f>
        <v>Action, Crime, Drama</v>
      </c>
      <c r="D2924" s="2">
        <f>IF(A2924&lt;&gt;"", VLOOKUP(A2924, imdb_netflix_v5!A$2:H$7370, 4, FALSE), "")</f>
        <v>7.6</v>
      </c>
      <c r="E2924" s="2">
        <f>IF(A2924&lt;&gt;"", VLOOKUP(A2924, imdb_netflix_v5!A$2:H$7370, 5, FALSE), "")</f>
        <v>2009</v>
      </c>
      <c r="F2924" s="2" t="str">
        <f>IF(A2924&lt;&gt;"", VLOOKUP(A2924, imdb_netflix_v5!A$2:H$7370, 7, FALSE), "")</f>
        <v>NA</v>
      </c>
    </row>
    <row r="2925" ht="15.75" customHeight="1">
      <c r="A2925" s="1" t="str">
        <f>IFERROR(__xludf.DUMMYFUNCTION("""COMPUTED_VALUE"""),"control")</f>
        <v>control</v>
      </c>
      <c r="B2925" s="1" t="str">
        <f>IF(A2925&lt;&gt;"", VLOOKUP(A2925, imdb_netflix_v5!A$2:H$7370, 2, FALSE), "")</f>
        <v>Movie</v>
      </c>
      <c r="C2925" s="2" t="str">
        <f>IF(A2925&lt;&gt;"", VLOOKUP(A2925, imdb_netflix_v5!A$2:H$7370, 3, FALSE), "")</f>
        <v>Biography, Drama, Music</v>
      </c>
      <c r="D2925" s="2">
        <f>IF(A2925&lt;&gt;"", VLOOKUP(A2925, imdb_netflix_v5!A$2:H$7370, 4, FALSE), "")</f>
        <v>7.6</v>
      </c>
      <c r="E2925" s="2">
        <f>IF(A2925&lt;&gt;"", VLOOKUP(A2925, imdb_netflix_v5!A$2:H$7370, 5, FALSE), "")</f>
        <v>2007</v>
      </c>
      <c r="F2925" s="2" t="str">
        <f>IF(A2925&lt;&gt;"", VLOOKUP(A2925, imdb_netflix_v5!A$2:H$7370, 7, FALSE), "")</f>
        <v>NA</v>
      </c>
    </row>
    <row r="2926" ht="15.75" customHeight="1">
      <c r="A2926" s="1" t="str">
        <f>IFERROR(__xludf.DUMMYFUNCTION("""COMPUTED_VALUE"""),"the little prince")</f>
        <v>the little prince</v>
      </c>
      <c r="B2926" s="1" t="str">
        <f>IF(A2926&lt;&gt;"", VLOOKUP(A2926, imdb_netflix_v5!A$2:H$7370, 2, FALSE), "")</f>
        <v>Movie</v>
      </c>
      <c r="C2926" s="2" t="str">
        <f>IF(A2926&lt;&gt;"", VLOOKUP(A2926, imdb_netflix_v5!A$2:H$7370, 3, FALSE), "")</f>
        <v>Adventure, Animation, Comedy</v>
      </c>
      <c r="D2926" s="2">
        <f>IF(A2926&lt;&gt;"", VLOOKUP(A2926, imdb_netflix_v5!A$2:H$7370, 4, FALSE), "")</f>
        <v>7.6</v>
      </c>
      <c r="E2926" s="2">
        <f>IF(A2926&lt;&gt;"", VLOOKUP(A2926, imdb_netflix_v5!A$2:H$7370, 5, FALSE), "")</f>
        <v>2015</v>
      </c>
      <c r="F2926" s="2" t="str">
        <f>IF(A2926&lt;&gt;"", VLOOKUP(A2926, imdb_netflix_v5!A$2:H$7370, 7, FALSE), "")</f>
        <v>NA</v>
      </c>
    </row>
    <row r="2927" ht="15.75" customHeight="1">
      <c r="A2927" s="1" t="str">
        <f>IFERROR(__xludf.DUMMYFUNCTION("""COMPUTED_VALUE"""),"queen charlotte a bridgerton story")</f>
        <v>queen charlotte a bridgerton story</v>
      </c>
      <c r="B2927" s="1" t="str">
        <f>IF(A2927&lt;&gt;"", VLOOKUP(A2927, imdb_netflix_v5!A$2:H$7370, 2, FALSE), "")</f>
        <v>TV Show</v>
      </c>
      <c r="C2927" s="2" t="str">
        <f>IF(A2927&lt;&gt;"", VLOOKUP(A2927, imdb_netflix_v5!A$2:H$7370, 3, FALSE), "")</f>
        <v>Drama, History, Romance</v>
      </c>
      <c r="D2927" s="2">
        <f>IF(A2927&lt;&gt;"", VLOOKUP(A2927, imdb_netflix_v5!A$2:H$7370, 4, FALSE), "")</f>
        <v>7.6</v>
      </c>
      <c r="E2927" s="2">
        <f>IF(A2927&lt;&gt;"", VLOOKUP(A2927, imdb_netflix_v5!A$2:H$7370, 5, FALSE), "")</f>
        <v>2023</v>
      </c>
      <c r="F2927" s="2">
        <f>IF(A2927&lt;&gt;"", VLOOKUP(A2927, imdb_netflix_v5!A$2:H$7370, 7, FALSE), "")</f>
        <v>16710000</v>
      </c>
    </row>
    <row r="2928" ht="15.75" customHeight="1">
      <c r="A2928" s="1" t="str">
        <f>IFERROR(__xludf.DUMMYFUNCTION("""COMPUTED_VALUE"""),"continuum")</f>
        <v>continuum</v>
      </c>
      <c r="B2928" s="1" t="str">
        <f>IF(A2928&lt;&gt;"", VLOOKUP(A2928, imdb_netflix_v5!A$2:H$7370, 2, FALSE), "")</f>
        <v>TV Show</v>
      </c>
      <c r="C2928" s="2" t="str">
        <f>IF(A2928&lt;&gt;"", VLOOKUP(A2928, imdb_netflix_v5!A$2:H$7370, 3, FALSE), "")</f>
        <v>Action, Sci-Fi, Thriller</v>
      </c>
      <c r="D2928" s="2">
        <f>IF(A2928&lt;&gt;"", VLOOKUP(A2928, imdb_netflix_v5!A$2:H$7370, 4, FALSE), "")</f>
        <v>7.6</v>
      </c>
      <c r="E2928" s="2">
        <f>IF(A2928&lt;&gt;"", VLOOKUP(A2928, imdb_netflix_v5!A$2:H$7370, 5, FALSE), "")</f>
        <v>2012</v>
      </c>
      <c r="F2928" s="2" t="str">
        <f>IF(A2928&lt;&gt;"", VLOOKUP(A2928, imdb_netflix_v5!A$2:H$7370, 7, FALSE), "")</f>
        <v>NA</v>
      </c>
    </row>
    <row r="2929" ht="15.75" customHeight="1">
      <c r="A2929" s="1" t="str">
        <f>IFERROR(__xludf.DUMMYFUNCTION("""COMPUTED_VALUE"""),"where eagles dare")</f>
        <v>where eagles dare</v>
      </c>
      <c r="B2929" s="1" t="str">
        <f>IF(A2929&lt;&gt;"", VLOOKUP(A2929, imdb_netflix_v5!A$2:H$7370, 2, FALSE), "")</f>
        <v>Movie</v>
      </c>
      <c r="C2929" s="2" t="str">
        <f>IF(A2929&lt;&gt;"", VLOOKUP(A2929, imdb_netflix_v5!A$2:H$7370, 3, FALSE), "")</f>
        <v>Action, Adventure, War</v>
      </c>
      <c r="D2929" s="2">
        <f>IF(A2929&lt;&gt;"", VLOOKUP(A2929, imdb_netflix_v5!A$2:H$7370, 4, FALSE), "")</f>
        <v>7.6</v>
      </c>
      <c r="E2929" s="2">
        <f>IF(A2929&lt;&gt;"", VLOOKUP(A2929, imdb_netflix_v5!A$2:H$7370, 5, FALSE), "")</f>
        <v>1968</v>
      </c>
      <c r="F2929" s="2" t="str">
        <f>IF(A2929&lt;&gt;"", VLOOKUP(A2929, imdb_netflix_v5!A$2:H$7370, 7, FALSE), "")</f>
        <v>NA</v>
      </c>
    </row>
    <row r="2930" ht="15.75" customHeight="1">
      <c r="A2930" s="1" t="str">
        <f>IFERROR(__xludf.DUMMYFUNCTION("""COMPUTED_VALUE"""),"all of us strangers")</f>
        <v>all of us strangers</v>
      </c>
      <c r="B2930" s="1" t="str">
        <f>IF(A2930&lt;&gt;"", VLOOKUP(A2930, imdb_netflix_v5!A$2:H$7370, 2, FALSE), "")</f>
        <v>Movie</v>
      </c>
      <c r="C2930" s="2" t="str">
        <f>IF(A2930&lt;&gt;"", VLOOKUP(A2930, imdb_netflix_v5!A$2:H$7370, 3, FALSE), "")</f>
        <v>Drama, Romance</v>
      </c>
      <c r="D2930" s="2">
        <f>IF(A2930&lt;&gt;"", VLOOKUP(A2930, imdb_netflix_v5!A$2:H$7370, 4, FALSE), "")</f>
        <v>7.6</v>
      </c>
      <c r="E2930" s="2">
        <f>IF(A2930&lt;&gt;"", VLOOKUP(A2930, imdb_netflix_v5!A$2:H$7370, 5, FALSE), "")</f>
        <v>2023</v>
      </c>
      <c r="F2930" s="2" t="str">
        <f>IF(A2930&lt;&gt;"", VLOOKUP(A2930, imdb_netflix_v5!A$2:H$7370, 7, FALSE), "")</f>
        <v>NA</v>
      </c>
    </row>
    <row r="2931" ht="15.75" customHeight="1">
      <c r="A2931" s="1" t="str">
        <f>IFERROR(__xludf.DUMMYFUNCTION("""COMPUTED_VALUE"""),"terminator the sarah connor chronicles")</f>
        <v>terminator the sarah connor chronicles</v>
      </c>
      <c r="B2931" s="1" t="str">
        <f>IF(A2931&lt;&gt;"", VLOOKUP(A2931, imdb_netflix_v5!A$2:H$7370, 2, FALSE), "")</f>
        <v>TV Show</v>
      </c>
      <c r="C2931" s="2" t="str">
        <f>IF(A2931&lt;&gt;"", VLOOKUP(A2931, imdb_netflix_v5!A$2:H$7370, 3, FALSE), "")</f>
        <v>Action, Drama, Fantasy</v>
      </c>
      <c r="D2931" s="2">
        <f>IF(A2931&lt;&gt;"", VLOOKUP(A2931, imdb_netflix_v5!A$2:H$7370, 4, FALSE), "")</f>
        <v>7.6</v>
      </c>
      <c r="E2931" s="2">
        <f>IF(A2931&lt;&gt;"", VLOOKUP(A2931, imdb_netflix_v5!A$2:H$7370, 5, FALSE), "")</f>
        <v>2008</v>
      </c>
      <c r="F2931" s="2" t="str">
        <f>IF(A2931&lt;&gt;"", VLOOKUP(A2931, imdb_netflix_v5!A$2:H$7370, 7, FALSE), "")</f>
        <v>NA</v>
      </c>
    </row>
    <row r="2932" ht="15.75" customHeight="1">
      <c r="A2932" s="1" t="str">
        <f>IFERROR(__xludf.DUMMYFUNCTION("""COMPUTED_VALUE"""),"sanju")</f>
        <v>sanju</v>
      </c>
      <c r="B2932" s="1" t="str">
        <f>IF(A2932&lt;&gt;"", VLOOKUP(A2932, imdb_netflix_v5!A$2:H$7370, 2, FALSE), "")</f>
        <v>Movie</v>
      </c>
      <c r="C2932" s="2" t="str">
        <f>IF(A2932&lt;&gt;"", VLOOKUP(A2932, imdb_netflix_v5!A$2:H$7370, 3, FALSE), "")</f>
        <v>Biography, Comedy, Drama</v>
      </c>
      <c r="D2932" s="2">
        <f>IF(A2932&lt;&gt;"", VLOOKUP(A2932, imdb_netflix_v5!A$2:H$7370, 4, FALSE), "")</f>
        <v>7.6</v>
      </c>
      <c r="E2932" s="2">
        <f>IF(A2932&lt;&gt;"", VLOOKUP(A2932, imdb_netflix_v5!A$2:H$7370, 5, FALSE), "")</f>
        <v>2018</v>
      </c>
      <c r="F2932" s="2" t="str">
        <f>IF(A2932&lt;&gt;"", VLOOKUP(A2932, imdb_netflix_v5!A$2:H$7370, 7, FALSE), "")</f>
        <v>NA</v>
      </c>
    </row>
    <row r="2933" ht="15.75" customHeight="1">
      <c r="A2933" s="1" t="str">
        <f>IFERROR(__xludf.DUMMYFUNCTION("""COMPUTED_VALUE"""),"the 39 steps")</f>
        <v>the 39 steps</v>
      </c>
      <c r="B2933" s="1" t="str">
        <f>IF(A2933&lt;&gt;"", VLOOKUP(A2933, imdb_netflix_v5!A$2:H$7370, 2, FALSE), "")</f>
        <v>Movie</v>
      </c>
      <c r="C2933" s="2" t="str">
        <f>IF(A2933&lt;&gt;"", VLOOKUP(A2933, imdb_netflix_v5!A$2:H$7370, 3, FALSE), "")</f>
        <v>Crime, Mystery, Thriller</v>
      </c>
      <c r="D2933" s="2">
        <f>IF(A2933&lt;&gt;"", VLOOKUP(A2933, imdb_netflix_v5!A$2:H$7370, 4, FALSE), "")</f>
        <v>7.6</v>
      </c>
      <c r="E2933" s="2">
        <f>IF(A2933&lt;&gt;"", VLOOKUP(A2933, imdb_netflix_v5!A$2:H$7370, 5, FALSE), "")</f>
        <v>1935</v>
      </c>
      <c r="F2933" s="2" t="str">
        <f>IF(A2933&lt;&gt;"", VLOOKUP(A2933, imdb_netflix_v5!A$2:H$7370, 7, FALSE), "")</f>
        <v>NA</v>
      </c>
    </row>
    <row r="2934" ht="15.75" customHeight="1">
      <c r="A2934" s="1" t="str">
        <f>IFERROR(__xludf.DUMMYFUNCTION("""COMPUTED_VALUE"""),"flashforward")</f>
        <v>flashforward</v>
      </c>
      <c r="B2934" s="1" t="str">
        <f>IF(A2934&lt;&gt;"", VLOOKUP(A2934, imdb_netflix_v5!A$2:H$7370, 2, FALSE), "")</f>
        <v>TV Show</v>
      </c>
      <c r="C2934" s="2" t="str">
        <f>IF(A2934&lt;&gt;"", VLOOKUP(A2934, imdb_netflix_v5!A$2:H$7370, 3, FALSE), "")</f>
        <v>Drama, Mystery, Sci-Fi</v>
      </c>
      <c r="D2934" s="2">
        <f>IF(A2934&lt;&gt;"", VLOOKUP(A2934, imdb_netflix_v5!A$2:H$7370, 4, FALSE), "")</f>
        <v>7.6</v>
      </c>
      <c r="E2934" s="2">
        <f>IF(A2934&lt;&gt;"", VLOOKUP(A2934, imdb_netflix_v5!A$2:H$7370, 5, FALSE), "")</f>
        <v>2009</v>
      </c>
      <c r="F2934" s="2" t="str">
        <f>IF(A2934&lt;&gt;"", VLOOKUP(A2934, imdb_netflix_v5!A$2:H$7370, 7, FALSE), "")</f>
        <v>NA</v>
      </c>
    </row>
    <row r="2935" ht="15.75" customHeight="1">
      <c r="A2935" s="1" t="str">
        <f>IFERROR(__xludf.DUMMYFUNCTION("""COMPUTED_VALUE"""),"star trek enterprise")</f>
        <v>star trek enterprise</v>
      </c>
      <c r="B2935" s="1" t="str">
        <f>IF(A2935&lt;&gt;"", VLOOKUP(A2935, imdb_netflix_v5!A$2:H$7370, 2, FALSE), "")</f>
        <v>TV Show</v>
      </c>
      <c r="C2935" s="2" t="str">
        <f>IF(A2935&lt;&gt;"", VLOOKUP(A2935, imdb_netflix_v5!A$2:H$7370, 3, FALSE), "")</f>
        <v>Action, Adventure, Drama</v>
      </c>
      <c r="D2935" s="2">
        <f>IF(A2935&lt;&gt;"", VLOOKUP(A2935, imdb_netflix_v5!A$2:H$7370, 4, FALSE), "")</f>
        <v>7.6</v>
      </c>
      <c r="E2935" s="2">
        <f>IF(A2935&lt;&gt;"", VLOOKUP(A2935, imdb_netflix_v5!A$2:H$7370, 5, FALSE), "")</f>
        <v>2001</v>
      </c>
      <c r="F2935" s="2" t="str">
        <f>IF(A2935&lt;&gt;"", VLOOKUP(A2935, imdb_netflix_v5!A$2:H$7370, 7, FALSE), "")</f>
        <v>NA</v>
      </c>
    </row>
    <row r="2936" ht="15.75" customHeight="1">
      <c r="A2936" s="1" t="str">
        <f>IFERROR(__xludf.DUMMYFUNCTION("""COMPUTED_VALUE"""),"religulous")</f>
        <v>religulous</v>
      </c>
      <c r="B2936" s="1" t="str">
        <f>IF(A2936&lt;&gt;"", VLOOKUP(A2936, imdb_netflix_v5!A$2:H$7370, 2, FALSE), "")</f>
        <v>Movie</v>
      </c>
      <c r="C2936" s="2" t="str">
        <f>IF(A2936&lt;&gt;"", VLOOKUP(A2936, imdb_netflix_v5!A$2:H$7370, 3, FALSE), "")</f>
        <v>Comedy, Documentary, War</v>
      </c>
      <c r="D2936" s="2">
        <f>IF(A2936&lt;&gt;"", VLOOKUP(A2936, imdb_netflix_v5!A$2:H$7370, 4, FALSE), "")</f>
        <v>7.6</v>
      </c>
      <c r="E2936" s="2">
        <f>IF(A2936&lt;&gt;"", VLOOKUP(A2936, imdb_netflix_v5!A$2:H$7370, 5, FALSE), "")</f>
        <v>2008</v>
      </c>
      <c r="F2936" s="2" t="str">
        <f>IF(A2936&lt;&gt;"", VLOOKUP(A2936, imdb_netflix_v5!A$2:H$7370, 7, FALSE), "")</f>
        <v>NA</v>
      </c>
    </row>
    <row r="2937" ht="15.75" customHeight="1">
      <c r="A2937" s="1" t="str">
        <f>IFERROR(__xludf.DUMMYFUNCTION("""COMPUTED_VALUE"""),"repulsion")</f>
        <v>repulsion</v>
      </c>
      <c r="B2937" s="1" t="str">
        <f>IF(A2937&lt;&gt;"", VLOOKUP(A2937, imdb_netflix_v5!A$2:H$7370, 2, FALSE), "")</f>
        <v>Movie</v>
      </c>
      <c r="C2937" s="2" t="str">
        <f>IF(A2937&lt;&gt;"", VLOOKUP(A2937, imdb_netflix_v5!A$2:H$7370, 3, FALSE), "")</f>
        <v>Drama, Horror, Thriller</v>
      </c>
      <c r="D2937" s="2">
        <f>IF(A2937&lt;&gt;"", VLOOKUP(A2937, imdb_netflix_v5!A$2:H$7370, 4, FALSE), "")</f>
        <v>7.6</v>
      </c>
      <c r="E2937" s="2">
        <f>IF(A2937&lt;&gt;"", VLOOKUP(A2937, imdb_netflix_v5!A$2:H$7370, 5, FALSE), "")</f>
        <v>1965</v>
      </c>
      <c r="F2937" s="2" t="str">
        <f>IF(A2937&lt;&gt;"", VLOOKUP(A2937, imdb_netflix_v5!A$2:H$7370, 7, FALSE), "")</f>
        <v>NA</v>
      </c>
    </row>
    <row r="2938" ht="15.75" customHeight="1">
      <c r="A2938" s="1" t="str">
        <f>IFERROR(__xludf.DUMMYFUNCTION("""COMPUTED_VALUE"""),"warehouse 13")</f>
        <v>warehouse 13</v>
      </c>
      <c r="B2938" s="1" t="str">
        <f>IF(A2938&lt;&gt;"", VLOOKUP(A2938, imdb_netflix_v5!A$2:H$7370, 2, FALSE), "")</f>
        <v>TV Show</v>
      </c>
      <c r="C2938" s="2" t="str">
        <f>IF(A2938&lt;&gt;"", VLOOKUP(A2938, imdb_netflix_v5!A$2:H$7370, 3, FALSE), "")</f>
        <v>Adventure, Drama, Mystery</v>
      </c>
      <c r="D2938" s="2">
        <f>IF(A2938&lt;&gt;"", VLOOKUP(A2938, imdb_netflix_v5!A$2:H$7370, 4, FALSE), "")</f>
        <v>7.6</v>
      </c>
      <c r="E2938" s="2">
        <f>IF(A2938&lt;&gt;"", VLOOKUP(A2938, imdb_netflix_v5!A$2:H$7370, 5, FALSE), "")</f>
        <v>2009</v>
      </c>
      <c r="F2938" s="2" t="str">
        <f>IF(A2938&lt;&gt;"", VLOOKUP(A2938, imdb_netflix_v5!A$2:H$7370, 7, FALSE), "")</f>
        <v>NA</v>
      </c>
    </row>
    <row r="2939" ht="15.75" customHeight="1">
      <c r="A2939" s="1" t="str">
        <f>IFERROR(__xludf.DUMMYFUNCTION("""COMPUTED_VALUE"""),"leviathan")</f>
        <v>leviathan</v>
      </c>
      <c r="B2939" s="1" t="str">
        <f>IF(A2939&lt;&gt;"", VLOOKUP(A2939, imdb_netflix_v5!A$2:H$7370, 2, FALSE), "")</f>
        <v>Movie</v>
      </c>
      <c r="C2939" s="2" t="str">
        <f>IF(A2939&lt;&gt;"", VLOOKUP(A2939, imdb_netflix_v5!A$2:H$7370, 3, FALSE), "")</f>
        <v>Crime, Drama</v>
      </c>
      <c r="D2939" s="2">
        <f>IF(A2939&lt;&gt;"", VLOOKUP(A2939, imdb_netflix_v5!A$2:H$7370, 4, FALSE), "")</f>
        <v>7.6</v>
      </c>
      <c r="E2939" s="2">
        <f>IF(A2939&lt;&gt;"", VLOOKUP(A2939, imdb_netflix_v5!A$2:H$7370, 5, FALSE), "")</f>
        <v>2014</v>
      </c>
      <c r="F2939" s="2" t="str">
        <f>IF(A2939&lt;&gt;"", VLOOKUP(A2939, imdb_netflix_v5!A$2:H$7370, 7, FALSE), "")</f>
        <v>NA</v>
      </c>
    </row>
    <row r="2940" ht="15.75" customHeight="1">
      <c r="A2940" s="1" t="str">
        <f>IFERROR(__xludf.DUMMYFUNCTION("""COMPUTED_VALUE"""),"the magicians")</f>
        <v>the magicians</v>
      </c>
      <c r="B2940" s="1" t="str">
        <f>IF(A2940&lt;&gt;"", VLOOKUP(A2940, imdb_netflix_v5!A$2:H$7370, 2, FALSE), "")</f>
        <v>TV Show</v>
      </c>
      <c r="C2940" s="2" t="str">
        <f>IF(A2940&lt;&gt;"", VLOOKUP(A2940, imdb_netflix_v5!A$2:H$7370, 3, FALSE), "")</f>
        <v>Drama, Fantasy, Mystery</v>
      </c>
      <c r="D2940" s="2">
        <f>IF(A2940&lt;&gt;"", VLOOKUP(A2940, imdb_netflix_v5!A$2:H$7370, 4, FALSE), "")</f>
        <v>7.6</v>
      </c>
      <c r="E2940" s="2">
        <f>IF(A2940&lt;&gt;"", VLOOKUP(A2940, imdb_netflix_v5!A$2:H$7370, 5, FALSE), "")</f>
        <v>2015</v>
      </c>
      <c r="F2940" s="2" t="str">
        <f>IF(A2940&lt;&gt;"", VLOOKUP(A2940, imdb_netflix_v5!A$2:H$7370, 7, FALSE), "")</f>
        <v>NA</v>
      </c>
    </row>
    <row r="2941" ht="15.75" customHeight="1">
      <c r="A2941" s="1" t="str">
        <f>IFERROR(__xludf.DUMMYFUNCTION("""COMPUTED_VALUE"""),"shine")</f>
        <v>shine</v>
      </c>
      <c r="B2941" s="1" t="str">
        <f>IF(A2941&lt;&gt;"", VLOOKUP(A2941, imdb_netflix_v5!A$2:H$7370, 2, FALSE), "")</f>
        <v>Movie</v>
      </c>
      <c r="C2941" s="2" t="str">
        <f>IF(A2941&lt;&gt;"", VLOOKUP(A2941, imdb_netflix_v5!A$2:H$7370, 3, FALSE), "")</f>
        <v>Biography, Drama, Music</v>
      </c>
      <c r="D2941" s="2">
        <f>IF(A2941&lt;&gt;"", VLOOKUP(A2941, imdb_netflix_v5!A$2:H$7370, 4, FALSE), "")</f>
        <v>7.6</v>
      </c>
      <c r="E2941" s="2">
        <f>IF(A2941&lt;&gt;"", VLOOKUP(A2941, imdb_netflix_v5!A$2:H$7370, 5, FALSE), "")</f>
        <v>1996</v>
      </c>
      <c r="F2941" s="2" t="str">
        <f>IF(A2941&lt;&gt;"", VLOOKUP(A2941, imdb_netflix_v5!A$2:H$7370, 7, FALSE), "")</f>
        <v>NA</v>
      </c>
    </row>
    <row r="2942" ht="15.75" customHeight="1">
      <c r="A2942" s="1" t="str">
        <f>IFERROR(__xludf.DUMMYFUNCTION("""COMPUTED_VALUE"""),"the old man")</f>
        <v>the old man</v>
      </c>
      <c r="B2942" s="1" t="str">
        <f>IF(A2942&lt;&gt;"", VLOOKUP(A2942, imdb_netflix_v5!A$2:H$7370, 2, FALSE), "")</f>
        <v>TV Show</v>
      </c>
      <c r="C2942" s="2" t="str">
        <f>IF(A2942&lt;&gt;"", VLOOKUP(A2942, imdb_netflix_v5!A$2:H$7370, 3, FALSE), "")</f>
        <v>Action, Drama, Thriller</v>
      </c>
      <c r="D2942" s="2">
        <f>IF(A2942&lt;&gt;"", VLOOKUP(A2942, imdb_netflix_v5!A$2:H$7370, 4, FALSE), "")</f>
        <v>7.6</v>
      </c>
      <c r="E2942" s="2">
        <f>IF(A2942&lt;&gt;"", VLOOKUP(A2942, imdb_netflix_v5!A$2:H$7370, 5, FALSE), "")</f>
        <v>2022</v>
      </c>
      <c r="F2942" s="2" t="str">
        <f>IF(A2942&lt;&gt;"", VLOOKUP(A2942, imdb_netflix_v5!A$2:H$7370, 7, FALSE), "")</f>
        <v>NA</v>
      </c>
    </row>
    <row r="2943" ht="15.75" customHeight="1">
      <c r="A2943" s="1" t="str">
        <f>IFERROR(__xludf.DUMMYFUNCTION("""COMPUTED_VALUE"""),"down by law")</f>
        <v>down by law</v>
      </c>
      <c r="B2943" s="1" t="str">
        <f>IF(A2943&lt;&gt;"", VLOOKUP(A2943, imdb_netflix_v5!A$2:H$7370, 2, FALSE), "")</f>
        <v>Movie</v>
      </c>
      <c r="C2943" s="2" t="str">
        <f>IF(A2943&lt;&gt;"", VLOOKUP(A2943, imdb_netflix_v5!A$2:H$7370, 3, FALSE), "")</f>
        <v>Comedy, Crime, Drama</v>
      </c>
      <c r="D2943" s="2">
        <f>IF(A2943&lt;&gt;"", VLOOKUP(A2943, imdb_netflix_v5!A$2:H$7370, 4, FALSE), "")</f>
        <v>7.6</v>
      </c>
      <c r="E2943" s="2">
        <f>IF(A2943&lt;&gt;"", VLOOKUP(A2943, imdb_netflix_v5!A$2:H$7370, 5, FALSE), "")</f>
        <v>1986</v>
      </c>
      <c r="F2943" s="2" t="str">
        <f>IF(A2943&lt;&gt;"", VLOOKUP(A2943, imdb_netflix_v5!A$2:H$7370, 7, FALSE), "")</f>
        <v>NA</v>
      </c>
    </row>
    <row r="2944" ht="15.75" customHeight="1">
      <c r="A2944" s="1" t="str">
        <f>IFERROR(__xludf.DUMMYFUNCTION("""COMPUTED_VALUE"""),"alias")</f>
        <v>alias</v>
      </c>
      <c r="B2944" s="1" t="str">
        <f>IF(A2944&lt;&gt;"", VLOOKUP(A2944, imdb_netflix_v5!A$2:H$7370, 2, FALSE), "")</f>
        <v>TV Show</v>
      </c>
      <c r="C2944" s="2" t="str">
        <f>IF(A2944&lt;&gt;"", VLOOKUP(A2944, imdb_netflix_v5!A$2:H$7370, 3, FALSE), "")</f>
        <v>Action, Drama, Mystery</v>
      </c>
      <c r="D2944" s="2">
        <f>IF(A2944&lt;&gt;"", VLOOKUP(A2944, imdb_netflix_v5!A$2:H$7370, 4, FALSE), "")</f>
        <v>7.6</v>
      </c>
      <c r="E2944" s="2">
        <f>IF(A2944&lt;&gt;"", VLOOKUP(A2944, imdb_netflix_v5!A$2:H$7370, 5, FALSE), "")</f>
        <v>2001</v>
      </c>
      <c r="F2944" s="2" t="str">
        <f>IF(A2944&lt;&gt;"", VLOOKUP(A2944, imdb_netflix_v5!A$2:H$7370, 7, FALSE), "")</f>
        <v>NA</v>
      </c>
    </row>
    <row r="2945" ht="15.75" customHeight="1">
      <c r="A2945" s="1" t="str">
        <f>IFERROR(__xludf.DUMMYFUNCTION("""COMPUTED_VALUE"""),"kellys heroes")</f>
        <v>kellys heroes</v>
      </c>
      <c r="B2945" s="1" t="str">
        <f>IF(A2945&lt;&gt;"", VLOOKUP(A2945, imdb_netflix_v5!A$2:H$7370, 2, FALSE), "")</f>
        <v>Movie</v>
      </c>
      <c r="C2945" s="2" t="str">
        <f>IF(A2945&lt;&gt;"", VLOOKUP(A2945, imdb_netflix_v5!A$2:H$7370, 3, FALSE), "")</f>
        <v>Adventure, Comedy, War</v>
      </c>
      <c r="D2945" s="2">
        <f>IF(A2945&lt;&gt;"", VLOOKUP(A2945, imdb_netflix_v5!A$2:H$7370, 4, FALSE), "")</f>
        <v>7.6</v>
      </c>
      <c r="E2945" s="2">
        <f>IF(A2945&lt;&gt;"", VLOOKUP(A2945, imdb_netflix_v5!A$2:H$7370, 5, FALSE), "")</f>
        <v>1970</v>
      </c>
      <c r="F2945" s="2" t="str">
        <f>IF(A2945&lt;&gt;"", VLOOKUP(A2945, imdb_netflix_v5!A$2:H$7370, 7, FALSE), "")</f>
        <v>NA</v>
      </c>
    </row>
    <row r="2946" ht="15.75" customHeight="1">
      <c r="A2946" s="1" t="str">
        <f>IFERROR(__xludf.DUMMYFUNCTION("""COMPUTED_VALUE"""),"stargate universe")</f>
        <v>stargate universe</v>
      </c>
      <c r="B2946" s="1" t="str">
        <f>IF(A2946&lt;&gt;"", VLOOKUP(A2946, imdb_netflix_v5!A$2:H$7370, 2, FALSE), "")</f>
        <v>TV Show</v>
      </c>
      <c r="C2946" s="2" t="str">
        <f>IF(A2946&lt;&gt;"", VLOOKUP(A2946, imdb_netflix_v5!A$2:H$7370, 3, FALSE), "")</f>
        <v>Drama, Sci-Fi</v>
      </c>
      <c r="D2946" s="2">
        <f>IF(A2946&lt;&gt;"", VLOOKUP(A2946, imdb_netflix_v5!A$2:H$7370, 4, FALSE), "")</f>
        <v>7.6</v>
      </c>
      <c r="E2946" s="2">
        <f>IF(A2946&lt;&gt;"", VLOOKUP(A2946, imdb_netflix_v5!A$2:H$7370, 5, FALSE), "")</f>
        <v>2009</v>
      </c>
      <c r="F2946" s="2" t="str">
        <f>IF(A2946&lt;&gt;"", VLOOKUP(A2946, imdb_netflix_v5!A$2:H$7370, 7, FALSE), "")</f>
        <v>NA</v>
      </c>
    </row>
    <row r="2947" ht="15.75" customHeight="1">
      <c r="A2947" s="1" t="str">
        <f>IFERROR(__xludf.DUMMYFUNCTION("""COMPUTED_VALUE"""),"white christmas")</f>
        <v>white christmas</v>
      </c>
      <c r="B2947" s="1" t="str">
        <f>IF(A2947&lt;&gt;"", VLOOKUP(A2947, imdb_netflix_v5!A$2:H$7370, 2, FALSE), "")</f>
        <v>Movie</v>
      </c>
      <c r="C2947" s="2" t="str">
        <f>IF(A2947&lt;&gt;"", VLOOKUP(A2947, imdb_netflix_v5!A$2:H$7370, 3, FALSE), "")</f>
        <v>Comedy, Musical, Romance</v>
      </c>
      <c r="D2947" s="2">
        <f>IF(A2947&lt;&gt;"", VLOOKUP(A2947, imdb_netflix_v5!A$2:H$7370, 4, FALSE), "")</f>
        <v>7.6</v>
      </c>
      <c r="E2947" s="2">
        <f>IF(A2947&lt;&gt;"", VLOOKUP(A2947, imdb_netflix_v5!A$2:H$7370, 5, FALSE), "")</f>
        <v>1954</v>
      </c>
      <c r="F2947" s="2" t="str">
        <f>IF(A2947&lt;&gt;"", VLOOKUP(A2947, imdb_netflix_v5!A$2:H$7370, 7, FALSE), "")</f>
        <v>NA</v>
      </c>
    </row>
    <row r="2948" ht="15.75" customHeight="1">
      <c r="A2948" s="1" t="str">
        <f>IFERROR(__xludf.DUMMYFUNCTION("""COMPUTED_VALUE"""),"from here to eternity")</f>
        <v>from here to eternity</v>
      </c>
      <c r="B2948" s="1" t="str">
        <f>IF(A2948&lt;&gt;"", VLOOKUP(A2948, imdb_netflix_v5!A$2:H$7370, 2, FALSE), "")</f>
        <v>Movie</v>
      </c>
      <c r="C2948" s="2" t="str">
        <f>IF(A2948&lt;&gt;"", VLOOKUP(A2948, imdb_netflix_v5!A$2:H$7370, 3, FALSE), "")</f>
        <v>Drama, Romance, War</v>
      </c>
      <c r="D2948" s="2">
        <f>IF(A2948&lt;&gt;"", VLOOKUP(A2948, imdb_netflix_v5!A$2:H$7370, 4, FALSE), "")</f>
        <v>7.6</v>
      </c>
      <c r="E2948" s="2">
        <f>IF(A2948&lt;&gt;"", VLOOKUP(A2948, imdb_netflix_v5!A$2:H$7370, 5, FALSE), "")</f>
        <v>1953</v>
      </c>
      <c r="F2948" s="2" t="str">
        <f>IF(A2948&lt;&gt;"", VLOOKUP(A2948, imdb_netflix_v5!A$2:H$7370, 7, FALSE), "")</f>
        <v>NA</v>
      </c>
    </row>
    <row r="2949" ht="15.75" customHeight="1">
      <c r="A2949" s="1" t="str">
        <f>IFERROR(__xludf.DUMMYFUNCTION("""COMPUTED_VALUE"""),"devs")</f>
        <v>devs</v>
      </c>
      <c r="B2949" s="1" t="str">
        <f>IF(A2949&lt;&gt;"", VLOOKUP(A2949, imdb_netflix_v5!A$2:H$7370, 2, FALSE), "")</f>
        <v>TV Show</v>
      </c>
      <c r="C2949" s="2" t="str">
        <f>IF(A2949&lt;&gt;"", VLOOKUP(A2949, imdb_netflix_v5!A$2:H$7370, 3, FALSE), "")</f>
        <v>Drama, Mystery, Sci-Fi</v>
      </c>
      <c r="D2949" s="2">
        <f>IF(A2949&lt;&gt;"", VLOOKUP(A2949, imdb_netflix_v5!A$2:H$7370, 4, FALSE), "")</f>
        <v>7.6</v>
      </c>
      <c r="E2949" s="2">
        <f>IF(A2949&lt;&gt;"", VLOOKUP(A2949, imdb_netflix_v5!A$2:H$7370, 5, FALSE), "")</f>
        <v>2020</v>
      </c>
      <c r="F2949" s="2" t="str">
        <f>IF(A2949&lt;&gt;"", VLOOKUP(A2949, imdb_netflix_v5!A$2:H$7370, 7, FALSE), "")</f>
        <v>NA</v>
      </c>
    </row>
    <row r="2950" ht="15.75" customHeight="1">
      <c r="A2950" s="1" t="str">
        <f>IFERROR(__xludf.DUMMYFUNCTION("""COMPUTED_VALUE"""),"the serpent")</f>
        <v>the serpent</v>
      </c>
      <c r="B2950" s="1" t="str">
        <f>IF(A2950&lt;&gt;"", VLOOKUP(A2950, imdb_netflix_v5!A$2:H$7370, 2, FALSE), "")</f>
        <v>TV Show</v>
      </c>
      <c r="C2950" s="2" t="str">
        <f>IF(A2950&lt;&gt;"", VLOOKUP(A2950, imdb_netflix_v5!A$2:H$7370, 3, FALSE), "")</f>
        <v>Crime, Drama, Thriller</v>
      </c>
      <c r="D2950" s="2">
        <f>IF(A2950&lt;&gt;"", VLOOKUP(A2950, imdb_netflix_v5!A$2:H$7370, 4, FALSE), "")</f>
        <v>7.6</v>
      </c>
      <c r="E2950" s="2">
        <f>IF(A2950&lt;&gt;"", VLOOKUP(A2950, imdb_netflix_v5!A$2:H$7370, 5, FALSE), "")</f>
        <v>2021</v>
      </c>
      <c r="F2950" s="2" t="str">
        <f>IF(A2950&lt;&gt;"", VLOOKUP(A2950, imdb_netflix_v5!A$2:H$7370, 7, FALSE), "")</f>
        <v>NA</v>
      </c>
    </row>
    <row r="2951" ht="15.75" customHeight="1">
      <c r="A2951" s="1" t="str">
        <f>IFERROR(__xludf.DUMMYFUNCTION("""COMPUTED_VALUE"""),"belle de jour")</f>
        <v>belle de jour</v>
      </c>
      <c r="B2951" s="1" t="str">
        <f>IF(A2951&lt;&gt;"", VLOOKUP(A2951, imdb_netflix_v5!A$2:H$7370, 2, FALSE), "")</f>
        <v>Movie</v>
      </c>
      <c r="C2951" s="2" t="str">
        <f>IF(A2951&lt;&gt;"", VLOOKUP(A2951, imdb_netflix_v5!A$2:H$7370, 3, FALSE), "")</f>
        <v>Drama, Romance</v>
      </c>
      <c r="D2951" s="2">
        <f>IF(A2951&lt;&gt;"", VLOOKUP(A2951, imdb_netflix_v5!A$2:H$7370, 4, FALSE), "")</f>
        <v>7.6</v>
      </c>
      <c r="E2951" s="2">
        <f>IF(A2951&lt;&gt;"", VLOOKUP(A2951, imdb_netflix_v5!A$2:H$7370, 5, FALSE), "")</f>
        <v>1967</v>
      </c>
      <c r="F2951" s="2" t="str">
        <f>IF(A2951&lt;&gt;"", VLOOKUP(A2951, imdb_netflix_v5!A$2:H$7370, 7, FALSE), "")</f>
        <v>NA</v>
      </c>
    </row>
    <row r="2952" ht="15.75" customHeight="1">
      <c r="A2952" s="1" t="str">
        <f>IFERROR(__xludf.DUMMYFUNCTION("""COMPUTED_VALUE"""),"when marnie was there")</f>
        <v>when marnie was there</v>
      </c>
      <c r="B2952" s="1" t="str">
        <f>IF(A2952&lt;&gt;"", VLOOKUP(A2952, imdb_netflix_v5!A$2:H$7370, 2, FALSE), "")</f>
        <v>Movie</v>
      </c>
      <c r="C2952" s="2" t="str">
        <f>IF(A2952&lt;&gt;"", VLOOKUP(A2952, imdb_netflix_v5!A$2:H$7370, 3, FALSE), "")</f>
        <v>Animation, Drama, Family</v>
      </c>
      <c r="D2952" s="2">
        <f>IF(A2952&lt;&gt;"", VLOOKUP(A2952, imdb_netflix_v5!A$2:H$7370, 4, FALSE), "")</f>
        <v>7.6</v>
      </c>
      <c r="E2952" s="2">
        <f>IF(A2952&lt;&gt;"", VLOOKUP(A2952, imdb_netflix_v5!A$2:H$7370, 5, FALSE), "")</f>
        <v>2014</v>
      </c>
      <c r="F2952" s="2" t="str">
        <f>IF(A2952&lt;&gt;"", VLOOKUP(A2952, imdb_netflix_v5!A$2:H$7370, 7, FALSE), "")</f>
        <v>NA</v>
      </c>
    </row>
    <row r="2953" ht="15.75" customHeight="1">
      <c r="A2953" s="1" t="str">
        <f>IFERROR(__xludf.DUMMYFUNCTION("""COMPUTED_VALUE"""),"pokémon")</f>
        <v>pokémon</v>
      </c>
      <c r="B2953" s="1" t="str">
        <f>IF(A2953&lt;&gt;"", VLOOKUP(A2953, imdb_netflix_v5!A$2:H$7370, 2, FALSE), "")</f>
        <v>TV Show</v>
      </c>
      <c r="C2953" s="2" t="str">
        <f>IF(A2953&lt;&gt;"", VLOOKUP(A2953, imdb_netflix_v5!A$2:H$7370, 3, FALSE), "")</f>
        <v>Action, Adventure, Animation</v>
      </c>
      <c r="D2953" s="2">
        <f>IF(A2953&lt;&gt;"", VLOOKUP(A2953, imdb_netflix_v5!A$2:H$7370, 4, FALSE), "")</f>
        <v>7.6</v>
      </c>
      <c r="E2953" s="2">
        <f>IF(A2953&lt;&gt;"", VLOOKUP(A2953, imdb_netflix_v5!A$2:H$7370, 5, FALSE), "")</f>
        <v>1997</v>
      </c>
      <c r="F2953" s="2" t="str">
        <f>IF(A2953&lt;&gt;"", VLOOKUP(A2953, imdb_netflix_v5!A$2:H$7370, 7, FALSE), "")</f>
        <v>NA</v>
      </c>
    </row>
    <row r="2954" ht="15.75" customHeight="1">
      <c r="A2954" s="1" t="str">
        <f>IFERROR(__xludf.DUMMYFUNCTION("""COMPUTED_VALUE"""),"suzume")</f>
        <v>suzume</v>
      </c>
      <c r="B2954" s="1" t="str">
        <f>IF(A2954&lt;&gt;"", VLOOKUP(A2954, imdb_netflix_v5!A$2:H$7370, 2, FALSE), "")</f>
        <v>Movie</v>
      </c>
      <c r="C2954" s="2" t="str">
        <f>IF(A2954&lt;&gt;"", VLOOKUP(A2954, imdb_netflix_v5!A$2:H$7370, 3, FALSE), "")</f>
        <v>Action, Adventure, Animation</v>
      </c>
      <c r="D2954" s="2">
        <f>IF(A2954&lt;&gt;"", VLOOKUP(A2954, imdb_netflix_v5!A$2:H$7370, 4, FALSE), "")</f>
        <v>7.6</v>
      </c>
      <c r="E2954" s="2">
        <f>IF(A2954&lt;&gt;"", VLOOKUP(A2954, imdb_netflix_v5!A$2:H$7370, 5, FALSE), "")</f>
        <v>2022</v>
      </c>
      <c r="F2954" s="2" t="str">
        <f>IF(A2954&lt;&gt;"", VLOOKUP(A2954, imdb_netflix_v5!A$2:H$7370, 7, FALSE), "")</f>
        <v>NA</v>
      </c>
    </row>
    <row r="2955" ht="15.75" customHeight="1">
      <c r="A2955" s="1" t="str">
        <f>IFERROR(__xludf.DUMMYFUNCTION("""COMPUTED_VALUE"""),"timeless")</f>
        <v>timeless</v>
      </c>
      <c r="B2955" s="1" t="str">
        <f>IF(A2955&lt;&gt;"", VLOOKUP(A2955, imdb_netflix_v5!A$2:H$7370, 2, FALSE), "")</f>
        <v>TV Show</v>
      </c>
      <c r="C2955" s="2" t="str">
        <f>IF(A2955&lt;&gt;"", VLOOKUP(A2955, imdb_netflix_v5!A$2:H$7370, 3, FALSE), "")</f>
        <v>Action, Adventure, Drama</v>
      </c>
      <c r="D2955" s="2">
        <f>IF(A2955&lt;&gt;"", VLOOKUP(A2955, imdb_netflix_v5!A$2:H$7370, 4, FALSE), "")</f>
        <v>7.6</v>
      </c>
      <c r="E2955" s="2">
        <f>IF(A2955&lt;&gt;"", VLOOKUP(A2955, imdb_netflix_v5!A$2:H$7370, 5, FALSE), "")</f>
        <v>2016</v>
      </c>
      <c r="F2955" s="2" t="str">
        <f>IF(A2955&lt;&gt;"", VLOOKUP(A2955, imdb_netflix_v5!A$2:H$7370, 7, FALSE), "")</f>
        <v>NA</v>
      </c>
    </row>
    <row r="2956" ht="15.75" customHeight="1">
      <c r="A2956" s="1" t="str">
        <f>IFERROR(__xludf.DUMMYFUNCTION("""COMPUTED_VALUE"""),"short cuts")</f>
        <v>short cuts</v>
      </c>
      <c r="B2956" s="1" t="str">
        <f>IF(A2956&lt;&gt;"", VLOOKUP(A2956, imdb_netflix_v5!A$2:H$7370, 2, FALSE), "")</f>
        <v>Movie</v>
      </c>
      <c r="C2956" s="2" t="str">
        <f>IF(A2956&lt;&gt;"", VLOOKUP(A2956, imdb_netflix_v5!A$2:H$7370, 3, FALSE), "")</f>
        <v>Comedy, Drama</v>
      </c>
      <c r="D2956" s="2">
        <f>IF(A2956&lt;&gt;"", VLOOKUP(A2956, imdb_netflix_v5!A$2:H$7370, 4, FALSE), "")</f>
        <v>7.6</v>
      </c>
      <c r="E2956" s="2">
        <f>IF(A2956&lt;&gt;"", VLOOKUP(A2956, imdb_netflix_v5!A$2:H$7370, 5, FALSE), "")</f>
        <v>1993</v>
      </c>
      <c r="F2956" s="2" t="str">
        <f>IF(A2956&lt;&gt;"", VLOOKUP(A2956, imdb_netflix_v5!A$2:H$7370, 7, FALSE), "")</f>
        <v>NA</v>
      </c>
    </row>
    <row r="2957" ht="15.75" customHeight="1">
      <c r="A2957" s="1" t="str">
        <f>IFERROR(__xludf.DUMMYFUNCTION("""COMPUTED_VALUE"""),"messiah")</f>
        <v>messiah</v>
      </c>
      <c r="B2957" s="1" t="str">
        <f>IF(A2957&lt;&gt;"", VLOOKUP(A2957, imdb_netflix_v5!A$2:H$7370, 2, FALSE), "")</f>
        <v>TV Show</v>
      </c>
      <c r="C2957" s="2" t="str">
        <f>IF(A2957&lt;&gt;"", VLOOKUP(A2957, imdb_netflix_v5!A$2:H$7370, 3, FALSE), "")</f>
        <v>Drama, Mystery, Thriller</v>
      </c>
      <c r="D2957" s="2">
        <f>IF(A2957&lt;&gt;"", VLOOKUP(A2957, imdb_netflix_v5!A$2:H$7370, 4, FALSE), "")</f>
        <v>7.6</v>
      </c>
      <c r="E2957" s="2">
        <f>IF(A2957&lt;&gt;"", VLOOKUP(A2957, imdb_netflix_v5!A$2:H$7370, 5, FALSE), "")</f>
        <v>2020</v>
      </c>
      <c r="F2957" s="2" t="str">
        <f>IF(A2957&lt;&gt;"", VLOOKUP(A2957, imdb_netflix_v5!A$2:H$7370, 7, FALSE), "")</f>
        <v>NA</v>
      </c>
    </row>
    <row r="2958" ht="15.75" customHeight="1">
      <c r="A2958" s="1" t="str">
        <f>IFERROR(__xludf.DUMMYFUNCTION("""COMPUTED_VALUE"""),"love")</f>
        <v>love</v>
      </c>
      <c r="B2958" s="1" t="str">
        <f>IF(A2958&lt;&gt;"", VLOOKUP(A2958, imdb_netflix_v5!A$2:H$7370, 2, FALSE), "")</f>
        <v>TV Show</v>
      </c>
      <c r="C2958" s="2" t="str">
        <f>IF(A2958&lt;&gt;"", VLOOKUP(A2958, imdb_netflix_v5!A$2:H$7370, 3, FALSE), "")</f>
        <v>Comedy, Drama, Romance</v>
      </c>
      <c r="D2958" s="2">
        <f>IF(A2958&lt;&gt;"", VLOOKUP(A2958, imdb_netflix_v5!A$2:H$7370, 4, FALSE), "")</f>
        <v>7.6</v>
      </c>
      <c r="E2958" s="2">
        <f>IF(A2958&lt;&gt;"", VLOOKUP(A2958, imdb_netflix_v5!A$2:H$7370, 5, FALSE), "")</f>
        <v>2016</v>
      </c>
      <c r="F2958" s="2" t="str">
        <f>IF(A2958&lt;&gt;"", VLOOKUP(A2958, imdb_netflix_v5!A$2:H$7370, 7, FALSE), "")</f>
        <v>NA</v>
      </c>
    </row>
    <row r="2959" ht="15.75" customHeight="1">
      <c r="A2959" s="1" t="str">
        <f>IFERROR(__xludf.DUMMYFUNCTION("""COMPUTED_VALUE"""),"the boy who harnessed the wind")</f>
        <v>the boy who harnessed the wind</v>
      </c>
      <c r="B2959" s="1" t="str">
        <f>IF(A2959&lt;&gt;"", VLOOKUP(A2959, imdb_netflix_v5!A$2:H$7370, 2, FALSE), "")</f>
        <v>Movie</v>
      </c>
      <c r="C2959" s="2" t="str">
        <f>IF(A2959&lt;&gt;"", VLOOKUP(A2959, imdb_netflix_v5!A$2:H$7370, 3, FALSE), "")</f>
        <v>Biography, Drama, History</v>
      </c>
      <c r="D2959" s="2">
        <f>IF(A2959&lt;&gt;"", VLOOKUP(A2959, imdb_netflix_v5!A$2:H$7370, 4, FALSE), "")</f>
        <v>7.6</v>
      </c>
      <c r="E2959" s="2">
        <f>IF(A2959&lt;&gt;"", VLOOKUP(A2959, imdb_netflix_v5!A$2:H$7370, 5, FALSE), "")</f>
        <v>2019</v>
      </c>
      <c r="F2959" s="2" t="str">
        <f>IF(A2959&lt;&gt;"", VLOOKUP(A2959, imdb_netflix_v5!A$2:H$7370, 7, FALSE), "")</f>
        <v>NA</v>
      </c>
    </row>
    <row r="2960" ht="15.75" customHeight="1">
      <c r="A2960" s="1" t="str">
        <f>IFERROR(__xludf.DUMMYFUNCTION("""COMPUTED_VALUE"""),"le dîner de cons")</f>
        <v>le dîner de cons</v>
      </c>
      <c r="B2960" s="1" t="str">
        <f>IF(A2960&lt;&gt;"", VLOOKUP(A2960, imdb_netflix_v5!A$2:H$7370, 2, FALSE), "")</f>
        <v>Movie</v>
      </c>
      <c r="C2960" s="2" t="str">
        <f>IF(A2960&lt;&gt;"", VLOOKUP(A2960, imdb_netflix_v5!A$2:H$7370, 3, FALSE), "")</f>
        <v>Comedy</v>
      </c>
      <c r="D2960" s="2">
        <f>IF(A2960&lt;&gt;"", VLOOKUP(A2960, imdb_netflix_v5!A$2:H$7370, 4, FALSE), "")</f>
        <v>7.6</v>
      </c>
      <c r="E2960" s="2">
        <f>IF(A2960&lt;&gt;"", VLOOKUP(A2960, imdb_netflix_v5!A$2:H$7370, 5, FALSE), "")</f>
        <v>1998</v>
      </c>
      <c r="F2960" s="2" t="str">
        <f>IF(A2960&lt;&gt;"", VLOOKUP(A2960, imdb_netflix_v5!A$2:H$7370, 7, FALSE), "")</f>
        <v>NA</v>
      </c>
    </row>
    <row r="2961" ht="15.75" customHeight="1">
      <c r="A2961" s="1" t="str">
        <f>IFERROR(__xludf.DUMMYFUNCTION("""COMPUTED_VALUE"""),"shane")</f>
        <v>shane</v>
      </c>
      <c r="B2961" s="1" t="str">
        <f>IF(A2961&lt;&gt;"", VLOOKUP(A2961, imdb_netflix_v5!A$2:H$7370, 2, FALSE), "")</f>
        <v>Movie</v>
      </c>
      <c r="C2961" s="2" t="str">
        <f>IF(A2961&lt;&gt;"", VLOOKUP(A2961, imdb_netflix_v5!A$2:H$7370, 3, FALSE), "")</f>
        <v>Drama, Western</v>
      </c>
      <c r="D2961" s="2">
        <f>IF(A2961&lt;&gt;"", VLOOKUP(A2961, imdb_netflix_v5!A$2:H$7370, 4, FALSE), "")</f>
        <v>7.6</v>
      </c>
      <c r="E2961" s="2">
        <f>IF(A2961&lt;&gt;"", VLOOKUP(A2961, imdb_netflix_v5!A$2:H$7370, 5, FALSE), "")</f>
        <v>1953</v>
      </c>
      <c r="F2961" s="2" t="str">
        <f>IF(A2961&lt;&gt;"", VLOOKUP(A2961, imdb_netflix_v5!A$2:H$7370, 7, FALSE), "")</f>
        <v>NA</v>
      </c>
    </row>
    <row r="2962" ht="15.75" customHeight="1">
      <c r="A2962" s="1" t="str">
        <f>IFERROR(__xludf.DUMMYFUNCTION("""COMPUTED_VALUE"""),"the visitor")</f>
        <v>the visitor</v>
      </c>
      <c r="B2962" s="1" t="str">
        <f>IF(A2962&lt;&gt;"", VLOOKUP(A2962, imdb_netflix_v5!A$2:H$7370, 2, FALSE), "")</f>
        <v>Movie</v>
      </c>
      <c r="C2962" s="2" t="str">
        <f>IF(A2962&lt;&gt;"", VLOOKUP(A2962, imdb_netflix_v5!A$2:H$7370, 3, FALSE), "")</f>
        <v>Drama</v>
      </c>
      <c r="D2962" s="2">
        <f>IF(A2962&lt;&gt;"", VLOOKUP(A2962, imdb_netflix_v5!A$2:H$7370, 4, FALSE), "")</f>
        <v>7.6</v>
      </c>
      <c r="E2962" s="2">
        <f>IF(A2962&lt;&gt;"", VLOOKUP(A2962, imdb_netflix_v5!A$2:H$7370, 5, FALSE), "")</f>
        <v>2007</v>
      </c>
      <c r="F2962" s="2" t="str">
        <f>IF(A2962&lt;&gt;"", VLOOKUP(A2962, imdb_netflix_v5!A$2:H$7370, 7, FALSE), "")</f>
        <v>NA</v>
      </c>
    </row>
    <row r="2963" ht="15.75" customHeight="1">
      <c r="A2963" s="1" t="str">
        <f>IFERROR(__xludf.DUMMYFUNCTION("""COMPUTED_VALUE"""),"zelig")</f>
        <v>zelig</v>
      </c>
      <c r="B2963" s="1" t="str">
        <f>IF(A2963&lt;&gt;"", VLOOKUP(A2963, imdb_netflix_v5!A$2:H$7370, 2, FALSE), "")</f>
        <v>Movie</v>
      </c>
      <c r="C2963" s="2" t="str">
        <f>IF(A2963&lt;&gt;"", VLOOKUP(A2963, imdb_netflix_v5!A$2:H$7370, 3, FALSE), "")</f>
        <v>Comedy</v>
      </c>
      <c r="D2963" s="2">
        <f>IF(A2963&lt;&gt;"", VLOOKUP(A2963, imdb_netflix_v5!A$2:H$7370, 4, FALSE), "")</f>
        <v>7.6</v>
      </c>
      <c r="E2963" s="2">
        <f>IF(A2963&lt;&gt;"", VLOOKUP(A2963, imdb_netflix_v5!A$2:H$7370, 5, FALSE), "")</f>
        <v>1983</v>
      </c>
      <c r="F2963" s="2" t="str">
        <f>IF(A2963&lt;&gt;"", VLOOKUP(A2963, imdb_netflix_v5!A$2:H$7370, 7, FALSE), "")</f>
        <v>NA</v>
      </c>
    </row>
    <row r="2964" ht="15.75" customHeight="1">
      <c r="A2964" s="1" t="str">
        <f>IFERROR(__xludf.DUMMYFUNCTION("""COMPUTED_VALUE"""),"ludo")</f>
        <v>ludo</v>
      </c>
      <c r="B2964" s="1" t="str">
        <f>IF(A2964&lt;&gt;"", VLOOKUP(A2964, imdb_netflix_v5!A$2:H$7370, 2, FALSE), "")</f>
        <v>Movie</v>
      </c>
      <c r="C2964" s="2" t="str">
        <f>IF(A2964&lt;&gt;"", VLOOKUP(A2964, imdb_netflix_v5!A$2:H$7370, 3, FALSE), "")</f>
        <v>Action, Comedy, Drama</v>
      </c>
      <c r="D2964" s="2">
        <f>IF(A2964&lt;&gt;"", VLOOKUP(A2964, imdb_netflix_v5!A$2:H$7370, 4, FALSE), "")</f>
        <v>7.6</v>
      </c>
      <c r="E2964" s="2">
        <f>IF(A2964&lt;&gt;"", VLOOKUP(A2964, imdb_netflix_v5!A$2:H$7370, 5, FALSE), "")</f>
        <v>2020</v>
      </c>
      <c r="F2964" s="2" t="str">
        <f>IF(A2964&lt;&gt;"", VLOOKUP(A2964, imdb_netflix_v5!A$2:H$7370, 7, FALSE), "")</f>
        <v>NA</v>
      </c>
    </row>
    <row r="2965" ht="15.75" customHeight="1">
      <c r="A2965" s="1" t="str">
        <f>IFERROR(__xludf.DUMMYFUNCTION("""COMPUTED_VALUE"""),"hanna")</f>
        <v>hanna</v>
      </c>
      <c r="B2965" s="1" t="str">
        <f>IF(A2965&lt;&gt;"", VLOOKUP(A2965, imdb_netflix_v5!A$2:H$7370, 2, FALSE), "")</f>
        <v>TV Show</v>
      </c>
      <c r="C2965" s="2" t="str">
        <f>IF(A2965&lt;&gt;"", VLOOKUP(A2965, imdb_netflix_v5!A$2:H$7370, 3, FALSE), "")</f>
        <v>Action, Drama</v>
      </c>
      <c r="D2965" s="2">
        <f>IF(A2965&lt;&gt;"", VLOOKUP(A2965, imdb_netflix_v5!A$2:H$7370, 4, FALSE), "")</f>
        <v>7.6</v>
      </c>
      <c r="E2965" s="2">
        <f>IF(A2965&lt;&gt;"", VLOOKUP(A2965, imdb_netflix_v5!A$2:H$7370, 5, FALSE), "")</f>
        <v>2019</v>
      </c>
      <c r="F2965" s="2">
        <f>IF(A2965&lt;&gt;"", VLOOKUP(A2965, imdb_netflix_v5!A$2:H$7370, 7, FALSE), "")</f>
        <v>7120000</v>
      </c>
    </row>
    <row r="2966" ht="15.75" customHeight="1">
      <c r="A2966" s="1" t="str">
        <f>IFERROR(__xludf.DUMMYFUNCTION("""COMPUTED_VALUE"""),"everybody hates chris")</f>
        <v>everybody hates chris</v>
      </c>
      <c r="B2966" s="1" t="str">
        <f>IF(A2966&lt;&gt;"", VLOOKUP(A2966, imdb_netflix_v5!A$2:H$7370, 2, FALSE), "")</f>
        <v>TV Show</v>
      </c>
      <c r="C2966" s="2" t="str">
        <f>IF(A2966&lt;&gt;"", VLOOKUP(A2966, imdb_netflix_v5!A$2:H$7370, 3, FALSE), "")</f>
        <v>Comedy, Drama, Music</v>
      </c>
      <c r="D2966" s="2">
        <f>IF(A2966&lt;&gt;"", VLOOKUP(A2966, imdb_netflix_v5!A$2:H$7370, 4, FALSE), "")</f>
        <v>7.6</v>
      </c>
      <c r="E2966" s="2">
        <f>IF(A2966&lt;&gt;"", VLOOKUP(A2966, imdb_netflix_v5!A$2:H$7370, 5, FALSE), "")</f>
        <v>2005</v>
      </c>
      <c r="F2966" s="2" t="str">
        <f>IF(A2966&lt;&gt;"", VLOOKUP(A2966, imdb_netflix_v5!A$2:H$7370, 7, FALSE), "")</f>
        <v>NA</v>
      </c>
    </row>
    <row r="2967" ht="15.75" customHeight="1">
      <c r="A2967" s="1" t="str">
        <f>IFERROR(__xludf.DUMMYFUNCTION("""COMPUTED_VALUE"""),"giant")</f>
        <v>giant</v>
      </c>
      <c r="B2967" s="1" t="str">
        <f>IF(A2967&lt;&gt;"", VLOOKUP(A2967, imdb_netflix_v5!A$2:H$7370, 2, FALSE), "")</f>
        <v>Movie</v>
      </c>
      <c r="C2967" s="2" t="str">
        <f>IF(A2967&lt;&gt;"", VLOOKUP(A2967, imdb_netflix_v5!A$2:H$7370, 3, FALSE), "")</f>
        <v>Drama, Western</v>
      </c>
      <c r="D2967" s="2">
        <f>IF(A2967&lt;&gt;"", VLOOKUP(A2967, imdb_netflix_v5!A$2:H$7370, 4, FALSE), "")</f>
        <v>7.6</v>
      </c>
      <c r="E2967" s="2">
        <f>IF(A2967&lt;&gt;"", VLOOKUP(A2967, imdb_netflix_v5!A$2:H$7370, 5, FALSE), "")</f>
        <v>1956</v>
      </c>
      <c r="F2967" s="2" t="str">
        <f>IF(A2967&lt;&gt;"", VLOOKUP(A2967, imdb_netflix_v5!A$2:H$7370, 7, FALSE), "")</f>
        <v>NA</v>
      </c>
    </row>
    <row r="2968" ht="15.75" customHeight="1">
      <c r="A2968" s="1" t="str">
        <f>IFERROR(__xludf.DUMMYFUNCTION("""COMPUTED_VALUE"""),"macgyver")</f>
        <v>macgyver</v>
      </c>
      <c r="B2968" s="1" t="str">
        <f>IF(A2968&lt;&gt;"", VLOOKUP(A2968, imdb_netflix_v5!A$2:H$7370, 2, FALSE), "")</f>
        <v>TV Show</v>
      </c>
      <c r="C2968" s="2" t="str">
        <f>IF(A2968&lt;&gt;"", VLOOKUP(A2968, imdb_netflix_v5!A$2:H$7370, 3, FALSE), "")</f>
        <v>Action, Adventure, Crime</v>
      </c>
      <c r="D2968" s="2">
        <f>IF(A2968&lt;&gt;"", VLOOKUP(A2968, imdb_netflix_v5!A$2:H$7370, 4, FALSE), "")</f>
        <v>7.6</v>
      </c>
      <c r="E2968" s="2">
        <f>IF(A2968&lt;&gt;"", VLOOKUP(A2968, imdb_netflix_v5!A$2:H$7370, 5, FALSE), "")</f>
        <v>1985</v>
      </c>
      <c r="F2968" s="2" t="str">
        <f>IF(A2968&lt;&gt;"", VLOOKUP(A2968, imdb_netflix_v5!A$2:H$7370, 7, FALSE), "")</f>
        <v>NA</v>
      </c>
    </row>
    <row r="2969" ht="15.75" customHeight="1">
      <c r="A2969" s="1" t="str">
        <f>IFERROR(__xludf.DUMMYFUNCTION("""COMPUTED_VALUE"""),"three identical strangers")</f>
        <v>three identical strangers</v>
      </c>
      <c r="B2969" s="1" t="str">
        <f>IF(A2969&lt;&gt;"", VLOOKUP(A2969, imdb_netflix_v5!A$2:H$7370, 2, FALSE), "")</f>
        <v>Movie</v>
      </c>
      <c r="C2969" s="2" t="str">
        <f>IF(A2969&lt;&gt;"", VLOOKUP(A2969, imdb_netflix_v5!A$2:H$7370, 3, FALSE), "")</f>
        <v>Biography, Documentary, Drama</v>
      </c>
      <c r="D2969" s="2">
        <f>IF(A2969&lt;&gt;"", VLOOKUP(A2969, imdb_netflix_v5!A$2:H$7370, 4, FALSE), "")</f>
        <v>7.6</v>
      </c>
      <c r="E2969" s="2">
        <f>IF(A2969&lt;&gt;"", VLOOKUP(A2969, imdb_netflix_v5!A$2:H$7370, 5, FALSE), "")</f>
        <v>2018</v>
      </c>
      <c r="F2969" s="2" t="str">
        <f>IF(A2969&lt;&gt;"", VLOOKUP(A2969, imdb_netflix_v5!A$2:H$7370, 7, FALSE), "")</f>
        <v>NA</v>
      </c>
    </row>
    <row r="2970" ht="15.75" customHeight="1">
      <c r="A2970" s="1" t="str">
        <f>IFERROR(__xludf.DUMMYFUNCTION("""COMPUTED_VALUE"""),"in a better world")</f>
        <v>in a better world</v>
      </c>
      <c r="B2970" s="1" t="str">
        <f>IF(A2970&lt;&gt;"", VLOOKUP(A2970, imdb_netflix_v5!A$2:H$7370, 2, FALSE), "")</f>
        <v>Movie</v>
      </c>
      <c r="C2970" s="2" t="str">
        <f>IF(A2970&lt;&gt;"", VLOOKUP(A2970, imdb_netflix_v5!A$2:H$7370, 3, FALSE), "")</f>
        <v>Drama, Romance</v>
      </c>
      <c r="D2970" s="2">
        <f>IF(A2970&lt;&gt;"", VLOOKUP(A2970, imdb_netflix_v5!A$2:H$7370, 4, FALSE), "")</f>
        <v>7.6</v>
      </c>
      <c r="E2970" s="2">
        <f>IF(A2970&lt;&gt;"", VLOOKUP(A2970, imdb_netflix_v5!A$2:H$7370, 5, FALSE), "")</f>
        <v>2010</v>
      </c>
      <c r="F2970" s="2" t="str">
        <f>IF(A2970&lt;&gt;"", VLOOKUP(A2970, imdb_netflix_v5!A$2:H$7370, 7, FALSE), "")</f>
        <v>NA</v>
      </c>
    </row>
    <row r="2971" ht="15.75" customHeight="1">
      <c r="A2971" s="1" t="str">
        <f>IFERROR(__xludf.DUMMYFUNCTION("""COMPUTED_VALUE"""),"love and death")</f>
        <v>love and death</v>
      </c>
      <c r="B2971" s="1" t="str">
        <f>IF(A2971&lt;&gt;"", VLOOKUP(A2971, imdb_netflix_v5!A$2:H$7370, 2, FALSE), "")</f>
        <v>Movie</v>
      </c>
      <c r="C2971" s="2" t="str">
        <f>IF(A2971&lt;&gt;"", VLOOKUP(A2971, imdb_netflix_v5!A$2:H$7370, 3, FALSE), "")</f>
        <v>Comedy, War</v>
      </c>
      <c r="D2971" s="2">
        <f>IF(A2971&lt;&gt;"", VLOOKUP(A2971, imdb_netflix_v5!A$2:H$7370, 4, FALSE), "")</f>
        <v>7.6</v>
      </c>
      <c r="E2971" s="2">
        <f>IF(A2971&lt;&gt;"", VLOOKUP(A2971, imdb_netflix_v5!A$2:H$7370, 5, FALSE), "")</f>
        <v>1975</v>
      </c>
      <c r="F2971" s="2" t="str">
        <f>IF(A2971&lt;&gt;"", VLOOKUP(A2971, imdb_netflix_v5!A$2:H$7370, 7, FALSE), "")</f>
        <v>NA</v>
      </c>
    </row>
    <row r="2972" ht="15.75" customHeight="1">
      <c r="A2972" s="1" t="str">
        <f>IFERROR(__xludf.DUMMYFUNCTION("""COMPUTED_VALUE"""),"mustang")</f>
        <v>mustang</v>
      </c>
      <c r="B2972" s="1" t="str">
        <f>IF(A2972&lt;&gt;"", VLOOKUP(A2972, imdb_netflix_v5!A$2:H$7370, 2, FALSE), "")</f>
        <v>Movie</v>
      </c>
      <c r="C2972" s="2" t="str">
        <f>IF(A2972&lt;&gt;"", VLOOKUP(A2972, imdb_netflix_v5!A$2:H$7370, 3, FALSE), "")</f>
        <v>Drama</v>
      </c>
      <c r="D2972" s="2">
        <f>IF(A2972&lt;&gt;"", VLOOKUP(A2972, imdb_netflix_v5!A$2:H$7370, 4, FALSE), "")</f>
        <v>7.6</v>
      </c>
      <c r="E2972" s="2">
        <f>IF(A2972&lt;&gt;"", VLOOKUP(A2972, imdb_netflix_v5!A$2:H$7370, 5, FALSE), "")</f>
        <v>2015</v>
      </c>
      <c r="F2972" s="2" t="str">
        <f>IF(A2972&lt;&gt;"", VLOOKUP(A2972, imdb_netflix_v5!A$2:H$7370, 7, FALSE), "")</f>
        <v>NA</v>
      </c>
    </row>
    <row r="2973" ht="15.75" customHeight="1">
      <c r="A2973" s="1" t="str">
        <f>IFERROR(__xludf.DUMMYFUNCTION("""COMPUTED_VALUE"""),"the invisible man")</f>
        <v>the invisible man</v>
      </c>
      <c r="B2973" s="1" t="str">
        <f>IF(A2973&lt;&gt;"", VLOOKUP(A2973, imdb_netflix_v5!A$2:H$7370, 2, FALSE), "")</f>
        <v>Movie</v>
      </c>
      <c r="C2973" s="2" t="str">
        <f>IF(A2973&lt;&gt;"", VLOOKUP(A2973, imdb_netflix_v5!A$2:H$7370, 3, FALSE), "")</f>
        <v>Horror, Sci-Fi</v>
      </c>
      <c r="D2973" s="2">
        <f>IF(A2973&lt;&gt;"", VLOOKUP(A2973, imdb_netflix_v5!A$2:H$7370, 4, FALSE), "")</f>
        <v>7.6</v>
      </c>
      <c r="E2973" s="2">
        <f>IF(A2973&lt;&gt;"", VLOOKUP(A2973, imdb_netflix_v5!A$2:H$7370, 5, FALSE), "")</f>
        <v>1933</v>
      </c>
      <c r="F2973" s="2">
        <f>IF(A2973&lt;&gt;"", VLOOKUP(A2973, imdb_netflix_v5!A$2:H$7370, 7, FALSE), "")</f>
        <v>6530000</v>
      </c>
    </row>
    <row r="2974" ht="15.75" customHeight="1">
      <c r="A2974" s="1" t="str">
        <f>IFERROR(__xludf.DUMMYFUNCTION("""COMPUTED_VALUE"""),"peeping tom")</f>
        <v>peeping tom</v>
      </c>
      <c r="B2974" s="1" t="str">
        <f>IF(A2974&lt;&gt;"", VLOOKUP(A2974, imdb_netflix_v5!A$2:H$7370, 2, FALSE), "")</f>
        <v>Movie</v>
      </c>
      <c r="C2974" s="2" t="str">
        <f>IF(A2974&lt;&gt;"", VLOOKUP(A2974, imdb_netflix_v5!A$2:H$7370, 3, FALSE), "")</f>
        <v>Drama, Horror, Thriller</v>
      </c>
      <c r="D2974" s="2">
        <f>IF(A2974&lt;&gt;"", VLOOKUP(A2974, imdb_netflix_v5!A$2:H$7370, 4, FALSE), "")</f>
        <v>7.6</v>
      </c>
      <c r="E2974" s="2">
        <f>IF(A2974&lt;&gt;"", VLOOKUP(A2974, imdb_netflix_v5!A$2:H$7370, 5, FALSE), "")</f>
        <v>1960</v>
      </c>
      <c r="F2974" s="2" t="str">
        <f>IF(A2974&lt;&gt;"", VLOOKUP(A2974, imdb_netflix_v5!A$2:H$7370, 7, FALSE), "")</f>
        <v>NA</v>
      </c>
    </row>
    <row r="2975" ht="15.75" customHeight="1">
      <c r="A2975" s="1" t="str">
        <f>IFERROR(__xludf.DUMMYFUNCTION("""COMPUTED_VALUE"""),"watership down")</f>
        <v>watership down</v>
      </c>
      <c r="B2975" s="1" t="str">
        <f>IF(A2975&lt;&gt;"", VLOOKUP(A2975, imdb_netflix_v5!A$2:H$7370, 2, FALSE), "")</f>
        <v>Movie</v>
      </c>
      <c r="C2975" s="2" t="str">
        <f>IF(A2975&lt;&gt;"", VLOOKUP(A2975, imdb_netflix_v5!A$2:H$7370, 3, FALSE), "")</f>
        <v>Adventure, Animation, Drama</v>
      </c>
      <c r="D2975" s="2">
        <f>IF(A2975&lt;&gt;"", VLOOKUP(A2975, imdb_netflix_v5!A$2:H$7370, 4, FALSE), "")</f>
        <v>7.6</v>
      </c>
      <c r="E2975" s="2">
        <f>IF(A2975&lt;&gt;"", VLOOKUP(A2975, imdb_netflix_v5!A$2:H$7370, 5, FALSE), "")</f>
        <v>1978</v>
      </c>
      <c r="F2975" s="2" t="str">
        <f>IF(A2975&lt;&gt;"", VLOOKUP(A2975, imdb_netflix_v5!A$2:H$7370, 7, FALSE), "")</f>
        <v>NA</v>
      </c>
    </row>
    <row r="2976" ht="15.75" customHeight="1">
      <c r="A2976" s="1" t="str">
        <f>IFERROR(__xludf.DUMMYFUNCTION("""COMPUTED_VALUE"""),"the art of racing in the rain")</f>
        <v>the art of racing in the rain</v>
      </c>
      <c r="B2976" s="1" t="str">
        <f>IF(A2976&lt;&gt;"", VLOOKUP(A2976, imdb_netflix_v5!A$2:H$7370, 2, FALSE), "")</f>
        <v>Movie</v>
      </c>
      <c r="C2976" s="2" t="str">
        <f>IF(A2976&lt;&gt;"", VLOOKUP(A2976, imdb_netflix_v5!A$2:H$7370, 3, FALSE), "")</f>
        <v>Comedy, Drama, Romance</v>
      </c>
      <c r="D2976" s="2">
        <f>IF(A2976&lt;&gt;"", VLOOKUP(A2976, imdb_netflix_v5!A$2:H$7370, 4, FALSE), "")</f>
        <v>7.6</v>
      </c>
      <c r="E2976" s="2">
        <f>IF(A2976&lt;&gt;"", VLOOKUP(A2976, imdb_netflix_v5!A$2:H$7370, 5, FALSE), "")</f>
        <v>2019</v>
      </c>
      <c r="F2976" s="2" t="str">
        <f>IF(A2976&lt;&gt;"", VLOOKUP(A2976, imdb_netflix_v5!A$2:H$7370, 7, FALSE), "")</f>
        <v>NA</v>
      </c>
    </row>
    <row r="2977" ht="15.75" customHeight="1">
      <c r="A2977" s="1" t="str">
        <f>IFERROR(__xludf.DUMMYFUNCTION("""COMPUTED_VALUE"""),"the muppet movie")</f>
        <v>the muppet movie</v>
      </c>
      <c r="B2977" s="1" t="str">
        <f>IF(A2977&lt;&gt;"", VLOOKUP(A2977, imdb_netflix_v5!A$2:H$7370, 2, FALSE), "")</f>
        <v>Movie</v>
      </c>
      <c r="C2977" s="2" t="str">
        <f>IF(A2977&lt;&gt;"", VLOOKUP(A2977, imdb_netflix_v5!A$2:H$7370, 3, FALSE), "")</f>
        <v>Adventure, Comedy, Family</v>
      </c>
      <c r="D2977" s="2">
        <f>IF(A2977&lt;&gt;"", VLOOKUP(A2977, imdb_netflix_v5!A$2:H$7370, 4, FALSE), "")</f>
        <v>7.6</v>
      </c>
      <c r="E2977" s="2">
        <f>IF(A2977&lt;&gt;"", VLOOKUP(A2977, imdb_netflix_v5!A$2:H$7370, 5, FALSE), "")</f>
        <v>1979</v>
      </c>
      <c r="F2977" s="2" t="str">
        <f>IF(A2977&lt;&gt;"", VLOOKUP(A2977, imdb_netflix_v5!A$2:H$7370, 7, FALSE), "")</f>
        <v>NA</v>
      </c>
    </row>
    <row r="2978" ht="15.75" customHeight="1">
      <c r="A2978" s="1" t="str">
        <f>IFERROR(__xludf.DUMMYFUNCTION("""COMPUTED_VALUE"""),"the commitments")</f>
        <v>the commitments</v>
      </c>
      <c r="B2978" s="1" t="str">
        <f>IF(A2978&lt;&gt;"", VLOOKUP(A2978, imdb_netflix_v5!A$2:H$7370, 2, FALSE), "")</f>
        <v>Movie</v>
      </c>
      <c r="C2978" s="2" t="str">
        <f>IF(A2978&lt;&gt;"", VLOOKUP(A2978, imdb_netflix_v5!A$2:H$7370, 3, FALSE), "")</f>
        <v>Comedy, Drama, Music</v>
      </c>
      <c r="D2978" s="2">
        <f>IF(A2978&lt;&gt;"", VLOOKUP(A2978, imdb_netflix_v5!A$2:H$7370, 4, FALSE), "")</f>
        <v>7.6</v>
      </c>
      <c r="E2978" s="2">
        <f>IF(A2978&lt;&gt;"", VLOOKUP(A2978, imdb_netflix_v5!A$2:H$7370, 5, FALSE), "")</f>
        <v>1991</v>
      </c>
      <c r="F2978" s="2" t="str">
        <f>IF(A2978&lt;&gt;"", VLOOKUP(A2978, imdb_netflix_v5!A$2:H$7370, 7, FALSE), "")</f>
        <v>NA</v>
      </c>
    </row>
    <row r="2979" ht="15.75" customHeight="1">
      <c r="A2979" s="1" t="str">
        <f>IFERROR(__xludf.DUMMYFUNCTION("""COMPUTED_VALUE"""),"boy a")</f>
        <v>boy a</v>
      </c>
      <c r="B2979" s="1" t="str">
        <f>IF(A2979&lt;&gt;"", VLOOKUP(A2979, imdb_netflix_v5!A$2:H$7370, 2, FALSE), "")</f>
        <v>Movie</v>
      </c>
      <c r="C2979" s="2" t="str">
        <f>IF(A2979&lt;&gt;"", VLOOKUP(A2979, imdb_netflix_v5!A$2:H$7370, 3, FALSE), "")</f>
        <v>Drama</v>
      </c>
      <c r="D2979" s="2">
        <f>IF(A2979&lt;&gt;"", VLOOKUP(A2979, imdb_netflix_v5!A$2:H$7370, 4, FALSE), "")</f>
        <v>7.6</v>
      </c>
      <c r="E2979" s="2">
        <f>IF(A2979&lt;&gt;"", VLOOKUP(A2979, imdb_netflix_v5!A$2:H$7370, 5, FALSE), "")</f>
        <v>2007</v>
      </c>
      <c r="F2979" s="2" t="str">
        <f>IF(A2979&lt;&gt;"", VLOOKUP(A2979, imdb_netflix_v5!A$2:H$7370, 7, FALSE), "")</f>
        <v>NA</v>
      </c>
    </row>
    <row r="2980" ht="15.75" customHeight="1">
      <c r="A2980" s="1" t="str">
        <f>IFERROR(__xludf.DUMMYFUNCTION("""COMPUTED_VALUE"""),"alias grace")</f>
        <v>alias grace</v>
      </c>
      <c r="B2980" s="1" t="str">
        <f>IF(A2980&lt;&gt;"", VLOOKUP(A2980, imdb_netflix_v5!A$2:H$7370, 2, FALSE), "")</f>
        <v>TV Show</v>
      </c>
      <c r="C2980" s="2" t="str">
        <f>IF(A2980&lt;&gt;"", VLOOKUP(A2980, imdb_netflix_v5!A$2:H$7370, 3, FALSE), "")</f>
        <v>Biography, Crime, Drama</v>
      </c>
      <c r="D2980" s="2">
        <f>IF(A2980&lt;&gt;"", VLOOKUP(A2980, imdb_netflix_v5!A$2:H$7370, 4, FALSE), "")</f>
        <v>7.6</v>
      </c>
      <c r="E2980" s="2">
        <f>IF(A2980&lt;&gt;"", VLOOKUP(A2980, imdb_netflix_v5!A$2:H$7370, 5, FALSE), "")</f>
        <v>2017</v>
      </c>
      <c r="F2980" s="2" t="str">
        <f>IF(A2980&lt;&gt;"", VLOOKUP(A2980, imdb_netflix_v5!A$2:H$7370, 7, FALSE), "")</f>
        <v>NA</v>
      </c>
    </row>
    <row r="2981" ht="15.75" customHeight="1">
      <c r="A2981" s="1" t="str">
        <f>IFERROR(__xludf.DUMMYFUNCTION("""COMPUTED_VALUE"""),"rizzoli &amp; isles")</f>
        <v>rizzoli &amp; isles</v>
      </c>
      <c r="B2981" s="1" t="str">
        <f>IF(A2981&lt;&gt;"", VLOOKUP(A2981, imdb_netflix_v5!A$2:H$7370, 2, FALSE), "")</f>
        <v>TV Show</v>
      </c>
      <c r="C2981" s="2" t="str">
        <f>IF(A2981&lt;&gt;"", VLOOKUP(A2981, imdb_netflix_v5!A$2:H$7370, 3, FALSE), "")</f>
        <v>Crime, Drama, Mystery</v>
      </c>
      <c r="D2981" s="2">
        <f>IF(A2981&lt;&gt;"", VLOOKUP(A2981, imdb_netflix_v5!A$2:H$7370, 4, FALSE), "")</f>
        <v>7.6</v>
      </c>
      <c r="E2981" s="2">
        <f>IF(A2981&lt;&gt;"", VLOOKUP(A2981, imdb_netflix_v5!A$2:H$7370, 5, FALSE), "")</f>
        <v>2010</v>
      </c>
      <c r="F2981" s="2" t="str">
        <f>IF(A2981&lt;&gt;"", VLOOKUP(A2981, imdb_netflix_v5!A$2:H$7370, 7, FALSE), "")</f>
        <v>NA</v>
      </c>
    </row>
    <row r="2982" ht="15.75" customHeight="1">
      <c r="A2982" s="1" t="str">
        <f>IFERROR(__xludf.DUMMYFUNCTION("""COMPUTED_VALUE"""),"only yesterday")</f>
        <v>only yesterday</v>
      </c>
      <c r="B2982" s="1" t="str">
        <f>IF(A2982&lt;&gt;"", VLOOKUP(A2982, imdb_netflix_v5!A$2:H$7370, 2, FALSE), "")</f>
        <v>Movie</v>
      </c>
      <c r="C2982" s="2" t="str">
        <f>IF(A2982&lt;&gt;"", VLOOKUP(A2982, imdb_netflix_v5!A$2:H$7370, 3, FALSE), "")</f>
        <v>Animation, Drama, Romance</v>
      </c>
      <c r="D2982" s="2">
        <f>IF(A2982&lt;&gt;"", VLOOKUP(A2982, imdb_netflix_v5!A$2:H$7370, 4, FALSE), "")</f>
        <v>7.6</v>
      </c>
      <c r="E2982" s="2">
        <f>IF(A2982&lt;&gt;"", VLOOKUP(A2982, imdb_netflix_v5!A$2:H$7370, 5, FALSE), "")</f>
        <v>1991</v>
      </c>
      <c r="F2982" s="2" t="str">
        <f>IF(A2982&lt;&gt;"", VLOOKUP(A2982, imdb_netflix_v5!A$2:H$7370, 7, FALSE), "")</f>
        <v>NA</v>
      </c>
    </row>
    <row r="2983" ht="15.75" customHeight="1">
      <c r="A2983" s="1" t="str">
        <f>IFERROR(__xludf.DUMMYFUNCTION("""COMPUTED_VALUE"""),"duck, you sucker!")</f>
        <v>duck, you sucker!</v>
      </c>
      <c r="B2983" s="1" t="str">
        <f>IF(A2983&lt;&gt;"", VLOOKUP(A2983, imdb_netflix_v5!A$2:H$7370, 2, FALSE), "")</f>
        <v>Movie</v>
      </c>
      <c r="C2983" s="2" t="str">
        <f>IF(A2983&lt;&gt;"", VLOOKUP(A2983, imdb_netflix_v5!A$2:H$7370, 3, FALSE), "")</f>
        <v>Drama, War, Western</v>
      </c>
      <c r="D2983" s="2">
        <f>IF(A2983&lt;&gt;"", VLOOKUP(A2983, imdb_netflix_v5!A$2:H$7370, 4, FALSE), "")</f>
        <v>7.6</v>
      </c>
      <c r="E2983" s="2">
        <f>IF(A2983&lt;&gt;"", VLOOKUP(A2983, imdb_netflix_v5!A$2:H$7370, 5, FALSE), "")</f>
        <v>1971</v>
      </c>
      <c r="F2983" s="2" t="str">
        <f>IF(A2983&lt;&gt;"", VLOOKUP(A2983, imdb_netflix_v5!A$2:H$7370, 7, FALSE), "")</f>
        <v>NA</v>
      </c>
    </row>
    <row r="2984" ht="15.75" customHeight="1">
      <c r="A2984" s="1" t="str">
        <f>IFERROR(__xludf.DUMMYFUNCTION("""COMPUTED_VALUE"""),"the odd couple")</f>
        <v>the odd couple</v>
      </c>
      <c r="B2984" s="1" t="str">
        <f>IF(A2984&lt;&gt;"", VLOOKUP(A2984, imdb_netflix_v5!A$2:H$7370, 2, FALSE), "")</f>
        <v>Movie</v>
      </c>
      <c r="C2984" s="2" t="str">
        <f>IF(A2984&lt;&gt;"", VLOOKUP(A2984, imdb_netflix_v5!A$2:H$7370, 3, FALSE), "")</f>
        <v>Comedy</v>
      </c>
      <c r="D2984" s="2">
        <f>IF(A2984&lt;&gt;"", VLOOKUP(A2984, imdb_netflix_v5!A$2:H$7370, 4, FALSE), "")</f>
        <v>7.6</v>
      </c>
      <c r="E2984" s="2">
        <f>IF(A2984&lt;&gt;"", VLOOKUP(A2984, imdb_netflix_v5!A$2:H$7370, 5, FALSE), "")</f>
        <v>1968</v>
      </c>
      <c r="F2984" s="2" t="str">
        <f>IF(A2984&lt;&gt;"", VLOOKUP(A2984, imdb_netflix_v5!A$2:H$7370, 7, FALSE), "")</f>
        <v>NA</v>
      </c>
    </row>
    <row r="2985" ht="15.75" customHeight="1">
      <c r="A2985" s="1" t="str">
        <f>IFERROR(__xludf.DUMMYFUNCTION("""COMPUTED_VALUE"""),"station eleven")</f>
        <v>station eleven</v>
      </c>
      <c r="B2985" s="1" t="str">
        <f>IF(A2985&lt;&gt;"", VLOOKUP(A2985, imdb_netflix_v5!A$2:H$7370, 2, FALSE), "")</f>
        <v>TV Show</v>
      </c>
      <c r="C2985" s="2" t="str">
        <f>IF(A2985&lt;&gt;"", VLOOKUP(A2985, imdb_netflix_v5!A$2:H$7370, 3, FALSE), "")</f>
        <v>Adventure, Drama, Fantasy</v>
      </c>
      <c r="D2985" s="2">
        <f>IF(A2985&lt;&gt;"", VLOOKUP(A2985, imdb_netflix_v5!A$2:H$7370, 4, FALSE), "")</f>
        <v>7.6</v>
      </c>
      <c r="E2985" s="2">
        <f>IF(A2985&lt;&gt;"", VLOOKUP(A2985, imdb_netflix_v5!A$2:H$7370, 5, FALSE), "")</f>
        <v>2021</v>
      </c>
      <c r="F2985" s="2" t="str">
        <f>IF(A2985&lt;&gt;"", VLOOKUP(A2985, imdb_netflix_v5!A$2:H$7370, 7, FALSE), "")</f>
        <v>NA</v>
      </c>
    </row>
    <row r="2986" ht="15.75" customHeight="1">
      <c r="A2986" s="1" t="str">
        <f>IFERROR(__xludf.DUMMYFUNCTION("""COMPUTED_VALUE"""),"transformers one")</f>
        <v>transformers one</v>
      </c>
      <c r="B2986" s="1" t="str">
        <f>IF(A2986&lt;&gt;"", VLOOKUP(A2986, imdb_netflix_v5!A$2:H$7370, 2, FALSE), "")</f>
        <v>Movie</v>
      </c>
      <c r="C2986" s="2" t="str">
        <f>IF(A2986&lt;&gt;"", VLOOKUP(A2986, imdb_netflix_v5!A$2:H$7370, 3, FALSE), "")</f>
        <v>Action, Adventure, Animation</v>
      </c>
      <c r="D2986" s="2">
        <f>IF(A2986&lt;&gt;"", VLOOKUP(A2986, imdb_netflix_v5!A$2:H$7370, 4, FALSE), "")</f>
        <v>7.6</v>
      </c>
      <c r="E2986" s="2">
        <f>IF(A2986&lt;&gt;"", VLOOKUP(A2986, imdb_netflix_v5!A$2:H$7370, 5, FALSE), "")</f>
        <v>2024</v>
      </c>
      <c r="F2986" s="2" t="str">
        <f>IF(A2986&lt;&gt;"", VLOOKUP(A2986, imdb_netflix_v5!A$2:H$7370, 7, FALSE), "")</f>
        <v>NA</v>
      </c>
    </row>
    <row r="2987" ht="15.75" customHeight="1">
      <c r="A2987" s="1" t="str">
        <f>IFERROR(__xludf.DUMMYFUNCTION("""COMPUTED_VALUE"""),"the taking of pelham one two three")</f>
        <v>the taking of pelham one two three</v>
      </c>
      <c r="B2987" s="1" t="str">
        <f>IF(A2987&lt;&gt;"", VLOOKUP(A2987, imdb_netflix_v5!A$2:H$7370, 2, FALSE), "")</f>
        <v>Movie</v>
      </c>
      <c r="C2987" s="2" t="str">
        <f>IF(A2987&lt;&gt;"", VLOOKUP(A2987, imdb_netflix_v5!A$2:H$7370, 3, FALSE), "")</f>
        <v>Action, Crime, Thriller</v>
      </c>
      <c r="D2987" s="2">
        <f>IF(A2987&lt;&gt;"", VLOOKUP(A2987, imdb_netflix_v5!A$2:H$7370, 4, FALSE), "")</f>
        <v>7.6</v>
      </c>
      <c r="E2987" s="2">
        <f>IF(A2987&lt;&gt;"", VLOOKUP(A2987, imdb_netflix_v5!A$2:H$7370, 5, FALSE), "")</f>
        <v>1974</v>
      </c>
      <c r="F2987" s="2" t="str">
        <f>IF(A2987&lt;&gt;"", VLOOKUP(A2987, imdb_netflix_v5!A$2:H$7370, 7, FALSE), "")</f>
        <v>NA</v>
      </c>
    </row>
    <row r="2988" ht="15.75" customHeight="1">
      <c r="A2988" s="1" t="str">
        <f>IFERROR(__xludf.DUMMYFUNCTION("""COMPUTED_VALUE"""),"a little princess")</f>
        <v>a little princess</v>
      </c>
      <c r="B2988" s="1" t="str">
        <f>IF(A2988&lt;&gt;"", VLOOKUP(A2988, imdb_netflix_v5!A$2:H$7370, 2, FALSE), "")</f>
        <v>Movie</v>
      </c>
      <c r="C2988" s="2" t="str">
        <f>IF(A2988&lt;&gt;"", VLOOKUP(A2988, imdb_netflix_v5!A$2:H$7370, 3, FALSE), "")</f>
        <v>Drama, Family, Fantasy</v>
      </c>
      <c r="D2988" s="2">
        <f>IF(A2988&lt;&gt;"", VLOOKUP(A2988, imdb_netflix_v5!A$2:H$7370, 4, FALSE), "")</f>
        <v>7.6</v>
      </c>
      <c r="E2988" s="2">
        <f>IF(A2988&lt;&gt;"", VLOOKUP(A2988, imdb_netflix_v5!A$2:H$7370, 5, FALSE), "")</f>
        <v>1995</v>
      </c>
      <c r="F2988" s="2" t="str">
        <f>IF(A2988&lt;&gt;"", VLOOKUP(A2988, imdb_netflix_v5!A$2:H$7370, 7, FALSE), "")</f>
        <v>NA</v>
      </c>
    </row>
    <row r="2989" ht="15.75" customHeight="1">
      <c r="A2989" s="1" t="str">
        <f>IFERROR(__xludf.DUMMYFUNCTION("""COMPUTED_VALUE"""),"hey arnold!")</f>
        <v>hey arnold!</v>
      </c>
      <c r="B2989" s="1" t="str">
        <f>IF(A2989&lt;&gt;"", VLOOKUP(A2989, imdb_netflix_v5!A$2:H$7370, 2, FALSE), "")</f>
        <v>TV Show</v>
      </c>
      <c r="C2989" s="2" t="str">
        <f>IF(A2989&lt;&gt;"", VLOOKUP(A2989, imdb_netflix_v5!A$2:H$7370, 3, FALSE), "")</f>
        <v>Animation, Comedy, Family</v>
      </c>
      <c r="D2989" s="2">
        <f>IF(A2989&lt;&gt;"", VLOOKUP(A2989, imdb_netflix_v5!A$2:H$7370, 4, FALSE), "")</f>
        <v>7.6</v>
      </c>
      <c r="E2989" s="2">
        <f>IF(A2989&lt;&gt;"", VLOOKUP(A2989, imdb_netflix_v5!A$2:H$7370, 5, FALSE), "")</f>
        <v>1996</v>
      </c>
      <c r="F2989" s="2" t="str">
        <f>IF(A2989&lt;&gt;"", VLOOKUP(A2989, imdb_netflix_v5!A$2:H$7370, 7, FALSE), "")</f>
        <v>NA</v>
      </c>
    </row>
    <row r="2990" ht="15.75" customHeight="1">
      <c r="A2990" s="1" t="str">
        <f>IFERROR(__xludf.DUMMYFUNCTION("""COMPUTED_VALUE"""),"gods own country")</f>
        <v>gods own country</v>
      </c>
      <c r="B2990" s="1" t="str">
        <f>IF(A2990&lt;&gt;"", VLOOKUP(A2990, imdb_netflix_v5!A$2:H$7370, 2, FALSE), "")</f>
        <v>Movie</v>
      </c>
      <c r="C2990" s="2" t="str">
        <f>IF(A2990&lt;&gt;"", VLOOKUP(A2990, imdb_netflix_v5!A$2:H$7370, 3, FALSE), "")</f>
        <v>Drama, Romance</v>
      </c>
      <c r="D2990" s="2">
        <f>IF(A2990&lt;&gt;"", VLOOKUP(A2990, imdb_netflix_v5!A$2:H$7370, 4, FALSE), "")</f>
        <v>7.6</v>
      </c>
      <c r="E2990" s="2">
        <f>IF(A2990&lt;&gt;"", VLOOKUP(A2990, imdb_netflix_v5!A$2:H$7370, 5, FALSE), "")</f>
        <v>2017</v>
      </c>
      <c r="F2990" s="2" t="str">
        <f>IF(A2990&lt;&gt;"", VLOOKUP(A2990, imdb_netflix_v5!A$2:H$7370, 7, FALSE), "")</f>
        <v>NA</v>
      </c>
    </row>
    <row r="2991" ht="15.75" customHeight="1">
      <c r="A2991" s="1" t="str">
        <f>IFERROR(__xludf.DUMMYFUNCTION("""COMPUTED_VALUE"""),"vampire hunter d bloodlust")</f>
        <v>vampire hunter d bloodlust</v>
      </c>
      <c r="B2991" s="1" t="str">
        <f>IF(A2991&lt;&gt;"", VLOOKUP(A2991, imdb_netflix_v5!A$2:H$7370, 2, FALSE), "")</f>
        <v>Movie</v>
      </c>
      <c r="C2991" s="2" t="str">
        <f>IF(A2991&lt;&gt;"", VLOOKUP(A2991, imdb_netflix_v5!A$2:H$7370, 3, FALSE), "")</f>
        <v>Action, Animation, Drama</v>
      </c>
      <c r="D2991" s="2">
        <f>IF(A2991&lt;&gt;"", VLOOKUP(A2991, imdb_netflix_v5!A$2:H$7370, 4, FALSE), "")</f>
        <v>7.6</v>
      </c>
      <c r="E2991" s="2">
        <f>IF(A2991&lt;&gt;"", VLOOKUP(A2991, imdb_netflix_v5!A$2:H$7370, 5, FALSE), "")</f>
        <v>2000</v>
      </c>
      <c r="F2991" s="2" t="str">
        <f>IF(A2991&lt;&gt;"", VLOOKUP(A2991, imdb_netflix_v5!A$2:H$7370, 7, FALSE), "")</f>
        <v>NA</v>
      </c>
    </row>
    <row r="2992" ht="15.75" customHeight="1">
      <c r="A2992" s="1" t="str">
        <f>IFERROR(__xludf.DUMMYFUNCTION("""COMPUTED_VALUE"""),"ponniyin selvan part i")</f>
        <v>ponniyin selvan part i</v>
      </c>
      <c r="B2992" s="1" t="str">
        <f>IF(A2992&lt;&gt;"", VLOOKUP(A2992, imdb_netflix_v5!A$2:H$7370, 2, FALSE), "")</f>
        <v>Movie</v>
      </c>
      <c r="C2992" s="2" t="str">
        <f>IF(A2992&lt;&gt;"", VLOOKUP(A2992, imdb_netflix_v5!A$2:H$7370, 3, FALSE), "")</f>
        <v>Action, Drama</v>
      </c>
      <c r="D2992" s="2">
        <f>IF(A2992&lt;&gt;"", VLOOKUP(A2992, imdb_netflix_v5!A$2:H$7370, 4, FALSE), "")</f>
        <v>7.6</v>
      </c>
      <c r="E2992" s="2">
        <f>IF(A2992&lt;&gt;"", VLOOKUP(A2992, imdb_netflix_v5!A$2:H$7370, 5, FALSE), "")</f>
        <v>2022</v>
      </c>
      <c r="F2992" s="2" t="str">
        <f>IF(A2992&lt;&gt;"", VLOOKUP(A2992, imdb_netflix_v5!A$2:H$7370, 7, FALSE), "")</f>
        <v>NA</v>
      </c>
    </row>
    <row r="2993" ht="15.75" customHeight="1">
      <c r="A2993" s="1" t="str">
        <f>IFERROR(__xludf.DUMMYFUNCTION("""COMPUTED_VALUE"""),"legend of the seeker")</f>
        <v>legend of the seeker</v>
      </c>
      <c r="B2993" s="1" t="str">
        <f>IF(A2993&lt;&gt;"", VLOOKUP(A2993, imdb_netflix_v5!A$2:H$7370, 2, FALSE), "")</f>
        <v>TV Show</v>
      </c>
      <c r="C2993" s="2" t="str">
        <f>IF(A2993&lt;&gt;"", VLOOKUP(A2993, imdb_netflix_v5!A$2:H$7370, 3, FALSE), "")</f>
        <v>Action, Adventure, Drama</v>
      </c>
      <c r="D2993" s="2">
        <f>IF(A2993&lt;&gt;"", VLOOKUP(A2993, imdb_netflix_v5!A$2:H$7370, 4, FALSE), "")</f>
        <v>7.6</v>
      </c>
      <c r="E2993" s="2">
        <f>IF(A2993&lt;&gt;"", VLOOKUP(A2993, imdb_netflix_v5!A$2:H$7370, 5, FALSE), "")</f>
        <v>2008</v>
      </c>
      <c r="F2993" s="2" t="str">
        <f>IF(A2993&lt;&gt;"", VLOOKUP(A2993, imdb_netflix_v5!A$2:H$7370, 7, FALSE), "")</f>
        <v>NA</v>
      </c>
    </row>
    <row r="2994" ht="15.75" customHeight="1">
      <c r="A2994" s="1" t="str">
        <f>IFERROR(__xludf.DUMMYFUNCTION("""COMPUTED_VALUE"""),"eyes without a face")</f>
        <v>eyes without a face</v>
      </c>
      <c r="B2994" s="1" t="str">
        <f>IF(A2994&lt;&gt;"", VLOOKUP(A2994, imdb_netflix_v5!A$2:H$7370, 2, FALSE), "")</f>
        <v>Movie</v>
      </c>
      <c r="C2994" s="2" t="str">
        <f>IF(A2994&lt;&gt;"", VLOOKUP(A2994, imdb_netflix_v5!A$2:H$7370, 3, FALSE), "")</f>
        <v>Drama, Horror</v>
      </c>
      <c r="D2994" s="2">
        <f>IF(A2994&lt;&gt;"", VLOOKUP(A2994, imdb_netflix_v5!A$2:H$7370, 4, FALSE), "")</f>
        <v>7.6</v>
      </c>
      <c r="E2994" s="2">
        <f>IF(A2994&lt;&gt;"", VLOOKUP(A2994, imdb_netflix_v5!A$2:H$7370, 5, FALSE), "")</f>
        <v>1960</v>
      </c>
      <c r="F2994" s="2" t="str">
        <f>IF(A2994&lt;&gt;"", VLOOKUP(A2994, imdb_netflix_v5!A$2:H$7370, 7, FALSE), "")</f>
        <v>NA</v>
      </c>
    </row>
    <row r="2995" ht="15.75" customHeight="1">
      <c r="A2995" s="1" t="str">
        <f>IFERROR(__xludf.DUMMYFUNCTION("""COMPUTED_VALUE"""),"gilda")</f>
        <v>gilda</v>
      </c>
      <c r="B2995" s="1" t="str">
        <f>IF(A2995&lt;&gt;"", VLOOKUP(A2995, imdb_netflix_v5!A$2:H$7370, 2, FALSE), "")</f>
        <v>Movie</v>
      </c>
      <c r="C2995" s="2" t="str">
        <f>IF(A2995&lt;&gt;"", VLOOKUP(A2995, imdb_netflix_v5!A$2:H$7370, 3, FALSE), "")</f>
        <v>Drama, Film-Noir, Romance</v>
      </c>
      <c r="D2995" s="2">
        <f>IF(A2995&lt;&gt;"", VLOOKUP(A2995, imdb_netflix_v5!A$2:H$7370, 4, FALSE), "")</f>
        <v>7.6</v>
      </c>
      <c r="E2995" s="2">
        <f>IF(A2995&lt;&gt;"", VLOOKUP(A2995, imdb_netflix_v5!A$2:H$7370, 5, FALSE), "")</f>
        <v>1946</v>
      </c>
      <c r="F2995" s="2" t="str">
        <f>IF(A2995&lt;&gt;"", VLOOKUP(A2995, imdb_netflix_v5!A$2:H$7370, 7, FALSE), "")</f>
        <v>NA</v>
      </c>
    </row>
    <row r="2996" ht="15.75" customHeight="1">
      <c r="A2996" s="1" t="str">
        <f>IFERROR(__xludf.DUMMYFUNCTION("""COMPUTED_VALUE"""),"loveless")</f>
        <v>loveless</v>
      </c>
      <c r="B2996" s="1" t="str">
        <f>IF(A2996&lt;&gt;"", VLOOKUP(A2996, imdb_netflix_v5!A$2:H$7370, 2, FALSE), "")</f>
        <v>Movie</v>
      </c>
      <c r="C2996" s="2" t="str">
        <f>IF(A2996&lt;&gt;"", VLOOKUP(A2996, imdb_netflix_v5!A$2:H$7370, 3, FALSE), "")</f>
        <v>Drama</v>
      </c>
      <c r="D2996" s="2">
        <f>IF(A2996&lt;&gt;"", VLOOKUP(A2996, imdb_netflix_v5!A$2:H$7370, 4, FALSE), "")</f>
        <v>7.6</v>
      </c>
      <c r="E2996" s="2">
        <f>IF(A2996&lt;&gt;"", VLOOKUP(A2996, imdb_netflix_v5!A$2:H$7370, 5, FALSE), "")</f>
        <v>2017</v>
      </c>
      <c r="F2996" s="2" t="str">
        <f>IF(A2996&lt;&gt;"", VLOOKUP(A2996, imdb_netflix_v5!A$2:H$7370, 7, FALSE), "")</f>
        <v>NA</v>
      </c>
    </row>
    <row r="2997" ht="15.75" customHeight="1">
      <c r="A2997" s="1" t="str">
        <f>IFERROR(__xludf.DUMMYFUNCTION("""COMPUTED_VALUE"""),"jeremiah johnson")</f>
        <v>jeremiah johnson</v>
      </c>
      <c r="B2997" s="1" t="str">
        <f>IF(A2997&lt;&gt;"", VLOOKUP(A2997, imdb_netflix_v5!A$2:H$7370, 2, FALSE), "")</f>
        <v>Movie</v>
      </c>
      <c r="C2997" s="2" t="str">
        <f>IF(A2997&lt;&gt;"", VLOOKUP(A2997, imdb_netflix_v5!A$2:H$7370, 3, FALSE), "")</f>
        <v>Adventure, Drama, Western</v>
      </c>
      <c r="D2997" s="2">
        <f>IF(A2997&lt;&gt;"", VLOOKUP(A2997, imdb_netflix_v5!A$2:H$7370, 4, FALSE), "")</f>
        <v>7.6</v>
      </c>
      <c r="E2997" s="2">
        <f>IF(A2997&lt;&gt;"", VLOOKUP(A2997, imdb_netflix_v5!A$2:H$7370, 5, FALSE), "")</f>
        <v>1972</v>
      </c>
      <c r="F2997" s="2" t="str">
        <f>IF(A2997&lt;&gt;"", VLOOKUP(A2997, imdb_netflix_v5!A$2:H$7370, 7, FALSE), "")</f>
        <v>NA</v>
      </c>
    </row>
    <row r="2998" ht="15.75" customHeight="1">
      <c r="A2998" s="1" t="str">
        <f>IFERROR(__xludf.DUMMYFUNCTION("""COMPUTED_VALUE"""),"on golden pond")</f>
        <v>on golden pond</v>
      </c>
      <c r="B2998" s="1" t="str">
        <f>IF(A2998&lt;&gt;"", VLOOKUP(A2998, imdb_netflix_v5!A$2:H$7370, 2, FALSE), "")</f>
        <v>Movie</v>
      </c>
      <c r="C2998" s="2" t="str">
        <f>IF(A2998&lt;&gt;"", VLOOKUP(A2998, imdb_netflix_v5!A$2:H$7370, 3, FALSE), "")</f>
        <v>Drama</v>
      </c>
      <c r="D2998" s="2">
        <f>IF(A2998&lt;&gt;"", VLOOKUP(A2998, imdb_netflix_v5!A$2:H$7370, 4, FALSE), "")</f>
        <v>7.6</v>
      </c>
      <c r="E2998" s="2">
        <f>IF(A2998&lt;&gt;"", VLOOKUP(A2998, imdb_netflix_v5!A$2:H$7370, 5, FALSE), "")</f>
        <v>1981</v>
      </c>
      <c r="F2998" s="2" t="str">
        <f>IF(A2998&lt;&gt;"", VLOOKUP(A2998, imdb_netflix_v5!A$2:H$7370, 7, FALSE), "")</f>
        <v>NA</v>
      </c>
    </row>
    <row r="2999" ht="15.75" customHeight="1">
      <c r="A2999" s="1" t="str">
        <f>IFERROR(__xludf.DUMMYFUNCTION("""COMPUTED_VALUE"""),"raanjhanaa")</f>
        <v>raanjhanaa</v>
      </c>
      <c r="B2999" s="1" t="str">
        <f>IF(A2999&lt;&gt;"", VLOOKUP(A2999, imdb_netflix_v5!A$2:H$7370, 2, FALSE), "")</f>
        <v>Movie</v>
      </c>
      <c r="C2999" s="2" t="str">
        <f>IF(A2999&lt;&gt;"", VLOOKUP(A2999, imdb_netflix_v5!A$2:H$7370, 3, FALSE), "")</f>
        <v>Drama, Romance</v>
      </c>
      <c r="D2999" s="2">
        <f>IF(A2999&lt;&gt;"", VLOOKUP(A2999, imdb_netflix_v5!A$2:H$7370, 4, FALSE), "")</f>
        <v>7.6</v>
      </c>
      <c r="E2999" s="2">
        <f>IF(A2999&lt;&gt;"", VLOOKUP(A2999, imdb_netflix_v5!A$2:H$7370, 5, FALSE), "")</f>
        <v>2013</v>
      </c>
      <c r="F2999" s="2" t="str">
        <f>IF(A2999&lt;&gt;"", VLOOKUP(A2999, imdb_netflix_v5!A$2:H$7370, 7, FALSE), "")</f>
        <v>NA</v>
      </c>
    </row>
    <row r="3000" ht="15.75" customHeight="1">
      <c r="A3000" s="1" t="str">
        <f>IFERROR(__xludf.DUMMYFUNCTION("""COMPUTED_VALUE"""),"romeo and juliet")</f>
        <v>romeo and juliet</v>
      </c>
      <c r="B3000" s="1" t="str">
        <f>IF(A3000&lt;&gt;"", VLOOKUP(A3000, imdb_netflix_v5!A$2:H$7370, 2, FALSE), "")</f>
        <v>Movie</v>
      </c>
      <c r="C3000" s="2" t="str">
        <f>IF(A3000&lt;&gt;"", VLOOKUP(A3000, imdb_netflix_v5!A$2:H$7370, 3, FALSE), "")</f>
        <v>Drama, Romance</v>
      </c>
      <c r="D3000" s="2">
        <f>IF(A3000&lt;&gt;"", VLOOKUP(A3000, imdb_netflix_v5!A$2:H$7370, 4, FALSE), "")</f>
        <v>7.6</v>
      </c>
      <c r="E3000" s="2">
        <f>IF(A3000&lt;&gt;"", VLOOKUP(A3000, imdb_netflix_v5!A$2:H$7370, 5, FALSE), "")</f>
        <v>1968</v>
      </c>
      <c r="F3000" s="2" t="str">
        <f>IF(A3000&lt;&gt;"", VLOOKUP(A3000, imdb_netflix_v5!A$2:H$7370, 7, FALSE), "")</f>
        <v>NA</v>
      </c>
    </row>
    <row r="3001" ht="15.75" customHeight="1">
      <c r="A3001" s="1" t="str">
        <f>IFERROR(__xludf.DUMMYFUNCTION("""COMPUTED_VALUE"""),"wake up sid")</f>
        <v>wake up sid</v>
      </c>
      <c r="B3001" s="1" t="str">
        <f>IF(A3001&lt;&gt;"", VLOOKUP(A3001, imdb_netflix_v5!A$2:H$7370, 2, FALSE), "")</f>
        <v>Movie</v>
      </c>
      <c r="C3001" s="2" t="str">
        <f>IF(A3001&lt;&gt;"", VLOOKUP(A3001, imdb_netflix_v5!A$2:H$7370, 3, FALSE), "")</f>
        <v>Comedy, Drama, Romance</v>
      </c>
      <c r="D3001" s="2">
        <f>IF(A3001&lt;&gt;"", VLOOKUP(A3001, imdb_netflix_v5!A$2:H$7370, 4, FALSE), "")</f>
        <v>7.6</v>
      </c>
      <c r="E3001" s="2">
        <f>IF(A3001&lt;&gt;"", VLOOKUP(A3001, imdb_netflix_v5!A$2:H$7370, 5, FALSE), "")</f>
        <v>2009</v>
      </c>
      <c r="F3001" s="2" t="str">
        <f>IF(A3001&lt;&gt;"", VLOOKUP(A3001, imdb_netflix_v5!A$2:H$7370, 7, FALSE), "")</f>
        <v>NA</v>
      </c>
    </row>
    <row r="3002" ht="15.75" customHeight="1">
      <c r="A3002" s="1" t="str">
        <f>IFERROR(__xludf.DUMMYFUNCTION("""COMPUTED_VALUE"""),"piku")</f>
        <v>piku</v>
      </c>
      <c r="B3002" s="1" t="str">
        <f>IF(A3002&lt;&gt;"", VLOOKUP(A3002, imdb_netflix_v5!A$2:H$7370, 2, FALSE), "")</f>
        <v>Movie</v>
      </c>
      <c r="C3002" s="2" t="str">
        <f>IF(A3002&lt;&gt;"", VLOOKUP(A3002, imdb_netflix_v5!A$2:H$7370, 3, FALSE), "")</f>
        <v>Comedy, Drama</v>
      </c>
      <c r="D3002" s="2">
        <f>IF(A3002&lt;&gt;"", VLOOKUP(A3002, imdb_netflix_v5!A$2:H$7370, 4, FALSE), "")</f>
        <v>7.6</v>
      </c>
      <c r="E3002" s="2">
        <f>IF(A3002&lt;&gt;"", VLOOKUP(A3002, imdb_netflix_v5!A$2:H$7370, 5, FALSE), "")</f>
        <v>2015</v>
      </c>
      <c r="F3002" s="2" t="str">
        <f>IF(A3002&lt;&gt;"", VLOOKUP(A3002, imdb_netflix_v5!A$2:H$7370, 7, FALSE), "")</f>
        <v>NA</v>
      </c>
    </row>
    <row r="3003" ht="15.75" customHeight="1">
      <c r="A3003" s="1" t="str">
        <f>IFERROR(__xludf.DUMMYFUNCTION("""COMPUTED_VALUE"""),"the red violin")</f>
        <v>the red violin</v>
      </c>
      <c r="B3003" s="1" t="str">
        <f>IF(A3003&lt;&gt;"", VLOOKUP(A3003, imdb_netflix_v5!A$2:H$7370, 2, FALSE), "")</f>
        <v>Movie</v>
      </c>
      <c r="C3003" s="2" t="str">
        <f>IF(A3003&lt;&gt;"", VLOOKUP(A3003, imdb_netflix_v5!A$2:H$7370, 3, FALSE), "")</f>
        <v>Drama, Music, Mystery</v>
      </c>
      <c r="D3003" s="2">
        <f>IF(A3003&lt;&gt;"", VLOOKUP(A3003, imdb_netflix_v5!A$2:H$7370, 4, FALSE), "")</f>
        <v>7.6</v>
      </c>
      <c r="E3003" s="2">
        <f>IF(A3003&lt;&gt;"", VLOOKUP(A3003, imdb_netflix_v5!A$2:H$7370, 5, FALSE), "")</f>
        <v>1998</v>
      </c>
      <c r="F3003" s="2" t="str">
        <f>IF(A3003&lt;&gt;"", VLOOKUP(A3003, imdb_netflix_v5!A$2:H$7370, 7, FALSE), "")</f>
        <v>NA</v>
      </c>
    </row>
    <row r="3004" ht="15.75" customHeight="1">
      <c r="A3004" s="1" t="str">
        <f>IFERROR(__xludf.DUMMYFUNCTION("""COMPUTED_VALUE"""),"lupin iii the castle of cagliostro")</f>
        <v>lupin iii the castle of cagliostro</v>
      </c>
      <c r="B3004" s="1" t="str">
        <f>IF(A3004&lt;&gt;"", VLOOKUP(A3004, imdb_netflix_v5!A$2:H$7370, 2, FALSE), "")</f>
        <v>Movie</v>
      </c>
      <c r="C3004" s="2" t="str">
        <f>IF(A3004&lt;&gt;"", VLOOKUP(A3004, imdb_netflix_v5!A$2:H$7370, 3, FALSE), "")</f>
        <v>Adventure, Animation, Comedy</v>
      </c>
      <c r="D3004" s="2">
        <f>IF(A3004&lt;&gt;"", VLOOKUP(A3004, imdb_netflix_v5!A$2:H$7370, 4, FALSE), "")</f>
        <v>7.6</v>
      </c>
      <c r="E3004" s="2">
        <f>IF(A3004&lt;&gt;"", VLOOKUP(A3004, imdb_netflix_v5!A$2:H$7370, 5, FALSE), "")</f>
        <v>1979</v>
      </c>
      <c r="F3004" s="2" t="str">
        <f>IF(A3004&lt;&gt;"", VLOOKUP(A3004, imdb_netflix_v5!A$2:H$7370, 7, FALSE), "")</f>
        <v>NA</v>
      </c>
    </row>
    <row r="3005" ht="15.75" customHeight="1">
      <c r="A3005" s="1" t="str">
        <f>IFERROR(__xludf.DUMMYFUNCTION("""COMPUTED_VALUE"""),"kill")</f>
        <v>kill</v>
      </c>
      <c r="B3005" s="1" t="str">
        <f>IF(A3005&lt;&gt;"", VLOOKUP(A3005, imdb_netflix_v5!A$2:H$7370, 2, FALSE), "")</f>
        <v>Movie</v>
      </c>
      <c r="C3005" s="2" t="str">
        <f>IF(A3005&lt;&gt;"", VLOOKUP(A3005, imdb_netflix_v5!A$2:H$7370, 3, FALSE), "")</f>
        <v>Action, Crime, Drama</v>
      </c>
      <c r="D3005" s="2">
        <f>IF(A3005&lt;&gt;"", VLOOKUP(A3005, imdb_netflix_v5!A$2:H$7370, 4, FALSE), "")</f>
        <v>7.6</v>
      </c>
      <c r="E3005" s="2">
        <f>IF(A3005&lt;&gt;"", VLOOKUP(A3005, imdb_netflix_v5!A$2:H$7370, 5, FALSE), "")</f>
        <v>2023</v>
      </c>
      <c r="F3005" s="2" t="str">
        <f>IF(A3005&lt;&gt;"", VLOOKUP(A3005, imdb_netflix_v5!A$2:H$7370, 7, FALSE), "")</f>
        <v>NA</v>
      </c>
    </row>
    <row r="3006" ht="15.75" customHeight="1">
      <c r="A3006" s="1" t="str">
        <f>IFERROR(__xludf.DUMMYFUNCTION("""COMPUTED_VALUE"""),"lost girl")</f>
        <v>lost girl</v>
      </c>
      <c r="B3006" s="1" t="str">
        <f>IF(A3006&lt;&gt;"", VLOOKUP(A3006, imdb_netflix_v5!A$2:H$7370, 2, FALSE), "")</f>
        <v>TV Show</v>
      </c>
      <c r="C3006" s="2" t="str">
        <f>IF(A3006&lt;&gt;"", VLOOKUP(A3006, imdb_netflix_v5!A$2:H$7370, 3, FALSE), "")</f>
        <v>Action, Drama, Fantasy</v>
      </c>
      <c r="D3006" s="2">
        <f>IF(A3006&lt;&gt;"", VLOOKUP(A3006, imdb_netflix_v5!A$2:H$7370, 4, FALSE), "")</f>
        <v>7.6</v>
      </c>
      <c r="E3006" s="2">
        <f>IF(A3006&lt;&gt;"", VLOOKUP(A3006, imdb_netflix_v5!A$2:H$7370, 5, FALSE), "")</f>
        <v>2010</v>
      </c>
      <c r="F3006" s="2" t="str">
        <f>IF(A3006&lt;&gt;"", VLOOKUP(A3006, imdb_netflix_v5!A$2:H$7370, 7, FALSE), "")</f>
        <v>NA</v>
      </c>
    </row>
    <row r="3007" ht="15.75" customHeight="1">
      <c r="A3007" s="1" t="str">
        <f>IFERROR(__xludf.DUMMYFUNCTION("""COMPUTED_VALUE"""),"weekend")</f>
        <v>weekend</v>
      </c>
      <c r="B3007" s="1" t="str">
        <f>IF(A3007&lt;&gt;"", VLOOKUP(A3007, imdb_netflix_v5!A$2:H$7370, 2, FALSE), "")</f>
        <v>Movie</v>
      </c>
      <c r="C3007" s="2" t="str">
        <f>IF(A3007&lt;&gt;"", VLOOKUP(A3007, imdb_netflix_v5!A$2:H$7370, 3, FALSE), "")</f>
        <v>Drama, Romance</v>
      </c>
      <c r="D3007" s="2">
        <f>IF(A3007&lt;&gt;"", VLOOKUP(A3007, imdb_netflix_v5!A$2:H$7370, 4, FALSE), "")</f>
        <v>7.6</v>
      </c>
      <c r="E3007" s="2">
        <f>IF(A3007&lt;&gt;"", VLOOKUP(A3007, imdb_netflix_v5!A$2:H$7370, 5, FALSE), "")</f>
        <v>2011</v>
      </c>
      <c r="F3007" s="2" t="str">
        <f>IF(A3007&lt;&gt;"", VLOOKUP(A3007, imdb_netflix_v5!A$2:H$7370, 7, FALSE), "")</f>
        <v>NA</v>
      </c>
    </row>
    <row r="3008" ht="15.75" customHeight="1">
      <c r="A3008" s="1" t="str">
        <f>IFERROR(__xludf.DUMMYFUNCTION("""COMPUTED_VALUE"""),"delhi belly")</f>
        <v>delhi belly</v>
      </c>
      <c r="B3008" s="1" t="str">
        <f>IF(A3008&lt;&gt;"", VLOOKUP(A3008, imdb_netflix_v5!A$2:H$7370, 2, FALSE), "")</f>
        <v>Movie</v>
      </c>
      <c r="C3008" s="2" t="str">
        <f>IF(A3008&lt;&gt;"", VLOOKUP(A3008, imdb_netflix_v5!A$2:H$7370, 3, FALSE), "")</f>
        <v>Action, Comedy, Crime</v>
      </c>
      <c r="D3008" s="2">
        <f>IF(A3008&lt;&gt;"", VLOOKUP(A3008, imdb_netflix_v5!A$2:H$7370, 4, FALSE), "")</f>
        <v>7.6</v>
      </c>
      <c r="E3008" s="2">
        <f>IF(A3008&lt;&gt;"", VLOOKUP(A3008, imdb_netflix_v5!A$2:H$7370, 5, FALSE), "")</f>
        <v>2011</v>
      </c>
      <c r="F3008" s="2" t="str">
        <f>IF(A3008&lt;&gt;"", VLOOKUP(A3008, imdb_netflix_v5!A$2:H$7370, 7, FALSE), "")</f>
        <v>NA</v>
      </c>
    </row>
    <row r="3009" ht="15.75" customHeight="1">
      <c r="A3009" s="1" t="str">
        <f>IFERROR(__xludf.DUMMYFUNCTION("""COMPUTED_VALUE"""),"argentina, 1985")</f>
        <v>argentina, 1985</v>
      </c>
      <c r="B3009" s="1" t="str">
        <f>IF(A3009&lt;&gt;"", VLOOKUP(A3009, imdb_netflix_v5!A$2:H$7370, 2, FALSE), "")</f>
        <v>Movie</v>
      </c>
      <c r="C3009" s="2" t="str">
        <f>IF(A3009&lt;&gt;"", VLOOKUP(A3009, imdb_netflix_v5!A$2:H$7370, 3, FALSE), "")</f>
        <v>Biography, Crime, Drama</v>
      </c>
      <c r="D3009" s="2">
        <f>IF(A3009&lt;&gt;"", VLOOKUP(A3009, imdb_netflix_v5!A$2:H$7370, 4, FALSE), "")</f>
        <v>7.6</v>
      </c>
      <c r="E3009" s="2">
        <f>IF(A3009&lt;&gt;"", VLOOKUP(A3009, imdb_netflix_v5!A$2:H$7370, 5, FALSE), "")</f>
        <v>2022</v>
      </c>
      <c r="F3009" s="2" t="str">
        <f>IF(A3009&lt;&gt;"", VLOOKUP(A3009, imdb_netflix_v5!A$2:H$7370, 7, FALSE), "")</f>
        <v>NA</v>
      </c>
    </row>
    <row r="3010" ht="15.75" customHeight="1">
      <c r="A3010" s="1" t="str">
        <f>IFERROR(__xludf.DUMMYFUNCTION("""COMPUTED_VALUE"""),"cold case")</f>
        <v>cold case</v>
      </c>
      <c r="B3010" s="1" t="str">
        <f>IF(A3010&lt;&gt;"", VLOOKUP(A3010, imdb_netflix_v5!A$2:H$7370, 2, FALSE), "")</f>
        <v>TV Show</v>
      </c>
      <c r="C3010" s="2" t="str">
        <f>IF(A3010&lt;&gt;"", VLOOKUP(A3010, imdb_netflix_v5!A$2:H$7370, 3, FALSE), "")</f>
        <v>Crime, Drama, Mystery</v>
      </c>
      <c r="D3010" s="2">
        <f>IF(A3010&lt;&gt;"", VLOOKUP(A3010, imdb_netflix_v5!A$2:H$7370, 4, FALSE), "")</f>
        <v>7.6</v>
      </c>
      <c r="E3010" s="2">
        <f>IF(A3010&lt;&gt;"", VLOOKUP(A3010, imdb_netflix_v5!A$2:H$7370, 5, FALSE), "")</f>
        <v>2003</v>
      </c>
      <c r="F3010" s="2" t="str">
        <f>IF(A3010&lt;&gt;"", VLOOKUP(A3010, imdb_netflix_v5!A$2:H$7370, 7, FALSE), "")</f>
        <v>NA</v>
      </c>
    </row>
    <row r="3011" ht="15.75" customHeight="1">
      <c r="A3011" s="1" t="str">
        <f>IFERROR(__xludf.DUMMYFUNCTION("""COMPUTED_VALUE"""),"mortal world")</f>
        <v>mortal world</v>
      </c>
      <c r="B3011" s="1" t="str">
        <f>IF(A3011&lt;&gt;"", VLOOKUP(A3011, imdb_netflix_v5!A$2:H$7370, 2, FALSE), "")</f>
        <v>Movie</v>
      </c>
      <c r="C3011" s="2" t="str">
        <f>IF(A3011&lt;&gt;"", VLOOKUP(A3011, imdb_netflix_v5!A$2:H$7370, 3, FALSE), "")</f>
        <v>Action, Comedy, Crime</v>
      </c>
      <c r="D3011" s="2">
        <f>IF(A3011&lt;&gt;"", VLOOKUP(A3011, imdb_netflix_v5!A$2:H$7370, 4, FALSE), "")</f>
        <v>7.6</v>
      </c>
      <c r="E3011" s="2">
        <f>IF(A3011&lt;&gt;"", VLOOKUP(A3011, imdb_netflix_v5!A$2:H$7370, 5, FALSE), "")</f>
        <v>2018</v>
      </c>
      <c r="F3011" s="2" t="str">
        <f>IF(A3011&lt;&gt;"", VLOOKUP(A3011, imdb_netflix_v5!A$2:H$7370, 7, FALSE), "")</f>
        <v>NA</v>
      </c>
    </row>
    <row r="3012" ht="15.75" customHeight="1">
      <c r="A3012" s="1" t="str">
        <f>IFERROR(__xludf.DUMMYFUNCTION("""COMPUTED_VALUE"""),"joyeux noel")</f>
        <v>joyeux noel</v>
      </c>
      <c r="B3012" s="1" t="str">
        <f>IF(A3012&lt;&gt;"", VLOOKUP(A3012, imdb_netflix_v5!A$2:H$7370, 2, FALSE), "")</f>
        <v>Movie</v>
      </c>
      <c r="C3012" s="2" t="str">
        <f>IF(A3012&lt;&gt;"", VLOOKUP(A3012, imdb_netflix_v5!A$2:H$7370, 3, FALSE), "")</f>
        <v>Drama, History, Music</v>
      </c>
      <c r="D3012" s="2">
        <f>IF(A3012&lt;&gt;"", VLOOKUP(A3012, imdb_netflix_v5!A$2:H$7370, 4, FALSE), "")</f>
        <v>7.6</v>
      </c>
      <c r="E3012" s="2">
        <f>IF(A3012&lt;&gt;"", VLOOKUP(A3012, imdb_netflix_v5!A$2:H$7370, 5, FALSE), "")</f>
        <v>2005</v>
      </c>
      <c r="F3012" s="2" t="str">
        <f>IF(A3012&lt;&gt;"", VLOOKUP(A3012, imdb_netflix_v5!A$2:H$7370, 7, FALSE), "")</f>
        <v>NA</v>
      </c>
    </row>
    <row r="3013" ht="15.75" customHeight="1">
      <c r="A3013" s="1" t="str">
        <f>IFERROR(__xludf.DUMMYFUNCTION("""COMPUTED_VALUE"""),"the ladykillers")</f>
        <v>the ladykillers</v>
      </c>
      <c r="B3013" s="1" t="str">
        <f>IF(A3013&lt;&gt;"", VLOOKUP(A3013, imdb_netflix_v5!A$2:H$7370, 2, FALSE), "")</f>
        <v>Movie</v>
      </c>
      <c r="C3013" s="2" t="str">
        <f>IF(A3013&lt;&gt;"", VLOOKUP(A3013, imdb_netflix_v5!A$2:H$7370, 3, FALSE), "")</f>
        <v>Comedy, Crime</v>
      </c>
      <c r="D3013" s="2">
        <f>IF(A3013&lt;&gt;"", VLOOKUP(A3013, imdb_netflix_v5!A$2:H$7370, 4, FALSE), "")</f>
        <v>7.6</v>
      </c>
      <c r="E3013" s="2">
        <f>IF(A3013&lt;&gt;"", VLOOKUP(A3013, imdb_netflix_v5!A$2:H$7370, 5, FALSE), "")</f>
        <v>1955</v>
      </c>
      <c r="F3013" s="2" t="str">
        <f>IF(A3013&lt;&gt;"", VLOOKUP(A3013, imdb_netflix_v5!A$2:H$7370, 7, FALSE), "")</f>
        <v>NA</v>
      </c>
    </row>
    <row r="3014" ht="15.75" customHeight="1">
      <c r="A3014" s="1" t="str">
        <f>IFERROR(__xludf.DUMMYFUNCTION("""COMPUTED_VALUE"""),"lifeboat")</f>
        <v>lifeboat</v>
      </c>
      <c r="B3014" s="1" t="str">
        <f>IF(A3014&lt;&gt;"", VLOOKUP(A3014, imdb_netflix_v5!A$2:H$7370, 2, FALSE), "")</f>
        <v>Movie</v>
      </c>
      <c r="C3014" s="2" t="str">
        <f>IF(A3014&lt;&gt;"", VLOOKUP(A3014, imdb_netflix_v5!A$2:H$7370, 3, FALSE), "")</f>
        <v>Drama, War</v>
      </c>
      <c r="D3014" s="2">
        <f>IF(A3014&lt;&gt;"", VLOOKUP(A3014, imdb_netflix_v5!A$2:H$7370, 4, FALSE), "")</f>
        <v>7.6</v>
      </c>
      <c r="E3014" s="2">
        <f>IF(A3014&lt;&gt;"", VLOOKUP(A3014, imdb_netflix_v5!A$2:H$7370, 5, FALSE), "")</f>
        <v>1944</v>
      </c>
      <c r="F3014" s="2" t="str">
        <f>IF(A3014&lt;&gt;"", VLOOKUP(A3014, imdb_netflix_v5!A$2:H$7370, 7, FALSE), "")</f>
        <v>NA</v>
      </c>
    </row>
    <row r="3015" ht="15.75" customHeight="1">
      <c r="A3015" s="1" t="str">
        <f>IFERROR(__xludf.DUMMYFUNCTION("""COMPUTED_VALUE"""),"mr. church")</f>
        <v>mr. church</v>
      </c>
      <c r="B3015" s="1" t="str">
        <f>IF(A3015&lt;&gt;"", VLOOKUP(A3015, imdb_netflix_v5!A$2:H$7370, 2, FALSE), "")</f>
        <v>Movie</v>
      </c>
      <c r="C3015" s="2" t="str">
        <f>IF(A3015&lt;&gt;"", VLOOKUP(A3015, imdb_netflix_v5!A$2:H$7370, 3, FALSE), "")</f>
        <v>Comedy, Drama</v>
      </c>
      <c r="D3015" s="2">
        <f>IF(A3015&lt;&gt;"", VLOOKUP(A3015, imdb_netflix_v5!A$2:H$7370, 4, FALSE), "")</f>
        <v>7.6</v>
      </c>
      <c r="E3015" s="2">
        <f>IF(A3015&lt;&gt;"", VLOOKUP(A3015, imdb_netflix_v5!A$2:H$7370, 5, FALSE), "")</f>
        <v>2016</v>
      </c>
      <c r="F3015" s="2" t="str">
        <f>IF(A3015&lt;&gt;"", VLOOKUP(A3015, imdb_netflix_v5!A$2:H$7370, 7, FALSE), "")</f>
        <v>NA</v>
      </c>
    </row>
    <row r="3016" ht="15.75" customHeight="1">
      <c r="A3016" s="1" t="str">
        <f>IFERROR(__xludf.DUMMYFUNCTION("""COMPUTED_VALUE"""),"gettysburg")</f>
        <v>gettysburg</v>
      </c>
      <c r="B3016" s="1" t="str">
        <f>IF(A3016&lt;&gt;"", VLOOKUP(A3016, imdb_netflix_v5!A$2:H$7370, 2, FALSE), "")</f>
        <v>Movie</v>
      </c>
      <c r="C3016" s="2" t="str">
        <f>IF(A3016&lt;&gt;"", VLOOKUP(A3016, imdb_netflix_v5!A$2:H$7370, 3, FALSE), "")</f>
        <v>Drama, History, War</v>
      </c>
      <c r="D3016" s="2">
        <f>IF(A3016&lt;&gt;"", VLOOKUP(A3016, imdb_netflix_v5!A$2:H$7370, 4, FALSE), "")</f>
        <v>7.6</v>
      </c>
      <c r="E3016" s="2">
        <f>IF(A3016&lt;&gt;"", VLOOKUP(A3016, imdb_netflix_v5!A$2:H$7370, 5, FALSE), "")</f>
        <v>1993</v>
      </c>
      <c r="F3016" s="2" t="str">
        <f>IF(A3016&lt;&gt;"", VLOOKUP(A3016, imdb_netflix_v5!A$2:H$7370, 7, FALSE), "")</f>
        <v>NA</v>
      </c>
    </row>
    <row r="3017" ht="15.75" customHeight="1">
      <c r="A3017" s="1" t="str">
        <f>IFERROR(__xludf.DUMMYFUNCTION("""COMPUTED_VALUE"""),"one cut of the dead")</f>
        <v>one cut of the dead</v>
      </c>
      <c r="B3017" s="1" t="str">
        <f>IF(A3017&lt;&gt;"", VLOOKUP(A3017, imdb_netflix_v5!A$2:H$7370, 2, FALSE), "")</f>
        <v>Movie</v>
      </c>
      <c r="C3017" s="2" t="str">
        <f>IF(A3017&lt;&gt;"", VLOOKUP(A3017, imdb_netflix_v5!A$2:H$7370, 3, FALSE), "")</f>
        <v>Comedy, Drama, Horror</v>
      </c>
      <c r="D3017" s="2">
        <f>IF(A3017&lt;&gt;"", VLOOKUP(A3017, imdb_netflix_v5!A$2:H$7370, 4, FALSE), "")</f>
        <v>7.6</v>
      </c>
      <c r="E3017" s="2">
        <f>IF(A3017&lt;&gt;"", VLOOKUP(A3017, imdb_netflix_v5!A$2:H$7370, 5, FALSE), "")</f>
        <v>2017</v>
      </c>
      <c r="F3017" s="2" t="str">
        <f>IF(A3017&lt;&gt;"", VLOOKUP(A3017, imdb_netflix_v5!A$2:H$7370, 7, FALSE), "")</f>
        <v>NA</v>
      </c>
    </row>
    <row r="3018" ht="15.75" customHeight="1">
      <c r="A3018" s="1" t="str">
        <f>IFERROR(__xludf.DUMMYFUNCTION("""COMPUTED_VALUE"""),"miami vice")</f>
        <v>miami vice</v>
      </c>
      <c r="B3018" s="1" t="str">
        <f>IF(A3018&lt;&gt;"", VLOOKUP(A3018, imdb_netflix_v5!A$2:H$7370, 2, FALSE), "")</f>
        <v>TV Show</v>
      </c>
      <c r="C3018" s="2" t="str">
        <f>IF(A3018&lt;&gt;"", VLOOKUP(A3018, imdb_netflix_v5!A$2:H$7370, 3, FALSE), "")</f>
        <v>Action, Crime, Drama</v>
      </c>
      <c r="D3018" s="2">
        <f>IF(A3018&lt;&gt;"", VLOOKUP(A3018, imdb_netflix_v5!A$2:H$7370, 4, FALSE), "")</f>
        <v>7.6</v>
      </c>
      <c r="E3018" s="2">
        <f>IF(A3018&lt;&gt;"", VLOOKUP(A3018, imdb_netflix_v5!A$2:H$7370, 5, FALSE), "")</f>
        <v>1984</v>
      </c>
      <c r="F3018" s="2" t="str">
        <f>IF(A3018&lt;&gt;"", VLOOKUP(A3018, imdb_netflix_v5!A$2:H$7370, 7, FALSE), "")</f>
        <v>NA</v>
      </c>
    </row>
    <row r="3019" ht="15.75" customHeight="1">
      <c r="A3019" s="1" t="str">
        <f>IFERROR(__xludf.DUMMYFUNCTION("""COMPUTED_VALUE"""),"highway")</f>
        <v>highway</v>
      </c>
      <c r="B3019" s="1" t="str">
        <f>IF(A3019&lt;&gt;"", VLOOKUP(A3019, imdb_netflix_v5!A$2:H$7370, 2, FALSE), "")</f>
        <v>Movie</v>
      </c>
      <c r="C3019" s="2" t="str">
        <f>IF(A3019&lt;&gt;"", VLOOKUP(A3019, imdb_netflix_v5!A$2:H$7370, 3, FALSE), "")</f>
        <v>Crime, Drama, Romance</v>
      </c>
      <c r="D3019" s="2">
        <f>IF(A3019&lt;&gt;"", VLOOKUP(A3019, imdb_netflix_v5!A$2:H$7370, 4, FALSE), "")</f>
        <v>7.6</v>
      </c>
      <c r="E3019" s="2">
        <f>IF(A3019&lt;&gt;"", VLOOKUP(A3019, imdb_netflix_v5!A$2:H$7370, 5, FALSE), "")</f>
        <v>2014</v>
      </c>
      <c r="F3019" s="2" t="str">
        <f>IF(A3019&lt;&gt;"", VLOOKUP(A3019, imdb_netflix_v5!A$2:H$7370, 7, FALSE), "")</f>
        <v>NA</v>
      </c>
    </row>
    <row r="3020" ht="15.75" customHeight="1">
      <c r="A3020" s="1" t="str">
        <f>IFERROR(__xludf.DUMMYFUNCTION("""COMPUTED_VALUE"""),"chicago med")</f>
        <v>chicago med</v>
      </c>
      <c r="B3020" s="1" t="str">
        <f>IF(A3020&lt;&gt;"", VLOOKUP(A3020, imdb_netflix_v5!A$2:H$7370, 2, FALSE), "")</f>
        <v>TV Show</v>
      </c>
      <c r="C3020" s="2" t="str">
        <f>IF(A3020&lt;&gt;"", VLOOKUP(A3020, imdb_netflix_v5!A$2:H$7370, 3, FALSE), "")</f>
        <v>Drama</v>
      </c>
      <c r="D3020" s="2">
        <f>IF(A3020&lt;&gt;"", VLOOKUP(A3020, imdb_netflix_v5!A$2:H$7370, 4, FALSE), "")</f>
        <v>7.6</v>
      </c>
      <c r="E3020" s="2">
        <f>IF(A3020&lt;&gt;"", VLOOKUP(A3020, imdb_netflix_v5!A$2:H$7370, 5, FALSE), "")</f>
        <v>2015</v>
      </c>
      <c r="F3020" s="2" t="str">
        <f>IF(A3020&lt;&gt;"", VLOOKUP(A3020, imdb_netflix_v5!A$2:H$7370, 7, FALSE), "")</f>
        <v>NA</v>
      </c>
    </row>
    <row r="3021" ht="15.75" customHeight="1">
      <c r="A3021" s="1" t="str">
        <f>IFERROR(__xludf.DUMMYFUNCTION("""COMPUTED_VALUE"""),"devilman crybaby")</f>
        <v>devilman crybaby</v>
      </c>
      <c r="B3021" s="1" t="str">
        <f>IF(A3021&lt;&gt;"", VLOOKUP(A3021, imdb_netflix_v5!A$2:H$7370, 2, FALSE), "")</f>
        <v>TV Show</v>
      </c>
      <c r="C3021" s="2" t="str">
        <f>IF(A3021&lt;&gt;"", VLOOKUP(A3021, imdb_netflix_v5!A$2:H$7370, 3, FALSE), "")</f>
        <v>Action, Animation, Drama</v>
      </c>
      <c r="D3021" s="2">
        <f>IF(A3021&lt;&gt;"", VLOOKUP(A3021, imdb_netflix_v5!A$2:H$7370, 4, FALSE), "")</f>
        <v>7.6</v>
      </c>
      <c r="E3021" s="2">
        <f>IF(A3021&lt;&gt;"", VLOOKUP(A3021, imdb_netflix_v5!A$2:H$7370, 5, FALSE), "")</f>
        <v>2018</v>
      </c>
      <c r="F3021" s="2" t="str">
        <f>IF(A3021&lt;&gt;"", VLOOKUP(A3021, imdb_netflix_v5!A$2:H$7370, 7, FALSE), "")</f>
        <v>NA</v>
      </c>
    </row>
    <row r="3022" ht="15.75" customHeight="1">
      <c r="A3022" s="1" t="str">
        <f>IFERROR(__xludf.DUMMYFUNCTION("""COMPUTED_VALUE"""),"baazigar")</f>
        <v>baazigar</v>
      </c>
      <c r="B3022" s="1" t="str">
        <f>IF(A3022&lt;&gt;"", VLOOKUP(A3022, imdb_netflix_v5!A$2:H$7370, 2, FALSE), "")</f>
        <v>Movie</v>
      </c>
      <c r="C3022" s="2" t="str">
        <f>IF(A3022&lt;&gt;"", VLOOKUP(A3022, imdb_netflix_v5!A$2:H$7370, 3, FALSE), "")</f>
        <v>Crime, Drama, Musical</v>
      </c>
      <c r="D3022" s="2">
        <f>IF(A3022&lt;&gt;"", VLOOKUP(A3022, imdb_netflix_v5!A$2:H$7370, 4, FALSE), "")</f>
        <v>7.6</v>
      </c>
      <c r="E3022" s="2">
        <f>IF(A3022&lt;&gt;"", VLOOKUP(A3022, imdb_netflix_v5!A$2:H$7370, 5, FALSE), "")</f>
        <v>1993</v>
      </c>
      <c r="F3022" s="2" t="str">
        <f>IF(A3022&lt;&gt;"", VLOOKUP(A3022, imdb_netflix_v5!A$2:H$7370, 7, FALSE), "")</f>
        <v>NA</v>
      </c>
    </row>
    <row r="3023" ht="15.75" customHeight="1">
      <c r="A3023" s="1" t="str">
        <f>IFERROR(__xludf.DUMMYFUNCTION("""COMPUTED_VALUE"""),"oslo, august 31st")</f>
        <v>oslo, august 31st</v>
      </c>
      <c r="B3023" s="1" t="str">
        <f>IF(A3023&lt;&gt;"", VLOOKUP(A3023, imdb_netflix_v5!A$2:H$7370, 2, FALSE), "")</f>
        <v>Movie</v>
      </c>
      <c r="C3023" s="2" t="str">
        <f>IF(A3023&lt;&gt;"", VLOOKUP(A3023, imdb_netflix_v5!A$2:H$7370, 3, FALSE), "")</f>
        <v>Drama</v>
      </c>
      <c r="D3023" s="2">
        <f>IF(A3023&lt;&gt;"", VLOOKUP(A3023, imdb_netflix_v5!A$2:H$7370, 4, FALSE), "")</f>
        <v>7.6</v>
      </c>
      <c r="E3023" s="2">
        <f>IF(A3023&lt;&gt;"", VLOOKUP(A3023, imdb_netflix_v5!A$2:H$7370, 5, FALSE), "")</f>
        <v>2011</v>
      </c>
      <c r="F3023" s="2" t="str">
        <f>IF(A3023&lt;&gt;"", VLOOKUP(A3023, imdb_netflix_v5!A$2:H$7370, 7, FALSE), "")</f>
        <v>NA</v>
      </c>
    </row>
    <row r="3024" ht="15.75" customHeight="1">
      <c r="A3024" s="1" t="str">
        <f>IFERROR(__xludf.DUMMYFUNCTION("""COMPUTED_VALUE"""),"tanu weds manu returns")</f>
        <v>tanu weds manu returns</v>
      </c>
      <c r="B3024" s="1" t="str">
        <f>IF(A3024&lt;&gt;"", VLOOKUP(A3024, imdb_netflix_v5!A$2:H$7370, 2, FALSE), "")</f>
        <v>Movie</v>
      </c>
      <c r="C3024" s="2" t="str">
        <f>IF(A3024&lt;&gt;"", VLOOKUP(A3024, imdb_netflix_v5!A$2:H$7370, 3, FALSE), "")</f>
        <v>Comedy, Drama, Romance</v>
      </c>
      <c r="D3024" s="2">
        <f>IF(A3024&lt;&gt;"", VLOOKUP(A3024, imdb_netflix_v5!A$2:H$7370, 4, FALSE), "")</f>
        <v>7.6</v>
      </c>
      <c r="E3024" s="2">
        <f>IF(A3024&lt;&gt;"", VLOOKUP(A3024, imdb_netflix_v5!A$2:H$7370, 5, FALSE), "")</f>
        <v>2015</v>
      </c>
      <c r="F3024" s="2" t="str">
        <f>IF(A3024&lt;&gt;"", VLOOKUP(A3024, imdb_netflix_v5!A$2:H$7370, 7, FALSE), "")</f>
        <v>NA</v>
      </c>
    </row>
    <row r="3025" ht="15.75" customHeight="1">
      <c r="A3025" s="1" t="str">
        <f>IFERROR(__xludf.DUMMYFUNCTION("""COMPUTED_VALUE"""),"marcel the shell with shoes on")</f>
        <v>marcel the shell with shoes on</v>
      </c>
      <c r="B3025" s="1" t="str">
        <f>IF(A3025&lt;&gt;"", VLOOKUP(A3025, imdb_netflix_v5!A$2:H$7370, 2, FALSE), "")</f>
        <v>Movie</v>
      </c>
      <c r="C3025" s="2" t="str">
        <f>IF(A3025&lt;&gt;"", VLOOKUP(A3025, imdb_netflix_v5!A$2:H$7370, 3, FALSE), "")</f>
        <v>Animation, Comedy, Drama</v>
      </c>
      <c r="D3025" s="2">
        <f>IF(A3025&lt;&gt;"", VLOOKUP(A3025, imdb_netflix_v5!A$2:H$7370, 4, FALSE), "")</f>
        <v>7.6</v>
      </c>
      <c r="E3025" s="2">
        <f>IF(A3025&lt;&gt;"", VLOOKUP(A3025, imdb_netflix_v5!A$2:H$7370, 5, FALSE), "")</f>
        <v>2021</v>
      </c>
      <c r="F3025" s="2" t="str">
        <f>IF(A3025&lt;&gt;"", VLOOKUP(A3025, imdb_netflix_v5!A$2:H$7370, 7, FALSE), "")</f>
        <v>NA</v>
      </c>
    </row>
    <row r="3026" ht="15.75" customHeight="1">
      <c r="A3026" s="1" t="str">
        <f>IFERROR(__xludf.DUMMYFUNCTION("""COMPUTED_VALUE"""),"the devils hour")</f>
        <v>the devils hour</v>
      </c>
      <c r="B3026" s="1" t="str">
        <f>IF(A3026&lt;&gt;"", VLOOKUP(A3026, imdb_netflix_v5!A$2:H$7370, 2, FALSE), "")</f>
        <v>TV Show</v>
      </c>
      <c r="C3026" s="2" t="str">
        <f>IF(A3026&lt;&gt;"", VLOOKUP(A3026, imdb_netflix_v5!A$2:H$7370, 3, FALSE), "")</f>
        <v>Drama, Mystery, Thriller</v>
      </c>
      <c r="D3026" s="2">
        <f>IF(A3026&lt;&gt;"", VLOOKUP(A3026, imdb_netflix_v5!A$2:H$7370, 4, FALSE), "")</f>
        <v>7.6</v>
      </c>
      <c r="E3026" s="2">
        <f>IF(A3026&lt;&gt;"", VLOOKUP(A3026, imdb_netflix_v5!A$2:H$7370, 5, FALSE), "")</f>
        <v>2022</v>
      </c>
      <c r="F3026" s="2" t="str">
        <f>IF(A3026&lt;&gt;"", VLOOKUP(A3026, imdb_netflix_v5!A$2:H$7370, 7, FALSE), "")</f>
        <v>NA</v>
      </c>
    </row>
    <row r="3027" ht="15.75" customHeight="1">
      <c r="A3027" s="1" t="str">
        <f>IFERROR(__xludf.DUMMYFUNCTION("""COMPUTED_VALUE"""),"future man")</f>
        <v>future man</v>
      </c>
      <c r="B3027" s="1" t="str">
        <f>IF(A3027&lt;&gt;"", VLOOKUP(A3027, imdb_netflix_v5!A$2:H$7370, 2, FALSE), "")</f>
        <v>TV Show</v>
      </c>
      <c r="C3027" s="2" t="str">
        <f>IF(A3027&lt;&gt;"", VLOOKUP(A3027, imdb_netflix_v5!A$2:H$7370, 3, FALSE), "")</f>
        <v>Action, Adventure, Comedy</v>
      </c>
      <c r="D3027" s="2">
        <f>IF(A3027&lt;&gt;"", VLOOKUP(A3027, imdb_netflix_v5!A$2:H$7370, 4, FALSE), "")</f>
        <v>7.6</v>
      </c>
      <c r="E3027" s="2">
        <f>IF(A3027&lt;&gt;"", VLOOKUP(A3027, imdb_netflix_v5!A$2:H$7370, 5, FALSE), "")</f>
        <v>2017</v>
      </c>
      <c r="F3027" s="2" t="str">
        <f>IF(A3027&lt;&gt;"", VLOOKUP(A3027, imdb_netflix_v5!A$2:H$7370, 7, FALSE), "")</f>
        <v>NA</v>
      </c>
    </row>
    <row r="3028" ht="15.75" customHeight="1">
      <c r="A3028" s="1" t="str">
        <f>IFERROR(__xludf.DUMMYFUNCTION("""COMPUTED_VALUE"""),"we own this city")</f>
        <v>we own this city</v>
      </c>
      <c r="B3028" s="1" t="str">
        <f>IF(A3028&lt;&gt;"", VLOOKUP(A3028, imdb_netflix_v5!A$2:H$7370, 2, FALSE), "")</f>
        <v>TV Show</v>
      </c>
      <c r="C3028" s="2" t="str">
        <f>IF(A3028&lt;&gt;"", VLOOKUP(A3028, imdb_netflix_v5!A$2:H$7370, 3, FALSE), "")</f>
        <v>Biography, Crime, Drama</v>
      </c>
      <c r="D3028" s="2">
        <f>IF(A3028&lt;&gt;"", VLOOKUP(A3028, imdb_netflix_v5!A$2:H$7370, 4, FALSE), "")</f>
        <v>7.6</v>
      </c>
      <c r="E3028" s="2">
        <f>IF(A3028&lt;&gt;"", VLOOKUP(A3028, imdb_netflix_v5!A$2:H$7370, 5, FALSE), "")</f>
        <v>2022</v>
      </c>
      <c r="F3028" s="2" t="str">
        <f>IF(A3028&lt;&gt;"", VLOOKUP(A3028, imdb_netflix_v5!A$2:H$7370, 7, FALSE), "")</f>
        <v>NA</v>
      </c>
    </row>
    <row r="3029" ht="15.75" customHeight="1">
      <c r="A3029" s="1" t="str">
        <f>IFERROR(__xludf.DUMMYFUNCTION("""COMPUTED_VALUE"""),"les misérables")</f>
        <v>les misérables</v>
      </c>
      <c r="B3029" s="1" t="str">
        <f>IF(A3029&lt;&gt;"", VLOOKUP(A3029, imdb_netflix_v5!A$2:H$7370, 2, FALSE), "")</f>
        <v>Movie</v>
      </c>
      <c r="C3029" s="2" t="str">
        <f>IF(A3029&lt;&gt;"", VLOOKUP(A3029, imdb_netflix_v5!A$2:H$7370, 3, FALSE), "")</f>
        <v>Crime, Drama, Thriller</v>
      </c>
      <c r="D3029" s="2">
        <f>IF(A3029&lt;&gt;"", VLOOKUP(A3029, imdb_netflix_v5!A$2:H$7370, 4, FALSE), "")</f>
        <v>7.6</v>
      </c>
      <c r="E3029" s="2">
        <f>IF(A3029&lt;&gt;"", VLOOKUP(A3029, imdb_netflix_v5!A$2:H$7370, 5, FALSE), "")</f>
        <v>2019</v>
      </c>
      <c r="F3029" s="2" t="str">
        <f>IF(A3029&lt;&gt;"", VLOOKUP(A3029, imdb_netflix_v5!A$2:H$7370, 7, FALSE), "")</f>
        <v>NA</v>
      </c>
    </row>
    <row r="3030" ht="15.75" customHeight="1">
      <c r="A3030" s="1" t="str">
        <f>IFERROR(__xludf.DUMMYFUNCTION("""COMPUTED_VALUE"""),"sophie scholl the final days")</f>
        <v>sophie scholl the final days</v>
      </c>
      <c r="B3030" s="1" t="str">
        <f>IF(A3030&lt;&gt;"", VLOOKUP(A3030, imdb_netflix_v5!A$2:H$7370, 2, FALSE), "")</f>
        <v>Movie</v>
      </c>
      <c r="C3030" s="2" t="str">
        <f>IF(A3030&lt;&gt;"", VLOOKUP(A3030, imdb_netflix_v5!A$2:H$7370, 3, FALSE), "")</f>
        <v>Biography, Crime, Drama</v>
      </c>
      <c r="D3030" s="2">
        <f>IF(A3030&lt;&gt;"", VLOOKUP(A3030, imdb_netflix_v5!A$2:H$7370, 4, FALSE), "")</f>
        <v>7.6</v>
      </c>
      <c r="E3030" s="2">
        <f>IF(A3030&lt;&gt;"", VLOOKUP(A3030, imdb_netflix_v5!A$2:H$7370, 5, FALSE), "")</f>
        <v>2005</v>
      </c>
      <c r="F3030" s="2" t="str">
        <f>IF(A3030&lt;&gt;"", VLOOKUP(A3030, imdb_netflix_v5!A$2:H$7370, 7, FALSE), "")</f>
        <v>NA</v>
      </c>
    </row>
    <row r="3031" ht="15.75" customHeight="1">
      <c r="A3031" s="1" t="str">
        <f>IFERROR(__xludf.DUMMYFUNCTION("""COMPUTED_VALUE"""),"mccabe &amp; mrs. miller")</f>
        <v>mccabe &amp; mrs. miller</v>
      </c>
      <c r="B3031" s="1" t="str">
        <f>IF(A3031&lt;&gt;"", VLOOKUP(A3031, imdb_netflix_v5!A$2:H$7370, 2, FALSE), "")</f>
        <v>Movie</v>
      </c>
      <c r="C3031" s="2" t="str">
        <f>IF(A3031&lt;&gt;"", VLOOKUP(A3031, imdb_netflix_v5!A$2:H$7370, 3, FALSE), "")</f>
        <v>Drama, Western</v>
      </c>
      <c r="D3031" s="2">
        <f>IF(A3031&lt;&gt;"", VLOOKUP(A3031, imdb_netflix_v5!A$2:H$7370, 4, FALSE), "")</f>
        <v>7.6</v>
      </c>
      <c r="E3031" s="2">
        <f>IF(A3031&lt;&gt;"", VLOOKUP(A3031, imdb_netflix_v5!A$2:H$7370, 5, FALSE), "")</f>
        <v>1971</v>
      </c>
      <c r="F3031" s="2" t="str">
        <f>IF(A3031&lt;&gt;"", VLOOKUP(A3031, imdb_netflix_v5!A$2:H$7370, 7, FALSE), "")</f>
        <v>NA</v>
      </c>
    </row>
    <row r="3032" ht="15.75" customHeight="1">
      <c r="A3032" s="1" t="str">
        <f>IFERROR(__xludf.DUMMYFUNCTION("""COMPUTED_VALUE"""),"law &amp; order criminal intent")</f>
        <v>law &amp; order criminal intent</v>
      </c>
      <c r="B3032" s="1" t="str">
        <f>IF(A3032&lt;&gt;"", VLOOKUP(A3032, imdb_netflix_v5!A$2:H$7370, 2, FALSE), "")</f>
        <v>TV Show</v>
      </c>
      <c r="C3032" s="2" t="str">
        <f>IF(A3032&lt;&gt;"", VLOOKUP(A3032, imdb_netflix_v5!A$2:H$7370, 3, FALSE), "")</f>
        <v>Crime, Drama, Mystery</v>
      </c>
      <c r="D3032" s="2">
        <f>IF(A3032&lt;&gt;"", VLOOKUP(A3032, imdb_netflix_v5!A$2:H$7370, 4, FALSE), "")</f>
        <v>7.6</v>
      </c>
      <c r="E3032" s="2">
        <f>IF(A3032&lt;&gt;"", VLOOKUP(A3032, imdb_netflix_v5!A$2:H$7370, 5, FALSE), "")</f>
        <v>2001</v>
      </c>
      <c r="F3032" s="2" t="str">
        <f>IF(A3032&lt;&gt;"", VLOOKUP(A3032, imdb_netflix_v5!A$2:H$7370, 7, FALSE), "")</f>
        <v>NA</v>
      </c>
    </row>
    <row r="3033" ht="15.75" customHeight="1">
      <c r="A3033" s="1" t="str">
        <f>IFERROR(__xludf.DUMMYFUNCTION("""COMPUTED_VALUE"""),"play it again, sam")</f>
        <v>play it again, sam</v>
      </c>
      <c r="B3033" s="1" t="str">
        <f>IF(A3033&lt;&gt;"", VLOOKUP(A3033, imdb_netflix_v5!A$2:H$7370, 2, FALSE), "")</f>
        <v>Movie</v>
      </c>
      <c r="C3033" s="2" t="str">
        <f>IF(A3033&lt;&gt;"", VLOOKUP(A3033, imdb_netflix_v5!A$2:H$7370, 3, FALSE), "")</f>
        <v>Comedy, Romance</v>
      </c>
      <c r="D3033" s="2">
        <f>IF(A3033&lt;&gt;"", VLOOKUP(A3033, imdb_netflix_v5!A$2:H$7370, 4, FALSE), "")</f>
        <v>7.6</v>
      </c>
      <c r="E3033" s="2">
        <f>IF(A3033&lt;&gt;"", VLOOKUP(A3033, imdb_netflix_v5!A$2:H$7370, 5, FALSE), "")</f>
        <v>1972</v>
      </c>
      <c r="F3033" s="2" t="str">
        <f>IF(A3033&lt;&gt;"", VLOOKUP(A3033, imdb_netflix_v5!A$2:H$7370, 7, FALSE), "")</f>
        <v>NA</v>
      </c>
    </row>
    <row r="3034" ht="15.75" customHeight="1">
      <c r="A3034" s="1" t="str">
        <f>IFERROR(__xludf.DUMMYFUNCTION("""COMPUTED_VALUE"""),"jim &amp; andy the great beyond")</f>
        <v>jim &amp; andy the great beyond</v>
      </c>
      <c r="B3034" s="1" t="str">
        <f>IF(A3034&lt;&gt;"", VLOOKUP(A3034, imdb_netflix_v5!A$2:H$7370, 2, FALSE), "")</f>
        <v>Movie</v>
      </c>
      <c r="C3034" s="2" t="str">
        <f>IF(A3034&lt;&gt;"", VLOOKUP(A3034, imdb_netflix_v5!A$2:H$7370, 3, FALSE), "")</f>
        <v>Documentary</v>
      </c>
      <c r="D3034" s="2">
        <f>IF(A3034&lt;&gt;"", VLOOKUP(A3034, imdb_netflix_v5!A$2:H$7370, 4, FALSE), "")</f>
        <v>7.6</v>
      </c>
      <c r="E3034" s="2">
        <f>IF(A3034&lt;&gt;"", VLOOKUP(A3034, imdb_netflix_v5!A$2:H$7370, 5, FALSE), "")</f>
        <v>2017</v>
      </c>
      <c r="F3034" s="2" t="str">
        <f>IF(A3034&lt;&gt;"", VLOOKUP(A3034, imdb_netflix_v5!A$2:H$7370, 7, FALSE), "")</f>
        <v>NA</v>
      </c>
    </row>
    <row r="3035" ht="15.75" customHeight="1">
      <c r="A3035" s="1" t="str">
        <f>IFERROR(__xludf.DUMMYFUNCTION("""COMPUTED_VALUE"""),"walkabout")</f>
        <v>walkabout</v>
      </c>
      <c r="B3035" s="1" t="str">
        <f>IF(A3035&lt;&gt;"", VLOOKUP(A3035, imdb_netflix_v5!A$2:H$7370, 2, FALSE), "")</f>
        <v>Movie</v>
      </c>
      <c r="C3035" s="2" t="str">
        <f>IF(A3035&lt;&gt;"", VLOOKUP(A3035, imdb_netflix_v5!A$2:H$7370, 3, FALSE), "")</f>
        <v>Adventure, Drama</v>
      </c>
      <c r="D3035" s="2">
        <f>IF(A3035&lt;&gt;"", VLOOKUP(A3035, imdb_netflix_v5!A$2:H$7370, 4, FALSE), "")</f>
        <v>7.6</v>
      </c>
      <c r="E3035" s="2">
        <f>IF(A3035&lt;&gt;"", VLOOKUP(A3035, imdb_netflix_v5!A$2:H$7370, 5, FALSE), "")</f>
        <v>1971</v>
      </c>
      <c r="F3035" s="2" t="str">
        <f>IF(A3035&lt;&gt;"", VLOOKUP(A3035, imdb_netflix_v5!A$2:H$7370, 7, FALSE), "")</f>
        <v>NA</v>
      </c>
    </row>
    <row r="3036" ht="15.75" customHeight="1">
      <c r="A3036" s="1" t="str">
        <f>IFERROR(__xludf.DUMMYFUNCTION("""COMPUTED_VALUE"""),"the boy and the beast")</f>
        <v>the boy and the beast</v>
      </c>
      <c r="B3036" s="1" t="str">
        <f>IF(A3036&lt;&gt;"", VLOOKUP(A3036, imdb_netflix_v5!A$2:H$7370, 2, FALSE), "")</f>
        <v>Movie</v>
      </c>
      <c r="C3036" s="2" t="str">
        <f>IF(A3036&lt;&gt;"", VLOOKUP(A3036, imdb_netflix_v5!A$2:H$7370, 3, FALSE), "")</f>
        <v>Action, Adventure, Animation</v>
      </c>
      <c r="D3036" s="2">
        <f>IF(A3036&lt;&gt;"", VLOOKUP(A3036, imdb_netflix_v5!A$2:H$7370, 4, FALSE), "")</f>
        <v>7.6</v>
      </c>
      <c r="E3036" s="2">
        <f>IF(A3036&lt;&gt;"", VLOOKUP(A3036, imdb_netflix_v5!A$2:H$7370, 5, FALSE), "")</f>
        <v>2015</v>
      </c>
      <c r="F3036" s="2" t="str">
        <f>IF(A3036&lt;&gt;"", VLOOKUP(A3036, imdb_netflix_v5!A$2:H$7370, 7, FALSE), "")</f>
        <v>NA</v>
      </c>
    </row>
    <row r="3037" ht="15.75" customHeight="1">
      <c r="A3037" s="1">
        <f>IFERROR(__xludf.DUMMYFUNCTION("""COMPUTED_VALUE"""),1900.0)</f>
        <v>1900</v>
      </c>
      <c r="B3037" s="1" t="str">
        <f>IF(A3037&lt;&gt;"", VLOOKUP(A3037, imdb_netflix_v5!A$2:H$7370, 2, FALSE), "")</f>
        <v>Movie</v>
      </c>
      <c r="C3037" s="2" t="str">
        <f>IF(A3037&lt;&gt;"", VLOOKUP(A3037, imdb_netflix_v5!A$2:H$7370, 3, FALSE), "")</f>
        <v>Drama, History</v>
      </c>
      <c r="D3037" s="2">
        <f>IF(A3037&lt;&gt;"", VLOOKUP(A3037, imdb_netflix_v5!A$2:H$7370, 4, FALSE), "")</f>
        <v>7.6</v>
      </c>
      <c r="E3037" s="2">
        <f>IF(A3037&lt;&gt;"", VLOOKUP(A3037, imdb_netflix_v5!A$2:H$7370, 5, FALSE), "")</f>
        <v>1976</v>
      </c>
      <c r="F3037" s="2" t="str">
        <f>IF(A3037&lt;&gt;"", VLOOKUP(A3037, imdb_netflix_v5!A$2:H$7370, 7, FALSE), "")</f>
        <v>NA</v>
      </c>
    </row>
    <row r="3038" ht="15.75" customHeight="1">
      <c r="A3038" s="1" t="str">
        <f>IFERROR(__xludf.DUMMYFUNCTION("""COMPUTED_VALUE"""),"the shootist")</f>
        <v>the shootist</v>
      </c>
      <c r="B3038" s="1" t="str">
        <f>IF(A3038&lt;&gt;"", VLOOKUP(A3038, imdb_netflix_v5!A$2:H$7370, 2, FALSE), "")</f>
        <v>Movie</v>
      </c>
      <c r="C3038" s="2" t="str">
        <f>IF(A3038&lt;&gt;"", VLOOKUP(A3038, imdb_netflix_v5!A$2:H$7370, 3, FALSE), "")</f>
        <v>Drama, Romance, Western</v>
      </c>
      <c r="D3038" s="2">
        <f>IF(A3038&lt;&gt;"", VLOOKUP(A3038, imdb_netflix_v5!A$2:H$7370, 4, FALSE), "")</f>
        <v>7.6</v>
      </c>
      <c r="E3038" s="2">
        <f>IF(A3038&lt;&gt;"", VLOOKUP(A3038, imdb_netflix_v5!A$2:H$7370, 5, FALSE), "")</f>
        <v>1976</v>
      </c>
      <c r="F3038" s="2" t="str">
        <f>IF(A3038&lt;&gt;"", VLOOKUP(A3038, imdb_netflix_v5!A$2:H$7370, 7, FALSE), "")</f>
        <v>NA</v>
      </c>
    </row>
    <row r="3039" ht="15.75" customHeight="1">
      <c r="A3039" s="1" t="str">
        <f>IFERROR(__xludf.DUMMYFUNCTION("""COMPUTED_VALUE"""),"capturing the friedmans")</f>
        <v>capturing the friedmans</v>
      </c>
      <c r="B3039" s="1" t="str">
        <f>IF(A3039&lt;&gt;"", VLOOKUP(A3039, imdb_netflix_v5!A$2:H$7370, 2, FALSE), "")</f>
        <v>Movie</v>
      </c>
      <c r="C3039" s="2" t="str">
        <f>IF(A3039&lt;&gt;"", VLOOKUP(A3039, imdb_netflix_v5!A$2:H$7370, 3, FALSE), "")</f>
        <v>Biography, Crime, Documentary</v>
      </c>
      <c r="D3039" s="2">
        <f>IF(A3039&lt;&gt;"", VLOOKUP(A3039, imdb_netflix_v5!A$2:H$7370, 4, FALSE), "")</f>
        <v>7.6</v>
      </c>
      <c r="E3039" s="2">
        <f>IF(A3039&lt;&gt;"", VLOOKUP(A3039, imdb_netflix_v5!A$2:H$7370, 5, FALSE), "")</f>
        <v>2003</v>
      </c>
      <c r="F3039" s="2" t="str">
        <f>IF(A3039&lt;&gt;"", VLOOKUP(A3039, imdb_netflix_v5!A$2:H$7370, 7, FALSE), "")</f>
        <v>NA</v>
      </c>
    </row>
    <row r="3040" ht="15.75" customHeight="1">
      <c r="A3040" s="1" t="str">
        <f>IFERROR(__xludf.DUMMYFUNCTION("""COMPUTED_VALUE"""),"band of outsiders")</f>
        <v>band of outsiders</v>
      </c>
      <c r="B3040" s="1" t="str">
        <f>IF(A3040&lt;&gt;"", VLOOKUP(A3040, imdb_netflix_v5!A$2:H$7370, 2, FALSE), "")</f>
        <v>Movie</v>
      </c>
      <c r="C3040" s="2" t="str">
        <f>IF(A3040&lt;&gt;"", VLOOKUP(A3040, imdb_netflix_v5!A$2:H$7370, 3, FALSE), "")</f>
        <v>Comedy, Crime, Drama</v>
      </c>
      <c r="D3040" s="2">
        <f>IF(A3040&lt;&gt;"", VLOOKUP(A3040, imdb_netflix_v5!A$2:H$7370, 4, FALSE), "")</f>
        <v>7.6</v>
      </c>
      <c r="E3040" s="2">
        <f>IF(A3040&lt;&gt;"", VLOOKUP(A3040, imdb_netflix_v5!A$2:H$7370, 5, FALSE), "")</f>
        <v>1964</v>
      </c>
      <c r="F3040" s="2" t="str">
        <f>IF(A3040&lt;&gt;"", VLOOKUP(A3040, imdb_netflix_v5!A$2:H$7370, 7, FALSE), "")</f>
        <v>NA</v>
      </c>
    </row>
    <row r="3041" ht="15.75" customHeight="1">
      <c r="A3041" s="1" t="str">
        <f>IFERROR(__xludf.DUMMYFUNCTION("""COMPUTED_VALUE"""),"vera drake")</f>
        <v>vera drake</v>
      </c>
      <c r="B3041" s="1" t="str">
        <f>IF(A3041&lt;&gt;"", VLOOKUP(A3041, imdb_netflix_v5!A$2:H$7370, 2, FALSE), "")</f>
        <v>Movie</v>
      </c>
      <c r="C3041" s="2" t="str">
        <f>IF(A3041&lt;&gt;"", VLOOKUP(A3041, imdb_netflix_v5!A$2:H$7370, 3, FALSE), "")</f>
        <v>Crime, Drama</v>
      </c>
      <c r="D3041" s="2">
        <f>IF(A3041&lt;&gt;"", VLOOKUP(A3041, imdb_netflix_v5!A$2:H$7370, 4, FALSE), "")</f>
        <v>7.6</v>
      </c>
      <c r="E3041" s="2">
        <f>IF(A3041&lt;&gt;"", VLOOKUP(A3041, imdb_netflix_v5!A$2:H$7370, 5, FALSE), "")</f>
        <v>2004</v>
      </c>
      <c r="F3041" s="2" t="str">
        <f>IF(A3041&lt;&gt;"", VLOOKUP(A3041, imdb_netflix_v5!A$2:H$7370, 7, FALSE), "")</f>
        <v>NA</v>
      </c>
    </row>
    <row r="3042" ht="15.75" customHeight="1">
      <c r="A3042" s="1" t="str">
        <f>IFERROR(__xludf.DUMMYFUNCTION("""COMPUTED_VALUE"""),"the magnificent ambersons")</f>
        <v>the magnificent ambersons</v>
      </c>
      <c r="B3042" s="1" t="str">
        <f>IF(A3042&lt;&gt;"", VLOOKUP(A3042, imdb_netflix_v5!A$2:H$7370, 2, FALSE), "")</f>
        <v>Movie</v>
      </c>
      <c r="C3042" s="2" t="str">
        <f>IF(A3042&lt;&gt;"", VLOOKUP(A3042, imdb_netflix_v5!A$2:H$7370, 3, FALSE), "")</f>
        <v>Drama, Romance</v>
      </c>
      <c r="D3042" s="2">
        <f>IF(A3042&lt;&gt;"", VLOOKUP(A3042, imdb_netflix_v5!A$2:H$7370, 4, FALSE), "")</f>
        <v>7.6</v>
      </c>
      <c r="E3042" s="2">
        <f>IF(A3042&lt;&gt;"", VLOOKUP(A3042, imdb_netflix_v5!A$2:H$7370, 5, FALSE), "")</f>
        <v>1942</v>
      </c>
      <c r="F3042" s="2" t="str">
        <f>IF(A3042&lt;&gt;"", VLOOKUP(A3042, imdb_netflix_v5!A$2:H$7370, 7, FALSE), "")</f>
        <v>NA</v>
      </c>
    </row>
    <row r="3043" ht="15.75" customHeight="1">
      <c r="A3043" s="1" t="str">
        <f>IFERROR(__xludf.DUMMYFUNCTION("""COMPUTED_VALUE"""),"the grim adventures of billy &amp; mandy")</f>
        <v>the grim adventures of billy &amp; mandy</v>
      </c>
      <c r="B3043" s="1" t="str">
        <f>IF(A3043&lt;&gt;"", VLOOKUP(A3043, imdb_netflix_v5!A$2:H$7370, 2, FALSE), "")</f>
        <v>TV Show</v>
      </c>
      <c r="C3043" s="2" t="str">
        <f>IF(A3043&lt;&gt;"", VLOOKUP(A3043, imdb_netflix_v5!A$2:H$7370, 3, FALSE), "")</f>
        <v>Adventure, Animation, Comedy</v>
      </c>
      <c r="D3043" s="2">
        <f>IF(A3043&lt;&gt;"", VLOOKUP(A3043, imdb_netflix_v5!A$2:H$7370, 4, FALSE), "")</f>
        <v>7.6</v>
      </c>
      <c r="E3043" s="2">
        <f>IF(A3043&lt;&gt;"", VLOOKUP(A3043, imdb_netflix_v5!A$2:H$7370, 5, FALSE), "")</f>
        <v>2003</v>
      </c>
      <c r="F3043" s="2" t="str">
        <f>IF(A3043&lt;&gt;"", VLOOKUP(A3043, imdb_netflix_v5!A$2:H$7370, 7, FALSE), "")</f>
        <v>NA</v>
      </c>
    </row>
    <row r="3044" ht="15.75" customHeight="1">
      <c r="A3044" s="1" t="str">
        <f>IFERROR(__xludf.DUMMYFUNCTION("""COMPUTED_VALUE"""),"crashing")</f>
        <v>crashing</v>
      </c>
      <c r="B3044" s="1" t="str">
        <f>IF(A3044&lt;&gt;"", VLOOKUP(A3044, imdb_netflix_v5!A$2:H$7370, 2, FALSE), "")</f>
        <v>TV Show</v>
      </c>
      <c r="C3044" s="2" t="str">
        <f>IF(A3044&lt;&gt;"", VLOOKUP(A3044, imdb_netflix_v5!A$2:H$7370, 3, FALSE), "")</f>
        <v>Comedy</v>
      </c>
      <c r="D3044" s="2">
        <f>IF(A3044&lt;&gt;"", VLOOKUP(A3044, imdb_netflix_v5!A$2:H$7370, 4, FALSE), "")</f>
        <v>7.6</v>
      </c>
      <c r="E3044" s="2">
        <f>IF(A3044&lt;&gt;"", VLOOKUP(A3044, imdb_netflix_v5!A$2:H$7370, 5, FALSE), "")</f>
        <v>2016</v>
      </c>
      <c r="F3044" s="2" t="str">
        <f>IF(A3044&lt;&gt;"", VLOOKUP(A3044, imdb_netflix_v5!A$2:H$7370, 7, FALSE), "")</f>
        <v>NA</v>
      </c>
    </row>
    <row r="3045" ht="15.75" customHeight="1">
      <c r="A3045" s="1" t="str">
        <f>IFERROR(__xludf.DUMMYFUNCTION("""COMPUTED_VALUE"""),"the man without a past")</f>
        <v>the man without a past</v>
      </c>
      <c r="B3045" s="1" t="str">
        <f>IF(A3045&lt;&gt;"", VLOOKUP(A3045, imdb_netflix_v5!A$2:H$7370, 2, FALSE), "")</f>
        <v>Movie</v>
      </c>
      <c r="C3045" s="2" t="str">
        <f>IF(A3045&lt;&gt;"", VLOOKUP(A3045, imdb_netflix_v5!A$2:H$7370, 3, FALSE), "")</f>
        <v>Comedy, Drama, Romance</v>
      </c>
      <c r="D3045" s="2">
        <f>IF(A3045&lt;&gt;"", VLOOKUP(A3045, imdb_netflix_v5!A$2:H$7370, 4, FALSE), "")</f>
        <v>7.6</v>
      </c>
      <c r="E3045" s="2">
        <f>IF(A3045&lt;&gt;"", VLOOKUP(A3045, imdb_netflix_v5!A$2:H$7370, 5, FALSE), "")</f>
        <v>2002</v>
      </c>
      <c r="F3045" s="2" t="str">
        <f>IF(A3045&lt;&gt;"", VLOOKUP(A3045, imdb_netflix_v5!A$2:H$7370, 7, FALSE), "")</f>
        <v>NA</v>
      </c>
    </row>
    <row r="3046" ht="15.75" customHeight="1">
      <c r="A3046" s="1" t="str">
        <f>IFERROR(__xludf.DUMMYFUNCTION("""COMPUTED_VALUE"""),"between family")</f>
        <v>between family</v>
      </c>
      <c r="B3046" s="1" t="str">
        <f>IF(A3046&lt;&gt;"", VLOOKUP(A3046, imdb_netflix_v5!A$2:H$7370, 2, FALSE), "")</f>
        <v>Movie</v>
      </c>
      <c r="C3046" s="2" t="str">
        <f>IF(A3046&lt;&gt;"", VLOOKUP(A3046, imdb_netflix_v5!A$2:H$7370, 3, FALSE), "")</f>
        <v>Comedy</v>
      </c>
      <c r="D3046" s="2">
        <f>IF(A3046&lt;&gt;"", VLOOKUP(A3046, imdb_netflix_v5!A$2:H$7370, 4, FALSE), "")</f>
        <v>7.6</v>
      </c>
      <c r="E3046" s="2">
        <f>IF(A3046&lt;&gt;"", VLOOKUP(A3046, imdb_netflix_v5!A$2:H$7370, 5, FALSE), "")</f>
        <v>2017</v>
      </c>
      <c r="F3046" s="2" t="str">
        <f>IF(A3046&lt;&gt;"", VLOOKUP(A3046, imdb_netflix_v5!A$2:H$7370, 7, FALSE), "")</f>
        <v>NA</v>
      </c>
    </row>
    <row r="3047" ht="15.75" customHeight="1">
      <c r="A3047" s="1" t="str">
        <f>IFERROR(__xludf.DUMMYFUNCTION("""COMPUTED_VALUE"""),"the long good friday")</f>
        <v>the long good friday</v>
      </c>
      <c r="B3047" s="1" t="str">
        <f>IF(A3047&lt;&gt;"", VLOOKUP(A3047, imdb_netflix_v5!A$2:H$7370, 2, FALSE), "")</f>
        <v>Movie</v>
      </c>
      <c r="C3047" s="2" t="str">
        <f>IF(A3047&lt;&gt;"", VLOOKUP(A3047, imdb_netflix_v5!A$2:H$7370, 3, FALSE), "")</f>
        <v>Crime, Drama, Mystery</v>
      </c>
      <c r="D3047" s="2">
        <f>IF(A3047&lt;&gt;"", VLOOKUP(A3047, imdb_netflix_v5!A$2:H$7370, 4, FALSE), "")</f>
        <v>7.6</v>
      </c>
      <c r="E3047" s="2">
        <f>IF(A3047&lt;&gt;"", VLOOKUP(A3047, imdb_netflix_v5!A$2:H$7370, 5, FALSE), "")</f>
        <v>1980</v>
      </c>
      <c r="F3047" s="2" t="str">
        <f>IF(A3047&lt;&gt;"", VLOOKUP(A3047, imdb_netflix_v5!A$2:H$7370, 7, FALSE), "")</f>
        <v>NA</v>
      </c>
    </row>
    <row r="3048" ht="15.75" customHeight="1">
      <c r="A3048" s="1" t="str">
        <f>IFERROR(__xludf.DUMMYFUNCTION("""COMPUTED_VALUE"""),"sorry we missed you")</f>
        <v>sorry we missed you</v>
      </c>
      <c r="B3048" s="1" t="str">
        <f>IF(A3048&lt;&gt;"", VLOOKUP(A3048, imdb_netflix_v5!A$2:H$7370, 2, FALSE), "")</f>
        <v>Movie</v>
      </c>
      <c r="C3048" s="2" t="str">
        <f>IF(A3048&lt;&gt;"", VLOOKUP(A3048, imdb_netflix_v5!A$2:H$7370, 3, FALSE), "")</f>
        <v>Drama</v>
      </c>
      <c r="D3048" s="2">
        <f>IF(A3048&lt;&gt;"", VLOOKUP(A3048, imdb_netflix_v5!A$2:H$7370, 4, FALSE), "")</f>
        <v>7.6</v>
      </c>
      <c r="E3048" s="2">
        <f>IF(A3048&lt;&gt;"", VLOOKUP(A3048, imdb_netflix_v5!A$2:H$7370, 5, FALSE), "")</f>
        <v>2019</v>
      </c>
      <c r="F3048" s="2" t="str">
        <f>IF(A3048&lt;&gt;"", VLOOKUP(A3048, imdb_netflix_v5!A$2:H$7370, 7, FALSE), "")</f>
        <v>NA</v>
      </c>
    </row>
    <row r="3049" ht="15.75" customHeight="1">
      <c r="A3049" s="1" t="str">
        <f>IFERROR(__xludf.DUMMYFUNCTION("""COMPUTED_VALUE"""),"beautiful thing")</f>
        <v>beautiful thing</v>
      </c>
      <c r="B3049" s="1" t="str">
        <f>IF(A3049&lt;&gt;"", VLOOKUP(A3049, imdb_netflix_v5!A$2:H$7370, 2, FALSE), "")</f>
        <v>Movie</v>
      </c>
      <c r="C3049" s="2" t="str">
        <f>IF(A3049&lt;&gt;"", VLOOKUP(A3049, imdb_netflix_v5!A$2:H$7370, 3, FALSE), "")</f>
        <v>Comedy, Drama, Romance</v>
      </c>
      <c r="D3049" s="2">
        <f>IF(A3049&lt;&gt;"", VLOOKUP(A3049, imdb_netflix_v5!A$2:H$7370, 4, FALSE), "")</f>
        <v>7.6</v>
      </c>
      <c r="E3049" s="2">
        <f>IF(A3049&lt;&gt;"", VLOOKUP(A3049, imdb_netflix_v5!A$2:H$7370, 5, FALSE), "")</f>
        <v>1996</v>
      </c>
      <c r="F3049" s="2" t="str">
        <f>IF(A3049&lt;&gt;"", VLOOKUP(A3049, imdb_netflix_v5!A$2:H$7370, 7, FALSE), "")</f>
        <v>NA</v>
      </c>
    </row>
    <row r="3050" ht="15.75" customHeight="1">
      <c r="A3050" s="1" t="str">
        <f>IFERROR(__xludf.DUMMYFUNCTION("""COMPUTED_VALUE"""),"a thursday")</f>
        <v>a thursday</v>
      </c>
      <c r="B3050" s="1" t="str">
        <f>IF(A3050&lt;&gt;"", VLOOKUP(A3050, imdb_netflix_v5!A$2:H$7370, 2, FALSE), "")</f>
        <v>Movie</v>
      </c>
      <c r="C3050" s="2" t="str">
        <f>IF(A3050&lt;&gt;"", VLOOKUP(A3050, imdb_netflix_v5!A$2:H$7370, 3, FALSE), "")</f>
        <v>Drama, Thriller</v>
      </c>
      <c r="D3050" s="2">
        <f>IF(A3050&lt;&gt;"", VLOOKUP(A3050, imdb_netflix_v5!A$2:H$7370, 4, FALSE), "")</f>
        <v>7.6</v>
      </c>
      <c r="E3050" s="2">
        <f>IF(A3050&lt;&gt;"", VLOOKUP(A3050, imdb_netflix_v5!A$2:H$7370, 5, FALSE), "")</f>
        <v>2022</v>
      </c>
      <c r="F3050" s="2" t="str">
        <f>IF(A3050&lt;&gt;"", VLOOKUP(A3050, imdb_netflix_v5!A$2:H$7370, 7, FALSE), "")</f>
        <v>NA</v>
      </c>
    </row>
    <row r="3051" ht="15.75" customHeight="1">
      <c r="A3051" s="1" t="str">
        <f>IFERROR(__xludf.DUMMYFUNCTION("""COMPUTED_VALUE"""),"pickpocket")</f>
        <v>pickpocket</v>
      </c>
      <c r="B3051" s="1" t="str">
        <f>IF(A3051&lt;&gt;"", VLOOKUP(A3051, imdb_netflix_v5!A$2:H$7370, 2, FALSE), "")</f>
        <v>Movie</v>
      </c>
      <c r="C3051" s="2" t="str">
        <f>IF(A3051&lt;&gt;"", VLOOKUP(A3051, imdb_netflix_v5!A$2:H$7370, 3, FALSE), "")</f>
        <v>Crime, Drama</v>
      </c>
      <c r="D3051" s="2">
        <f>IF(A3051&lt;&gt;"", VLOOKUP(A3051, imdb_netflix_v5!A$2:H$7370, 4, FALSE), "")</f>
        <v>7.6</v>
      </c>
      <c r="E3051" s="2">
        <f>IF(A3051&lt;&gt;"", VLOOKUP(A3051, imdb_netflix_v5!A$2:H$7370, 5, FALSE), "")</f>
        <v>1959</v>
      </c>
      <c r="F3051" s="2" t="str">
        <f>IF(A3051&lt;&gt;"", VLOOKUP(A3051, imdb_netflix_v5!A$2:H$7370, 7, FALSE), "")</f>
        <v>NA</v>
      </c>
    </row>
    <row r="3052" ht="15.75" customHeight="1">
      <c r="A3052" s="1" t="str">
        <f>IFERROR(__xludf.DUMMYFUNCTION("""COMPUTED_VALUE"""),"bloody sunday")</f>
        <v>bloody sunday</v>
      </c>
      <c r="B3052" s="1" t="str">
        <f>IF(A3052&lt;&gt;"", VLOOKUP(A3052, imdb_netflix_v5!A$2:H$7370, 2, FALSE), "")</f>
        <v>Movie</v>
      </c>
      <c r="C3052" s="2" t="str">
        <f>IF(A3052&lt;&gt;"", VLOOKUP(A3052, imdb_netflix_v5!A$2:H$7370, 3, FALSE), "")</f>
        <v>Drama, History, War</v>
      </c>
      <c r="D3052" s="2">
        <f>IF(A3052&lt;&gt;"", VLOOKUP(A3052, imdb_netflix_v5!A$2:H$7370, 4, FALSE), "")</f>
        <v>7.6</v>
      </c>
      <c r="E3052" s="2">
        <f>IF(A3052&lt;&gt;"", VLOOKUP(A3052, imdb_netflix_v5!A$2:H$7370, 5, FALSE), "")</f>
        <v>2002</v>
      </c>
      <c r="F3052" s="2" t="str">
        <f>IF(A3052&lt;&gt;"", VLOOKUP(A3052, imdb_netflix_v5!A$2:H$7370, 7, FALSE), "")</f>
        <v>NA</v>
      </c>
    </row>
    <row r="3053" ht="15.75" customHeight="1">
      <c r="A3053" s="1" t="str">
        <f>IFERROR(__xludf.DUMMYFUNCTION("""COMPUTED_VALUE"""),"darr")</f>
        <v>darr</v>
      </c>
      <c r="B3053" s="1" t="str">
        <f>IF(A3053&lt;&gt;"", VLOOKUP(A3053, imdb_netflix_v5!A$2:H$7370, 2, FALSE), "")</f>
        <v>Movie</v>
      </c>
      <c r="C3053" s="2" t="str">
        <f>IF(A3053&lt;&gt;"", VLOOKUP(A3053, imdb_netflix_v5!A$2:H$7370, 3, FALSE), "")</f>
        <v>Action, Drama, Romance</v>
      </c>
      <c r="D3053" s="2">
        <f>IF(A3053&lt;&gt;"", VLOOKUP(A3053, imdb_netflix_v5!A$2:H$7370, 4, FALSE), "")</f>
        <v>7.6</v>
      </c>
      <c r="E3053" s="2">
        <f>IF(A3053&lt;&gt;"", VLOOKUP(A3053, imdb_netflix_v5!A$2:H$7370, 5, FALSE), "")</f>
        <v>1993</v>
      </c>
      <c r="F3053" s="2" t="str">
        <f>IF(A3053&lt;&gt;"", VLOOKUP(A3053, imdb_netflix_v5!A$2:H$7370, 7, FALSE), "")</f>
        <v>NA</v>
      </c>
    </row>
    <row r="3054" ht="15.75" customHeight="1">
      <c r="A3054" s="1" t="str">
        <f>IFERROR(__xludf.DUMMYFUNCTION("""COMPUTED_VALUE"""),"madras cafe")</f>
        <v>madras cafe</v>
      </c>
      <c r="B3054" s="1" t="str">
        <f>IF(A3054&lt;&gt;"", VLOOKUP(A3054, imdb_netflix_v5!A$2:H$7370, 2, FALSE), "")</f>
        <v>Movie</v>
      </c>
      <c r="C3054" s="2" t="str">
        <f>IF(A3054&lt;&gt;"", VLOOKUP(A3054, imdb_netflix_v5!A$2:H$7370, 3, FALSE), "")</f>
        <v>Action, Drama, Thriller</v>
      </c>
      <c r="D3054" s="2">
        <f>IF(A3054&lt;&gt;"", VLOOKUP(A3054, imdb_netflix_v5!A$2:H$7370, 4, FALSE), "")</f>
        <v>7.6</v>
      </c>
      <c r="E3054" s="2">
        <f>IF(A3054&lt;&gt;"", VLOOKUP(A3054, imdb_netflix_v5!A$2:H$7370, 5, FALSE), "")</f>
        <v>2013</v>
      </c>
      <c r="F3054" s="2" t="str">
        <f>IF(A3054&lt;&gt;"", VLOOKUP(A3054, imdb_netflix_v5!A$2:H$7370, 7, FALSE), "")</f>
        <v>NA</v>
      </c>
    </row>
    <row r="3055" ht="15.75" customHeight="1">
      <c r="A3055" s="1" t="str">
        <f>IFERROR(__xludf.DUMMYFUNCTION("""COMPUTED_VALUE"""),"last year at marienbad")</f>
        <v>last year at marienbad</v>
      </c>
      <c r="B3055" s="1" t="str">
        <f>IF(A3055&lt;&gt;"", VLOOKUP(A3055, imdb_netflix_v5!A$2:H$7370, 2, FALSE), "")</f>
        <v>Movie</v>
      </c>
      <c r="C3055" s="2" t="str">
        <f>IF(A3055&lt;&gt;"", VLOOKUP(A3055, imdb_netflix_v5!A$2:H$7370, 3, FALSE), "")</f>
        <v>Drama, Mystery, Romance</v>
      </c>
      <c r="D3055" s="2">
        <f>IF(A3055&lt;&gt;"", VLOOKUP(A3055, imdb_netflix_v5!A$2:H$7370, 4, FALSE), "")</f>
        <v>7.6</v>
      </c>
      <c r="E3055" s="2">
        <f>IF(A3055&lt;&gt;"", VLOOKUP(A3055, imdb_netflix_v5!A$2:H$7370, 5, FALSE), "")</f>
        <v>1961</v>
      </c>
      <c r="F3055" s="2" t="str">
        <f>IF(A3055&lt;&gt;"", VLOOKUP(A3055, imdb_netflix_v5!A$2:H$7370, 7, FALSE), "")</f>
        <v>NA</v>
      </c>
    </row>
    <row r="3056" ht="15.75" customHeight="1">
      <c r="A3056" s="1" t="str">
        <f>IFERROR(__xludf.DUMMYFUNCTION("""COMPUTED_VALUE"""),"parmanu the story of pokhran")</f>
        <v>parmanu the story of pokhran</v>
      </c>
      <c r="B3056" s="1" t="str">
        <f>IF(A3056&lt;&gt;"", VLOOKUP(A3056, imdb_netflix_v5!A$2:H$7370, 2, FALSE), "")</f>
        <v>Movie</v>
      </c>
      <c r="C3056" s="2" t="str">
        <f>IF(A3056&lt;&gt;"", VLOOKUP(A3056, imdb_netflix_v5!A$2:H$7370, 3, FALSE), "")</f>
        <v>Action, Drama, History</v>
      </c>
      <c r="D3056" s="2">
        <f>IF(A3056&lt;&gt;"", VLOOKUP(A3056, imdb_netflix_v5!A$2:H$7370, 4, FALSE), "")</f>
        <v>7.6</v>
      </c>
      <c r="E3056" s="2">
        <f>IF(A3056&lt;&gt;"", VLOOKUP(A3056, imdb_netflix_v5!A$2:H$7370, 5, FALSE), "")</f>
        <v>2018</v>
      </c>
      <c r="F3056" s="2" t="str">
        <f>IF(A3056&lt;&gt;"", VLOOKUP(A3056, imdb_netflix_v5!A$2:H$7370, 7, FALSE), "")</f>
        <v>NA</v>
      </c>
    </row>
    <row r="3057" ht="15.75" customHeight="1">
      <c r="A3057" s="1" t="str">
        <f>IFERROR(__xludf.DUMMYFUNCTION("""COMPUTED_VALUE"""),"fosters home for imaginary friends")</f>
        <v>fosters home for imaginary friends</v>
      </c>
      <c r="B3057" s="1" t="str">
        <f>IF(A3057&lt;&gt;"", VLOOKUP(A3057, imdb_netflix_v5!A$2:H$7370, 2, FALSE), "")</f>
        <v>TV Show</v>
      </c>
      <c r="C3057" s="2" t="str">
        <f>IF(A3057&lt;&gt;"", VLOOKUP(A3057, imdb_netflix_v5!A$2:H$7370, 3, FALSE), "")</f>
        <v>Adventure, Animation, Comedy</v>
      </c>
      <c r="D3057" s="2">
        <f>IF(A3057&lt;&gt;"", VLOOKUP(A3057, imdb_netflix_v5!A$2:H$7370, 4, FALSE), "")</f>
        <v>7.6</v>
      </c>
      <c r="E3057" s="2">
        <f>IF(A3057&lt;&gt;"", VLOOKUP(A3057, imdb_netflix_v5!A$2:H$7370, 5, FALSE), "")</f>
        <v>2004</v>
      </c>
      <c r="F3057" s="2" t="str">
        <f>IF(A3057&lt;&gt;"", VLOOKUP(A3057, imdb_netflix_v5!A$2:H$7370, 7, FALSE), "")</f>
        <v>NA</v>
      </c>
    </row>
    <row r="3058" ht="15.75" customHeight="1">
      <c r="A3058" s="1" t="str">
        <f>IFERROR(__xludf.DUMMYFUNCTION("""COMPUTED_VALUE"""),"a league of their own")</f>
        <v>a league of their own</v>
      </c>
      <c r="B3058" s="1" t="str">
        <f>IF(A3058&lt;&gt;"", VLOOKUP(A3058, imdb_netflix_v5!A$2:H$7370, 2, FALSE), "")</f>
        <v>TV Show</v>
      </c>
      <c r="C3058" s="2" t="str">
        <f>IF(A3058&lt;&gt;"", VLOOKUP(A3058, imdb_netflix_v5!A$2:H$7370, 3, FALSE), "")</f>
        <v>Comedy, Drama, Sport</v>
      </c>
      <c r="D3058" s="2">
        <f>IF(A3058&lt;&gt;"", VLOOKUP(A3058, imdb_netflix_v5!A$2:H$7370, 4, FALSE), "")</f>
        <v>7.6</v>
      </c>
      <c r="E3058" s="2">
        <f>IF(A3058&lt;&gt;"", VLOOKUP(A3058, imdb_netflix_v5!A$2:H$7370, 5, FALSE), "")</f>
        <v>2022</v>
      </c>
      <c r="F3058" s="2" t="str">
        <f>IF(A3058&lt;&gt;"", VLOOKUP(A3058, imdb_netflix_v5!A$2:H$7370, 7, FALSE), "")</f>
        <v>NA</v>
      </c>
    </row>
    <row r="3059" ht="15.75" customHeight="1">
      <c r="A3059" s="1" t="str">
        <f>IFERROR(__xludf.DUMMYFUNCTION("""COMPUTED_VALUE"""),"moonlight")</f>
        <v>moonlight</v>
      </c>
      <c r="B3059" s="1" t="str">
        <f>IF(A3059&lt;&gt;"", VLOOKUP(A3059, imdb_netflix_v5!A$2:H$7370, 2, FALSE), "")</f>
        <v>TV Show</v>
      </c>
      <c r="C3059" s="2" t="str">
        <f>IF(A3059&lt;&gt;"", VLOOKUP(A3059, imdb_netflix_v5!A$2:H$7370, 3, FALSE), "")</f>
        <v>Crime, Drama, Fantasy</v>
      </c>
      <c r="D3059" s="2">
        <f>IF(A3059&lt;&gt;"", VLOOKUP(A3059, imdb_netflix_v5!A$2:H$7370, 4, FALSE), "")</f>
        <v>7.6</v>
      </c>
      <c r="E3059" s="2">
        <f>IF(A3059&lt;&gt;"", VLOOKUP(A3059, imdb_netflix_v5!A$2:H$7370, 5, FALSE), "")</f>
        <v>2007</v>
      </c>
      <c r="F3059" s="2" t="str">
        <f>IF(A3059&lt;&gt;"", VLOOKUP(A3059, imdb_netflix_v5!A$2:H$7370, 7, FALSE), "")</f>
        <v>NA</v>
      </c>
    </row>
    <row r="3060" ht="15.75" customHeight="1">
      <c r="A3060" s="1" t="str">
        <f>IFERROR(__xludf.DUMMYFUNCTION("""COMPUTED_VALUE"""),"mutiny on the bounty")</f>
        <v>mutiny on the bounty</v>
      </c>
      <c r="B3060" s="1" t="str">
        <f>IF(A3060&lt;&gt;"", VLOOKUP(A3060, imdb_netflix_v5!A$2:H$7370, 2, FALSE), "")</f>
        <v>Movie</v>
      </c>
      <c r="C3060" s="2" t="str">
        <f>IF(A3060&lt;&gt;"", VLOOKUP(A3060, imdb_netflix_v5!A$2:H$7370, 3, FALSE), "")</f>
        <v>Adventure, Biography, Drama</v>
      </c>
      <c r="D3060" s="2">
        <f>IF(A3060&lt;&gt;"", VLOOKUP(A3060, imdb_netflix_v5!A$2:H$7370, 4, FALSE), "")</f>
        <v>7.6</v>
      </c>
      <c r="E3060" s="2">
        <f>IF(A3060&lt;&gt;"", VLOOKUP(A3060, imdb_netflix_v5!A$2:H$7370, 5, FALSE), "")</f>
        <v>1935</v>
      </c>
      <c r="F3060" s="2" t="str">
        <f>IF(A3060&lt;&gt;"", VLOOKUP(A3060, imdb_netflix_v5!A$2:H$7370, 7, FALSE), "")</f>
        <v>NA</v>
      </c>
    </row>
    <row r="3061" ht="15.75" customHeight="1">
      <c r="A3061" s="1" t="str">
        <f>IFERROR(__xludf.DUMMYFUNCTION("""COMPUTED_VALUE"""),"greek")</f>
        <v>greek</v>
      </c>
      <c r="B3061" s="1" t="str">
        <f>IF(A3061&lt;&gt;"", VLOOKUP(A3061, imdb_netflix_v5!A$2:H$7370, 2, FALSE), "")</f>
        <v>TV Show</v>
      </c>
      <c r="C3061" s="2" t="str">
        <f>IF(A3061&lt;&gt;"", VLOOKUP(A3061, imdb_netflix_v5!A$2:H$7370, 3, FALSE), "")</f>
        <v>Comedy, Drama, Family</v>
      </c>
      <c r="D3061" s="2">
        <f>IF(A3061&lt;&gt;"", VLOOKUP(A3061, imdb_netflix_v5!A$2:H$7370, 4, FALSE), "")</f>
        <v>7.6</v>
      </c>
      <c r="E3061" s="2">
        <f>IF(A3061&lt;&gt;"", VLOOKUP(A3061, imdb_netflix_v5!A$2:H$7370, 5, FALSE), "")</f>
        <v>2007</v>
      </c>
      <c r="F3061" s="2" t="str">
        <f>IF(A3061&lt;&gt;"", VLOOKUP(A3061, imdb_netflix_v5!A$2:H$7370, 7, FALSE), "")</f>
        <v>NA</v>
      </c>
    </row>
    <row r="3062" ht="15.75" customHeight="1">
      <c r="A3062" s="1" t="str">
        <f>IFERROR(__xludf.DUMMYFUNCTION("""COMPUTED_VALUE"""),"bewitched")</f>
        <v>bewitched</v>
      </c>
      <c r="B3062" s="1" t="str">
        <f>IF(A3062&lt;&gt;"", VLOOKUP(A3062, imdb_netflix_v5!A$2:H$7370, 2, FALSE), "")</f>
        <v>TV Show</v>
      </c>
      <c r="C3062" s="2" t="str">
        <f>IF(A3062&lt;&gt;"", VLOOKUP(A3062, imdb_netflix_v5!A$2:H$7370, 3, FALSE), "")</f>
        <v>Comedy, Family, Fantasy</v>
      </c>
      <c r="D3062" s="2">
        <f>IF(A3062&lt;&gt;"", VLOOKUP(A3062, imdb_netflix_v5!A$2:H$7370, 4, FALSE), "")</f>
        <v>7.6</v>
      </c>
      <c r="E3062" s="2">
        <f>IF(A3062&lt;&gt;"", VLOOKUP(A3062, imdb_netflix_v5!A$2:H$7370, 5, FALSE), "")</f>
        <v>1964</v>
      </c>
      <c r="F3062" s="2" t="str">
        <f>IF(A3062&lt;&gt;"", VLOOKUP(A3062, imdb_netflix_v5!A$2:H$7370, 7, FALSE), "")</f>
        <v>NA</v>
      </c>
    </row>
    <row r="3063" ht="15.75" customHeight="1">
      <c r="A3063" s="1" t="str">
        <f>IFERROR(__xludf.DUMMYFUNCTION("""COMPUTED_VALUE"""),"moonlighting")</f>
        <v>moonlighting</v>
      </c>
      <c r="B3063" s="1" t="str">
        <f>IF(A3063&lt;&gt;"", VLOOKUP(A3063, imdb_netflix_v5!A$2:H$7370, 2, FALSE), "")</f>
        <v>TV Show</v>
      </c>
      <c r="C3063" s="2" t="str">
        <f>IF(A3063&lt;&gt;"", VLOOKUP(A3063, imdb_netflix_v5!A$2:H$7370, 3, FALSE), "")</f>
        <v>Comedy, Drama, Mystery</v>
      </c>
      <c r="D3063" s="2">
        <f>IF(A3063&lt;&gt;"", VLOOKUP(A3063, imdb_netflix_v5!A$2:H$7370, 4, FALSE), "")</f>
        <v>7.6</v>
      </c>
      <c r="E3063" s="2">
        <f>IF(A3063&lt;&gt;"", VLOOKUP(A3063, imdb_netflix_v5!A$2:H$7370, 5, FALSE), "")</f>
        <v>1985</v>
      </c>
      <c r="F3063" s="2" t="str">
        <f>IF(A3063&lt;&gt;"", VLOOKUP(A3063, imdb_netflix_v5!A$2:H$7370, 7, FALSE), "")</f>
        <v>NA</v>
      </c>
    </row>
    <row r="3064" ht="15.75" customHeight="1">
      <c r="A3064" s="1" t="str">
        <f>IFERROR(__xludf.DUMMYFUNCTION("""COMPUTED_VALUE"""),"tehran")</f>
        <v>tehran</v>
      </c>
      <c r="B3064" s="1" t="str">
        <f>IF(A3064&lt;&gt;"", VLOOKUP(A3064, imdb_netflix_v5!A$2:H$7370, 2, FALSE), "")</f>
        <v>TV Show</v>
      </c>
      <c r="C3064" s="2" t="str">
        <f>IF(A3064&lt;&gt;"", VLOOKUP(A3064, imdb_netflix_v5!A$2:H$7370, 3, FALSE), "")</f>
        <v>Action, Crime, Drama</v>
      </c>
      <c r="D3064" s="2">
        <f>IF(A3064&lt;&gt;"", VLOOKUP(A3064, imdb_netflix_v5!A$2:H$7370, 4, FALSE), "")</f>
        <v>7.6</v>
      </c>
      <c r="E3064" s="2">
        <f>IF(A3064&lt;&gt;"", VLOOKUP(A3064, imdb_netflix_v5!A$2:H$7370, 5, FALSE), "")</f>
        <v>2020</v>
      </c>
      <c r="F3064" s="2" t="str">
        <f>IF(A3064&lt;&gt;"", VLOOKUP(A3064, imdb_netflix_v5!A$2:H$7370, 7, FALSE), "")</f>
        <v>NA</v>
      </c>
    </row>
    <row r="3065" ht="15.75" customHeight="1">
      <c r="A3065" s="1" t="str">
        <f>IFERROR(__xludf.DUMMYFUNCTION("""COMPUTED_VALUE"""),"the butterflys dream")</f>
        <v>the butterflys dream</v>
      </c>
      <c r="B3065" s="1" t="str">
        <f>IF(A3065&lt;&gt;"", VLOOKUP(A3065, imdb_netflix_v5!A$2:H$7370, 2, FALSE), "")</f>
        <v>Movie</v>
      </c>
      <c r="C3065" s="2" t="str">
        <f>IF(A3065&lt;&gt;"", VLOOKUP(A3065, imdb_netflix_v5!A$2:H$7370, 3, FALSE), "")</f>
        <v>Biography, Drama, History</v>
      </c>
      <c r="D3065" s="2">
        <f>IF(A3065&lt;&gt;"", VLOOKUP(A3065, imdb_netflix_v5!A$2:H$7370, 4, FALSE), "")</f>
        <v>7.6</v>
      </c>
      <c r="E3065" s="2">
        <f>IF(A3065&lt;&gt;"", VLOOKUP(A3065, imdb_netflix_v5!A$2:H$7370, 5, FALSE), "")</f>
        <v>2013</v>
      </c>
      <c r="F3065" s="2" t="str">
        <f>IF(A3065&lt;&gt;"", VLOOKUP(A3065, imdb_netflix_v5!A$2:H$7370, 7, FALSE), "")</f>
        <v>NA</v>
      </c>
    </row>
    <row r="3066" ht="15.75" customHeight="1">
      <c r="A3066" s="1" t="str">
        <f>IFERROR(__xludf.DUMMYFUNCTION("""COMPUTED_VALUE"""),"the trial")</f>
        <v>the trial</v>
      </c>
      <c r="B3066" s="1" t="str">
        <f>IF(A3066&lt;&gt;"", VLOOKUP(A3066, imdb_netflix_v5!A$2:H$7370, 2, FALSE), "")</f>
        <v>Movie</v>
      </c>
      <c r="C3066" s="2" t="str">
        <f>IF(A3066&lt;&gt;"", VLOOKUP(A3066, imdb_netflix_v5!A$2:H$7370, 3, FALSE), "")</f>
        <v>Drama, Mystery, Thriller</v>
      </c>
      <c r="D3066" s="2">
        <f>IF(A3066&lt;&gt;"", VLOOKUP(A3066, imdb_netflix_v5!A$2:H$7370, 4, FALSE), "")</f>
        <v>7.6</v>
      </c>
      <c r="E3066" s="2">
        <f>IF(A3066&lt;&gt;"", VLOOKUP(A3066, imdb_netflix_v5!A$2:H$7370, 5, FALSE), "")</f>
        <v>1962</v>
      </c>
      <c r="F3066" s="2" t="str">
        <f>IF(A3066&lt;&gt;"", VLOOKUP(A3066, imdb_netflix_v5!A$2:H$7370, 7, FALSE), "")</f>
        <v>NA</v>
      </c>
    </row>
    <row r="3067" ht="15.75" customHeight="1">
      <c r="A3067" s="1" t="str">
        <f>IFERROR(__xludf.DUMMYFUNCTION("""COMPUTED_VALUE"""),"shiddat")</f>
        <v>shiddat</v>
      </c>
      <c r="B3067" s="1" t="str">
        <f>IF(A3067&lt;&gt;"", VLOOKUP(A3067, imdb_netflix_v5!A$2:H$7370, 2, FALSE), "")</f>
        <v>Movie</v>
      </c>
      <c r="C3067" s="2" t="str">
        <f>IF(A3067&lt;&gt;"", VLOOKUP(A3067, imdb_netflix_v5!A$2:H$7370, 3, FALSE), "")</f>
        <v>Romance</v>
      </c>
      <c r="D3067" s="2">
        <f>IF(A3067&lt;&gt;"", VLOOKUP(A3067, imdb_netflix_v5!A$2:H$7370, 4, FALSE), "")</f>
        <v>7.6</v>
      </c>
      <c r="E3067" s="2">
        <f>IF(A3067&lt;&gt;"", VLOOKUP(A3067, imdb_netflix_v5!A$2:H$7370, 5, FALSE), "")</f>
        <v>2021</v>
      </c>
      <c r="F3067" s="2" t="str">
        <f>IF(A3067&lt;&gt;"", VLOOKUP(A3067, imdb_netflix_v5!A$2:H$7370, 7, FALSE), "")</f>
        <v>NA</v>
      </c>
    </row>
    <row r="3068" ht="15.75" customHeight="1">
      <c r="A3068" s="1" t="str">
        <f>IFERROR(__xludf.DUMMYFUNCTION("""COMPUTED_VALUE"""),"detective byomkesh bakshy!")</f>
        <v>detective byomkesh bakshy!</v>
      </c>
      <c r="B3068" s="1" t="str">
        <f>IF(A3068&lt;&gt;"", VLOOKUP(A3068, imdb_netflix_v5!A$2:H$7370, 2, FALSE), "")</f>
        <v>Movie</v>
      </c>
      <c r="C3068" s="2" t="str">
        <f>IF(A3068&lt;&gt;"", VLOOKUP(A3068, imdb_netflix_v5!A$2:H$7370, 3, FALSE), "")</f>
        <v>Action, Crime, Drama</v>
      </c>
      <c r="D3068" s="2">
        <f>IF(A3068&lt;&gt;"", VLOOKUP(A3068, imdb_netflix_v5!A$2:H$7370, 4, FALSE), "")</f>
        <v>7.6</v>
      </c>
      <c r="E3068" s="2">
        <f>IF(A3068&lt;&gt;"", VLOOKUP(A3068, imdb_netflix_v5!A$2:H$7370, 5, FALSE), "")</f>
        <v>2015</v>
      </c>
      <c r="F3068" s="2" t="str">
        <f>IF(A3068&lt;&gt;"", VLOOKUP(A3068, imdb_netflix_v5!A$2:H$7370, 7, FALSE), "")</f>
        <v>NA</v>
      </c>
    </row>
    <row r="3069" ht="15.75" customHeight="1">
      <c r="A3069" s="1" t="str">
        <f>IFERROR(__xludf.DUMMYFUNCTION("""COMPUTED_VALUE"""),"maurice")</f>
        <v>maurice</v>
      </c>
      <c r="B3069" s="1" t="str">
        <f>IF(A3069&lt;&gt;"", VLOOKUP(A3069, imdb_netflix_v5!A$2:H$7370, 2, FALSE), "")</f>
        <v>Movie</v>
      </c>
      <c r="C3069" s="2" t="str">
        <f>IF(A3069&lt;&gt;"", VLOOKUP(A3069, imdb_netflix_v5!A$2:H$7370, 3, FALSE), "")</f>
        <v>Drama, Romance</v>
      </c>
      <c r="D3069" s="2">
        <f>IF(A3069&lt;&gt;"", VLOOKUP(A3069, imdb_netflix_v5!A$2:H$7370, 4, FALSE), "")</f>
        <v>7.6</v>
      </c>
      <c r="E3069" s="2">
        <f>IF(A3069&lt;&gt;"", VLOOKUP(A3069, imdb_netflix_v5!A$2:H$7370, 5, FALSE), "")</f>
        <v>1987</v>
      </c>
      <c r="F3069" s="2" t="str">
        <f>IF(A3069&lt;&gt;"", VLOOKUP(A3069, imdb_netflix_v5!A$2:H$7370, 7, FALSE), "")</f>
        <v>NA</v>
      </c>
    </row>
    <row r="3070" ht="15.75" customHeight="1">
      <c r="A3070" s="1" t="str">
        <f>IFERROR(__xludf.DUMMYFUNCTION("""COMPUTED_VALUE"""),"checkmate")</f>
        <v>checkmate</v>
      </c>
      <c r="B3070" s="1" t="str">
        <f>IF(A3070&lt;&gt;"", VLOOKUP(A3070, imdb_netflix_v5!A$2:H$7370, 2, FALSE), "")</f>
        <v>Movie</v>
      </c>
      <c r="C3070" s="2" t="str">
        <f>IF(A3070&lt;&gt;"", VLOOKUP(A3070, imdb_netflix_v5!A$2:H$7370, 3, FALSE), "")</f>
        <v>Action, Comedy</v>
      </c>
      <c r="D3070" s="2">
        <f>IF(A3070&lt;&gt;"", VLOOKUP(A3070, imdb_netflix_v5!A$2:H$7370, 4, FALSE), "")</f>
        <v>7.6</v>
      </c>
      <c r="E3070" s="2">
        <f>IF(A3070&lt;&gt;"", VLOOKUP(A3070, imdb_netflix_v5!A$2:H$7370, 5, FALSE), "")</f>
        <v>2023</v>
      </c>
      <c r="F3070" s="2" t="str">
        <f>IF(A3070&lt;&gt;"", VLOOKUP(A3070, imdb_netflix_v5!A$2:H$7370, 7, FALSE), "")</f>
        <v>NA</v>
      </c>
    </row>
    <row r="3071" ht="15.75" customHeight="1">
      <c r="A3071" s="1" t="str">
        <f>IFERROR(__xludf.DUMMYFUNCTION("""COMPUTED_VALUE"""),"shelter")</f>
        <v>shelter</v>
      </c>
      <c r="B3071" s="1" t="str">
        <f>IF(A3071&lt;&gt;"", VLOOKUP(A3071, imdb_netflix_v5!A$2:H$7370, 2, FALSE), "")</f>
        <v>Movie</v>
      </c>
      <c r="C3071" s="2" t="str">
        <f>IF(A3071&lt;&gt;"", VLOOKUP(A3071, imdb_netflix_v5!A$2:H$7370, 3, FALSE), "")</f>
        <v>Drama, Romance, Sport</v>
      </c>
      <c r="D3071" s="2">
        <f>IF(A3071&lt;&gt;"", VLOOKUP(A3071, imdb_netflix_v5!A$2:H$7370, 4, FALSE), "")</f>
        <v>7.6</v>
      </c>
      <c r="E3071" s="2">
        <f>IF(A3071&lt;&gt;"", VLOOKUP(A3071, imdb_netflix_v5!A$2:H$7370, 5, FALSE), "")</f>
        <v>2007</v>
      </c>
      <c r="F3071" s="2" t="str">
        <f>IF(A3071&lt;&gt;"", VLOOKUP(A3071, imdb_netflix_v5!A$2:H$7370, 7, FALSE), "")</f>
        <v>NA</v>
      </c>
    </row>
    <row r="3072" ht="15.75" customHeight="1">
      <c r="A3072" s="1" t="str">
        <f>IFERROR(__xludf.DUMMYFUNCTION("""COMPUTED_VALUE"""),"zorba the greek")</f>
        <v>zorba the greek</v>
      </c>
      <c r="B3072" s="1" t="str">
        <f>IF(A3072&lt;&gt;"", VLOOKUP(A3072, imdb_netflix_v5!A$2:H$7370, 2, FALSE), "")</f>
        <v>Movie</v>
      </c>
      <c r="C3072" s="2" t="str">
        <f>IF(A3072&lt;&gt;"", VLOOKUP(A3072, imdb_netflix_v5!A$2:H$7370, 3, FALSE), "")</f>
        <v>Comedy, Drama</v>
      </c>
      <c r="D3072" s="2">
        <f>IF(A3072&lt;&gt;"", VLOOKUP(A3072, imdb_netflix_v5!A$2:H$7370, 4, FALSE), "")</f>
        <v>7.6</v>
      </c>
      <c r="E3072" s="2">
        <f>IF(A3072&lt;&gt;"", VLOOKUP(A3072, imdb_netflix_v5!A$2:H$7370, 5, FALSE), "")</f>
        <v>1964</v>
      </c>
      <c r="F3072" s="2" t="str">
        <f>IF(A3072&lt;&gt;"", VLOOKUP(A3072, imdb_netflix_v5!A$2:H$7370, 7, FALSE), "")</f>
        <v>NA</v>
      </c>
    </row>
    <row r="3073" ht="15.75" customHeight="1">
      <c r="A3073" s="1" t="str">
        <f>IFERROR(__xludf.DUMMYFUNCTION("""COMPUTED_VALUE"""),"victor/victoria")</f>
        <v>victor/victoria</v>
      </c>
      <c r="B3073" s="1" t="str">
        <f>IF(A3073&lt;&gt;"", VLOOKUP(A3073, imdb_netflix_v5!A$2:H$7370, 2, FALSE), "")</f>
        <v>Movie</v>
      </c>
      <c r="C3073" s="2" t="str">
        <f>IF(A3073&lt;&gt;"", VLOOKUP(A3073, imdb_netflix_v5!A$2:H$7370, 3, FALSE), "")</f>
        <v>Comedy, Music, Romance</v>
      </c>
      <c r="D3073" s="2">
        <f>IF(A3073&lt;&gt;"", VLOOKUP(A3073, imdb_netflix_v5!A$2:H$7370, 4, FALSE), "")</f>
        <v>7.6</v>
      </c>
      <c r="E3073" s="2">
        <f>IF(A3073&lt;&gt;"", VLOOKUP(A3073, imdb_netflix_v5!A$2:H$7370, 5, FALSE), "")</f>
        <v>1982</v>
      </c>
      <c r="F3073" s="2" t="str">
        <f>IF(A3073&lt;&gt;"", VLOOKUP(A3073, imdb_netflix_v5!A$2:H$7370, 7, FALSE), "")</f>
        <v>NA</v>
      </c>
    </row>
    <row r="3074" ht="15.75" customHeight="1">
      <c r="A3074" s="1" t="str">
        <f>IFERROR(__xludf.DUMMYFUNCTION("""COMPUTED_VALUE"""),"bad genius")</f>
        <v>bad genius</v>
      </c>
      <c r="B3074" s="1" t="str">
        <f>IF(A3074&lt;&gt;"", VLOOKUP(A3074, imdb_netflix_v5!A$2:H$7370, 2, FALSE), "")</f>
        <v>Movie</v>
      </c>
      <c r="C3074" s="2" t="str">
        <f>IF(A3074&lt;&gt;"", VLOOKUP(A3074, imdb_netflix_v5!A$2:H$7370, 3, FALSE), "")</f>
        <v>Comedy, Crime, Drama</v>
      </c>
      <c r="D3074" s="2">
        <f>IF(A3074&lt;&gt;"", VLOOKUP(A3074, imdb_netflix_v5!A$2:H$7370, 4, FALSE), "")</f>
        <v>7.6</v>
      </c>
      <c r="E3074" s="2">
        <f>IF(A3074&lt;&gt;"", VLOOKUP(A3074, imdb_netflix_v5!A$2:H$7370, 5, FALSE), "")</f>
        <v>2017</v>
      </c>
      <c r="F3074" s="2" t="str">
        <f>IF(A3074&lt;&gt;"", VLOOKUP(A3074, imdb_netflix_v5!A$2:H$7370, 7, FALSE), "")</f>
        <v>NA</v>
      </c>
    </row>
    <row r="3075" ht="15.75" customHeight="1">
      <c r="A3075" s="1" t="str">
        <f>IFERROR(__xludf.DUMMYFUNCTION("""COMPUTED_VALUE"""),"neerja")</f>
        <v>neerja</v>
      </c>
      <c r="B3075" s="1" t="str">
        <f>IF(A3075&lt;&gt;"", VLOOKUP(A3075, imdb_netflix_v5!A$2:H$7370, 2, FALSE), "")</f>
        <v>Movie</v>
      </c>
      <c r="C3075" s="2" t="str">
        <f>IF(A3075&lt;&gt;"", VLOOKUP(A3075, imdb_netflix_v5!A$2:H$7370, 3, FALSE), "")</f>
        <v>Biography, Drama, Thriller</v>
      </c>
      <c r="D3075" s="2">
        <f>IF(A3075&lt;&gt;"", VLOOKUP(A3075, imdb_netflix_v5!A$2:H$7370, 4, FALSE), "")</f>
        <v>7.6</v>
      </c>
      <c r="E3075" s="2">
        <f>IF(A3075&lt;&gt;"", VLOOKUP(A3075, imdb_netflix_v5!A$2:H$7370, 5, FALSE), "")</f>
        <v>2016</v>
      </c>
      <c r="F3075" s="2" t="str">
        <f>IF(A3075&lt;&gt;"", VLOOKUP(A3075, imdb_netflix_v5!A$2:H$7370, 7, FALSE), "")</f>
        <v>NA</v>
      </c>
    </row>
    <row r="3076" ht="15.75" customHeight="1">
      <c r="A3076" s="1" t="str">
        <f>IFERROR(__xludf.DUMMYFUNCTION("""COMPUTED_VALUE"""),"the public enemy")</f>
        <v>the public enemy</v>
      </c>
      <c r="B3076" s="1" t="str">
        <f>IF(A3076&lt;&gt;"", VLOOKUP(A3076, imdb_netflix_v5!A$2:H$7370, 2, FALSE), "")</f>
        <v>Movie</v>
      </c>
      <c r="C3076" s="2" t="str">
        <f>IF(A3076&lt;&gt;"", VLOOKUP(A3076, imdb_netflix_v5!A$2:H$7370, 3, FALSE), "")</f>
        <v>Crime, Drama</v>
      </c>
      <c r="D3076" s="2">
        <f>IF(A3076&lt;&gt;"", VLOOKUP(A3076, imdb_netflix_v5!A$2:H$7370, 4, FALSE), "")</f>
        <v>7.6</v>
      </c>
      <c r="E3076" s="2">
        <f>IF(A3076&lt;&gt;"", VLOOKUP(A3076, imdb_netflix_v5!A$2:H$7370, 5, FALSE), "")</f>
        <v>1931</v>
      </c>
      <c r="F3076" s="2" t="str">
        <f>IF(A3076&lt;&gt;"", VLOOKUP(A3076, imdb_netflix_v5!A$2:H$7370, 7, FALSE), "")</f>
        <v>NA</v>
      </c>
    </row>
    <row r="3077" ht="15.75" customHeight="1">
      <c r="A3077" s="1" t="str">
        <f>IFERROR(__xludf.DUMMYFUNCTION("""COMPUTED_VALUE"""),"maudie")</f>
        <v>maudie</v>
      </c>
      <c r="B3077" s="1" t="str">
        <f>IF(A3077&lt;&gt;"", VLOOKUP(A3077, imdb_netflix_v5!A$2:H$7370, 2, FALSE), "")</f>
        <v>Movie</v>
      </c>
      <c r="C3077" s="2" t="str">
        <f>IF(A3077&lt;&gt;"", VLOOKUP(A3077, imdb_netflix_v5!A$2:H$7370, 3, FALSE), "")</f>
        <v>Biography, Drama, Romance</v>
      </c>
      <c r="D3077" s="2">
        <f>IF(A3077&lt;&gt;"", VLOOKUP(A3077, imdb_netflix_v5!A$2:H$7370, 4, FALSE), "")</f>
        <v>7.6</v>
      </c>
      <c r="E3077" s="2">
        <f>IF(A3077&lt;&gt;"", VLOOKUP(A3077, imdb_netflix_v5!A$2:H$7370, 5, FALSE), "")</f>
        <v>2016</v>
      </c>
      <c r="F3077" s="2" t="str">
        <f>IF(A3077&lt;&gt;"", VLOOKUP(A3077, imdb_netflix_v5!A$2:H$7370, 7, FALSE), "")</f>
        <v>NA</v>
      </c>
    </row>
    <row r="3078" ht="15.75" customHeight="1">
      <c r="A3078" s="1" t="str">
        <f>IFERROR(__xludf.DUMMYFUNCTION("""COMPUTED_VALUE"""),"seconds")</f>
        <v>seconds</v>
      </c>
      <c r="B3078" s="1" t="str">
        <f>IF(A3078&lt;&gt;"", VLOOKUP(A3078, imdb_netflix_v5!A$2:H$7370, 2, FALSE), "")</f>
        <v>Movie</v>
      </c>
      <c r="C3078" s="2" t="str">
        <f>IF(A3078&lt;&gt;"", VLOOKUP(A3078, imdb_netflix_v5!A$2:H$7370, 3, FALSE), "")</f>
        <v>Sci-Fi, Thriller</v>
      </c>
      <c r="D3078" s="2">
        <f>IF(A3078&lt;&gt;"", VLOOKUP(A3078, imdb_netflix_v5!A$2:H$7370, 4, FALSE), "")</f>
        <v>7.6</v>
      </c>
      <c r="E3078" s="2">
        <f>IF(A3078&lt;&gt;"", VLOOKUP(A3078, imdb_netflix_v5!A$2:H$7370, 5, FALSE), "")</f>
        <v>1966</v>
      </c>
      <c r="F3078" s="2" t="str">
        <f>IF(A3078&lt;&gt;"", VLOOKUP(A3078, imdb_netflix_v5!A$2:H$7370, 7, FALSE), "")</f>
        <v>NA</v>
      </c>
    </row>
    <row r="3079" ht="15.75" customHeight="1">
      <c r="A3079" s="1" t="str">
        <f>IFERROR(__xludf.DUMMYFUNCTION("""COMPUTED_VALUE"""),"in july")</f>
        <v>in july</v>
      </c>
      <c r="B3079" s="1" t="str">
        <f>IF(A3079&lt;&gt;"", VLOOKUP(A3079, imdb_netflix_v5!A$2:H$7370, 2, FALSE), "")</f>
        <v>Movie</v>
      </c>
      <c r="C3079" s="2" t="str">
        <f>IF(A3079&lt;&gt;"", VLOOKUP(A3079, imdb_netflix_v5!A$2:H$7370, 3, FALSE), "")</f>
        <v>Adventure, Comedy, Romance</v>
      </c>
      <c r="D3079" s="2">
        <f>IF(A3079&lt;&gt;"", VLOOKUP(A3079, imdb_netflix_v5!A$2:H$7370, 4, FALSE), "")</f>
        <v>7.6</v>
      </c>
      <c r="E3079" s="2">
        <f>IF(A3079&lt;&gt;"", VLOOKUP(A3079, imdb_netflix_v5!A$2:H$7370, 5, FALSE), "")</f>
        <v>2000</v>
      </c>
      <c r="F3079" s="2" t="str">
        <f>IF(A3079&lt;&gt;"", VLOOKUP(A3079, imdb_netflix_v5!A$2:H$7370, 7, FALSE), "")</f>
        <v>NA</v>
      </c>
    </row>
    <row r="3080" ht="15.75" customHeight="1">
      <c r="A3080" s="1" t="str">
        <f>IFERROR(__xludf.DUMMYFUNCTION("""COMPUTED_VALUE"""),"pyaar ka punchnama")</f>
        <v>pyaar ka punchnama</v>
      </c>
      <c r="B3080" s="1" t="str">
        <f>IF(A3080&lt;&gt;"", VLOOKUP(A3080, imdb_netflix_v5!A$2:H$7370, 2, FALSE), "")</f>
        <v>Movie</v>
      </c>
      <c r="C3080" s="2" t="str">
        <f>IF(A3080&lt;&gt;"", VLOOKUP(A3080, imdb_netflix_v5!A$2:H$7370, 3, FALSE), "")</f>
        <v>Comedy, Drama, Romance</v>
      </c>
      <c r="D3080" s="2">
        <f>IF(A3080&lt;&gt;"", VLOOKUP(A3080, imdb_netflix_v5!A$2:H$7370, 4, FALSE), "")</f>
        <v>7.6</v>
      </c>
      <c r="E3080" s="2">
        <f>IF(A3080&lt;&gt;"", VLOOKUP(A3080, imdb_netflix_v5!A$2:H$7370, 5, FALSE), "")</f>
        <v>2011</v>
      </c>
      <c r="F3080" s="2" t="str">
        <f>IF(A3080&lt;&gt;"", VLOOKUP(A3080, imdb_netflix_v5!A$2:H$7370, 7, FALSE), "")</f>
        <v>NA</v>
      </c>
    </row>
    <row r="3081" ht="15.75" customHeight="1">
      <c r="A3081" s="1" t="str">
        <f>IFERROR(__xludf.DUMMYFUNCTION("""COMPUTED_VALUE"""),"my life as a dog")</f>
        <v>my life as a dog</v>
      </c>
      <c r="B3081" s="1" t="str">
        <f>IF(A3081&lt;&gt;"", VLOOKUP(A3081, imdb_netflix_v5!A$2:H$7370, 2, FALSE), "")</f>
        <v>Movie</v>
      </c>
      <c r="C3081" s="2" t="str">
        <f>IF(A3081&lt;&gt;"", VLOOKUP(A3081, imdb_netflix_v5!A$2:H$7370, 3, FALSE), "")</f>
        <v>Comedy, Drama</v>
      </c>
      <c r="D3081" s="2">
        <f>IF(A3081&lt;&gt;"", VLOOKUP(A3081, imdb_netflix_v5!A$2:H$7370, 4, FALSE), "")</f>
        <v>7.6</v>
      </c>
      <c r="E3081" s="2">
        <f>IF(A3081&lt;&gt;"", VLOOKUP(A3081, imdb_netflix_v5!A$2:H$7370, 5, FALSE), "")</f>
        <v>1985</v>
      </c>
      <c r="F3081" s="2" t="str">
        <f>IF(A3081&lt;&gt;"", VLOOKUP(A3081, imdb_netflix_v5!A$2:H$7370, 7, FALSE), "")</f>
        <v>NA</v>
      </c>
    </row>
    <row r="3082" ht="15.75" customHeight="1">
      <c r="A3082" s="1" t="str">
        <f>IFERROR(__xludf.DUMMYFUNCTION("""COMPUTED_VALUE"""),"carandiru")</f>
        <v>carandiru</v>
      </c>
      <c r="B3082" s="1" t="str">
        <f>IF(A3082&lt;&gt;"", VLOOKUP(A3082, imdb_netflix_v5!A$2:H$7370, 2, FALSE), "")</f>
        <v>Movie</v>
      </c>
      <c r="C3082" s="2" t="str">
        <f>IF(A3082&lt;&gt;"", VLOOKUP(A3082, imdb_netflix_v5!A$2:H$7370, 3, FALSE), "")</f>
        <v>Crime, Drama</v>
      </c>
      <c r="D3082" s="2">
        <f>IF(A3082&lt;&gt;"", VLOOKUP(A3082, imdb_netflix_v5!A$2:H$7370, 4, FALSE), "")</f>
        <v>7.6</v>
      </c>
      <c r="E3082" s="2">
        <f>IF(A3082&lt;&gt;"", VLOOKUP(A3082, imdb_netflix_v5!A$2:H$7370, 5, FALSE), "")</f>
        <v>2003</v>
      </c>
      <c r="F3082" s="2">
        <f>IF(A3082&lt;&gt;"", VLOOKUP(A3082, imdb_netflix_v5!A$2:H$7370, 7, FALSE), "")</f>
        <v>1760000</v>
      </c>
    </row>
    <row r="3083" ht="15.75" customHeight="1">
      <c r="A3083" s="1" t="str">
        <f>IFERROR(__xludf.DUMMYFUNCTION("""COMPUTED_VALUE"""),"doctor foster a woman scorned")</f>
        <v>doctor foster a woman scorned</v>
      </c>
      <c r="B3083" s="1" t="str">
        <f>IF(A3083&lt;&gt;"", VLOOKUP(A3083, imdb_netflix_v5!A$2:H$7370, 2, FALSE), "")</f>
        <v>TV Show</v>
      </c>
      <c r="C3083" s="2" t="str">
        <f>IF(A3083&lt;&gt;"", VLOOKUP(A3083, imdb_netflix_v5!A$2:H$7370, 3, FALSE), "")</f>
        <v>Drama, Mystery, Thriller</v>
      </c>
      <c r="D3083" s="2">
        <f>IF(A3083&lt;&gt;"", VLOOKUP(A3083, imdb_netflix_v5!A$2:H$7370, 4, FALSE), "")</f>
        <v>7.6</v>
      </c>
      <c r="E3083" s="2">
        <f>IF(A3083&lt;&gt;"", VLOOKUP(A3083, imdb_netflix_v5!A$2:H$7370, 5, FALSE), "")</f>
        <v>2015</v>
      </c>
      <c r="F3083" s="2" t="str">
        <f>IF(A3083&lt;&gt;"", VLOOKUP(A3083, imdb_netflix_v5!A$2:H$7370, 7, FALSE), "")</f>
        <v>NA</v>
      </c>
    </row>
    <row r="3084" ht="15.75" customHeight="1">
      <c r="A3084" s="1" t="str">
        <f>IFERROR(__xludf.DUMMYFUNCTION("""COMPUTED_VALUE"""),"winchester 73")</f>
        <v>winchester 73</v>
      </c>
      <c r="B3084" s="1" t="str">
        <f>IF(A3084&lt;&gt;"", VLOOKUP(A3084, imdb_netflix_v5!A$2:H$7370, 2, FALSE), "")</f>
        <v>Movie</v>
      </c>
      <c r="C3084" s="2" t="str">
        <f>IF(A3084&lt;&gt;"", VLOOKUP(A3084, imdb_netflix_v5!A$2:H$7370, 3, FALSE), "")</f>
        <v>Action, Drama, Western</v>
      </c>
      <c r="D3084" s="2">
        <f>IF(A3084&lt;&gt;"", VLOOKUP(A3084, imdb_netflix_v5!A$2:H$7370, 4, FALSE), "")</f>
        <v>7.6</v>
      </c>
      <c r="E3084" s="2">
        <f>IF(A3084&lt;&gt;"", VLOOKUP(A3084, imdb_netflix_v5!A$2:H$7370, 5, FALSE), "")</f>
        <v>1950</v>
      </c>
      <c r="F3084" s="2" t="str">
        <f>IF(A3084&lt;&gt;"", VLOOKUP(A3084, imdb_netflix_v5!A$2:H$7370, 7, FALSE), "")</f>
        <v>NA</v>
      </c>
    </row>
    <row r="3085" ht="15.75" customHeight="1">
      <c r="A3085" s="1" t="str">
        <f>IFERROR(__xludf.DUMMYFUNCTION("""COMPUTED_VALUE"""),"laurence anyways")</f>
        <v>laurence anyways</v>
      </c>
      <c r="B3085" s="1" t="str">
        <f>IF(A3085&lt;&gt;"", VLOOKUP(A3085, imdb_netflix_v5!A$2:H$7370, 2, FALSE), "")</f>
        <v>Movie</v>
      </c>
      <c r="C3085" s="2" t="str">
        <f>IF(A3085&lt;&gt;"", VLOOKUP(A3085, imdb_netflix_v5!A$2:H$7370, 3, FALSE), "")</f>
        <v>Drama, Romance</v>
      </c>
      <c r="D3085" s="2">
        <f>IF(A3085&lt;&gt;"", VLOOKUP(A3085, imdb_netflix_v5!A$2:H$7370, 4, FALSE), "")</f>
        <v>7.6</v>
      </c>
      <c r="E3085" s="2">
        <f>IF(A3085&lt;&gt;"", VLOOKUP(A3085, imdb_netflix_v5!A$2:H$7370, 5, FALSE), "")</f>
        <v>2012</v>
      </c>
      <c r="F3085" s="2" t="str">
        <f>IF(A3085&lt;&gt;"", VLOOKUP(A3085, imdb_netflix_v5!A$2:H$7370, 7, FALSE), "")</f>
        <v>NA</v>
      </c>
    </row>
    <row r="3086" ht="15.75" customHeight="1">
      <c r="A3086" s="1" t="str">
        <f>IFERROR(__xludf.DUMMYFUNCTION("""COMPUTED_VALUE"""),"the pink panther show")</f>
        <v>the pink panther show</v>
      </c>
      <c r="B3086" s="1" t="str">
        <f>IF(A3086&lt;&gt;"", VLOOKUP(A3086, imdb_netflix_v5!A$2:H$7370, 2, FALSE), "")</f>
        <v>TV Show</v>
      </c>
      <c r="C3086" s="2" t="str">
        <f>IF(A3086&lt;&gt;"", VLOOKUP(A3086, imdb_netflix_v5!A$2:H$7370, 3, FALSE), "")</f>
        <v>Animation, Comedy, Family</v>
      </c>
      <c r="D3086" s="2">
        <f>IF(A3086&lt;&gt;"", VLOOKUP(A3086, imdb_netflix_v5!A$2:H$7370, 4, FALSE), "")</f>
        <v>7.6</v>
      </c>
      <c r="E3086" s="2">
        <f>IF(A3086&lt;&gt;"", VLOOKUP(A3086, imdb_netflix_v5!A$2:H$7370, 5, FALSE), "")</f>
        <v>1969</v>
      </c>
      <c r="F3086" s="2" t="str">
        <f>IF(A3086&lt;&gt;"", VLOOKUP(A3086, imdb_netflix_v5!A$2:H$7370, 7, FALSE), "")</f>
        <v>NA</v>
      </c>
    </row>
    <row r="3087" ht="15.75" customHeight="1">
      <c r="A3087" s="1" t="str">
        <f>IFERROR(__xludf.DUMMYFUNCTION("""COMPUTED_VALUE"""),"chip n dale rescue rangers")</f>
        <v>chip n dale rescue rangers</v>
      </c>
      <c r="B3087" s="1" t="str">
        <f>IF(A3087&lt;&gt;"", VLOOKUP(A3087, imdb_netflix_v5!A$2:H$7370, 2, FALSE), "")</f>
        <v>TV Show</v>
      </c>
      <c r="C3087" s="2" t="str">
        <f>IF(A3087&lt;&gt;"", VLOOKUP(A3087, imdb_netflix_v5!A$2:H$7370, 3, FALSE), "")</f>
        <v>Action, Adventure, Animation</v>
      </c>
      <c r="D3087" s="2">
        <f>IF(A3087&lt;&gt;"", VLOOKUP(A3087, imdb_netflix_v5!A$2:H$7370, 4, FALSE), "")</f>
        <v>7.6</v>
      </c>
      <c r="E3087" s="2">
        <f>IF(A3087&lt;&gt;"", VLOOKUP(A3087, imdb_netflix_v5!A$2:H$7370, 5, FALSE), "")</f>
        <v>1989</v>
      </c>
      <c r="F3087" s="2" t="str">
        <f>IF(A3087&lt;&gt;"", VLOOKUP(A3087, imdb_netflix_v5!A$2:H$7370, 7, FALSE), "")</f>
        <v>NA</v>
      </c>
    </row>
    <row r="3088" ht="15.75" customHeight="1">
      <c r="A3088" s="1" t="str">
        <f>IFERROR(__xludf.DUMMYFUNCTION("""COMPUTED_VALUE"""),"des")</f>
        <v>des</v>
      </c>
      <c r="B3088" s="1" t="str">
        <f>IF(A3088&lt;&gt;"", VLOOKUP(A3088, imdb_netflix_v5!A$2:H$7370, 2, FALSE), "")</f>
        <v>TV Show</v>
      </c>
      <c r="C3088" s="2" t="str">
        <f>IF(A3088&lt;&gt;"", VLOOKUP(A3088, imdb_netflix_v5!A$2:H$7370, 3, FALSE), "")</f>
        <v>Biography, Crime, Drama</v>
      </c>
      <c r="D3088" s="2">
        <f>IF(A3088&lt;&gt;"", VLOOKUP(A3088, imdb_netflix_v5!A$2:H$7370, 4, FALSE), "")</f>
        <v>7.6</v>
      </c>
      <c r="E3088" s="2">
        <f>IF(A3088&lt;&gt;"", VLOOKUP(A3088, imdb_netflix_v5!A$2:H$7370, 5, FALSE), "")</f>
        <v>2020</v>
      </c>
      <c r="F3088" s="2" t="str">
        <f>IF(A3088&lt;&gt;"", VLOOKUP(A3088, imdb_netflix_v5!A$2:H$7370, 7, FALSE), "")</f>
        <v>NA</v>
      </c>
    </row>
    <row r="3089" ht="15.75" customHeight="1">
      <c r="A3089" s="1" t="str">
        <f>IFERROR(__xludf.DUMMYFUNCTION("""COMPUTED_VALUE"""),"the bishops wife")</f>
        <v>the bishops wife</v>
      </c>
      <c r="B3089" s="1" t="str">
        <f>IF(A3089&lt;&gt;"", VLOOKUP(A3089, imdb_netflix_v5!A$2:H$7370, 2, FALSE), "")</f>
        <v>Movie</v>
      </c>
      <c r="C3089" s="2" t="str">
        <f>IF(A3089&lt;&gt;"", VLOOKUP(A3089, imdb_netflix_v5!A$2:H$7370, 3, FALSE), "")</f>
        <v>Comedy, Drama, Fantasy</v>
      </c>
      <c r="D3089" s="2">
        <f>IF(A3089&lt;&gt;"", VLOOKUP(A3089, imdb_netflix_v5!A$2:H$7370, 4, FALSE), "")</f>
        <v>7.6</v>
      </c>
      <c r="E3089" s="2">
        <f>IF(A3089&lt;&gt;"", VLOOKUP(A3089, imdb_netflix_v5!A$2:H$7370, 5, FALSE), "")</f>
        <v>1947</v>
      </c>
      <c r="F3089" s="2" t="str">
        <f>IF(A3089&lt;&gt;"", VLOOKUP(A3089, imdb_netflix_v5!A$2:H$7370, 7, FALSE), "")</f>
        <v>NA</v>
      </c>
    </row>
    <row r="3090" ht="15.75" customHeight="1">
      <c r="A3090" s="1" t="str">
        <f>IFERROR(__xludf.DUMMYFUNCTION("""COMPUTED_VALUE"""),"newton")</f>
        <v>newton</v>
      </c>
      <c r="B3090" s="1" t="str">
        <f>IF(A3090&lt;&gt;"", VLOOKUP(A3090, imdb_netflix_v5!A$2:H$7370, 2, FALSE), "")</f>
        <v>Movie</v>
      </c>
      <c r="C3090" s="2" t="str">
        <f>IF(A3090&lt;&gt;"", VLOOKUP(A3090, imdb_netflix_v5!A$2:H$7370, 3, FALSE), "")</f>
        <v>Comedy, Drama</v>
      </c>
      <c r="D3090" s="2">
        <f>IF(A3090&lt;&gt;"", VLOOKUP(A3090, imdb_netflix_v5!A$2:H$7370, 4, FALSE), "")</f>
        <v>7.6</v>
      </c>
      <c r="E3090" s="2">
        <f>IF(A3090&lt;&gt;"", VLOOKUP(A3090, imdb_netflix_v5!A$2:H$7370, 5, FALSE), "")</f>
        <v>2017</v>
      </c>
      <c r="F3090" s="2" t="str">
        <f>IF(A3090&lt;&gt;"", VLOOKUP(A3090, imdb_netflix_v5!A$2:H$7370, 7, FALSE), "")</f>
        <v>NA</v>
      </c>
    </row>
    <row r="3091" ht="15.75" customHeight="1">
      <c r="A3091" s="1" t="str">
        <f>IFERROR(__xludf.DUMMYFUNCTION("""COMPUTED_VALUE"""),"indie game the movie")</f>
        <v>indie game the movie</v>
      </c>
      <c r="B3091" s="1" t="str">
        <f>IF(A3091&lt;&gt;"", VLOOKUP(A3091, imdb_netflix_v5!A$2:H$7370, 2, FALSE), "")</f>
        <v>Movie</v>
      </c>
      <c r="C3091" s="2" t="str">
        <f>IF(A3091&lt;&gt;"", VLOOKUP(A3091, imdb_netflix_v5!A$2:H$7370, 3, FALSE), "")</f>
        <v>Documentary, Drama</v>
      </c>
      <c r="D3091" s="2">
        <f>IF(A3091&lt;&gt;"", VLOOKUP(A3091, imdb_netflix_v5!A$2:H$7370, 4, FALSE), "")</f>
        <v>7.6</v>
      </c>
      <c r="E3091" s="2">
        <f>IF(A3091&lt;&gt;"", VLOOKUP(A3091, imdb_netflix_v5!A$2:H$7370, 5, FALSE), "")</f>
        <v>2012</v>
      </c>
      <c r="F3091" s="2" t="str">
        <f>IF(A3091&lt;&gt;"", VLOOKUP(A3091, imdb_netflix_v5!A$2:H$7370, 7, FALSE), "")</f>
        <v>NA</v>
      </c>
    </row>
    <row r="3092" ht="15.75" customHeight="1">
      <c r="A3092" s="1" t="str">
        <f>IFERROR(__xludf.DUMMYFUNCTION("""COMPUTED_VALUE"""),"dead set")</f>
        <v>dead set</v>
      </c>
      <c r="B3092" s="1" t="str">
        <f>IF(A3092&lt;&gt;"", VLOOKUP(A3092, imdb_netflix_v5!A$2:H$7370, 2, FALSE), "")</f>
        <v>TV Show</v>
      </c>
      <c r="C3092" s="2" t="str">
        <f>IF(A3092&lt;&gt;"", VLOOKUP(A3092, imdb_netflix_v5!A$2:H$7370, 3, FALSE), "")</f>
        <v>Drama, Horror, Reality-TV</v>
      </c>
      <c r="D3092" s="2">
        <f>IF(A3092&lt;&gt;"", VLOOKUP(A3092, imdb_netflix_v5!A$2:H$7370, 4, FALSE), "")</f>
        <v>7.6</v>
      </c>
      <c r="E3092" s="2">
        <f>IF(A3092&lt;&gt;"", VLOOKUP(A3092, imdb_netflix_v5!A$2:H$7370, 5, FALSE), "")</f>
        <v>2008</v>
      </c>
      <c r="F3092" s="2" t="str">
        <f>IF(A3092&lt;&gt;"", VLOOKUP(A3092, imdb_netflix_v5!A$2:H$7370, 7, FALSE), "")</f>
        <v>NA</v>
      </c>
    </row>
    <row r="3093" ht="15.75" customHeight="1">
      <c r="A3093" s="1" t="str">
        <f>IFERROR(__xludf.DUMMYFUNCTION("""COMPUTED_VALUE"""),"buena vista social club")</f>
        <v>buena vista social club</v>
      </c>
      <c r="B3093" s="1" t="str">
        <f>IF(A3093&lt;&gt;"", VLOOKUP(A3093, imdb_netflix_v5!A$2:H$7370, 2, FALSE), "")</f>
        <v>Movie</v>
      </c>
      <c r="C3093" s="2" t="str">
        <f>IF(A3093&lt;&gt;"", VLOOKUP(A3093, imdb_netflix_v5!A$2:H$7370, 3, FALSE), "")</f>
        <v>Documentary, Music</v>
      </c>
      <c r="D3093" s="2">
        <f>IF(A3093&lt;&gt;"", VLOOKUP(A3093, imdb_netflix_v5!A$2:H$7370, 4, FALSE), "")</f>
        <v>7.6</v>
      </c>
      <c r="E3093" s="2">
        <f>IF(A3093&lt;&gt;"", VLOOKUP(A3093, imdb_netflix_v5!A$2:H$7370, 5, FALSE), "")</f>
        <v>1999</v>
      </c>
      <c r="F3093" s="2" t="str">
        <f>IF(A3093&lt;&gt;"", VLOOKUP(A3093, imdb_netflix_v5!A$2:H$7370, 7, FALSE), "")</f>
        <v>NA</v>
      </c>
    </row>
    <row r="3094" ht="15.75" customHeight="1">
      <c r="A3094" s="1" t="str">
        <f>IFERROR(__xludf.DUMMYFUNCTION("""COMPUTED_VALUE"""),"eddie murphy raw")</f>
        <v>eddie murphy raw</v>
      </c>
      <c r="B3094" s="1" t="str">
        <f>IF(A3094&lt;&gt;"", VLOOKUP(A3094, imdb_netflix_v5!A$2:H$7370, 2, FALSE), "")</f>
        <v>Movie</v>
      </c>
      <c r="C3094" s="2" t="str">
        <f>IF(A3094&lt;&gt;"", VLOOKUP(A3094, imdb_netflix_v5!A$2:H$7370, 3, FALSE), "")</f>
        <v>Comedy, Documentary</v>
      </c>
      <c r="D3094" s="2">
        <f>IF(A3094&lt;&gt;"", VLOOKUP(A3094, imdb_netflix_v5!A$2:H$7370, 4, FALSE), "")</f>
        <v>7.6</v>
      </c>
      <c r="E3094" s="2">
        <f>IF(A3094&lt;&gt;"", VLOOKUP(A3094, imdb_netflix_v5!A$2:H$7370, 5, FALSE), "")</f>
        <v>1987</v>
      </c>
      <c r="F3094" s="2" t="str">
        <f>IF(A3094&lt;&gt;"", VLOOKUP(A3094, imdb_netflix_v5!A$2:H$7370, 7, FALSE), "")</f>
        <v>NA</v>
      </c>
    </row>
    <row r="3095" ht="15.75" customHeight="1">
      <c r="A3095" s="1" t="str">
        <f>IFERROR(__xludf.DUMMYFUNCTION("""COMPUTED_VALUE"""),"to sir, with love")</f>
        <v>to sir, with love</v>
      </c>
      <c r="B3095" s="1" t="str">
        <f>IF(A3095&lt;&gt;"", VLOOKUP(A3095, imdb_netflix_v5!A$2:H$7370, 2, FALSE), "")</f>
        <v>Movie</v>
      </c>
      <c r="C3095" s="2" t="str">
        <f>IF(A3095&lt;&gt;"", VLOOKUP(A3095, imdb_netflix_v5!A$2:H$7370, 3, FALSE), "")</f>
        <v>Drama</v>
      </c>
      <c r="D3095" s="2">
        <f>IF(A3095&lt;&gt;"", VLOOKUP(A3095, imdb_netflix_v5!A$2:H$7370, 4, FALSE), "")</f>
        <v>7.6</v>
      </c>
      <c r="E3095" s="2">
        <f>IF(A3095&lt;&gt;"", VLOOKUP(A3095, imdb_netflix_v5!A$2:H$7370, 5, FALSE), "")</f>
        <v>1967</v>
      </c>
      <c r="F3095" s="2" t="str">
        <f>IF(A3095&lt;&gt;"", VLOOKUP(A3095, imdb_netflix_v5!A$2:H$7370, 7, FALSE), "")</f>
        <v>NA</v>
      </c>
    </row>
    <row r="3096" ht="15.75" customHeight="1">
      <c r="A3096" s="1" t="str">
        <f>IFERROR(__xludf.DUMMYFUNCTION("""COMPUTED_VALUE"""),"the pit")</f>
        <v>the pit</v>
      </c>
      <c r="B3096" s="1" t="str">
        <f>IF(A3096&lt;&gt;"", VLOOKUP(A3096, imdb_netflix_v5!A$2:H$7370, 2, FALSE), "")</f>
        <v>TV Show</v>
      </c>
      <c r="C3096" s="2" t="str">
        <f>IF(A3096&lt;&gt;"", VLOOKUP(A3096, imdb_netflix_v5!A$2:H$7370, 3, FALSE), "")</f>
        <v>Action, Crime, Drama</v>
      </c>
      <c r="D3096" s="2">
        <f>IF(A3096&lt;&gt;"", VLOOKUP(A3096, imdb_netflix_v5!A$2:H$7370, 4, FALSE), "")</f>
        <v>7.6</v>
      </c>
      <c r="E3096" s="2">
        <f>IF(A3096&lt;&gt;"", VLOOKUP(A3096, imdb_netflix_v5!A$2:H$7370, 5, FALSE), "")</f>
        <v>2016</v>
      </c>
      <c r="F3096" s="2" t="str">
        <f>IF(A3096&lt;&gt;"", VLOOKUP(A3096, imdb_netflix_v5!A$2:H$7370, 7, FALSE), "")</f>
        <v>NA</v>
      </c>
    </row>
    <row r="3097" ht="15.75" customHeight="1">
      <c r="A3097" s="1" t="str">
        <f>IFERROR(__xludf.DUMMYFUNCTION("""COMPUTED_VALUE"""),"ive loved you so long")</f>
        <v>ive loved you so long</v>
      </c>
      <c r="B3097" s="1" t="str">
        <f>IF(A3097&lt;&gt;"", VLOOKUP(A3097, imdb_netflix_v5!A$2:H$7370, 2, FALSE), "")</f>
        <v>Movie</v>
      </c>
      <c r="C3097" s="2" t="str">
        <f>IF(A3097&lt;&gt;"", VLOOKUP(A3097, imdb_netflix_v5!A$2:H$7370, 3, FALSE), "")</f>
        <v>Drama</v>
      </c>
      <c r="D3097" s="2">
        <f>IF(A3097&lt;&gt;"", VLOOKUP(A3097, imdb_netflix_v5!A$2:H$7370, 4, FALSE), "")</f>
        <v>7.6</v>
      </c>
      <c r="E3097" s="2">
        <f>IF(A3097&lt;&gt;"", VLOOKUP(A3097, imdb_netflix_v5!A$2:H$7370, 5, FALSE), "")</f>
        <v>2008</v>
      </c>
      <c r="F3097" s="2" t="str">
        <f>IF(A3097&lt;&gt;"", VLOOKUP(A3097, imdb_netflix_v5!A$2:H$7370, 7, FALSE), "")</f>
        <v>NA</v>
      </c>
    </row>
    <row r="3098" ht="15.75" customHeight="1">
      <c r="A3098" s="1" t="str">
        <f>IFERROR(__xludf.DUMMYFUNCTION("""COMPUTED_VALUE"""),"müslüm")</f>
        <v>müslüm</v>
      </c>
      <c r="B3098" s="1" t="str">
        <f>IF(A3098&lt;&gt;"", VLOOKUP(A3098, imdb_netflix_v5!A$2:H$7370, 2, FALSE), "")</f>
        <v>Movie</v>
      </c>
      <c r="C3098" s="2" t="str">
        <f>IF(A3098&lt;&gt;"", VLOOKUP(A3098, imdb_netflix_v5!A$2:H$7370, 3, FALSE), "")</f>
        <v>Biography, Drama, Music</v>
      </c>
      <c r="D3098" s="2">
        <f>IF(A3098&lt;&gt;"", VLOOKUP(A3098, imdb_netflix_v5!A$2:H$7370, 4, FALSE), "")</f>
        <v>7.6</v>
      </c>
      <c r="E3098" s="2">
        <f>IF(A3098&lt;&gt;"", VLOOKUP(A3098, imdb_netflix_v5!A$2:H$7370, 5, FALSE), "")</f>
        <v>2018</v>
      </c>
      <c r="F3098" s="2" t="str">
        <f>IF(A3098&lt;&gt;"", VLOOKUP(A3098, imdb_netflix_v5!A$2:H$7370, 7, FALSE), "")</f>
        <v>NA</v>
      </c>
    </row>
    <row r="3099" ht="15.75" customHeight="1">
      <c r="A3099" s="1" t="str">
        <f>IFERROR(__xludf.DUMMYFUNCTION("""COMPUTED_VALUE"""),"the incredible shrinking man")</f>
        <v>the incredible shrinking man</v>
      </c>
      <c r="B3099" s="1" t="str">
        <f>IF(A3099&lt;&gt;"", VLOOKUP(A3099, imdb_netflix_v5!A$2:H$7370, 2, FALSE), "")</f>
        <v>Movie</v>
      </c>
      <c r="C3099" s="2" t="str">
        <f>IF(A3099&lt;&gt;"", VLOOKUP(A3099, imdb_netflix_v5!A$2:H$7370, 3, FALSE), "")</f>
        <v>Horror, Sci-Fi</v>
      </c>
      <c r="D3099" s="2">
        <f>IF(A3099&lt;&gt;"", VLOOKUP(A3099, imdb_netflix_v5!A$2:H$7370, 4, FALSE), "")</f>
        <v>7.6</v>
      </c>
      <c r="E3099" s="2">
        <f>IF(A3099&lt;&gt;"", VLOOKUP(A3099, imdb_netflix_v5!A$2:H$7370, 5, FALSE), "")</f>
        <v>1957</v>
      </c>
      <c r="F3099" s="2" t="str">
        <f>IF(A3099&lt;&gt;"", VLOOKUP(A3099, imdb_netflix_v5!A$2:H$7370, 7, FALSE), "")</f>
        <v>NA</v>
      </c>
    </row>
    <row r="3100" ht="15.75" customHeight="1">
      <c r="A3100" s="1" t="str">
        <f>IFERROR(__xludf.DUMMYFUNCTION("""COMPUTED_VALUE"""),"enron the smartest guys in the room")</f>
        <v>enron the smartest guys in the room</v>
      </c>
      <c r="B3100" s="1" t="str">
        <f>IF(A3100&lt;&gt;"", VLOOKUP(A3100, imdb_netflix_v5!A$2:H$7370, 2, FALSE), "")</f>
        <v>Movie</v>
      </c>
      <c r="C3100" s="2" t="str">
        <f>IF(A3100&lt;&gt;"", VLOOKUP(A3100, imdb_netflix_v5!A$2:H$7370, 3, FALSE), "")</f>
        <v>Biography, Documentary, History</v>
      </c>
      <c r="D3100" s="2">
        <f>IF(A3100&lt;&gt;"", VLOOKUP(A3100, imdb_netflix_v5!A$2:H$7370, 4, FALSE), "")</f>
        <v>7.6</v>
      </c>
      <c r="E3100" s="2">
        <f>IF(A3100&lt;&gt;"", VLOOKUP(A3100, imdb_netflix_v5!A$2:H$7370, 5, FALSE), "")</f>
        <v>2005</v>
      </c>
      <c r="F3100" s="2" t="str">
        <f>IF(A3100&lt;&gt;"", VLOOKUP(A3100, imdb_netflix_v5!A$2:H$7370, 7, FALSE), "")</f>
        <v>NA</v>
      </c>
    </row>
    <row r="3101" ht="15.75" customHeight="1">
      <c r="A3101" s="1" t="str">
        <f>IFERROR(__xludf.DUMMYFUNCTION("""COMPUTED_VALUE"""),"lovers of the arctic circle")</f>
        <v>lovers of the arctic circle</v>
      </c>
      <c r="B3101" s="1" t="str">
        <f>IF(A3101&lt;&gt;"", VLOOKUP(A3101, imdb_netflix_v5!A$2:H$7370, 2, FALSE), "")</f>
        <v>Movie</v>
      </c>
      <c r="C3101" s="2" t="str">
        <f>IF(A3101&lt;&gt;"", VLOOKUP(A3101, imdb_netflix_v5!A$2:H$7370, 3, FALSE), "")</f>
        <v>Drama, Mystery, Romance</v>
      </c>
      <c r="D3101" s="2">
        <f>IF(A3101&lt;&gt;"", VLOOKUP(A3101, imdb_netflix_v5!A$2:H$7370, 4, FALSE), "")</f>
        <v>7.6</v>
      </c>
      <c r="E3101" s="2">
        <f>IF(A3101&lt;&gt;"", VLOOKUP(A3101, imdb_netflix_v5!A$2:H$7370, 5, FALSE), "")</f>
        <v>1998</v>
      </c>
      <c r="F3101" s="2" t="str">
        <f>IF(A3101&lt;&gt;"", VLOOKUP(A3101, imdb_netflix_v5!A$2:H$7370, 7, FALSE), "")</f>
        <v>NA</v>
      </c>
    </row>
    <row r="3102" ht="15.75" customHeight="1">
      <c r="A3102" s="1" t="str">
        <f>IFERROR(__xludf.DUMMYFUNCTION("""COMPUTED_VALUE"""),"johnny guitar")</f>
        <v>johnny guitar</v>
      </c>
      <c r="B3102" s="1" t="str">
        <f>IF(A3102&lt;&gt;"", VLOOKUP(A3102, imdb_netflix_v5!A$2:H$7370, 2, FALSE), "")</f>
        <v>Movie</v>
      </c>
      <c r="C3102" s="2" t="str">
        <f>IF(A3102&lt;&gt;"", VLOOKUP(A3102, imdb_netflix_v5!A$2:H$7370, 3, FALSE), "")</f>
        <v>Drama, Western</v>
      </c>
      <c r="D3102" s="2">
        <f>IF(A3102&lt;&gt;"", VLOOKUP(A3102, imdb_netflix_v5!A$2:H$7370, 4, FALSE), "")</f>
        <v>7.6</v>
      </c>
      <c r="E3102" s="2">
        <f>IF(A3102&lt;&gt;"", VLOOKUP(A3102, imdb_netflix_v5!A$2:H$7370, 5, FALSE), "")</f>
        <v>1954</v>
      </c>
      <c r="F3102" s="2" t="str">
        <f>IF(A3102&lt;&gt;"", VLOOKUP(A3102, imdb_netflix_v5!A$2:H$7370, 7, FALSE), "")</f>
        <v>NA</v>
      </c>
    </row>
    <row r="3103" ht="15.75" customHeight="1">
      <c r="A3103" s="1" t="str">
        <f>IFERROR(__xludf.DUMMYFUNCTION("""COMPUTED_VALUE"""),"mrs. miniver")</f>
        <v>mrs. miniver</v>
      </c>
      <c r="B3103" s="1" t="str">
        <f>IF(A3103&lt;&gt;"", VLOOKUP(A3103, imdb_netflix_v5!A$2:H$7370, 2, FALSE), "")</f>
        <v>Movie</v>
      </c>
      <c r="C3103" s="2" t="str">
        <f>IF(A3103&lt;&gt;"", VLOOKUP(A3103, imdb_netflix_v5!A$2:H$7370, 3, FALSE), "")</f>
        <v>Drama, Romance, War</v>
      </c>
      <c r="D3103" s="2">
        <f>IF(A3103&lt;&gt;"", VLOOKUP(A3103, imdb_netflix_v5!A$2:H$7370, 4, FALSE), "")</f>
        <v>7.6</v>
      </c>
      <c r="E3103" s="2">
        <f>IF(A3103&lt;&gt;"", VLOOKUP(A3103, imdb_netflix_v5!A$2:H$7370, 5, FALSE), "")</f>
        <v>1942</v>
      </c>
      <c r="F3103" s="2" t="str">
        <f>IF(A3103&lt;&gt;"", VLOOKUP(A3103, imdb_netflix_v5!A$2:H$7370, 7, FALSE), "")</f>
        <v>NA</v>
      </c>
    </row>
    <row r="3104" ht="15.75" customHeight="1">
      <c r="A3104" s="1" t="str">
        <f>IFERROR(__xludf.DUMMYFUNCTION("""COMPUTED_VALUE"""),"kabhi haan kabhi naa")</f>
        <v>kabhi haan kabhi naa</v>
      </c>
      <c r="B3104" s="1" t="str">
        <f>IF(A3104&lt;&gt;"", VLOOKUP(A3104, imdb_netflix_v5!A$2:H$7370, 2, FALSE), "")</f>
        <v>Movie</v>
      </c>
      <c r="C3104" s="2" t="str">
        <f>IF(A3104&lt;&gt;"", VLOOKUP(A3104, imdb_netflix_v5!A$2:H$7370, 3, FALSE), "")</f>
        <v>Comedy, Drama, Music</v>
      </c>
      <c r="D3104" s="2">
        <f>IF(A3104&lt;&gt;"", VLOOKUP(A3104, imdb_netflix_v5!A$2:H$7370, 4, FALSE), "")</f>
        <v>7.6</v>
      </c>
      <c r="E3104" s="2">
        <f>IF(A3104&lt;&gt;"", VLOOKUP(A3104, imdb_netflix_v5!A$2:H$7370, 5, FALSE), "")</f>
        <v>1994</v>
      </c>
      <c r="F3104" s="2" t="str">
        <f>IF(A3104&lt;&gt;"", VLOOKUP(A3104, imdb_netflix_v5!A$2:H$7370, 7, FALSE), "")</f>
        <v>NA</v>
      </c>
    </row>
    <row r="3105" ht="15.75" customHeight="1">
      <c r="A3105" s="1" t="str">
        <f>IFERROR(__xludf.DUMMYFUNCTION("""COMPUTED_VALUE"""),"the twelve tasks of asterix")</f>
        <v>the twelve tasks of asterix</v>
      </c>
      <c r="B3105" s="1" t="str">
        <f>IF(A3105&lt;&gt;"", VLOOKUP(A3105, imdb_netflix_v5!A$2:H$7370, 2, FALSE), "")</f>
        <v>Movie</v>
      </c>
      <c r="C3105" s="2" t="str">
        <f>IF(A3105&lt;&gt;"", VLOOKUP(A3105, imdb_netflix_v5!A$2:H$7370, 3, FALSE), "")</f>
        <v>Adventure, Animation, Comedy</v>
      </c>
      <c r="D3105" s="2">
        <f>IF(A3105&lt;&gt;"", VLOOKUP(A3105, imdb_netflix_v5!A$2:H$7370, 4, FALSE), "")</f>
        <v>7.6</v>
      </c>
      <c r="E3105" s="2">
        <f>IF(A3105&lt;&gt;"", VLOOKUP(A3105, imdb_netflix_v5!A$2:H$7370, 5, FALSE), "")</f>
        <v>1976</v>
      </c>
      <c r="F3105" s="2" t="str">
        <f>IF(A3105&lt;&gt;"", VLOOKUP(A3105, imdb_netflix_v5!A$2:H$7370, 7, FALSE), "")</f>
        <v>NA</v>
      </c>
    </row>
    <row r="3106" ht="15.75" customHeight="1">
      <c r="A3106" s="1" t="str">
        <f>IFERROR(__xludf.DUMMYFUNCTION("""COMPUTED_VALUE"""),"superman ii the richard donner cut")</f>
        <v>superman ii the richard donner cut</v>
      </c>
      <c r="B3106" s="1" t="str">
        <f>IF(A3106&lt;&gt;"", VLOOKUP(A3106, imdb_netflix_v5!A$2:H$7370, 2, FALSE), "")</f>
        <v>Movie</v>
      </c>
      <c r="C3106" s="2" t="str">
        <f>IF(A3106&lt;&gt;"", VLOOKUP(A3106, imdb_netflix_v5!A$2:H$7370, 3, FALSE), "")</f>
        <v>Action, Adventure, Romance</v>
      </c>
      <c r="D3106" s="2">
        <f>IF(A3106&lt;&gt;"", VLOOKUP(A3106, imdb_netflix_v5!A$2:H$7370, 4, FALSE), "")</f>
        <v>7.6</v>
      </c>
      <c r="E3106" s="2">
        <f>IF(A3106&lt;&gt;"", VLOOKUP(A3106, imdb_netflix_v5!A$2:H$7370, 5, FALSE), "")</f>
        <v>2006</v>
      </c>
      <c r="F3106" s="2" t="str">
        <f>IF(A3106&lt;&gt;"", VLOOKUP(A3106, imdb_netflix_v5!A$2:H$7370, 7, FALSE), "")</f>
        <v>NA</v>
      </c>
    </row>
    <row r="3107" ht="15.75" customHeight="1">
      <c r="A3107" s="1" t="str">
        <f>IFERROR(__xludf.DUMMYFUNCTION("""COMPUTED_VALUE"""),"no game, no life")</f>
        <v>no game, no life</v>
      </c>
      <c r="B3107" s="1" t="str">
        <f>IF(A3107&lt;&gt;"", VLOOKUP(A3107, imdb_netflix_v5!A$2:H$7370, 2, FALSE), "")</f>
        <v>TV Show</v>
      </c>
      <c r="C3107" s="2" t="str">
        <f>IF(A3107&lt;&gt;"", VLOOKUP(A3107, imdb_netflix_v5!A$2:H$7370, 3, FALSE), "")</f>
        <v>Adventure, Animation, Comedy</v>
      </c>
      <c r="D3107" s="2">
        <f>IF(A3107&lt;&gt;"", VLOOKUP(A3107, imdb_netflix_v5!A$2:H$7370, 4, FALSE), "")</f>
        <v>7.6</v>
      </c>
      <c r="E3107" s="2">
        <f>IF(A3107&lt;&gt;"", VLOOKUP(A3107, imdb_netflix_v5!A$2:H$7370, 5, FALSE), "")</f>
        <v>2014</v>
      </c>
      <c r="F3107" s="2" t="str">
        <f>IF(A3107&lt;&gt;"", VLOOKUP(A3107, imdb_netflix_v5!A$2:H$7370, 7, FALSE), "")</f>
        <v>NA</v>
      </c>
    </row>
    <row r="3108" ht="15.75" customHeight="1">
      <c r="A3108" s="1" t="str">
        <f>IFERROR(__xludf.DUMMYFUNCTION("""COMPUTED_VALUE"""),"bilal a new breed of hero")</f>
        <v>bilal a new breed of hero</v>
      </c>
      <c r="B3108" s="1" t="str">
        <f>IF(A3108&lt;&gt;"", VLOOKUP(A3108, imdb_netflix_v5!A$2:H$7370, 2, FALSE), "")</f>
        <v>Movie</v>
      </c>
      <c r="C3108" s="2" t="str">
        <f>IF(A3108&lt;&gt;"", VLOOKUP(A3108, imdb_netflix_v5!A$2:H$7370, 3, FALSE), "")</f>
        <v>Action, Adventure, Animation</v>
      </c>
      <c r="D3108" s="2">
        <f>IF(A3108&lt;&gt;"", VLOOKUP(A3108, imdb_netflix_v5!A$2:H$7370, 4, FALSE), "")</f>
        <v>7.6</v>
      </c>
      <c r="E3108" s="2">
        <f>IF(A3108&lt;&gt;"", VLOOKUP(A3108, imdb_netflix_v5!A$2:H$7370, 5, FALSE), "")</f>
        <v>2015</v>
      </c>
      <c r="F3108" s="2" t="str">
        <f>IF(A3108&lt;&gt;"", VLOOKUP(A3108, imdb_netflix_v5!A$2:H$7370, 7, FALSE), "")</f>
        <v>NA</v>
      </c>
    </row>
    <row r="3109" ht="15.75" customHeight="1">
      <c r="A3109" s="1" t="str">
        <f>IFERROR(__xludf.DUMMYFUNCTION("""COMPUTED_VALUE"""),"october")</f>
        <v>october</v>
      </c>
      <c r="B3109" s="1" t="str">
        <f>IF(A3109&lt;&gt;"", VLOOKUP(A3109, imdb_netflix_v5!A$2:H$7370, 2, FALSE), "")</f>
        <v>Movie</v>
      </c>
      <c r="C3109" s="2" t="str">
        <f>IF(A3109&lt;&gt;"", VLOOKUP(A3109, imdb_netflix_v5!A$2:H$7370, 3, FALSE), "")</f>
        <v>Drama, Romance</v>
      </c>
      <c r="D3109" s="2">
        <f>IF(A3109&lt;&gt;"", VLOOKUP(A3109, imdb_netflix_v5!A$2:H$7370, 4, FALSE), "")</f>
        <v>7.6</v>
      </c>
      <c r="E3109" s="2">
        <f>IF(A3109&lt;&gt;"", VLOOKUP(A3109, imdb_netflix_v5!A$2:H$7370, 5, FALSE), "")</f>
        <v>2018</v>
      </c>
      <c r="F3109" s="2" t="str">
        <f>IF(A3109&lt;&gt;"", VLOOKUP(A3109, imdb_netflix_v5!A$2:H$7370, 7, FALSE), "")</f>
        <v>NA</v>
      </c>
    </row>
    <row r="3110" ht="15.75" customHeight="1">
      <c r="A3110" s="1" t="str">
        <f>IFERROR(__xludf.DUMMYFUNCTION("""COMPUTED_VALUE"""),"breathe into the shadows")</f>
        <v>breathe into the shadows</v>
      </c>
      <c r="B3110" s="1" t="str">
        <f>IF(A3110&lt;&gt;"", VLOOKUP(A3110, imdb_netflix_v5!A$2:H$7370, 2, FALSE), "")</f>
        <v>TV Show</v>
      </c>
      <c r="C3110" s="2" t="str">
        <f>IF(A3110&lt;&gt;"", VLOOKUP(A3110, imdb_netflix_v5!A$2:H$7370, 3, FALSE), "")</f>
        <v>Drama, Thriller</v>
      </c>
      <c r="D3110" s="2">
        <f>IF(A3110&lt;&gt;"", VLOOKUP(A3110, imdb_netflix_v5!A$2:H$7370, 4, FALSE), "")</f>
        <v>7.6</v>
      </c>
      <c r="E3110" s="2">
        <f>IF(A3110&lt;&gt;"", VLOOKUP(A3110, imdb_netflix_v5!A$2:H$7370, 5, FALSE), "")</f>
        <v>2020</v>
      </c>
      <c r="F3110" s="2" t="str">
        <f>IF(A3110&lt;&gt;"", VLOOKUP(A3110, imdb_netflix_v5!A$2:H$7370, 7, FALSE), "")</f>
        <v>NA</v>
      </c>
    </row>
    <row r="3111" ht="15.75" customHeight="1">
      <c r="A3111" s="1" t="str">
        <f>IFERROR(__xludf.DUMMYFUNCTION("""COMPUTED_VALUE"""),"the 36th chamber of shaolin")</f>
        <v>the 36th chamber of shaolin</v>
      </c>
      <c r="B3111" s="1" t="str">
        <f>IF(A3111&lt;&gt;"", VLOOKUP(A3111, imdb_netflix_v5!A$2:H$7370, 2, FALSE), "")</f>
        <v>Movie</v>
      </c>
      <c r="C3111" s="2" t="str">
        <f>IF(A3111&lt;&gt;"", VLOOKUP(A3111, imdb_netflix_v5!A$2:H$7370, 3, FALSE), "")</f>
        <v>Action, Adventure, Drama</v>
      </c>
      <c r="D3111" s="2">
        <f>IF(A3111&lt;&gt;"", VLOOKUP(A3111, imdb_netflix_v5!A$2:H$7370, 4, FALSE), "")</f>
        <v>7.6</v>
      </c>
      <c r="E3111" s="2">
        <f>IF(A3111&lt;&gt;"", VLOOKUP(A3111, imdb_netflix_v5!A$2:H$7370, 5, FALSE), "")</f>
        <v>1978</v>
      </c>
      <c r="F3111" s="2" t="str">
        <f>IF(A3111&lt;&gt;"", VLOOKUP(A3111, imdb_netflix_v5!A$2:H$7370, 7, FALSE), "")</f>
        <v>NA</v>
      </c>
    </row>
    <row r="3112" ht="15.75" customHeight="1">
      <c r="A3112" s="1" t="str">
        <f>IFERROR(__xludf.DUMMYFUNCTION("""COMPUTED_VALUE"""),"afro samurai")</f>
        <v>afro samurai</v>
      </c>
      <c r="B3112" s="1" t="str">
        <f>IF(A3112&lt;&gt;"", VLOOKUP(A3112, imdb_netflix_v5!A$2:H$7370, 2, FALSE), "")</f>
        <v>TV Show</v>
      </c>
      <c r="C3112" s="2" t="str">
        <f>IF(A3112&lt;&gt;"", VLOOKUP(A3112, imdb_netflix_v5!A$2:H$7370, 3, FALSE), "")</f>
        <v>Action, Adventure, Animation</v>
      </c>
      <c r="D3112" s="2">
        <f>IF(A3112&lt;&gt;"", VLOOKUP(A3112, imdb_netflix_v5!A$2:H$7370, 4, FALSE), "")</f>
        <v>7.6</v>
      </c>
      <c r="E3112" s="2">
        <f>IF(A3112&lt;&gt;"", VLOOKUP(A3112, imdb_netflix_v5!A$2:H$7370, 5, FALSE), "")</f>
        <v>2007</v>
      </c>
      <c r="F3112" s="2" t="str">
        <f>IF(A3112&lt;&gt;"", VLOOKUP(A3112, imdb_netflix_v5!A$2:H$7370, 7, FALSE), "")</f>
        <v>NA</v>
      </c>
    </row>
    <row r="3113" ht="15.75" customHeight="1">
      <c r="A3113" s="1" t="str">
        <f>IFERROR(__xludf.DUMMYFUNCTION("""COMPUTED_VALUE"""),"mister roberts")</f>
        <v>mister roberts</v>
      </c>
      <c r="B3113" s="1" t="str">
        <f>IF(A3113&lt;&gt;"", VLOOKUP(A3113, imdb_netflix_v5!A$2:H$7370, 2, FALSE), "")</f>
        <v>Movie</v>
      </c>
      <c r="C3113" s="2" t="str">
        <f>IF(A3113&lt;&gt;"", VLOOKUP(A3113, imdb_netflix_v5!A$2:H$7370, 3, FALSE), "")</f>
        <v>Comedy, Drama, War</v>
      </c>
      <c r="D3113" s="2">
        <f>IF(A3113&lt;&gt;"", VLOOKUP(A3113, imdb_netflix_v5!A$2:H$7370, 4, FALSE), "")</f>
        <v>7.6</v>
      </c>
      <c r="E3113" s="2">
        <f>IF(A3113&lt;&gt;"", VLOOKUP(A3113, imdb_netflix_v5!A$2:H$7370, 5, FALSE), "")</f>
        <v>1955</v>
      </c>
      <c r="F3113" s="2" t="str">
        <f>IF(A3113&lt;&gt;"", VLOOKUP(A3113, imdb_netflix_v5!A$2:H$7370, 7, FALSE), "")</f>
        <v>NA</v>
      </c>
    </row>
    <row r="3114" ht="15.75" customHeight="1">
      <c r="A3114" s="1" t="str">
        <f>IFERROR(__xludf.DUMMYFUNCTION("""COMPUTED_VALUE"""),"the last naruto the movie")</f>
        <v>the last naruto the movie</v>
      </c>
      <c r="B3114" s="1" t="str">
        <f>IF(A3114&lt;&gt;"", VLOOKUP(A3114, imdb_netflix_v5!A$2:H$7370, 2, FALSE), "")</f>
        <v>Movie</v>
      </c>
      <c r="C3114" s="2" t="str">
        <f>IF(A3114&lt;&gt;"", VLOOKUP(A3114, imdb_netflix_v5!A$2:H$7370, 3, FALSE), "")</f>
        <v>Action, Adventure, Animation</v>
      </c>
      <c r="D3114" s="2">
        <f>IF(A3114&lt;&gt;"", VLOOKUP(A3114, imdb_netflix_v5!A$2:H$7370, 4, FALSE), "")</f>
        <v>7.6</v>
      </c>
      <c r="E3114" s="2">
        <f>IF(A3114&lt;&gt;"", VLOOKUP(A3114, imdb_netflix_v5!A$2:H$7370, 5, FALSE), "")</f>
        <v>2014</v>
      </c>
      <c r="F3114" s="2" t="str">
        <f>IF(A3114&lt;&gt;"", VLOOKUP(A3114, imdb_netflix_v5!A$2:H$7370, 7, FALSE), "")</f>
        <v>NA</v>
      </c>
    </row>
    <row r="3115" ht="15.75" customHeight="1">
      <c r="A3115" s="1" t="str">
        <f>IFERROR(__xludf.DUMMYFUNCTION("""COMPUTED_VALUE"""),"karwaan")</f>
        <v>karwaan</v>
      </c>
      <c r="B3115" s="1" t="str">
        <f>IF(A3115&lt;&gt;"", VLOOKUP(A3115, imdb_netflix_v5!A$2:H$7370, 2, FALSE), "")</f>
        <v>Movie</v>
      </c>
      <c r="C3115" s="2" t="str">
        <f>IF(A3115&lt;&gt;"", VLOOKUP(A3115, imdb_netflix_v5!A$2:H$7370, 3, FALSE), "")</f>
        <v>Adventure, Comedy, Drama</v>
      </c>
      <c r="D3115" s="2">
        <f>IF(A3115&lt;&gt;"", VLOOKUP(A3115, imdb_netflix_v5!A$2:H$7370, 4, FALSE), "")</f>
        <v>7.6</v>
      </c>
      <c r="E3115" s="2">
        <f>IF(A3115&lt;&gt;"", VLOOKUP(A3115, imdb_netflix_v5!A$2:H$7370, 5, FALSE), "")</f>
        <v>2018</v>
      </c>
      <c r="F3115" s="2" t="str">
        <f>IF(A3115&lt;&gt;"", VLOOKUP(A3115, imdb_netflix_v5!A$2:H$7370, 7, FALSE), "")</f>
        <v>NA</v>
      </c>
    </row>
    <row r="3116" ht="15.75" customHeight="1">
      <c r="A3116" s="1" t="str">
        <f>IFERROR(__xludf.DUMMYFUNCTION("""COMPUTED_VALUE"""),"running on empty")</f>
        <v>running on empty</v>
      </c>
      <c r="B3116" s="1" t="str">
        <f>IF(A3116&lt;&gt;"", VLOOKUP(A3116, imdb_netflix_v5!A$2:H$7370, 2, FALSE), "")</f>
        <v>Movie</v>
      </c>
      <c r="C3116" s="2" t="str">
        <f>IF(A3116&lt;&gt;"", VLOOKUP(A3116, imdb_netflix_v5!A$2:H$7370, 3, FALSE), "")</f>
        <v>Crime, Drama, Music</v>
      </c>
      <c r="D3116" s="2">
        <f>IF(A3116&lt;&gt;"", VLOOKUP(A3116, imdb_netflix_v5!A$2:H$7370, 4, FALSE), "")</f>
        <v>7.6</v>
      </c>
      <c r="E3116" s="2">
        <f>IF(A3116&lt;&gt;"", VLOOKUP(A3116, imdb_netflix_v5!A$2:H$7370, 5, FALSE), "")</f>
        <v>1988</v>
      </c>
      <c r="F3116" s="2" t="str">
        <f>IF(A3116&lt;&gt;"", VLOOKUP(A3116, imdb_netflix_v5!A$2:H$7370, 7, FALSE), "")</f>
        <v>NA</v>
      </c>
    </row>
    <row r="3117" ht="15.75" customHeight="1">
      <c r="A3117" s="1" t="str">
        <f>IFERROR(__xludf.DUMMYFUNCTION("""COMPUTED_VALUE"""),"the insult")</f>
        <v>the insult</v>
      </c>
      <c r="B3117" s="1" t="str">
        <f>IF(A3117&lt;&gt;"", VLOOKUP(A3117, imdb_netflix_v5!A$2:H$7370, 2, FALSE), "")</f>
        <v>Movie</v>
      </c>
      <c r="C3117" s="2" t="str">
        <f>IF(A3117&lt;&gt;"", VLOOKUP(A3117, imdb_netflix_v5!A$2:H$7370, 3, FALSE), "")</f>
        <v>Crime, Drama, Thriller</v>
      </c>
      <c r="D3117" s="2">
        <f>IF(A3117&lt;&gt;"", VLOOKUP(A3117, imdb_netflix_v5!A$2:H$7370, 4, FALSE), "")</f>
        <v>7.6</v>
      </c>
      <c r="E3117" s="2">
        <f>IF(A3117&lt;&gt;"", VLOOKUP(A3117, imdb_netflix_v5!A$2:H$7370, 5, FALSE), "")</f>
        <v>2017</v>
      </c>
      <c r="F3117" s="2" t="str">
        <f>IF(A3117&lt;&gt;"", VLOOKUP(A3117, imdb_netflix_v5!A$2:H$7370, 7, FALSE), "")</f>
        <v>NA</v>
      </c>
    </row>
    <row r="3118" ht="15.75" customHeight="1">
      <c r="A3118" s="1" t="str">
        <f>IFERROR(__xludf.DUMMYFUNCTION("""COMPUTED_VALUE"""),"the woman in the window")</f>
        <v>the woman in the window</v>
      </c>
      <c r="B3118" s="1" t="str">
        <f>IF(A3118&lt;&gt;"", VLOOKUP(A3118, imdb_netflix_v5!A$2:H$7370, 2, FALSE), "")</f>
        <v>Movie</v>
      </c>
      <c r="C3118" s="2" t="str">
        <f>IF(A3118&lt;&gt;"", VLOOKUP(A3118, imdb_netflix_v5!A$2:H$7370, 3, FALSE), "")</f>
        <v>Crime, Drama, Film-Noir</v>
      </c>
      <c r="D3118" s="2">
        <f>IF(A3118&lt;&gt;"", VLOOKUP(A3118, imdb_netflix_v5!A$2:H$7370, 4, FALSE), "")</f>
        <v>7.6</v>
      </c>
      <c r="E3118" s="2">
        <f>IF(A3118&lt;&gt;"", VLOOKUP(A3118, imdb_netflix_v5!A$2:H$7370, 5, FALSE), "")</f>
        <v>1944</v>
      </c>
      <c r="F3118" s="2" t="str">
        <f>IF(A3118&lt;&gt;"", VLOOKUP(A3118, imdb_netflix_v5!A$2:H$7370, 7, FALSE), "")</f>
        <v>NA</v>
      </c>
    </row>
    <row r="3119" ht="15.75" customHeight="1">
      <c r="A3119" s="1" t="str">
        <f>IFERROR(__xludf.DUMMYFUNCTION("""COMPUTED_VALUE"""),"mass")</f>
        <v>mass</v>
      </c>
      <c r="B3119" s="1" t="str">
        <f>IF(A3119&lt;&gt;"", VLOOKUP(A3119, imdb_netflix_v5!A$2:H$7370, 2, FALSE), "")</f>
        <v>Movie</v>
      </c>
      <c r="C3119" s="2" t="str">
        <f>IF(A3119&lt;&gt;"", VLOOKUP(A3119, imdb_netflix_v5!A$2:H$7370, 3, FALSE), "")</f>
        <v>Drama</v>
      </c>
      <c r="D3119" s="2">
        <f>IF(A3119&lt;&gt;"", VLOOKUP(A3119, imdb_netflix_v5!A$2:H$7370, 4, FALSE), "")</f>
        <v>7.6</v>
      </c>
      <c r="E3119" s="2">
        <f>IF(A3119&lt;&gt;"", VLOOKUP(A3119, imdb_netflix_v5!A$2:H$7370, 5, FALSE), "")</f>
        <v>2021</v>
      </c>
      <c r="F3119" s="2" t="str">
        <f>IF(A3119&lt;&gt;"", VLOOKUP(A3119, imdb_netflix_v5!A$2:H$7370, 7, FALSE), "")</f>
        <v>NA</v>
      </c>
    </row>
    <row r="3120" ht="15.75" customHeight="1">
      <c r="A3120" s="1" t="str">
        <f>IFERROR(__xludf.DUMMYFUNCTION("""COMPUTED_VALUE"""),"brat 2")</f>
        <v>brat 2</v>
      </c>
      <c r="B3120" s="1" t="str">
        <f>IF(A3120&lt;&gt;"", VLOOKUP(A3120, imdb_netflix_v5!A$2:H$7370, 2, FALSE), "")</f>
        <v>Movie</v>
      </c>
      <c r="C3120" s="2" t="str">
        <f>IF(A3120&lt;&gt;"", VLOOKUP(A3120, imdb_netflix_v5!A$2:H$7370, 3, FALSE), "")</f>
        <v>Action, Crime, Drama</v>
      </c>
      <c r="D3120" s="2">
        <f>IF(A3120&lt;&gt;"", VLOOKUP(A3120, imdb_netflix_v5!A$2:H$7370, 4, FALSE), "")</f>
        <v>7.6</v>
      </c>
      <c r="E3120" s="2">
        <f>IF(A3120&lt;&gt;"", VLOOKUP(A3120, imdb_netflix_v5!A$2:H$7370, 5, FALSE), "")</f>
        <v>2000</v>
      </c>
      <c r="F3120" s="2" t="str">
        <f>IF(A3120&lt;&gt;"", VLOOKUP(A3120, imdb_netflix_v5!A$2:H$7370, 7, FALSE), "")</f>
        <v>NA</v>
      </c>
    </row>
    <row r="3121" ht="15.75" customHeight="1">
      <c r="A3121" s="1" t="str">
        <f>IFERROR(__xludf.DUMMYFUNCTION("""COMPUTED_VALUE"""),"darkwing duck")</f>
        <v>darkwing duck</v>
      </c>
      <c r="B3121" s="1" t="str">
        <f>IF(A3121&lt;&gt;"", VLOOKUP(A3121, imdb_netflix_v5!A$2:H$7370, 2, FALSE), "")</f>
        <v>TV Show</v>
      </c>
      <c r="C3121" s="2" t="str">
        <f>IF(A3121&lt;&gt;"", VLOOKUP(A3121, imdb_netflix_v5!A$2:H$7370, 3, FALSE), "")</f>
        <v>Action, Adventure, Animation</v>
      </c>
      <c r="D3121" s="2">
        <f>IF(A3121&lt;&gt;"", VLOOKUP(A3121, imdb_netflix_v5!A$2:H$7370, 4, FALSE), "")</f>
        <v>7.6</v>
      </c>
      <c r="E3121" s="2">
        <f>IF(A3121&lt;&gt;"", VLOOKUP(A3121, imdb_netflix_v5!A$2:H$7370, 5, FALSE), "")</f>
        <v>1991</v>
      </c>
      <c r="F3121" s="2" t="str">
        <f>IF(A3121&lt;&gt;"", VLOOKUP(A3121, imdb_netflix_v5!A$2:H$7370, 7, FALSE), "")</f>
        <v>NA</v>
      </c>
    </row>
    <row r="3122" ht="15.75" customHeight="1">
      <c r="A3122" s="1" t="str">
        <f>IFERROR(__xludf.DUMMYFUNCTION("""COMPUTED_VALUE"""),"mahaan")</f>
        <v>mahaan</v>
      </c>
      <c r="B3122" s="1" t="str">
        <f>IF(A3122&lt;&gt;"", VLOOKUP(A3122, imdb_netflix_v5!A$2:H$7370, 2, FALSE), "")</f>
        <v>Movie</v>
      </c>
      <c r="C3122" s="2" t="str">
        <f>IF(A3122&lt;&gt;"", VLOOKUP(A3122, imdb_netflix_v5!A$2:H$7370, 3, FALSE), "")</f>
        <v>Action, Drama, Thriller</v>
      </c>
      <c r="D3122" s="2">
        <f>IF(A3122&lt;&gt;"", VLOOKUP(A3122, imdb_netflix_v5!A$2:H$7370, 4, FALSE), "")</f>
        <v>7.6</v>
      </c>
      <c r="E3122" s="2">
        <f>IF(A3122&lt;&gt;"", VLOOKUP(A3122, imdb_netflix_v5!A$2:H$7370, 5, FALSE), "")</f>
        <v>2022</v>
      </c>
      <c r="F3122" s="2" t="str">
        <f>IF(A3122&lt;&gt;"", VLOOKUP(A3122, imdb_netflix_v5!A$2:H$7370, 7, FALSE), "")</f>
        <v>NA</v>
      </c>
    </row>
    <row r="3123" ht="15.75" customHeight="1">
      <c r="A3123" s="1" t="str">
        <f>IFERROR(__xludf.DUMMYFUNCTION("""COMPUTED_VALUE"""),"spinning out")</f>
        <v>spinning out</v>
      </c>
      <c r="B3123" s="1" t="str">
        <f>IF(A3123&lt;&gt;"", VLOOKUP(A3123, imdb_netflix_v5!A$2:H$7370, 2, FALSE), "")</f>
        <v>TV Show</v>
      </c>
      <c r="C3123" s="2" t="str">
        <f>IF(A3123&lt;&gt;"", VLOOKUP(A3123, imdb_netflix_v5!A$2:H$7370, 3, FALSE), "")</f>
        <v>Drama, Sport</v>
      </c>
      <c r="D3123" s="2">
        <f>IF(A3123&lt;&gt;"", VLOOKUP(A3123, imdb_netflix_v5!A$2:H$7370, 4, FALSE), "")</f>
        <v>7.6</v>
      </c>
      <c r="E3123" s="2">
        <f>IF(A3123&lt;&gt;"", VLOOKUP(A3123, imdb_netflix_v5!A$2:H$7370, 5, FALSE), "")</f>
        <v>2020</v>
      </c>
      <c r="F3123" s="2" t="str">
        <f>IF(A3123&lt;&gt;"", VLOOKUP(A3123, imdb_netflix_v5!A$2:H$7370, 7, FALSE), "")</f>
        <v>NA</v>
      </c>
    </row>
    <row r="3124" ht="15.75" customHeight="1">
      <c r="A3124" s="1" t="str">
        <f>IFERROR(__xludf.DUMMYFUNCTION("""COMPUTED_VALUE"""),"graceland")</f>
        <v>graceland</v>
      </c>
      <c r="B3124" s="1" t="str">
        <f>IF(A3124&lt;&gt;"", VLOOKUP(A3124, imdb_netflix_v5!A$2:H$7370, 2, FALSE), "")</f>
        <v>TV Show</v>
      </c>
      <c r="C3124" s="2" t="str">
        <f>IF(A3124&lt;&gt;"", VLOOKUP(A3124, imdb_netflix_v5!A$2:H$7370, 3, FALSE), "")</f>
        <v>Action, Crime, Drama</v>
      </c>
      <c r="D3124" s="2">
        <f>IF(A3124&lt;&gt;"", VLOOKUP(A3124, imdb_netflix_v5!A$2:H$7370, 4, FALSE), "")</f>
        <v>7.6</v>
      </c>
      <c r="E3124" s="2">
        <f>IF(A3124&lt;&gt;"", VLOOKUP(A3124, imdb_netflix_v5!A$2:H$7370, 5, FALSE), "")</f>
        <v>2013</v>
      </c>
      <c r="F3124" s="2" t="str">
        <f>IF(A3124&lt;&gt;"", VLOOKUP(A3124, imdb_netflix_v5!A$2:H$7370, 7, FALSE), "")</f>
        <v>NA</v>
      </c>
    </row>
    <row r="3125" ht="15.75" customHeight="1">
      <c r="A3125" s="1" t="str">
        <f>IFERROR(__xludf.DUMMYFUNCTION("""COMPUTED_VALUE"""),"the castle")</f>
        <v>the castle</v>
      </c>
      <c r="B3125" s="1" t="str">
        <f>IF(A3125&lt;&gt;"", VLOOKUP(A3125, imdb_netflix_v5!A$2:H$7370, 2, FALSE), "")</f>
        <v>Movie</v>
      </c>
      <c r="C3125" s="2" t="str">
        <f>IF(A3125&lt;&gt;"", VLOOKUP(A3125, imdb_netflix_v5!A$2:H$7370, 3, FALSE), "")</f>
        <v>Comedy, Drama</v>
      </c>
      <c r="D3125" s="2">
        <f>IF(A3125&lt;&gt;"", VLOOKUP(A3125, imdb_netflix_v5!A$2:H$7370, 4, FALSE), "")</f>
        <v>7.6</v>
      </c>
      <c r="E3125" s="2">
        <f>IF(A3125&lt;&gt;"", VLOOKUP(A3125, imdb_netflix_v5!A$2:H$7370, 5, FALSE), "")</f>
        <v>1997</v>
      </c>
      <c r="F3125" s="2" t="str">
        <f>IF(A3125&lt;&gt;"", VLOOKUP(A3125, imdb_netflix_v5!A$2:H$7370, 7, FALSE), "")</f>
        <v>NA</v>
      </c>
    </row>
    <row r="3126" ht="15.75" customHeight="1">
      <c r="A3126" s="1" t="str">
        <f>IFERROR(__xludf.DUMMYFUNCTION("""COMPUTED_VALUE"""),"dr. death")</f>
        <v>dr. death</v>
      </c>
      <c r="B3126" s="1" t="str">
        <f>IF(A3126&lt;&gt;"", VLOOKUP(A3126, imdb_netflix_v5!A$2:H$7370, 2, FALSE), "")</f>
        <v>TV Show</v>
      </c>
      <c r="C3126" s="2" t="str">
        <f>IF(A3126&lt;&gt;"", VLOOKUP(A3126, imdb_netflix_v5!A$2:H$7370, 3, FALSE), "")</f>
        <v>Crime, Drama, Thriller</v>
      </c>
      <c r="D3126" s="2">
        <f>IF(A3126&lt;&gt;"", VLOOKUP(A3126, imdb_netflix_v5!A$2:H$7370, 4, FALSE), "")</f>
        <v>7.6</v>
      </c>
      <c r="E3126" s="2">
        <f>IF(A3126&lt;&gt;"", VLOOKUP(A3126, imdb_netflix_v5!A$2:H$7370, 5, FALSE), "")</f>
        <v>2021</v>
      </c>
      <c r="F3126" s="2" t="str">
        <f>IF(A3126&lt;&gt;"", VLOOKUP(A3126, imdb_netflix_v5!A$2:H$7370, 7, FALSE), "")</f>
        <v>NA</v>
      </c>
    </row>
    <row r="3127" ht="15.75" customHeight="1">
      <c r="A3127" s="1" t="str">
        <f>IFERROR(__xludf.DUMMYFUNCTION("""COMPUTED_VALUE"""),"sanam teri kasam")</f>
        <v>sanam teri kasam</v>
      </c>
      <c r="B3127" s="1" t="str">
        <f>IF(A3127&lt;&gt;"", VLOOKUP(A3127, imdb_netflix_v5!A$2:H$7370, 2, FALSE), "")</f>
        <v>Movie</v>
      </c>
      <c r="C3127" s="2" t="str">
        <f>IF(A3127&lt;&gt;"", VLOOKUP(A3127, imdb_netflix_v5!A$2:H$7370, 3, FALSE), "")</f>
        <v>Drama, Musical, Romance</v>
      </c>
      <c r="D3127" s="2">
        <f>IF(A3127&lt;&gt;"", VLOOKUP(A3127, imdb_netflix_v5!A$2:H$7370, 4, FALSE), "")</f>
        <v>7.6</v>
      </c>
      <c r="E3127" s="2">
        <f>IF(A3127&lt;&gt;"", VLOOKUP(A3127, imdb_netflix_v5!A$2:H$7370, 5, FALSE), "")</f>
        <v>2016</v>
      </c>
      <c r="F3127" s="2" t="str">
        <f>IF(A3127&lt;&gt;"", VLOOKUP(A3127, imdb_netflix_v5!A$2:H$7370, 7, FALSE), "")</f>
        <v>NA</v>
      </c>
    </row>
    <row r="3128" ht="15.75" customHeight="1">
      <c r="A3128" s="1" t="str">
        <f>IFERROR(__xludf.DUMMYFUNCTION("""COMPUTED_VALUE"""),"the seventh continent")</f>
        <v>the seventh continent</v>
      </c>
      <c r="B3128" s="1" t="str">
        <f>IF(A3128&lt;&gt;"", VLOOKUP(A3128, imdb_netflix_v5!A$2:H$7370, 2, FALSE), "")</f>
        <v>Movie</v>
      </c>
      <c r="C3128" s="2" t="str">
        <f>IF(A3128&lt;&gt;"", VLOOKUP(A3128, imdb_netflix_v5!A$2:H$7370, 3, FALSE), "")</f>
        <v>Drama</v>
      </c>
      <c r="D3128" s="2">
        <f>IF(A3128&lt;&gt;"", VLOOKUP(A3128, imdb_netflix_v5!A$2:H$7370, 4, FALSE), "")</f>
        <v>7.6</v>
      </c>
      <c r="E3128" s="2">
        <f>IF(A3128&lt;&gt;"", VLOOKUP(A3128, imdb_netflix_v5!A$2:H$7370, 5, FALSE), "")</f>
        <v>1989</v>
      </c>
      <c r="F3128" s="2" t="str">
        <f>IF(A3128&lt;&gt;"", VLOOKUP(A3128, imdb_netflix_v5!A$2:H$7370, 7, FALSE), "")</f>
        <v>NA</v>
      </c>
    </row>
    <row r="3129" ht="15.75" customHeight="1">
      <c r="A3129" s="1" t="str">
        <f>IFERROR(__xludf.DUMMYFUNCTION("""COMPUTED_VALUE"""),"tell me who i am")</f>
        <v>tell me who i am</v>
      </c>
      <c r="B3129" s="1" t="str">
        <f>IF(A3129&lt;&gt;"", VLOOKUP(A3129, imdb_netflix_v5!A$2:H$7370, 2, FALSE), "")</f>
        <v>Movie</v>
      </c>
      <c r="C3129" s="2" t="str">
        <f>IF(A3129&lt;&gt;"", VLOOKUP(A3129, imdb_netflix_v5!A$2:H$7370, 3, FALSE), "")</f>
        <v>Documentary, Drama, Mystery</v>
      </c>
      <c r="D3129" s="2">
        <f>IF(A3129&lt;&gt;"", VLOOKUP(A3129, imdb_netflix_v5!A$2:H$7370, 4, FALSE), "")</f>
        <v>7.6</v>
      </c>
      <c r="E3129" s="2">
        <f>IF(A3129&lt;&gt;"", VLOOKUP(A3129, imdb_netflix_v5!A$2:H$7370, 5, FALSE), "")</f>
        <v>2019</v>
      </c>
      <c r="F3129" s="2" t="str">
        <f>IF(A3129&lt;&gt;"", VLOOKUP(A3129, imdb_netflix_v5!A$2:H$7370, 7, FALSE), "")</f>
        <v>NA</v>
      </c>
    </row>
    <row r="3130" ht="15.75" customHeight="1">
      <c r="A3130" s="1" t="str">
        <f>IFERROR(__xludf.DUMMYFUNCTION("""COMPUTED_VALUE"""),"sarkar")</f>
        <v>sarkar</v>
      </c>
      <c r="B3130" s="1" t="str">
        <f>IF(A3130&lt;&gt;"", VLOOKUP(A3130, imdb_netflix_v5!A$2:H$7370, 2, FALSE), "")</f>
        <v>Movie</v>
      </c>
      <c r="C3130" s="2" t="str">
        <f>IF(A3130&lt;&gt;"", VLOOKUP(A3130, imdb_netflix_v5!A$2:H$7370, 3, FALSE), "")</f>
        <v>Crime, Drama</v>
      </c>
      <c r="D3130" s="2">
        <f>IF(A3130&lt;&gt;"", VLOOKUP(A3130, imdb_netflix_v5!A$2:H$7370, 4, FALSE), "")</f>
        <v>7.6</v>
      </c>
      <c r="E3130" s="2">
        <f>IF(A3130&lt;&gt;"", VLOOKUP(A3130, imdb_netflix_v5!A$2:H$7370, 5, FALSE), "")</f>
        <v>2005</v>
      </c>
      <c r="F3130" s="2" t="str">
        <f>IF(A3130&lt;&gt;"", VLOOKUP(A3130, imdb_netflix_v5!A$2:H$7370, 7, FALSE), "")</f>
        <v>NA</v>
      </c>
    </row>
    <row r="3131" ht="15.75" customHeight="1">
      <c r="A3131" s="1" t="str">
        <f>IFERROR(__xludf.DUMMYFUNCTION("""COMPUTED_VALUE"""),"robot dreams")</f>
        <v>robot dreams</v>
      </c>
      <c r="B3131" s="1" t="str">
        <f>IF(A3131&lt;&gt;"", VLOOKUP(A3131, imdb_netflix_v5!A$2:H$7370, 2, FALSE), "")</f>
        <v>Movie</v>
      </c>
      <c r="C3131" s="2" t="str">
        <f>IF(A3131&lt;&gt;"", VLOOKUP(A3131, imdb_netflix_v5!A$2:H$7370, 3, FALSE), "")</f>
        <v>Animation, Comedy, Drama</v>
      </c>
      <c r="D3131" s="2">
        <f>IF(A3131&lt;&gt;"", VLOOKUP(A3131, imdb_netflix_v5!A$2:H$7370, 4, FALSE), "")</f>
        <v>7.6</v>
      </c>
      <c r="E3131" s="2">
        <f>IF(A3131&lt;&gt;"", VLOOKUP(A3131, imdb_netflix_v5!A$2:H$7370, 5, FALSE), "")</f>
        <v>2023</v>
      </c>
      <c r="F3131" s="2" t="str">
        <f>IF(A3131&lt;&gt;"", VLOOKUP(A3131, imdb_netflix_v5!A$2:H$7370, 7, FALSE), "")</f>
        <v>NA</v>
      </c>
    </row>
    <row r="3132" ht="15.75" customHeight="1">
      <c r="A3132" s="1" t="str">
        <f>IFERROR(__xludf.DUMMYFUNCTION("""COMPUTED_VALUE"""),"the english game")</f>
        <v>the english game</v>
      </c>
      <c r="B3132" s="1" t="str">
        <f>IF(A3132&lt;&gt;"", VLOOKUP(A3132, imdb_netflix_v5!A$2:H$7370, 2, FALSE), "")</f>
        <v>TV Show</v>
      </c>
      <c r="C3132" s="2" t="str">
        <f>IF(A3132&lt;&gt;"", VLOOKUP(A3132, imdb_netflix_v5!A$2:H$7370, 3, FALSE), "")</f>
        <v>Drama, History, Sport</v>
      </c>
      <c r="D3132" s="2">
        <f>IF(A3132&lt;&gt;"", VLOOKUP(A3132, imdb_netflix_v5!A$2:H$7370, 4, FALSE), "")</f>
        <v>7.6</v>
      </c>
      <c r="E3132" s="2">
        <f>IF(A3132&lt;&gt;"", VLOOKUP(A3132, imdb_netflix_v5!A$2:H$7370, 5, FALSE), "")</f>
        <v>2020</v>
      </c>
      <c r="F3132" s="2" t="str">
        <f>IF(A3132&lt;&gt;"", VLOOKUP(A3132, imdb_netflix_v5!A$2:H$7370, 7, FALSE), "")</f>
        <v>NA</v>
      </c>
    </row>
    <row r="3133" ht="15.75" customHeight="1">
      <c r="A3133" s="1" t="str">
        <f>IFERROR(__xludf.DUMMYFUNCTION("""COMPUTED_VALUE"""),"the wedding banquet")</f>
        <v>the wedding banquet</v>
      </c>
      <c r="B3133" s="1" t="str">
        <f>IF(A3133&lt;&gt;"", VLOOKUP(A3133, imdb_netflix_v5!A$2:H$7370, 2, FALSE), "")</f>
        <v>Movie</v>
      </c>
      <c r="C3133" s="2" t="str">
        <f>IF(A3133&lt;&gt;"", VLOOKUP(A3133, imdb_netflix_v5!A$2:H$7370, 3, FALSE), "")</f>
        <v>Comedy, Drama, Romance</v>
      </c>
      <c r="D3133" s="2">
        <f>IF(A3133&lt;&gt;"", VLOOKUP(A3133, imdb_netflix_v5!A$2:H$7370, 4, FALSE), "")</f>
        <v>7.6</v>
      </c>
      <c r="E3133" s="2">
        <f>IF(A3133&lt;&gt;"", VLOOKUP(A3133, imdb_netflix_v5!A$2:H$7370, 5, FALSE), "")</f>
        <v>1993</v>
      </c>
      <c r="F3133" s="2" t="str">
        <f>IF(A3133&lt;&gt;"", VLOOKUP(A3133, imdb_netflix_v5!A$2:H$7370, 7, FALSE), "")</f>
        <v>NA</v>
      </c>
    </row>
    <row r="3134" ht="15.75" customHeight="1">
      <c r="A3134" s="1" t="str">
        <f>IFERROR(__xludf.DUMMYFUNCTION("""COMPUTED_VALUE"""),"häxan")</f>
        <v>häxan</v>
      </c>
      <c r="B3134" s="1" t="str">
        <f>IF(A3134&lt;&gt;"", VLOOKUP(A3134, imdb_netflix_v5!A$2:H$7370, 2, FALSE), "")</f>
        <v>Movie</v>
      </c>
      <c r="C3134" s="2" t="str">
        <f>IF(A3134&lt;&gt;"", VLOOKUP(A3134, imdb_netflix_v5!A$2:H$7370, 3, FALSE), "")</f>
        <v>Documentary, Fantasy, Horror</v>
      </c>
      <c r="D3134" s="2">
        <f>IF(A3134&lt;&gt;"", VLOOKUP(A3134, imdb_netflix_v5!A$2:H$7370, 4, FALSE), "")</f>
        <v>7.6</v>
      </c>
      <c r="E3134" s="2">
        <f>IF(A3134&lt;&gt;"", VLOOKUP(A3134, imdb_netflix_v5!A$2:H$7370, 5, FALSE), "")</f>
        <v>1922</v>
      </c>
      <c r="F3134" s="2" t="str">
        <f>IF(A3134&lt;&gt;"", VLOOKUP(A3134, imdb_netflix_v5!A$2:H$7370, 7, FALSE), "")</f>
        <v>NA</v>
      </c>
    </row>
    <row r="3135" ht="15.75" customHeight="1">
      <c r="A3135" s="1" t="str">
        <f>IFERROR(__xludf.DUMMYFUNCTION("""COMPUTED_VALUE"""),"hungama")</f>
        <v>hungama</v>
      </c>
      <c r="B3135" s="1" t="str">
        <f>IF(A3135&lt;&gt;"", VLOOKUP(A3135, imdb_netflix_v5!A$2:H$7370, 2, FALSE), "")</f>
        <v>Movie</v>
      </c>
      <c r="C3135" s="2" t="str">
        <f>IF(A3135&lt;&gt;"", VLOOKUP(A3135, imdb_netflix_v5!A$2:H$7370, 3, FALSE), "")</f>
        <v>Comedy, Drama, Romance</v>
      </c>
      <c r="D3135" s="2">
        <f>IF(A3135&lt;&gt;"", VLOOKUP(A3135, imdb_netflix_v5!A$2:H$7370, 4, FALSE), "")</f>
        <v>7.6</v>
      </c>
      <c r="E3135" s="2">
        <f>IF(A3135&lt;&gt;"", VLOOKUP(A3135, imdb_netflix_v5!A$2:H$7370, 5, FALSE), "")</f>
        <v>2003</v>
      </c>
      <c r="F3135" s="2" t="str">
        <f>IF(A3135&lt;&gt;"", VLOOKUP(A3135, imdb_netflix_v5!A$2:H$7370, 7, FALSE), "")</f>
        <v>NA</v>
      </c>
    </row>
    <row r="3136" ht="15.75" customHeight="1">
      <c r="A3136" s="1" t="str">
        <f>IFERROR(__xludf.DUMMYFUNCTION("""COMPUTED_VALUE"""),"mcmafia")</f>
        <v>mcmafia</v>
      </c>
      <c r="B3136" s="1" t="str">
        <f>IF(A3136&lt;&gt;"", VLOOKUP(A3136, imdb_netflix_v5!A$2:H$7370, 2, FALSE), "")</f>
        <v>TV Show</v>
      </c>
      <c r="C3136" s="2" t="str">
        <f>IF(A3136&lt;&gt;"", VLOOKUP(A3136, imdb_netflix_v5!A$2:H$7370, 3, FALSE), "")</f>
        <v>Crime, Drama, Thriller</v>
      </c>
      <c r="D3136" s="2">
        <f>IF(A3136&lt;&gt;"", VLOOKUP(A3136, imdb_netflix_v5!A$2:H$7370, 4, FALSE), "")</f>
        <v>7.6</v>
      </c>
      <c r="E3136" s="2">
        <f>IF(A3136&lt;&gt;"", VLOOKUP(A3136, imdb_netflix_v5!A$2:H$7370, 5, FALSE), "")</f>
        <v>2018</v>
      </c>
      <c r="F3136" s="2" t="str">
        <f>IF(A3136&lt;&gt;"", VLOOKUP(A3136, imdb_netflix_v5!A$2:H$7370, 7, FALSE), "")</f>
        <v>NA</v>
      </c>
    </row>
    <row r="3137" ht="15.75" customHeight="1">
      <c r="A3137" s="1" t="str">
        <f>IFERROR(__xludf.DUMMYFUNCTION("""COMPUTED_VALUE"""),"the north water")</f>
        <v>the north water</v>
      </c>
      <c r="B3137" s="1" t="str">
        <f>IF(A3137&lt;&gt;"", VLOOKUP(A3137, imdb_netflix_v5!A$2:H$7370, 2, FALSE), "")</f>
        <v>TV Show</v>
      </c>
      <c r="C3137" s="2" t="str">
        <f>IF(A3137&lt;&gt;"", VLOOKUP(A3137, imdb_netflix_v5!A$2:H$7370, 3, FALSE), "")</f>
        <v>Adventure, Drama, Mystery</v>
      </c>
      <c r="D3137" s="2">
        <f>IF(A3137&lt;&gt;"", VLOOKUP(A3137, imdb_netflix_v5!A$2:H$7370, 4, FALSE), "")</f>
        <v>7.6</v>
      </c>
      <c r="E3137" s="2">
        <f>IF(A3137&lt;&gt;"", VLOOKUP(A3137, imdb_netflix_v5!A$2:H$7370, 5, FALSE), "")</f>
        <v>2021</v>
      </c>
      <c r="F3137" s="2" t="str">
        <f>IF(A3137&lt;&gt;"", VLOOKUP(A3137, imdb_netflix_v5!A$2:H$7370, 7, FALSE), "")</f>
        <v>NA</v>
      </c>
    </row>
    <row r="3138" ht="15.75" customHeight="1">
      <c r="A3138" s="1" t="str">
        <f>IFERROR(__xludf.DUMMYFUNCTION("""COMPUTED_VALUE"""),"yankee doodle dandy")</f>
        <v>yankee doodle dandy</v>
      </c>
      <c r="B3138" s="1" t="str">
        <f>IF(A3138&lt;&gt;"", VLOOKUP(A3138, imdb_netflix_v5!A$2:H$7370, 2, FALSE), "")</f>
        <v>Movie</v>
      </c>
      <c r="C3138" s="2" t="str">
        <f>IF(A3138&lt;&gt;"", VLOOKUP(A3138, imdb_netflix_v5!A$2:H$7370, 3, FALSE), "")</f>
        <v>Biography, Drama, Family</v>
      </c>
      <c r="D3138" s="2">
        <f>IF(A3138&lt;&gt;"", VLOOKUP(A3138, imdb_netflix_v5!A$2:H$7370, 4, FALSE), "")</f>
        <v>7.6</v>
      </c>
      <c r="E3138" s="2">
        <f>IF(A3138&lt;&gt;"", VLOOKUP(A3138, imdb_netflix_v5!A$2:H$7370, 5, FALSE), "")</f>
        <v>1942</v>
      </c>
      <c r="F3138" s="2" t="str">
        <f>IF(A3138&lt;&gt;"", VLOOKUP(A3138, imdb_netflix_v5!A$2:H$7370, 7, FALSE), "")</f>
        <v>NA</v>
      </c>
    </row>
    <row r="3139" ht="15.75" customHeight="1">
      <c r="A3139" s="1" t="str">
        <f>IFERROR(__xludf.DUMMYFUNCTION("""COMPUTED_VALUE"""),"all that heaven allows")</f>
        <v>all that heaven allows</v>
      </c>
      <c r="B3139" s="1" t="str">
        <f>IF(A3139&lt;&gt;"", VLOOKUP(A3139, imdb_netflix_v5!A$2:H$7370, 2, FALSE), "")</f>
        <v>Movie</v>
      </c>
      <c r="C3139" s="2" t="str">
        <f>IF(A3139&lt;&gt;"", VLOOKUP(A3139, imdb_netflix_v5!A$2:H$7370, 3, FALSE), "")</f>
        <v>Drama, Romance</v>
      </c>
      <c r="D3139" s="2">
        <f>IF(A3139&lt;&gt;"", VLOOKUP(A3139, imdb_netflix_v5!A$2:H$7370, 4, FALSE), "")</f>
        <v>7.6</v>
      </c>
      <c r="E3139" s="2">
        <f>IF(A3139&lt;&gt;"", VLOOKUP(A3139, imdb_netflix_v5!A$2:H$7370, 5, FALSE), "")</f>
        <v>1955</v>
      </c>
      <c r="F3139" s="2" t="str">
        <f>IF(A3139&lt;&gt;"", VLOOKUP(A3139, imdb_netflix_v5!A$2:H$7370, 7, FALSE), "")</f>
        <v>NA</v>
      </c>
    </row>
    <row r="3140" ht="15.75" customHeight="1">
      <c r="A3140" s="1" t="str">
        <f>IFERROR(__xludf.DUMMYFUNCTION("""COMPUTED_VALUE"""),"lady snowblood")</f>
        <v>lady snowblood</v>
      </c>
      <c r="B3140" s="1" t="str">
        <f>IF(A3140&lt;&gt;"", VLOOKUP(A3140, imdb_netflix_v5!A$2:H$7370, 2, FALSE), "")</f>
        <v>Movie</v>
      </c>
      <c r="C3140" s="2" t="str">
        <f>IF(A3140&lt;&gt;"", VLOOKUP(A3140, imdb_netflix_v5!A$2:H$7370, 3, FALSE), "")</f>
        <v>Action, Crime, Drama</v>
      </c>
      <c r="D3140" s="2">
        <f>IF(A3140&lt;&gt;"", VLOOKUP(A3140, imdb_netflix_v5!A$2:H$7370, 4, FALSE), "")</f>
        <v>7.6</v>
      </c>
      <c r="E3140" s="2">
        <f>IF(A3140&lt;&gt;"", VLOOKUP(A3140, imdb_netflix_v5!A$2:H$7370, 5, FALSE), "")</f>
        <v>1973</v>
      </c>
      <c r="F3140" s="2" t="str">
        <f>IF(A3140&lt;&gt;"", VLOOKUP(A3140, imdb_netflix_v5!A$2:H$7370, 7, FALSE), "")</f>
        <v>NA</v>
      </c>
    </row>
    <row r="3141" ht="15.75" customHeight="1">
      <c r="A3141" s="1" t="str">
        <f>IFERROR(__xludf.DUMMYFUNCTION("""COMPUTED_VALUE"""),"angel beats!")</f>
        <v>angel beats!</v>
      </c>
      <c r="B3141" s="1" t="str">
        <f>IF(A3141&lt;&gt;"", VLOOKUP(A3141, imdb_netflix_v5!A$2:H$7370, 2, FALSE), "")</f>
        <v>TV Show</v>
      </c>
      <c r="C3141" s="2" t="str">
        <f>IF(A3141&lt;&gt;"", VLOOKUP(A3141, imdb_netflix_v5!A$2:H$7370, 3, FALSE), "")</f>
        <v>Action, Animation, Comedy</v>
      </c>
      <c r="D3141" s="2">
        <f>IF(A3141&lt;&gt;"", VLOOKUP(A3141, imdb_netflix_v5!A$2:H$7370, 4, FALSE), "")</f>
        <v>7.6</v>
      </c>
      <c r="E3141" s="2">
        <f>IF(A3141&lt;&gt;"", VLOOKUP(A3141, imdb_netflix_v5!A$2:H$7370, 5, FALSE), "")</f>
        <v>2010</v>
      </c>
      <c r="F3141" s="2" t="str">
        <f>IF(A3141&lt;&gt;"", VLOOKUP(A3141, imdb_netflix_v5!A$2:H$7370, 7, FALSE), "")</f>
        <v>NA</v>
      </c>
    </row>
    <row r="3142" ht="15.75" customHeight="1">
      <c r="A3142" s="1" t="str">
        <f>IFERROR(__xludf.DUMMYFUNCTION("""COMPUTED_VALUE"""),"pickup on south street")</f>
        <v>pickup on south street</v>
      </c>
      <c r="B3142" s="1" t="str">
        <f>IF(A3142&lt;&gt;"", VLOOKUP(A3142, imdb_netflix_v5!A$2:H$7370, 2, FALSE), "")</f>
        <v>Movie</v>
      </c>
      <c r="C3142" s="2" t="str">
        <f>IF(A3142&lt;&gt;"", VLOOKUP(A3142, imdb_netflix_v5!A$2:H$7370, 3, FALSE), "")</f>
        <v>Crime, Film-Noir, Mystery</v>
      </c>
      <c r="D3142" s="2">
        <f>IF(A3142&lt;&gt;"", VLOOKUP(A3142, imdb_netflix_v5!A$2:H$7370, 4, FALSE), "")</f>
        <v>7.6</v>
      </c>
      <c r="E3142" s="2">
        <f>IF(A3142&lt;&gt;"", VLOOKUP(A3142, imdb_netflix_v5!A$2:H$7370, 5, FALSE), "")</f>
        <v>1953</v>
      </c>
      <c r="F3142" s="2" t="str">
        <f>IF(A3142&lt;&gt;"", VLOOKUP(A3142, imdb_netflix_v5!A$2:H$7370, 7, FALSE), "")</f>
        <v>NA</v>
      </c>
    </row>
    <row r="3143" ht="15.75" customHeight="1">
      <c r="A3143" s="1" t="str">
        <f>IFERROR(__xludf.DUMMYFUNCTION("""COMPUTED_VALUE"""),"dr. jekyll and mr. hyde")</f>
        <v>dr. jekyll and mr. hyde</v>
      </c>
      <c r="B3143" s="1" t="str">
        <f>IF(A3143&lt;&gt;"", VLOOKUP(A3143, imdb_netflix_v5!A$2:H$7370, 2, FALSE), "")</f>
        <v>Movie</v>
      </c>
      <c r="C3143" s="2" t="str">
        <f>IF(A3143&lt;&gt;"", VLOOKUP(A3143, imdb_netflix_v5!A$2:H$7370, 3, FALSE), "")</f>
        <v>Horror, Sci-Fi</v>
      </c>
      <c r="D3143" s="2">
        <f>IF(A3143&lt;&gt;"", VLOOKUP(A3143, imdb_netflix_v5!A$2:H$7370, 4, FALSE), "")</f>
        <v>7.6</v>
      </c>
      <c r="E3143" s="2">
        <f>IF(A3143&lt;&gt;"", VLOOKUP(A3143, imdb_netflix_v5!A$2:H$7370, 5, FALSE), "")</f>
        <v>1931</v>
      </c>
      <c r="F3143" s="2" t="str">
        <f>IF(A3143&lt;&gt;"", VLOOKUP(A3143, imdb_netflix_v5!A$2:H$7370, 7, FALSE), "")</f>
        <v>NA</v>
      </c>
    </row>
    <row r="3144" ht="15.75" customHeight="1">
      <c r="A3144" s="1" t="str">
        <f>IFERROR(__xludf.DUMMYFUNCTION("""COMPUTED_VALUE"""),"pina")</f>
        <v>pina</v>
      </c>
      <c r="B3144" s="1" t="str">
        <f>IF(A3144&lt;&gt;"", VLOOKUP(A3144, imdb_netflix_v5!A$2:H$7370, 2, FALSE), "")</f>
        <v>Movie</v>
      </c>
      <c r="C3144" s="2" t="str">
        <f>IF(A3144&lt;&gt;"", VLOOKUP(A3144, imdb_netflix_v5!A$2:H$7370, 3, FALSE), "")</f>
        <v>Documentary, Music</v>
      </c>
      <c r="D3144" s="2">
        <f>IF(A3144&lt;&gt;"", VLOOKUP(A3144, imdb_netflix_v5!A$2:H$7370, 4, FALSE), "")</f>
        <v>7.6</v>
      </c>
      <c r="E3144" s="2">
        <f>IF(A3144&lt;&gt;"", VLOOKUP(A3144, imdb_netflix_v5!A$2:H$7370, 5, FALSE), "")</f>
        <v>2011</v>
      </c>
      <c r="F3144" s="2" t="str">
        <f>IF(A3144&lt;&gt;"", VLOOKUP(A3144, imdb_netflix_v5!A$2:H$7370, 7, FALSE), "")</f>
        <v>NA</v>
      </c>
    </row>
    <row r="3145" ht="15.75" customHeight="1">
      <c r="A3145" s="1" t="str">
        <f>IFERROR(__xludf.DUMMYFUNCTION("""COMPUTED_VALUE"""),"only angels have wings")</f>
        <v>only angels have wings</v>
      </c>
      <c r="B3145" s="1" t="str">
        <f>IF(A3145&lt;&gt;"", VLOOKUP(A3145, imdb_netflix_v5!A$2:H$7370, 2, FALSE), "")</f>
        <v>Movie</v>
      </c>
      <c r="C3145" s="2" t="str">
        <f>IF(A3145&lt;&gt;"", VLOOKUP(A3145, imdb_netflix_v5!A$2:H$7370, 3, FALSE), "")</f>
        <v>Adventure, Drama, Romance</v>
      </c>
      <c r="D3145" s="2">
        <f>IF(A3145&lt;&gt;"", VLOOKUP(A3145, imdb_netflix_v5!A$2:H$7370, 4, FALSE), "")</f>
        <v>7.6</v>
      </c>
      <c r="E3145" s="2">
        <f>IF(A3145&lt;&gt;"", VLOOKUP(A3145, imdb_netflix_v5!A$2:H$7370, 5, FALSE), "")</f>
        <v>1939</v>
      </c>
      <c r="F3145" s="2" t="str">
        <f>IF(A3145&lt;&gt;"", VLOOKUP(A3145, imdb_netflix_v5!A$2:H$7370, 7, FALSE), "")</f>
        <v>NA</v>
      </c>
    </row>
    <row r="3146" ht="15.75" customHeight="1">
      <c r="A3146" s="1" t="str">
        <f>IFERROR(__xludf.DUMMYFUNCTION("""COMPUTED_VALUE"""),"kedi")</f>
        <v>kedi</v>
      </c>
      <c r="B3146" s="1" t="str">
        <f>IF(A3146&lt;&gt;"", VLOOKUP(A3146, imdb_netflix_v5!A$2:H$7370, 2, FALSE), "")</f>
        <v>Movie</v>
      </c>
      <c r="C3146" s="2" t="str">
        <f>IF(A3146&lt;&gt;"", VLOOKUP(A3146, imdb_netflix_v5!A$2:H$7370, 3, FALSE), "")</f>
        <v>Documentary</v>
      </c>
      <c r="D3146" s="2">
        <f>IF(A3146&lt;&gt;"", VLOOKUP(A3146, imdb_netflix_v5!A$2:H$7370, 4, FALSE), "")</f>
        <v>7.6</v>
      </c>
      <c r="E3146" s="2">
        <f>IF(A3146&lt;&gt;"", VLOOKUP(A3146, imdb_netflix_v5!A$2:H$7370, 5, FALSE), "")</f>
        <v>2016</v>
      </c>
      <c r="F3146" s="2" t="str">
        <f>IF(A3146&lt;&gt;"", VLOOKUP(A3146, imdb_netflix_v5!A$2:H$7370, 7, FALSE), "")</f>
        <v>NA</v>
      </c>
    </row>
    <row r="3147" ht="15.75" customHeight="1">
      <c r="A3147" s="1" t="str">
        <f>IFERROR(__xludf.DUMMYFUNCTION("""COMPUTED_VALUE"""),"forbidden love")</f>
        <v>forbidden love</v>
      </c>
      <c r="B3147" s="1" t="str">
        <f>IF(A3147&lt;&gt;"", VLOOKUP(A3147, imdb_netflix_v5!A$2:H$7370, 2, FALSE), "")</f>
        <v>TV Show</v>
      </c>
      <c r="C3147" s="2" t="str">
        <f>IF(A3147&lt;&gt;"", VLOOKUP(A3147, imdb_netflix_v5!A$2:H$7370, 3, FALSE), "")</f>
        <v>Drama, Romance</v>
      </c>
      <c r="D3147" s="2">
        <f>IF(A3147&lt;&gt;"", VLOOKUP(A3147, imdb_netflix_v5!A$2:H$7370, 4, FALSE), "")</f>
        <v>7.6</v>
      </c>
      <c r="E3147" s="2">
        <f>IF(A3147&lt;&gt;"", VLOOKUP(A3147, imdb_netflix_v5!A$2:H$7370, 5, FALSE), "")</f>
        <v>2008</v>
      </c>
      <c r="F3147" s="2" t="str">
        <f>IF(A3147&lt;&gt;"", VLOOKUP(A3147, imdb_netflix_v5!A$2:H$7370, 7, FALSE), "")</f>
        <v>NA</v>
      </c>
    </row>
    <row r="3148" ht="15.75" customHeight="1">
      <c r="A3148" s="1" t="str">
        <f>IFERROR(__xludf.DUMMYFUNCTION("""COMPUTED_VALUE"""),"ghajini")</f>
        <v>ghajini</v>
      </c>
      <c r="B3148" s="1" t="str">
        <f>IF(A3148&lt;&gt;"", VLOOKUP(A3148, imdb_netflix_v5!A$2:H$7370, 2, FALSE), "")</f>
        <v>Movie</v>
      </c>
      <c r="C3148" s="2" t="str">
        <f>IF(A3148&lt;&gt;"", VLOOKUP(A3148, imdb_netflix_v5!A$2:H$7370, 3, FALSE), "")</f>
        <v>Action, Drama, Mystery</v>
      </c>
      <c r="D3148" s="2">
        <f>IF(A3148&lt;&gt;"", VLOOKUP(A3148, imdb_netflix_v5!A$2:H$7370, 4, FALSE), "")</f>
        <v>7.6</v>
      </c>
      <c r="E3148" s="2">
        <f>IF(A3148&lt;&gt;"", VLOOKUP(A3148, imdb_netflix_v5!A$2:H$7370, 5, FALSE), "")</f>
        <v>2005</v>
      </c>
      <c r="F3148" s="2" t="str">
        <f>IF(A3148&lt;&gt;"", VLOOKUP(A3148, imdb_netflix_v5!A$2:H$7370, 7, FALSE), "")</f>
        <v>NA</v>
      </c>
    </row>
    <row r="3149" ht="15.75" customHeight="1">
      <c r="A3149" s="1" t="str">
        <f>IFERROR(__xludf.DUMMYFUNCTION("""COMPUTED_VALUE"""),"city on a hill")</f>
        <v>city on a hill</v>
      </c>
      <c r="B3149" s="1" t="str">
        <f>IF(A3149&lt;&gt;"", VLOOKUP(A3149, imdb_netflix_v5!A$2:H$7370, 2, FALSE), "")</f>
        <v>TV Show</v>
      </c>
      <c r="C3149" s="2" t="str">
        <f>IF(A3149&lt;&gt;"", VLOOKUP(A3149, imdb_netflix_v5!A$2:H$7370, 3, FALSE), "")</f>
        <v>Crime, Drama, Thriller</v>
      </c>
      <c r="D3149" s="2">
        <f>IF(A3149&lt;&gt;"", VLOOKUP(A3149, imdb_netflix_v5!A$2:H$7370, 4, FALSE), "")</f>
        <v>7.6</v>
      </c>
      <c r="E3149" s="2">
        <f>IF(A3149&lt;&gt;"", VLOOKUP(A3149, imdb_netflix_v5!A$2:H$7370, 5, FALSE), "")</f>
        <v>2019</v>
      </c>
      <c r="F3149" s="2" t="str">
        <f>IF(A3149&lt;&gt;"", VLOOKUP(A3149, imdb_netflix_v5!A$2:H$7370, 7, FALSE), "")</f>
        <v>NA</v>
      </c>
    </row>
    <row r="3150" ht="15.75" customHeight="1">
      <c r="A3150" s="1" t="str">
        <f>IFERROR(__xludf.DUMMYFUNCTION("""COMPUTED_VALUE"""),"the lovers on the bridge")</f>
        <v>the lovers on the bridge</v>
      </c>
      <c r="B3150" s="1" t="str">
        <f>IF(A3150&lt;&gt;"", VLOOKUP(A3150, imdb_netflix_v5!A$2:H$7370, 2, FALSE), "")</f>
        <v>Movie</v>
      </c>
      <c r="C3150" s="2" t="str">
        <f>IF(A3150&lt;&gt;"", VLOOKUP(A3150, imdb_netflix_v5!A$2:H$7370, 3, FALSE), "")</f>
        <v>Drama, Romance</v>
      </c>
      <c r="D3150" s="2">
        <f>IF(A3150&lt;&gt;"", VLOOKUP(A3150, imdb_netflix_v5!A$2:H$7370, 4, FALSE), "")</f>
        <v>7.6</v>
      </c>
      <c r="E3150" s="2">
        <f>IF(A3150&lt;&gt;"", VLOOKUP(A3150, imdb_netflix_v5!A$2:H$7370, 5, FALSE), "")</f>
        <v>1991</v>
      </c>
      <c r="F3150" s="2" t="str">
        <f>IF(A3150&lt;&gt;"", VLOOKUP(A3150, imdb_netflix_v5!A$2:H$7370, 7, FALSE), "")</f>
        <v>NA</v>
      </c>
    </row>
    <row r="3151" ht="15.75" customHeight="1">
      <c r="A3151" s="1" t="str">
        <f>IFERROR(__xludf.DUMMYFUNCTION("""COMPUTED_VALUE"""),"goosebumps")</f>
        <v>goosebumps</v>
      </c>
      <c r="B3151" s="1" t="str">
        <f>IF(A3151&lt;&gt;"", VLOOKUP(A3151, imdb_netflix_v5!A$2:H$7370, 2, FALSE), "")</f>
        <v>TV Show</v>
      </c>
      <c r="C3151" s="2" t="str">
        <f>IF(A3151&lt;&gt;"", VLOOKUP(A3151, imdb_netflix_v5!A$2:H$7370, 3, FALSE), "")</f>
        <v>Adventure, Comedy, Drama</v>
      </c>
      <c r="D3151" s="2">
        <f>IF(A3151&lt;&gt;"", VLOOKUP(A3151, imdb_netflix_v5!A$2:H$7370, 4, FALSE), "")</f>
        <v>7.6</v>
      </c>
      <c r="E3151" s="2">
        <f>IF(A3151&lt;&gt;"", VLOOKUP(A3151, imdb_netflix_v5!A$2:H$7370, 5, FALSE), "")</f>
        <v>1995</v>
      </c>
      <c r="F3151" s="2" t="str">
        <f>IF(A3151&lt;&gt;"", VLOOKUP(A3151, imdb_netflix_v5!A$2:H$7370, 7, FALSE), "")</f>
        <v>NA</v>
      </c>
    </row>
    <row r="3152" ht="15.75" customHeight="1">
      <c r="A3152" s="1" t="str">
        <f>IFERROR(__xludf.DUMMYFUNCTION("""COMPUTED_VALUE"""),"shyam singha roy")</f>
        <v>shyam singha roy</v>
      </c>
      <c r="B3152" s="1" t="str">
        <f>IF(A3152&lt;&gt;"", VLOOKUP(A3152, imdb_netflix_v5!A$2:H$7370, 2, FALSE), "")</f>
        <v>Movie</v>
      </c>
      <c r="C3152" s="2" t="str">
        <f>IF(A3152&lt;&gt;"", VLOOKUP(A3152, imdb_netflix_v5!A$2:H$7370, 3, FALSE), "")</f>
        <v>Drama, Romance</v>
      </c>
      <c r="D3152" s="2">
        <f>IF(A3152&lt;&gt;"", VLOOKUP(A3152, imdb_netflix_v5!A$2:H$7370, 4, FALSE), "")</f>
        <v>7.6</v>
      </c>
      <c r="E3152" s="2">
        <f>IF(A3152&lt;&gt;"", VLOOKUP(A3152, imdb_netflix_v5!A$2:H$7370, 5, FALSE), "")</f>
        <v>2021</v>
      </c>
      <c r="F3152" s="2">
        <f>IF(A3152&lt;&gt;"", VLOOKUP(A3152, imdb_netflix_v5!A$2:H$7370, 7, FALSE), "")</f>
        <v>2880000</v>
      </c>
    </row>
    <row r="3153" ht="15.75" customHeight="1">
      <c r="A3153" s="1" t="str">
        <f>IFERROR(__xludf.DUMMYFUNCTION("""COMPUTED_VALUE"""),"life in a day")</f>
        <v>life in a day</v>
      </c>
      <c r="B3153" s="1" t="str">
        <f>IF(A3153&lt;&gt;"", VLOOKUP(A3153, imdb_netflix_v5!A$2:H$7370, 2, FALSE), "")</f>
        <v>Movie</v>
      </c>
      <c r="C3153" s="2" t="str">
        <f>IF(A3153&lt;&gt;"", VLOOKUP(A3153, imdb_netflix_v5!A$2:H$7370, 3, FALSE), "")</f>
        <v>Documentary, Drama</v>
      </c>
      <c r="D3153" s="2">
        <f>IF(A3153&lt;&gt;"", VLOOKUP(A3153, imdb_netflix_v5!A$2:H$7370, 4, FALSE), "")</f>
        <v>7.6</v>
      </c>
      <c r="E3153" s="2">
        <f>IF(A3153&lt;&gt;"", VLOOKUP(A3153, imdb_netflix_v5!A$2:H$7370, 5, FALSE), "")</f>
        <v>2011</v>
      </c>
      <c r="F3153" s="2" t="str">
        <f>IF(A3153&lt;&gt;"", VLOOKUP(A3153, imdb_netflix_v5!A$2:H$7370, 7, FALSE), "")</f>
        <v>NA</v>
      </c>
    </row>
    <row r="3154" ht="15.75" customHeight="1">
      <c r="A3154" s="1">
        <f>IFERROR(__xludf.DUMMYFUNCTION("""COMPUTED_VALUE"""),12.0)</f>
        <v>12</v>
      </c>
      <c r="B3154" s="1" t="str">
        <f>IF(A3154&lt;&gt;"", VLOOKUP(A3154, imdb_netflix_v5!A$2:H$7370, 2, FALSE), "")</f>
        <v>Movie</v>
      </c>
      <c r="C3154" s="2" t="str">
        <f>IF(A3154&lt;&gt;"", VLOOKUP(A3154, imdb_netflix_v5!A$2:H$7370, 3, FALSE), "")</f>
        <v>Crime, Drama, Thriller</v>
      </c>
      <c r="D3154" s="2">
        <f>IF(A3154&lt;&gt;"", VLOOKUP(A3154, imdb_netflix_v5!A$2:H$7370, 4, FALSE), "")</f>
        <v>7.6</v>
      </c>
      <c r="E3154" s="2">
        <f>IF(A3154&lt;&gt;"", VLOOKUP(A3154, imdb_netflix_v5!A$2:H$7370, 5, FALSE), "")</f>
        <v>2007</v>
      </c>
      <c r="F3154" s="2" t="str">
        <f>IF(A3154&lt;&gt;"", VLOOKUP(A3154, imdb_netflix_v5!A$2:H$7370, 7, FALSE), "")</f>
        <v>NA</v>
      </c>
    </row>
    <row r="3155" ht="15.75" customHeight="1">
      <c r="A3155" s="1" t="str">
        <f>IFERROR(__xludf.DUMMYFUNCTION("""COMPUTED_VALUE"""),"even stevens")</f>
        <v>even stevens</v>
      </c>
      <c r="B3155" s="1" t="str">
        <f>IF(A3155&lt;&gt;"", VLOOKUP(A3155, imdb_netflix_v5!A$2:H$7370, 2, FALSE), "")</f>
        <v>TV Show</v>
      </c>
      <c r="C3155" s="2" t="str">
        <f>IF(A3155&lt;&gt;"", VLOOKUP(A3155, imdb_netflix_v5!A$2:H$7370, 3, FALSE), "")</f>
        <v>Comedy, Family</v>
      </c>
      <c r="D3155" s="2">
        <f>IF(A3155&lt;&gt;"", VLOOKUP(A3155, imdb_netflix_v5!A$2:H$7370, 4, FALSE), "")</f>
        <v>7.6</v>
      </c>
      <c r="E3155" s="2">
        <f>IF(A3155&lt;&gt;"", VLOOKUP(A3155, imdb_netflix_v5!A$2:H$7370, 5, FALSE), "")</f>
        <v>2000</v>
      </c>
      <c r="F3155" s="2" t="str">
        <f>IF(A3155&lt;&gt;"", VLOOKUP(A3155, imdb_netflix_v5!A$2:H$7370, 7, FALSE), "")</f>
        <v>NA</v>
      </c>
    </row>
    <row r="3156" ht="15.75" customHeight="1">
      <c r="A3156" s="1" t="str">
        <f>IFERROR(__xludf.DUMMYFUNCTION("""COMPUTED_VALUE"""),"gun crazy")</f>
        <v>gun crazy</v>
      </c>
      <c r="B3156" s="1" t="str">
        <f>IF(A3156&lt;&gt;"", VLOOKUP(A3156, imdb_netflix_v5!A$2:H$7370, 2, FALSE), "")</f>
        <v>Movie</v>
      </c>
      <c r="C3156" s="2" t="str">
        <f>IF(A3156&lt;&gt;"", VLOOKUP(A3156, imdb_netflix_v5!A$2:H$7370, 3, FALSE), "")</f>
        <v>Crime, Drama, Film-Noir</v>
      </c>
      <c r="D3156" s="2">
        <f>IF(A3156&lt;&gt;"", VLOOKUP(A3156, imdb_netflix_v5!A$2:H$7370, 4, FALSE), "")</f>
        <v>7.6</v>
      </c>
      <c r="E3156" s="2">
        <f>IF(A3156&lt;&gt;"", VLOOKUP(A3156, imdb_netflix_v5!A$2:H$7370, 5, FALSE), "")</f>
        <v>1950</v>
      </c>
      <c r="F3156" s="2" t="str">
        <f>IF(A3156&lt;&gt;"", VLOOKUP(A3156, imdb_netflix_v5!A$2:H$7370, 7, FALSE), "")</f>
        <v>NA</v>
      </c>
    </row>
    <row r="3157" ht="15.75" customHeight="1">
      <c r="A3157" s="1" t="str">
        <f>IFERROR(__xludf.DUMMYFUNCTION("""COMPUTED_VALUE"""),"hinterland")</f>
        <v>hinterland</v>
      </c>
      <c r="B3157" s="1" t="str">
        <f>IF(A3157&lt;&gt;"", VLOOKUP(A3157, imdb_netflix_v5!A$2:H$7370, 2, FALSE), "")</f>
        <v>TV Show</v>
      </c>
      <c r="C3157" s="2" t="str">
        <f>IF(A3157&lt;&gt;"", VLOOKUP(A3157, imdb_netflix_v5!A$2:H$7370, 3, FALSE), "")</f>
        <v>Crime, Drama, Mystery</v>
      </c>
      <c r="D3157" s="2">
        <f>IF(A3157&lt;&gt;"", VLOOKUP(A3157, imdb_netflix_v5!A$2:H$7370, 4, FALSE), "")</f>
        <v>7.6</v>
      </c>
      <c r="E3157" s="2">
        <f>IF(A3157&lt;&gt;"", VLOOKUP(A3157, imdb_netflix_v5!A$2:H$7370, 5, FALSE), "")</f>
        <v>2013</v>
      </c>
      <c r="F3157" s="2" t="str">
        <f>IF(A3157&lt;&gt;"", VLOOKUP(A3157, imdb_netflix_v5!A$2:H$7370, 7, FALSE), "")</f>
        <v>NA</v>
      </c>
    </row>
    <row r="3158" ht="15.75" customHeight="1">
      <c r="A3158" s="1" t="str">
        <f>IFERROR(__xludf.DUMMYFUNCTION("""COMPUTED_VALUE"""),"leave her to heaven")</f>
        <v>leave her to heaven</v>
      </c>
      <c r="B3158" s="1" t="str">
        <f>IF(A3158&lt;&gt;"", VLOOKUP(A3158, imdb_netflix_v5!A$2:H$7370, 2, FALSE), "")</f>
        <v>Movie</v>
      </c>
      <c r="C3158" s="2" t="str">
        <f>IF(A3158&lt;&gt;"", VLOOKUP(A3158, imdb_netflix_v5!A$2:H$7370, 3, FALSE), "")</f>
        <v>Drama, Film-Noir, Romance</v>
      </c>
      <c r="D3158" s="2">
        <f>IF(A3158&lt;&gt;"", VLOOKUP(A3158, imdb_netflix_v5!A$2:H$7370, 4, FALSE), "")</f>
        <v>7.6</v>
      </c>
      <c r="E3158" s="2">
        <f>IF(A3158&lt;&gt;"", VLOOKUP(A3158, imdb_netflix_v5!A$2:H$7370, 5, FALSE), "")</f>
        <v>1945</v>
      </c>
      <c r="F3158" s="2" t="str">
        <f>IF(A3158&lt;&gt;"", VLOOKUP(A3158, imdb_netflix_v5!A$2:H$7370, 7, FALSE), "")</f>
        <v>NA</v>
      </c>
    </row>
    <row r="3159" ht="15.75" customHeight="1">
      <c r="A3159" s="1" t="str">
        <f>IFERROR(__xludf.DUMMYFUNCTION("""COMPUTED_VALUE"""),"overlord")</f>
        <v>overlord</v>
      </c>
      <c r="B3159" s="1" t="str">
        <f>IF(A3159&lt;&gt;"", VLOOKUP(A3159, imdb_netflix_v5!A$2:H$7370, 2, FALSE), "")</f>
        <v>TV Show</v>
      </c>
      <c r="C3159" s="2" t="str">
        <f>IF(A3159&lt;&gt;"", VLOOKUP(A3159, imdb_netflix_v5!A$2:H$7370, 3, FALSE), "")</f>
        <v>Action, Adventure, Animation</v>
      </c>
      <c r="D3159" s="2">
        <f>IF(A3159&lt;&gt;"", VLOOKUP(A3159, imdb_netflix_v5!A$2:H$7370, 4, FALSE), "")</f>
        <v>7.6</v>
      </c>
      <c r="E3159" s="2">
        <f>IF(A3159&lt;&gt;"", VLOOKUP(A3159, imdb_netflix_v5!A$2:H$7370, 5, FALSE), "")</f>
        <v>2015</v>
      </c>
      <c r="F3159" s="2" t="str">
        <f>IF(A3159&lt;&gt;"", VLOOKUP(A3159, imdb_netflix_v5!A$2:H$7370, 7, FALSE), "")</f>
        <v>NA</v>
      </c>
    </row>
    <row r="3160" ht="15.75" customHeight="1">
      <c r="A3160" s="1" t="str">
        <f>IFERROR(__xludf.DUMMYFUNCTION("""COMPUTED_VALUE"""),"meet john doe")</f>
        <v>meet john doe</v>
      </c>
      <c r="B3160" s="1" t="str">
        <f>IF(A3160&lt;&gt;"", VLOOKUP(A3160, imdb_netflix_v5!A$2:H$7370, 2, FALSE), "")</f>
        <v>Movie</v>
      </c>
      <c r="C3160" s="2" t="str">
        <f>IF(A3160&lt;&gt;"", VLOOKUP(A3160, imdb_netflix_v5!A$2:H$7370, 3, FALSE), "")</f>
        <v>Comedy, Drama, Romance</v>
      </c>
      <c r="D3160" s="2">
        <f>IF(A3160&lt;&gt;"", VLOOKUP(A3160, imdb_netflix_v5!A$2:H$7370, 4, FALSE), "")</f>
        <v>7.6</v>
      </c>
      <c r="E3160" s="2">
        <f>IF(A3160&lt;&gt;"", VLOOKUP(A3160, imdb_netflix_v5!A$2:H$7370, 5, FALSE), "")</f>
        <v>1941</v>
      </c>
      <c r="F3160" s="2" t="str">
        <f>IF(A3160&lt;&gt;"", VLOOKUP(A3160, imdb_netflix_v5!A$2:H$7370, 7, FALSE), "")</f>
        <v>NA</v>
      </c>
    </row>
    <row r="3161" ht="15.75" customHeight="1">
      <c r="A3161" s="1" t="str">
        <f>IFERROR(__xludf.DUMMYFUNCTION("""COMPUTED_VALUE"""),"moonage daydream")</f>
        <v>moonage daydream</v>
      </c>
      <c r="B3161" s="1" t="str">
        <f>IF(A3161&lt;&gt;"", VLOOKUP(A3161, imdb_netflix_v5!A$2:H$7370, 2, FALSE), "")</f>
        <v>Movie</v>
      </c>
      <c r="C3161" s="2" t="str">
        <f>IF(A3161&lt;&gt;"", VLOOKUP(A3161, imdb_netflix_v5!A$2:H$7370, 3, FALSE), "")</f>
        <v>Biography, Documentary, History</v>
      </c>
      <c r="D3161" s="2">
        <f>IF(A3161&lt;&gt;"", VLOOKUP(A3161, imdb_netflix_v5!A$2:H$7370, 4, FALSE), "")</f>
        <v>7.6</v>
      </c>
      <c r="E3161" s="2">
        <f>IF(A3161&lt;&gt;"", VLOOKUP(A3161, imdb_netflix_v5!A$2:H$7370, 5, FALSE), "")</f>
        <v>2022</v>
      </c>
      <c r="F3161" s="2" t="str">
        <f>IF(A3161&lt;&gt;"", VLOOKUP(A3161, imdb_netflix_v5!A$2:H$7370, 7, FALSE), "")</f>
        <v>NA</v>
      </c>
    </row>
    <row r="3162" ht="15.75" customHeight="1">
      <c r="A3162" s="1" t="str">
        <f>IFERROR(__xludf.DUMMYFUNCTION("""COMPUTED_VALUE"""),"fire of love")</f>
        <v>fire of love</v>
      </c>
      <c r="B3162" s="1" t="str">
        <f>IF(A3162&lt;&gt;"", VLOOKUP(A3162, imdb_netflix_v5!A$2:H$7370, 2, FALSE), "")</f>
        <v>Movie</v>
      </c>
      <c r="C3162" s="2" t="str">
        <f>IF(A3162&lt;&gt;"", VLOOKUP(A3162, imdb_netflix_v5!A$2:H$7370, 3, FALSE), "")</f>
        <v>Biography, Documentary</v>
      </c>
      <c r="D3162" s="2">
        <f>IF(A3162&lt;&gt;"", VLOOKUP(A3162, imdb_netflix_v5!A$2:H$7370, 4, FALSE), "")</f>
        <v>7.6</v>
      </c>
      <c r="E3162" s="2">
        <f>IF(A3162&lt;&gt;"", VLOOKUP(A3162, imdb_netflix_v5!A$2:H$7370, 5, FALSE), "")</f>
        <v>2022</v>
      </c>
      <c r="F3162" s="2" t="str">
        <f>IF(A3162&lt;&gt;"", VLOOKUP(A3162, imdb_netflix_v5!A$2:H$7370, 7, FALSE), "")</f>
        <v>NA</v>
      </c>
    </row>
    <row r="3163" ht="15.75" customHeight="1">
      <c r="A3163" s="1" t="str">
        <f>IFERROR(__xludf.DUMMYFUNCTION("""COMPUTED_VALUE"""),"madaari")</f>
        <v>madaari</v>
      </c>
      <c r="B3163" s="1" t="str">
        <f>IF(A3163&lt;&gt;"", VLOOKUP(A3163, imdb_netflix_v5!A$2:H$7370, 2, FALSE), "")</f>
        <v>Movie</v>
      </c>
      <c r="C3163" s="2" t="str">
        <f>IF(A3163&lt;&gt;"", VLOOKUP(A3163, imdb_netflix_v5!A$2:H$7370, 3, FALSE), "")</f>
        <v>Drama, Thriller</v>
      </c>
      <c r="D3163" s="2">
        <f>IF(A3163&lt;&gt;"", VLOOKUP(A3163, imdb_netflix_v5!A$2:H$7370, 4, FALSE), "")</f>
        <v>7.6</v>
      </c>
      <c r="E3163" s="2">
        <f>IF(A3163&lt;&gt;"", VLOOKUP(A3163, imdb_netflix_v5!A$2:H$7370, 5, FALSE), "")</f>
        <v>2016</v>
      </c>
      <c r="F3163" s="2" t="str">
        <f>IF(A3163&lt;&gt;"", VLOOKUP(A3163, imdb_netflix_v5!A$2:H$7370, 7, FALSE), "")</f>
        <v>NA</v>
      </c>
    </row>
    <row r="3164" ht="15.75" customHeight="1">
      <c r="A3164" s="1" t="str">
        <f>IFERROR(__xludf.DUMMYFUNCTION("""COMPUTED_VALUE"""),"rbg")</f>
        <v>rbg</v>
      </c>
      <c r="B3164" s="1" t="str">
        <f>IF(A3164&lt;&gt;"", VLOOKUP(A3164, imdb_netflix_v5!A$2:H$7370, 2, FALSE), "")</f>
        <v>Movie</v>
      </c>
      <c r="C3164" s="2" t="str">
        <f>IF(A3164&lt;&gt;"", VLOOKUP(A3164, imdb_netflix_v5!A$2:H$7370, 3, FALSE), "")</f>
        <v>Biography, Documentary</v>
      </c>
      <c r="D3164" s="2">
        <f>IF(A3164&lt;&gt;"", VLOOKUP(A3164, imdb_netflix_v5!A$2:H$7370, 4, FALSE), "")</f>
        <v>7.6</v>
      </c>
      <c r="E3164" s="2">
        <f>IF(A3164&lt;&gt;"", VLOOKUP(A3164, imdb_netflix_v5!A$2:H$7370, 5, FALSE), "")</f>
        <v>2018</v>
      </c>
      <c r="F3164" s="2" t="str">
        <f>IF(A3164&lt;&gt;"", VLOOKUP(A3164, imdb_netflix_v5!A$2:H$7370, 7, FALSE), "")</f>
        <v>NA</v>
      </c>
    </row>
    <row r="3165" ht="15.75" customHeight="1">
      <c r="A3165" s="1" t="str">
        <f>IFERROR(__xludf.DUMMYFUNCTION("""COMPUTED_VALUE"""),"all american")</f>
        <v>all american</v>
      </c>
      <c r="B3165" s="1" t="str">
        <f>IF(A3165&lt;&gt;"", VLOOKUP(A3165, imdb_netflix_v5!A$2:H$7370, 2, FALSE), "")</f>
        <v>TV Show</v>
      </c>
      <c r="C3165" s="2" t="str">
        <f>IF(A3165&lt;&gt;"", VLOOKUP(A3165, imdb_netflix_v5!A$2:H$7370, 3, FALSE), "")</f>
        <v>Drama, Sport</v>
      </c>
      <c r="D3165" s="2">
        <f>IF(A3165&lt;&gt;"", VLOOKUP(A3165, imdb_netflix_v5!A$2:H$7370, 4, FALSE), "")</f>
        <v>7.6</v>
      </c>
      <c r="E3165" s="2">
        <f>IF(A3165&lt;&gt;"", VLOOKUP(A3165, imdb_netflix_v5!A$2:H$7370, 5, FALSE), "")</f>
        <v>2018</v>
      </c>
      <c r="F3165" s="2">
        <f>IF(A3165&lt;&gt;"", VLOOKUP(A3165, imdb_netflix_v5!A$2:H$7370, 7, FALSE), "")</f>
        <v>10830000</v>
      </c>
    </row>
    <row r="3166" ht="15.75" customHeight="1">
      <c r="A3166" s="1" t="str">
        <f>IFERROR(__xludf.DUMMYFUNCTION("""COMPUTED_VALUE"""),"what happened, miss simone?")</f>
        <v>what happened, miss simone?</v>
      </c>
      <c r="B3166" s="1" t="str">
        <f>IF(A3166&lt;&gt;"", VLOOKUP(A3166, imdb_netflix_v5!A$2:H$7370, 2, FALSE), "")</f>
        <v>Movie</v>
      </c>
      <c r="C3166" s="2" t="str">
        <f>IF(A3166&lt;&gt;"", VLOOKUP(A3166, imdb_netflix_v5!A$2:H$7370, 3, FALSE), "")</f>
        <v>Biography, Documentary, Music</v>
      </c>
      <c r="D3166" s="2">
        <f>IF(A3166&lt;&gt;"", VLOOKUP(A3166, imdb_netflix_v5!A$2:H$7370, 4, FALSE), "")</f>
        <v>7.6</v>
      </c>
      <c r="E3166" s="2">
        <f>IF(A3166&lt;&gt;"", VLOOKUP(A3166, imdb_netflix_v5!A$2:H$7370, 5, FALSE), "")</f>
        <v>2015</v>
      </c>
      <c r="F3166" s="2" t="str">
        <f>IF(A3166&lt;&gt;"", VLOOKUP(A3166, imdb_netflix_v5!A$2:H$7370, 7, FALSE), "")</f>
        <v>NA</v>
      </c>
    </row>
    <row r="3167" ht="15.75" customHeight="1">
      <c r="A3167" s="1" t="str">
        <f>IFERROR(__xludf.DUMMYFUNCTION("""COMPUTED_VALUE"""),"degrassi the next generation")</f>
        <v>degrassi the next generation</v>
      </c>
      <c r="B3167" s="1" t="str">
        <f>IF(A3167&lt;&gt;"", VLOOKUP(A3167, imdb_netflix_v5!A$2:H$7370, 2, FALSE), "")</f>
        <v>TV Show</v>
      </c>
      <c r="C3167" s="2" t="str">
        <f>IF(A3167&lt;&gt;"", VLOOKUP(A3167, imdb_netflix_v5!A$2:H$7370, 3, FALSE), "")</f>
        <v>Drama, Romance</v>
      </c>
      <c r="D3167" s="2">
        <f>IF(A3167&lt;&gt;"", VLOOKUP(A3167, imdb_netflix_v5!A$2:H$7370, 4, FALSE), "")</f>
        <v>7.6</v>
      </c>
      <c r="E3167" s="2">
        <f>IF(A3167&lt;&gt;"", VLOOKUP(A3167, imdb_netflix_v5!A$2:H$7370, 5, FALSE), "")</f>
        <v>2001</v>
      </c>
      <c r="F3167" s="2" t="str">
        <f>IF(A3167&lt;&gt;"", VLOOKUP(A3167, imdb_netflix_v5!A$2:H$7370, 7, FALSE), "")</f>
        <v>NA</v>
      </c>
    </row>
    <row r="3168" ht="15.75" customHeight="1">
      <c r="A3168" s="1" t="str">
        <f>IFERROR(__xludf.DUMMYFUNCTION("""COMPUTED_VALUE"""),"teenage bounty hunters")</f>
        <v>teenage bounty hunters</v>
      </c>
      <c r="B3168" s="1" t="str">
        <f>IF(A3168&lt;&gt;"", VLOOKUP(A3168, imdb_netflix_v5!A$2:H$7370, 2, FALSE), "")</f>
        <v>TV Show</v>
      </c>
      <c r="C3168" s="2" t="str">
        <f>IF(A3168&lt;&gt;"", VLOOKUP(A3168, imdb_netflix_v5!A$2:H$7370, 3, FALSE), "")</f>
        <v>Comedy, Crime, Drama</v>
      </c>
      <c r="D3168" s="2">
        <f>IF(A3168&lt;&gt;"", VLOOKUP(A3168, imdb_netflix_v5!A$2:H$7370, 4, FALSE), "")</f>
        <v>7.6</v>
      </c>
      <c r="E3168" s="2">
        <f>IF(A3168&lt;&gt;"", VLOOKUP(A3168, imdb_netflix_v5!A$2:H$7370, 5, FALSE), "")</f>
        <v>2020</v>
      </c>
      <c r="F3168" s="2" t="str">
        <f>IF(A3168&lt;&gt;"", VLOOKUP(A3168, imdb_netflix_v5!A$2:H$7370, 7, FALSE), "")</f>
        <v>NA</v>
      </c>
    </row>
    <row r="3169" ht="15.75" customHeight="1">
      <c r="A3169" s="1" t="str">
        <f>IFERROR(__xludf.DUMMYFUNCTION("""COMPUTED_VALUE"""),"project blue book")</f>
        <v>project blue book</v>
      </c>
      <c r="B3169" s="1" t="str">
        <f>IF(A3169&lt;&gt;"", VLOOKUP(A3169, imdb_netflix_v5!A$2:H$7370, 2, FALSE), "")</f>
        <v>TV Show</v>
      </c>
      <c r="C3169" s="2" t="str">
        <f>IF(A3169&lt;&gt;"", VLOOKUP(A3169, imdb_netflix_v5!A$2:H$7370, 3, FALSE), "")</f>
        <v>Drama, Mystery, Sci-Fi</v>
      </c>
      <c r="D3169" s="2">
        <f>IF(A3169&lt;&gt;"", VLOOKUP(A3169, imdb_netflix_v5!A$2:H$7370, 4, FALSE), "")</f>
        <v>7.6</v>
      </c>
      <c r="E3169" s="2">
        <f>IF(A3169&lt;&gt;"", VLOOKUP(A3169, imdb_netflix_v5!A$2:H$7370, 5, FALSE), "")</f>
        <v>2019</v>
      </c>
      <c r="F3169" s="2" t="str">
        <f>IF(A3169&lt;&gt;"", VLOOKUP(A3169, imdb_netflix_v5!A$2:H$7370, 7, FALSE), "")</f>
        <v>NA</v>
      </c>
    </row>
    <row r="3170" ht="15.75" customHeight="1">
      <c r="A3170" s="1" t="str">
        <f>IFERROR(__xludf.DUMMYFUNCTION("""COMPUTED_VALUE"""),"and then we danced")</f>
        <v>and then we danced</v>
      </c>
      <c r="B3170" s="1" t="str">
        <f>IF(A3170&lt;&gt;"", VLOOKUP(A3170, imdb_netflix_v5!A$2:H$7370, 2, FALSE), "")</f>
        <v>Movie</v>
      </c>
      <c r="C3170" s="2" t="str">
        <f>IF(A3170&lt;&gt;"", VLOOKUP(A3170, imdb_netflix_v5!A$2:H$7370, 3, FALSE), "")</f>
        <v>Drama, Romance</v>
      </c>
      <c r="D3170" s="2">
        <f>IF(A3170&lt;&gt;"", VLOOKUP(A3170, imdb_netflix_v5!A$2:H$7370, 4, FALSE), "")</f>
        <v>7.6</v>
      </c>
      <c r="E3170" s="2">
        <f>IF(A3170&lt;&gt;"", VLOOKUP(A3170, imdb_netflix_v5!A$2:H$7370, 5, FALSE), "")</f>
        <v>2019</v>
      </c>
      <c r="F3170" s="2" t="str">
        <f>IF(A3170&lt;&gt;"", VLOOKUP(A3170, imdb_netflix_v5!A$2:H$7370, 7, FALSE), "")</f>
        <v>NA</v>
      </c>
    </row>
    <row r="3171" ht="15.75" customHeight="1">
      <c r="A3171" s="1" t="str">
        <f>IFERROR(__xludf.DUMMYFUNCTION("""COMPUTED_VALUE"""),"lost horizon")</f>
        <v>lost horizon</v>
      </c>
      <c r="B3171" s="1" t="str">
        <f>IF(A3171&lt;&gt;"", VLOOKUP(A3171, imdb_netflix_v5!A$2:H$7370, 2, FALSE), "")</f>
        <v>Movie</v>
      </c>
      <c r="C3171" s="2" t="str">
        <f>IF(A3171&lt;&gt;"", VLOOKUP(A3171, imdb_netflix_v5!A$2:H$7370, 3, FALSE), "")</f>
        <v>Adventure, Drama, Fantasy</v>
      </c>
      <c r="D3171" s="2">
        <f>IF(A3171&lt;&gt;"", VLOOKUP(A3171, imdb_netflix_v5!A$2:H$7370, 4, FALSE), "")</f>
        <v>7.6</v>
      </c>
      <c r="E3171" s="2">
        <f>IF(A3171&lt;&gt;"", VLOOKUP(A3171, imdb_netflix_v5!A$2:H$7370, 5, FALSE), "")</f>
        <v>1937</v>
      </c>
      <c r="F3171" s="2" t="str">
        <f>IF(A3171&lt;&gt;"", VLOOKUP(A3171, imdb_netflix_v5!A$2:H$7370, 7, FALSE), "")</f>
        <v>NA</v>
      </c>
    </row>
    <row r="3172" ht="15.75" customHeight="1">
      <c r="A3172" s="1" t="str">
        <f>IFERROR(__xludf.DUMMYFUNCTION("""COMPUTED_VALUE"""),"wake in fright")</f>
        <v>wake in fright</v>
      </c>
      <c r="B3172" s="1" t="str">
        <f>IF(A3172&lt;&gt;"", VLOOKUP(A3172, imdb_netflix_v5!A$2:H$7370, 2, FALSE), "")</f>
        <v>Movie</v>
      </c>
      <c r="C3172" s="2" t="str">
        <f>IF(A3172&lt;&gt;"", VLOOKUP(A3172, imdb_netflix_v5!A$2:H$7370, 3, FALSE), "")</f>
        <v>Drama, Thriller</v>
      </c>
      <c r="D3172" s="2">
        <f>IF(A3172&lt;&gt;"", VLOOKUP(A3172, imdb_netflix_v5!A$2:H$7370, 4, FALSE), "")</f>
        <v>7.6</v>
      </c>
      <c r="E3172" s="2">
        <f>IF(A3172&lt;&gt;"", VLOOKUP(A3172, imdb_netflix_v5!A$2:H$7370, 5, FALSE), "")</f>
        <v>1971</v>
      </c>
      <c r="F3172" s="2" t="str">
        <f>IF(A3172&lt;&gt;"", VLOOKUP(A3172, imdb_netflix_v5!A$2:H$7370, 7, FALSE), "")</f>
        <v>NA</v>
      </c>
    </row>
    <row r="3173" ht="15.75" customHeight="1">
      <c r="A3173" s="1" t="str">
        <f>IFERROR(__xludf.DUMMYFUNCTION("""COMPUTED_VALUE"""),"the miracle")</f>
        <v>the miracle</v>
      </c>
      <c r="B3173" s="1" t="str">
        <f>IF(A3173&lt;&gt;"", VLOOKUP(A3173, imdb_netflix_v5!A$2:H$7370, 2, FALSE), "")</f>
        <v>Movie</v>
      </c>
      <c r="C3173" s="2" t="str">
        <f>IF(A3173&lt;&gt;"", VLOOKUP(A3173, imdb_netflix_v5!A$2:H$7370, 3, FALSE), "")</f>
        <v>Comedy, Drama, History</v>
      </c>
      <c r="D3173" s="2">
        <f>IF(A3173&lt;&gt;"", VLOOKUP(A3173, imdb_netflix_v5!A$2:H$7370, 4, FALSE), "")</f>
        <v>7.6</v>
      </c>
      <c r="E3173" s="2">
        <f>IF(A3173&lt;&gt;"", VLOOKUP(A3173, imdb_netflix_v5!A$2:H$7370, 5, FALSE), "")</f>
        <v>2015</v>
      </c>
      <c r="F3173" s="2" t="str">
        <f>IF(A3173&lt;&gt;"", VLOOKUP(A3173, imdb_netflix_v5!A$2:H$7370, 7, FALSE), "")</f>
        <v>NA</v>
      </c>
    </row>
    <row r="3174" ht="15.75" customHeight="1">
      <c r="A3174" s="1" t="str">
        <f>IFERROR(__xludf.DUMMYFUNCTION("""COMPUTED_VALUE"""),"franklin &amp; bash")</f>
        <v>franklin &amp; bash</v>
      </c>
      <c r="B3174" s="1" t="str">
        <f>IF(A3174&lt;&gt;"", VLOOKUP(A3174, imdb_netflix_v5!A$2:H$7370, 2, FALSE), "")</f>
        <v>TV Show</v>
      </c>
      <c r="C3174" s="2" t="str">
        <f>IF(A3174&lt;&gt;"", VLOOKUP(A3174, imdb_netflix_v5!A$2:H$7370, 3, FALSE), "")</f>
        <v>Comedy, Crime, Drama</v>
      </c>
      <c r="D3174" s="2">
        <f>IF(A3174&lt;&gt;"", VLOOKUP(A3174, imdb_netflix_v5!A$2:H$7370, 4, FALSE), "")</f>
        <v>7.6</v>
      </c>
      <c r="E3174" s="2">
        <f>IF(A3174&lt;&gt;"", VLOOKUP(A3174, imdb_netflix_v5!A$2:H$7370, 5, FALSE), "")</f>
        <v>2011</v>
      </c>
      <c r="F3174" s="2" t="str">
        <f>IF(A3174&lt;&gt;"", VLOOKUP(A3174, imdb_netflix_v5!A$2:H$7370, 7, FALSE), "")</f>
        <v>NA</v>
      </c>
    </row>
    <row r="3175" ht="15.75" customHeight="1">
      <c r="A3175" s="1" t="str">
        <f>IFERROR(__xludf.DUMMYFUNCTION("""COMPUTED_VALUE"""),"carlos")</f>
        <v>carlos</v>
      </c>
      <c r="B3175" s="1" t="str">
        <f>IF(A3175&lt;&gt;"", VLOOKUP(A3175, imdb_netflix_v5!A$2:H$7370, 2, FALSE), "")</f>
        <v>TV Show</v>
      </c>
      <c r="C3175" s="2" t="str">
        <f>IF(A3175&lt;&gt;"", VLOOKUP(A3175, imdb_netflix_v5!A$2:H$7370, 3, FALSE), "")</f>
        <v>Biography, Crime, Drama</v>
      </c>
      <c r="D3175" s="2">
        <f>IF(A3175&lt;&gt;"", VLOOKUP(A3175, imdb_netflix_v5!A$2:H$7370, 4, FALSE), "")</f>
        <v>7.6</v>
      </c>
      <c r="E3175" s="2">
        <f>IF(A3175&lt;&gt;"", VLOOKUP(A3175, imdb_netflix_v5!A$2:H$7370, 5, FALSE), "")</f>
        <v>2010</v>
      </c>
      <c r="F3175" s="2" t="str">
        <f>IF(A3175&lt;&gt;"", VLOOKUP(A3175, imdb_netflix_v5!A$2:H$7370, 7, FALSE), "")</f>
        <v>NA</v>
      </c>
    </row>
    <row r="3176" ht="15.75" customHeight="1">
      <c r="A3176" s="1" t="str">
        <f>IFERROR(__xludf.DUMMYFUNCTION("""COMPUTED_VALUE"""),"the swimmer")</f>
        <v>the swimmer</v>
      </c>
      <c r="B3176" s="1" t="str">
        <f>IF(A3176&lt;&gt;"", VLOOKUP(A3176, imdb_netflix_v5!A$2:H$7370, 2, FALSE), "")</f>
        <v>Movie</v>
      </c>
      <c r="C3176" s="2" t="str">
        <f>IF(A3176&lt;&gt;"", VLOOKUP(A3176, imdb_netflix_v5!A$2:H$7370, 3, FALSE), "")</f>
        <v>Drama</v>
      </c>
      <c r="D3176" s="2">
        <f>IF(A3176&lt;&gt;"", VLOOKUP(A3176, imdb_netflix_v5!A$2:H$7370, 4, FALSE), "")</f>
        <v>7.6</v>
      </c>
      <c r="E3176" s="2">
        <f>IF(A3176&lt;&gt;"", VLOOKUP(A3176, imdb_netflix_v5!A$2:H$7370, 5, FALSE), "")</f>
        <v>1968</v>
      </c>
      <c r="F3176" s="2" t="str">
        <f>IF(A3176&lt;&gt;"", VLOOKUP(A3176, imdb_netflix_v5!A$2:H$7370, 7, FALSE), "")</f>
        <v>NA</v>
      </c>
    </row>
    <row r="3177" ht="15.75" customHeight="1">
      <c r="A3177" s="1" t="str">
        <f>IFERROR(__xludf.DUMMYFUNCTION("""COMPUTED_VALUE"""),"dahaad")</f>
        <v>dahaad</v>
      </c>
      <c r="B3177" s="1" t="str">
        <f>IF(A3177&lt;&gt;"", VLOOKUP(A3177, imdb_netflix_v5!A$2:H$7370, 2, FALSE), "")</f>
        <v>TV Show</v>
      </c>
      <c r="C3177" s="2" t="str">
        <f>IF(A3177&lt;&gt;"", VLOOKUP(A3177, imdb_netflix_v5!A$2:H$7370, 3, FALSE), "")</f>
        <v>Crime, Drama, Mystery</v>
      </c>
      <c r="D3177" s="2">
        <f>IF(A3177&lt;&gt;"", VLOOKUP(A3177, imdb_netflix_v5!A$2:H$7370, 4, FALSE), "")</f>
        <v>7.6</v>
      </c>
      <c r="E3177" s="2">
        <f>IF(A3177&lt;&gt;"", VLOOKUP(A3177, imdb_netflix_v5!A$2:H$7370, 5, FALSE), "")</f>
        <v>2023</v>
      </c>
      <c r="F3177" s="2" t="str">
        <f>IF(A3177&lt;&gt;"", VLOOKUP(A3177, imdb_netflix_v5!A$2:H$7370, 7, FALSE), "")</f>
        <v>NA</v>
      </c>
    </row>
    <row r="3178" ht="15.75" customHeight="1">
      <c r="A3178" s="1" t="str">
        <f>IFERROR(__xludf.DUMMYFUNCTION("""COMPUTED_VALUE"""),"the color of pomegranates")</f>
        <v>the color of pomegranates</v>
      </c>
      <c r="B3178" s="1" t="str">
        <f>IF(A3178&lt;&gt;"", VLOOKUP(A3178, imdb_netflix_v5!A$2:H$7370, 2, FALSE), "")</f>
        <v>Movie</v>
      </c>
      <c r="C3178" s="2" t="str">
        <f>IF(A3178&lt;&gt;"", VLOOKUP(A3178, imdb_netflix_v5!A$2:H$7370, 3, FALSE), "")</f>
        <v>Biography, Drama, History</v>
      </c>
      <c r="D3178" s="2">
        <f>IF(A3178&lt;&gt;"", VLOOKUP(A3178, imdb_netflix_v5!A$2:H$7370, 4, FALSE), "")</f>
        <v>7.6</v>
      </c>
      <c r="E3178" s="2">
        <f>IF(A3178&lt;&gt;"", VLOOKUP(A3178, imdb_netflix_v5!A$2:H$7370, 5, FALSE), "")</f>
        <v>1969</v>
      </c>
      <c r="F3178" s="2" t="str">
        <f>IF(A3178&lt;&gt;"", VLOOKUP(A3178, imdb_netflix_v5!A$2:H$7370, 7, FALSE), "")</f>
        <v>NA</v>
      </c>
    </row>
    <row r="3179" ht="15.75" customHeight="1">
      <c r="A3179" s="1" t="str">
        <f>IFERROR(__xludf.DUMMYFUNCTION("""COMPUTED_VALUE"""),"better days")</f>
        <v>better days</v>
      </c>
      <c r="B3179" s="1" t="str">
        <f>IF(A3179&lt;&gt;"", VLOOKUP(A3179, imdb_netflix_v5!A$2:H$7370, 2, FALSE), "")</f>
        <v>Movie</v>
      </c>
      <c r="C3179" s="2" t="str">
        <f>IF(A3179&lt;&gt;"", VLOOKUP(A3179, imdb_netflix_v5!A$2:H$7370, 3, FALSE), "")</f>
        <v>Crime, Drama, Romance</v>
      </c>
      <c r="D3179" s="2">
        <f>IF(A3179&lt;&gt;"", VLOOKUP(A3179, imdb_netflix_v5!A$2:H$7370, 4, FALSE), "")</f>
        <v>7.6</v>
      </c>
      <c r="E3179" s="2">
        <f>IF(A3179&lt;&gt;"", VLOOKUP(A3179, imdb_netflix_v5!A$2:H$7370, 5, FALSE), "")</f>
        <v>2019</v>
      </c>
      <c r="F3179" s="2" t="str">
        <f>IF(A3179&lt;&gt;"", VLOOKUP(A3179, imdb_netflix_v5!A$2:H$7370, 7, FALSE), "")</f>
        <v>NA</v>
      </c>
    </row>
    <row r="3180" ht="15.75" customHeight="1">
      <c r="A3180" s="1" t="str">
        <f>IFERROR(__xludf.DUMMYFUNCTION("""COMPUTED_VALUE"""),"io capitano")</f>
        <v>io capitano</v>
      </c>
      <c r="B3180" s="1" t="str">
        <f>IF(A3180&lt;&gt;"", VLOOKUP(A3180, imdb_netflix_v5!A$2:H$7370, 2, FALSE), "")</f>
        <v>Movie</v>
      </c>
      <c r="C3180" s="2" t="str">
        <f>IF(A3180&lt;&gt;"", VLOOKUP(A3180, imdb_netflix_v5!A$2:H$7370, 3, FALSE), "")</f>
        <v>Drama</v>
      </c>
      <c r="D3180" s="2">
        <f>IF(A3180&lt;&gt;"", VLOOKUP(A3180, imdb_netflix_v5!A$2:H$7370, 4, FALSE), "")</f>
        <v>7.6</v>
      </c>
      <c r="E3180" s="2">
        <f>IF(A3180&lt;&gt;"", VLOOKUP(A3180, imdb_netflix_v5!A$2:H$7370, 5, FALSE), "")</f>
        <v>2023</v>
      </c>
      <c r="F3180" s="2" t="str">
        <f>IF(A3180&lt;&gt;"", VLOOKUP(A3180, imdb_netflix_v5!A$2:H$7370, 7, FALSE), "")</f>
        <v>NA</v>
      </c>
    </row>
    <row r="3181" ht="15.75" customHeight="1">
      <c r="A3181" s="1" t="str">
        <f>IFERROR(__xludf.DUMMYFUNCTION("""COMPUTED_VALUE"""),"closely watched trains")</f>
        <v>closely watched trains</v>
      </c>
      <c r="B3181" s="1" t="str">
        <f>IF(A3181&lt;&gt;"", VLOOKUP(A3181, imdb_netflix_v5!A$2:H$7370, 2, FALSE), "")</f>
        <v>Movie</v>
      </c>
      <c r="C3181" s="2" t="str">
        <f>IF(A3181&lt;&gt;"", VLOOKUP(A3181, imdb_netflix_v5!A$2:H$7370, 3, FALSE), "")</f>
        <v>Comedy, Drama, Romance</v>
      </c>
      <c r="D3181" s="2">
        <f>IF(A3181&lt;&gt;"", VLOOKUP(A3181, imdb_netflix_v5!A$2:H$7370, 4, FALSE), "")</f>
        <v>7.6</v>
      </c>
      <c r="E3181" s="2">
        <f>IF(A3181&lt;&gt;"", VLOOKUP(A3181, imdb_netflix_v5!A$2:H$7370, 5, FALSE), "")</f>
        <v>1966</v>
      </c>
      <c r="F3181" s="2" t="str">
        <f>IF(A3181&lt;&gt;"", VLOOKUP(A3181, imdb_netflix_v5!A$2:H$7370, 7, FALSE), "")</f>
        <v>NA</v>
      </c>
    </row>
    <row r="3182" ht="15.75" customHeight="1">
      <c r="A3182" s="1" t="str">
        <f>IFERROR(__xludf.DUMMYFUNCTION("""COMPUTED_VALUE"""),"young woman and the sea")</f>
        <v>young woman and the sea</v>
      </c>
      <c r="B3182" s="1" t="str">
        <f>IF(A3182&lt;&gt;"", VLOOKUP(A3182, imdb_netflix_v5!A$2:H$7370, 2, FALSE), "")</f>
        <v>Movie</v>
      </c>
      <c r="C3182" s="2" t="str">
        <f>IF(A3182&lt;&gt;"", VLOOKUP(A3182, imdb_netflix_v5!A$2:H$7370, 3, FALSE), "")</f>
        <v>Biography, Drama, Romance</v>
      </c>
      <c r="D3182" s="2">
        <f>IF(A3182&lt;&gt;"", VLOOKUP(A3182, imdb_netflix_v5!A$2:H$7370, 4, FALSE), "")</f>
        <v>7.6</v>
      </c>
      <c r="E3182" s="2">
        <f>IF(A3182&lt;&gt;"", VLOOKUP(A3182, imdb_netflix_v5!A$2:H$7370, 5, FALSE), "")</f>
        <v>2024</v>
      </c>
      <c r="F3182" s="2" t="str">
        <f>IF(A3182&lt;&gt;"", VLOOKUP(A3182, imdb_netflix_v5!A$2:H$7370, 7, FALSE), "")</f>
        <v>NA</v>
      </c>
    </row>
    <row r="3183" ht="15.75" customHeight="1">
      <c r="A3183" s="1" t="str">
        <f>IFERROR(__xludf.DUMMYFUNCTION("""COMPUTED_VALUE"""),"soldier of orange")</f>
        <v>soldier of orange</v>
      </c>
      <c r="B3183" s="1" t="str">
        <f>IF(A3183&lt;&gt;"", VLOOKUP(A3183, imdb_netflix_v5!A$2:H$7370, 2, FALSE), "")</f>
        <v>Movie</v>
      </c>
      <c r="C3183" s="2" t="str">
        <f>IF(A3183&lt;&gt;"", VLOOKUP(A3183, imdb_netflix_v5!A$2:H$7370, 3, FALSE), "")</f>
        <v>Drama, Romance, Thriller</v>
      </c>
      <c r="D3183" s="2">
        <f>IF(A3183&lt;&gt;"", VLOOKUP(A3183, imdb_netflix_v5!A$2:H$7370, 4, FALSE), "")</f>
        <v>7.6</v>
      </c>
      <c r="E3183" s="2">
        <f>IF(A3183&lt;&gt;"", VLOOKUP(A3183, imdb_netflix_v5!A$2:H$7370, 5, FALSE), "")</f>
        <v>1977</v>
      </c>
      <c r="F3183" s="2" t="str">
        <f>IF(A3183&lt;&gt;"", VLOOKUP(A3183, imdb_netflix_v5!A$2:H$7370, 7, FALSE), "")</f>
        <v>NA</v>
      </c>
    </row>
    <row r="3184" ht="15.75" customHeight="1">
      <c r="A3184" s="1" t="str">
        <f>IFERROR(__xludf.DUMMYFUNCTION("""COMPUTED_VALUE"""),"search party")</f>
        <v>search party</v>
      </c>
      <c r="B3184" s="1" t="str">
        <f>IF(A3184&lt;&gt;"", VLOOKUP(A3184, imdb_netflix_v5!A$2:H$7370, 2, FALSE), "")</f>
        <v>TV Show</v>
      </c>
      <c r="C3184" s="2" t="str">
        <f>IF(A3184&lt;&gt;"", VLOOKUP(A3184, imdb_netflix_v5!A$2:H$7370, 3, FALSE), "")</f>
        <v>Comedy, Crime, Drama</v>
      </c>
      <c r="D3184" s="2">
        <f>IF(A3184&lt;&gt;"", VLOOKUP(A3184, imdb_netflix_v5!A$2:H$7370, 4, FALSE), "")</f>
        <v>7.6</v>
      </c>
      <c r="E3184" s="2">
        <f>IF(A3184&lt;&gt;"", VLOOKUP(A3184, imdb_netflix_v5!A$2:H$7370, 5, FALSE), "")</f>
        <v>2016</v>
      </c>
      <c r="F3184" s="2" t="str">
        <f>IF(A3184&lt;&gt;"", VLOOKUP(A3184, imdb_netflix_v5!A$2:H$7370, 7, FALSE), "")</f>
        <v>NA</v>
      </c>
    </row>
    <row r="3185" ht="15.75" customHeight="1">
      <c r="A3185" s="1" t="str">
        <f>IFERROR(__xludf.DUMMYFUNCTION("""COMPUTED_VALUE"""),"the gospel according to st. matthew")</f>
        <v>the gospel according to st. matthew</v>
      </c>
      <c r="B3185" s="1" t="str">
        <f>IF(A3185&lt;&gt;"", VLOOKUP(A3185, imdb_netflix_v5!A$2:H$7370, 2, FALSE), "")</f>
        <v>Movie</v>
      </c>
      <c r="C3185" s="2" t="str">
        <f>IF(A3185&lt;&gt;"", VLOOKUP(A3185, imdb_netflix_v5!A$2:H$7370, 3, FALSE), "")</f>
        <v>Biography, Drama, History</v>
      </c>
      <c r="D3185" s="2">
        <f>IF(A3185&lt;&gt;"", VLOOKUP(A3185, imdb_netflix_v5!A$2:H$7370, 4, FALSE), "")</f>
        <v>7.6</v>
      </c>
      <c r="E3185" s="2">
        <f>IF(A3185&lt;&gt;"", VLOOKUP(A3185, imdb_netflix_v5!A$2:H$7370, 5, FALSE), "")</f>
        <v>1964</v>
      </c>
      <c r="F3185" s="2" t="str">
        <f>IF(A3185&lt;&gt;"", VLOOKUP(A3185, imdb_netflix_v5!A$2:H$7370, 7, FALSE), "")</f>
        <v>NA</v>
      </c>
    </row>
    <row r="3186" ht="15.75" customHeight="1">
      <c r="A3186" s="1" t="str">
        <f>IFERROR(__xludf.DUMMYFUNCTION("""COMPUTED_VALUE"""),"video game high school")</f>
        <v>video game high school</v>
      </c>
      <c r="B3186" s="1" t="str">
        <f>IF(A3186&lt;&gt;"", VLOOKUP(A3186, imdb_netflix_v5!A$2:H$7370, 2, FALSE), "")</f>
        <v>TV Show</v>
      </c>
      <c r="C3186" s="2" t="str">
        <f>IF(A3186&lt;&gt;"", VLOOKUP(A3186, imdb_netflix_v5!A$2:H$7370, 3, FALSE), "")</f>
        <v>Action, Romance, Sci-Fi</v>
      </c>
      <c r="D3186" s="2">
        <f>IF(A3186&lt;&gt;"", VLOOKUP(A3186, imdb_netflix_v5!A$2:H$7370, 4, FALSE), "")</f>
        <v>7.6</v>
      </c>
      <c r="E3186" s="2">
        <f>IF(A3186&lt;&gt;"", VLOOKUP(A3186, imdb_netflix_v5!A$2:H$7370, 5, FALSE), "")</f>
        <v>2012</v>
      </c>
      <c r="F3186" s="2" t="str">
        <f>IF(A3186&lt;&gt;"", VLOOKUP(A3186, imdb_netflix_v5!A$2:H$7370, 7, FALSE), "")</f>
        <v>NA</v>
      </c>
    </row>
    <row r="3187" ht="15.75" customHeight="1">
      <c r="A3187" s="1" t="str">
        <f>IFERROR(__xludf.DUMMYFUNCTION("""COMPUTED_VALUE"""),"fireworks wednesday")</f>
        <v>fireworks wednesday</v>
      </c>
      <c r="B3187" s="1" t="str">
        <f>IF(A3187&lt;&gt;"", VLOOKUP(A3187, imdb_netflix_v5!A$2:H$7370, 2, FALSE), "")</f>
        <v>Movie</v>
      </c>
      <c r="C3187" s="2" t="str">
        <f>IF(A3187&lt;&gt;"", VLOOKUP(A3187, imdb_netflix_v5!A$2:H$7370, 3, FALSE), "")</f>
        <v>Drama, Mystery, Romance</v>
      </c>
      <c r="D3187" s="2">
        <f>IF(A3187&lt;&gt;"", VLOOKUP(A3187, imdb_netflix_v5!A$2:H$7370, 4, FALSE), "")</f>
        <v>7.6</v>
      </c>
      <c r="E3187" s="2">
        <f>IF(A3187&lt;&gt;"", VLOOKUP(A3187, imdb_netflix_v5!A$2:H$7370, 5, FALSE), "")</f>
        <v>2006</v>
      </c>
      <c r="F3187" s="2" t="str">
        <f>IF(A3187&lt;&gt;"", VLOOKUP(A3187, imdb_netflix_v5!A$2:H$7370, 7, FALSE), "")</f>
        <v>NA</v>
      </c>
    </row>
    <row r="3188" ht="15.75" customHeight="1">
      <c r="A3188" s="1" t="str">
        <f>IFERROR(__xludf.DUMMYFUNCTION("""COMPUTED_VALUE"""),"sipahi")</f>
        <v>sipahi</v>
      </c>
      <c r="B3188" s="1" t="str">
        <f>IF(A3188&lt;&gt;"", VLOOKUP(A3188, imdb_netflix_v5!A$2:H$7370, 2, FALSE), "")</f>
        <v>Movie</v>
      </c>
      <c r="C3188" s="2" t="str">
        <f>IF(A3188&lt;&gt;"", VLOOKUP(A3188, imdb_netflix_v5!A$2:H$7370, 3, FALSE), "")</f>
        <v>Drama</v>
      </c>
      <c r="D3188" s="2">
        <f>IF(A3188&lt;&gt;"", VLOOKUP(A3188, imdb_netflix_v5!A$2:H$7370, 4, FALSE), "")</f>
        <v>7.6</v>
      </c>
      <c r="E3188" s="2">
        <f>IF(A3188&lt;&gt;"", VLOOKUP(A3188, imdb_netflix_v5!A$2:H$7370, 5, FALSE), "")</f>
        <v>2024</v>
      </c>
      <c r="F3188" s="2" t="str">
        <f>IF(A3188&lt;&gt;"", VLOOKUP(A3188, imdb_netflix_v5!A$2:H$7370, 7, FALSE), "")</f>
        <v>NA</v>
      </c>
    </row>
    <row r="3189" ht="15.75" customHeight="1">
      <c r="A3189" s="1" t="str">
        <f>IFERROR(__xludf.DUMMYFUNCTION("""COMPUTED_VALUE"""),"nanook of the north")</f>
        <v>nanook of the north</v>
      </c>
      <c r="B3189" s="1" t="str">
        <f>IF(A3189&lt;&gt;"", VLOOKUP(A3189, imdb_netflix_v5!A$2:H$7370, 2, FALSE), "")</f>
        <v>Movie</v>
      </c>
      <c r="C3189" s="2" t="str">
        <f>IF(A3189&lt;&gt;"", VLOOKUP(A3189, imdb_netflix_v5!A$2:H$7370, 3, FALSE), "")</f>
        <v>Documentary</v>
      </c>
      <c r="D3189" s="2">
        <f>IF(A3189&lt;&gt;"", VLOOKUP(A3189, imdb_netflix_v5!A$2:H$7370, 4, FALSE), "")</f>
        <v>7.6</v>
      </c>
      <c r="E3189" s="2">
        <f>IF(A3189&lt;&gt;"", VLOOKUP(A3189, imdb_netflix_v5!A$2:H$7370, 5, FALSE), "")</f>
        <v>1922</v>
      </c>
      <c r="F3189" s="2" t="str">
        <f>IF(A3189&lt;&gt;"", VLOOKUP(A3189, imdb_netflix_v5!A$2:H$7370, 7, FALSE), "")</f>
        <v>NA</v>
      </c>
    </row>
    <row r="3190" ht="15.75" customHeight="1">
      <c r="A3190" s="1" t="str">
        <f>IFERROR(__xludf.DUMMYFUNCTION("""COMPUTED_VALUE"""),"side by side")</f>
        <v>side by side</v>
      </c>
      <c r="B3190" s="1" t="str">
        <f>IF(A3190&lt;&gt;"", VLOOKUP(A3190, imdb_netflix_v5!A$2:H$7370, 2, FALSE), "")</f>
        <v>Movie</v>
      </c>
      <c r="C3190" s="2" t="str">
        <f>IF(A3190&lt;&gt;"", VLOOKUP(A3190, imdb_netflix_v5!A$2:H$7370, 3, FALSE), "")</f>
        <v>Documentary</v>
      </c>
      <c r="D3190" s="2">
        <f>IF(A3190&lt;&gt;"", VLOOKUP(A3190, imdb_netflix_v5!A$2:H$7370, 4, FALSE), "")</f>
        <v>7.6</v>
      </c>
      <c r="E3190" s="2">
        <f>IF(A3190&lt;&gt;"", VLOOKUP(A3190, imdb_netflix_v5!A$2:H$7370, 5, FALSE), "")</f>
        <v>2012</v>
      </c>
      <c r="F3190" s="2" t="str">
        <f>IF(A3190&lt;&gt;"", VLOOKUP(A3190, imdb_netflix_v5!A$2:H$7370, 7, FALSE), "")</f>
        <v>NA</v>
      </c>
    </row>
    <row r="3191" ht="15.75" customHeight="1">
      <c r="A3191" s="1" t="str">
        <f>IFERROR(__xludf.DUMMYFUNCTION("""COMPUTED_VALUE"""),"drunken angel")</f>
        <v>drunken angel</v>
      </c>
      <c r="B3191" s="1" t="str">
        <f>IF(A3191&lt;&gt;"", VLOOKUP(A3191, imdb_netflix_v5!A$2:H$7370, 2, FALSE), "")</f>
        <v>Movie</v>
      </c>
      <c r="C3191" s="2" t="str">
        <f>IF(A3191&lt;&gt;"", VLOOKUP(A3191, imdb_netflix_v5!A$2:H$7370, 3, FALSE), "")</f>
        <v>Crime, Drama, Romance</v>
      </c>
      <c r="D3191" s="2">
        <f>IF(A3191&lt;&gt;"", VLOOKUP(A3191, imdb_netflix_v5!A$2:H$7370, 4, FALSE), "")</f>
        <v>7.6</v>
      </c>
      <c r="E3191" s="2">
        <f>IF(A3191&lt;&gt;"", VLOOKUP(A3191, imdb_netflix_v5!A$2:H$7370, 5, FALSE), "")</f>
        <v>1948</v>
      </c>
      <c r="F3191" s="2" t="str">
        <f>IF(A3191&lt;&gt;"", VLOOKUP(A3191, imdb_netflix_v5!A$2:H$7370, 7, FALSE), "")</f>
        <v>NA</v>
      </c>
    </row>
    <row r="3192" ht="15.75" customHeight="1">
      <c r="A3192" s="1" t="str">
        <f>IFERROR(__xludf.DUMMYFUNCTION("""COMPUTED_VALUE"""),"bob le flambeur")</f>
        <v>bob le flambeur</v>
      </c>
      <c r="B3192" s="1" t="str">
        <f>IF(A3192&lt;&gt;"", VLOOKUP(A3192, imdb_netflix_v5!A$2:H$7370, 2, FALSE), "")</f>
        <v>Movie</v>
      </c>
      <c r="C3192" s="2" t="str">
        <f>IF(A3192&lt;&gt;"", VLOOKUP(A3192, imdb_netflix_v5!A$2:H$7370, 3, FALSE), "")</f>
        <v>Crime, Drama, Thriller</v>
      </c>
      <c r="D3192" s="2">
        <f>IF(A3192&lt;&gt;"", VLOOKUP(A3192, imdb_netflix_v5!A$2:H$7370, 4, FALSE), "")</f>
        <v>7.6</v>
      </c>
      <c r="E3192" s="2">
        <f>IF(A3192&lt;&gt;"", VLOOKUP(A3192, imdb_netflix_v5!A$2:H$7370, 5, FALSE), "")</f>
        <v>1956</v>
      </c>
      <c r="F3192" s="2" t="str">
        <f>IF(A3192&lt;&gt;"", VLOOKUP(A3192, imdb_netflix_v5!A$2:H$7370, 7, FALSE), "")</f>
        <v>NA</v>
      </c>
    </row>
    <row r="3193" ht="15.75" customHeight="1">
      <c r="A3193" s="1" t="str">
        <f>IFERROR(__xludf.DUMMYFUNCTION("""COMPUTED_VALUE"""),"it might get loud")</f>
        <v>it might get loud</v>
      </c>
      <c r="B3193" s="1" t="str">
        <f>IF(A3193&lt;&gt;"", VLOOKUP(A3193, imdb_netflix_v5!A$2:H$7370, 2, FALSE), "")</f>
        <v>Movie</v>
      </c>
      <c r="C3193" s="2" t="str">
        <f>IF(A3193&lt;&gt;"", VLOOKUP(A3193, imdb_netflix_v5!A$2:H$7370, 3, FALSE), "")</f>
        <v>Documentary, Music</v>
      </c>
      <c r="D3193" s="2">
        <f>IF(A3193&lt;&gt;"", VLOOKUP(A3193, imdb_netflix_v5!A$2:H$7370, 4, FALSE), "")</f>
        <v>7.6</v>
      </c>
      <c r="E3193" s="2">
        <f>IF(A3193&lt;&gt;"", VLOOKUP(A3193, imdb_netflix_v5!A$2:H$7370, 5, FALSE), "")</f>
        <v>2008</v>
      </c>
      <c r="F3193" s="2" t="str">
        <f>IF(A3193&lt;&gt;"", VLOOKUP(A3193, imdb_netflix_v5!A$2:H$7370, 7, FALSE), "")</f>
        <v>NA</v>
      </c>
    </row>
    <row r="3194" ht="15.75" customHeight="1">
      <c r="A3194" s="1" t="str">
        <f>IFERROR(__xludf.DUMMYFUNCTION("""COMPUTED_VALUE"""),"free to play")</f>
        <v>free to play</v>
      </c>
      <c r="B3194" s="1" t="str">
        <f>IF(A3194&lt;&gt;"", VLOOKUP(A3194, imdb_netflix_v5!A$2:H$7370, 2, FALSE), "")</f>
        <v>Movie</v>
      </c>
      <c r="C3194" s="2" t="str">
        <f>IF(A3194&lt;&gt;"", VLOOKUP(A3194, imdb_netflix_v5!A$2:H$7370, 3, FALSE), "")</f>
        <v>Action, Documentary</v>
      </c>
      <c r="D3194" s="2">
        <f>IF(A3194&lt;&gt;"", VLOOKUP(A3194, imdb_netflix_v5!A$2:H$7370, 4, FALSE), "")</f>
        <v>7.6</v>
      </c>
      <c r="E3194" s="2">
        <f>IF(A3194&lt;&gt;"", VLOOKUP(A3194, imdb_netflix_v5!A$2:H$7370, 5, FALSE), "")</f>
        <v>2014</v>
      </c>
      <c r="F3194" s="2" t="str">
        <f>IF(A3194&lt;&gt;"", VLOOKUP(A3194, imdb_netflix_v5!A$2:H$7370, 7, FALSE), "")</f>
        <v>NA</v>
      </c>
    </row>
    <row r="3195" ht="15.75" customHeight="1">
      <c r="A3195" s="1" t="str">
        <f>IFERROR(__xludf.DUMMYFUNCTION("""COMPUTED_VALUE"""),"scum")</f>
        <v>scum</v>
      </c>
      <c r="B3195" s="1" t="str">
        <f>IF(A3195&lt;&gt;"", VLOOKUP(A3195, imdb_netflix_v5!A$2:H$7370, 2, FALSE), "")</f>
        <v>Movie</v>
      </c>
      <c r="C3195" s="2" t="str">
        <f>IF(A3195&lt;&gt;"", VLOOKUP(A3195, imdb_netflix_v5!A$2:H$7370, 3, FALSE), "")</f>
        <v>Crime, Drama</v>
      </c>
      <c r="D3195" s="2">
        <f>IF(A3195&lt;&gt;"", VLOOKUP(A3195, imdb_netflix_v5!A$2:H$7370, 4, FALSE), "")</f>
        <v>7.6</v>
      </c>
      <c r="E3195" s="2">
        <f>IF(A3195&lt;&gt;"", VLOOKUP(A3195, imdb_netflix_v5!A$2:H$7370, 5, FALSE), "")</f>
        <v>1979</v>
      </c>
      <c r="F3195" s="2" t="str">
        <f>IF(A3195&lt;&gt;"", VLOOKUP(A3195, imdb_netflix_v5!A$2:H$7370, 7, FALSE), "")</f>
        <v>NA</v>
      </c>
    </row>
    <row r="3196" ht="15.75" customHeight="1">
      <c r="A3196" s="1" t="str">
        <f>IFERROR(__xludf.DUMMYFUNCTION("""COMPUTED_VALUE"""),"bheeshma parvam")</f>
        <v>bheeshma parvam</v>
      </c>
      <c r="B3196" s="1" t="str">
        <f>IF(A3196&lt;&gt;"", VLOOKUP(A3196, imdb_netflix_v5!A$2:H$7370, 2, FALSE), "")</f>
        <v>Movie</v>
      </c>
      <c r="C3196" s="2" t="str">
        <f>IF(A3196&lt;&gt;"", VLOOKUP(A3196, imdb_netflix_v5!A$2:H$7370, 3, FALSE), "")</f>
        <v>Action, Crime, Drama</v>
      </c>
      <c r="D3196" s="2">
        <f>IF(A3196&lt;&gt;"", VLOOKUP(A3196, imdb_netflix_v5!A$2:H$7370, 4, FALSE), "")</f>
        <v>7.6</v>
      </c>
      <c r="E3196" s="2">
        <f>IF(A3196&lt;&gt;"", VLOOKUP(A3196, imdb_netflix_v5!A$2:H$7370, 5, FALSE), "")</f>
        <v>2022</v>
      </c>
      <c r="F3196" s="2" t="str">
        <f>IF(A3196&lt;&gt;"", VLOOKUP(A3196, imdb_netflix_v5!A$2:H$7370, 7, FALSE), "")</f>
        <v>NA</v>
      </c>
    </row>
    <row r="3197" ht="15.75" customHeight="1">
      <c r="A3197" s="1" t="str">
        <f>IFERROR(__xludf.DUMMYFUNCTION("""COMPUTED_VALUE"""),"dogtown and z-boys")</f>
        <v>dogtown and z-boys</v>
      </c>
      <c r="B3197" s="1" t="str">
        <f>IF(A3197&lt;&gt;"", VLOOKUP(A3197, imdb_netflix_v5!A$2:H$7370, 2, FALSE), "")</f>
        <v>Movie</v>
      </c>
      <c r="C3197" s="2" t="str">
        <f>IF(A3197&lt;&gt;"", VLOOKUP(A3197, imdb_netflix_v5!A$2:H$7370, 3, FALSE), "")</f>
        <v>Documentary, Sport</v>
      </c>
      <c r="D3197" s="2">
        <f>IF(A3197&lt;&gt;"", VLOOKUP(A3197, imdb_netflix_v5!A$2:H$7370, 4, FALSE), "")</f>
        <v>7.6</v>
      </c>
      <c r="E3197" s="2">
        <f>IF(A3197&lt;&gt;"", VLOOKUP(A3197, imdb_netflix_v5!A$2:H$7370, 5, FALSE), "")</f>
        <v>2001</v>
      </c>
      <c r="F3197" s="2" t="str">
        <f>IF(A3197&lt;&gt;"", VLOOKUP(A3197, imdb_netflix_v5!A$2:H$7370, 7, FALSE), "")</f>
        <v>NA</v>
      </c>
    </row>
    <row r="3198" ht="15.75" customHeight="1">
      <c r="A3198" s="1" t="str">
        <f>IFERROR(__xludf.DUMMYFUNCTION("""COMPUTED_VALUE"""),"magic city")</f>
        <v>magic city</v>
      </c>
      <c r="B3198" s="1" t="str">
        <f>IF(A3198&lt;&gt;"", VLOOKUP(A3198, imdb_netflix_v5!A$2:H$7370, 2, FALSE), "")</f>
        <v>TV Show</v>
      </c>
      <c r="C3198" s="2" t="str">
        <f>IF(A3198&lt;&gt;"", VLOOKUP(A3198, imdb_netflix_v5!A$2:H$7370, 3, FALSE), "")</f>
        <v>Crime, Drama</v>
      </c>
      <c r="D3198" s="2">
        <f>IF(A3198&lt;&gt;"", VLOOKUP(A3198, imdb_netflix_v5!A$2:H$7370, 4, FALSE), "")</f>
        <v>7.6</v>
      </c>
      <c r="E3198" s="2">
        <f>IF(A3198&lt;&gt;"", VLOOKUP(A3198, imdb_netflix_v5!A$2:H$7370, 5, FALSE), "")</f>
        <v>2012</v>
      </c>
      <c r="F3198" s="2" t="str">
        <f>IF(A3198&lt;&gt;"", VLOOKUP(A3198, imdb_netflix_v5!A$2:H$7370, 7, FALSE), "")</f>
        <v>NA</v>
      </c>
    </row>
    <row r="3199" ht="15.75" customHeight="1">
      <c r="A3199" s="1" t="str">
        <f>IFERROR(__xludf.DUMMYFUNCTION("""COMPUTED_VALUE"""),"the night of the iguana")</f>
        <v>the night of the iguana</v>
      </c>
      <c r="B3199" s="1" t="str">
        <f>IF(A3199&lt;&gt;"", VLOOKUP(A3199, imdb_netflix_v5!A$2:H$7370, 2, FALSE), "")</f>
        <v>Movie</v>
      </c>
      <c r="C3199" s="2" t="str">
        <f>IF(A3199&lt;&gt;"", VLOOKUP(A3199, imdb_netflix_v5!A$2:H$7370, 3, FALSE), "")</f>
        <v>Drama</v>
      </c>
      <c r="D3199" s="2">
        <f>IF(A3199&lt;&gt;"", VLOOKUP(A3199, imdb_netflix_v5!A$2:H$7370, 4, FALSE), "")</f>
        <v>7.6</v>
      </c>
      <c r="E3199" s="2">
        <f>IF(A3199&lt;&gt;"", VLOOKUP(A3199, imdb_netflix_v5!A$2:H$7370, 5, FALSE), "")</f>
        <v>1964</v>
      </c>
      <c r="F3199" s="2" t="str">
        <f>IF(A3199&lt;&gt;"", VLOOKUP(A3199, imdb_netflix_v5!A$2:H$7370, 7, FALSE), "")</f>
        <v>NA</v>
      </c>
    </row>
    <row r="3200" ht="15.75" customHeight="1">
      <c r="A3200" s="1" t="str">
        <f>IFERROR(__xludf.DUMMYFUNCTION("""COMPUTED_VALUE"""),"sailor moon")</f>
        <v>sailor moon</v>
      </c>
      <c r="B3200" s="1" t="str">
        <f>IF(A3200&lt;&gt;"", VLOOKUP(A3200, imdb_netflix_v5!A$2:H$7370, 2, FALSE), "")</f>
        <v>TV Show</v>
      </c>
      <c r="C3200" s="2" t="str">
        <f>IF(A3200&lt;&gt;"", VLOOKUP(A3200, imdb_netflix_v5!A$2:H$7370, 3, FALSE), "")</f>
        <v>Action, Adventure, Animation</v>
      </c>
      <c r="D3200" s="2">
        <f>IF(A3200&lt;&gt;"", VLOOKUP(A3200, imdb_netflix_v5!A$2:H$7370, 4, FALSE), "")</f>
        <v>7.6</v>
      </c>
      <c r="E3200" s="2">
        <f>IF(A3200&lt;&gt;"", VLOOKUP(A3200, imdb_netflix_v5!A$2:H$7370, 5, FALSE), "")</f>
        <v>1995</v>
      </c>
      <c r="F3200" s="2" t="str">
        <f>IF(A3200&lt;&gt;"", VLOOKUP(A3200, imdb_netflix_v5!A$2:H$7370, 7, FALSE), "")</f>
        <v>NA</v>
      </c>
    </row>
    <row r="3201" ht="15.75" customHeight="1">
      <c r="A3201" s="1" t="str">
        <f>IFERROR(__xludf.DUMMYFUNCTION("""COMPUTED_VALUE"""),"agni")</f>
        <v>agni</v>
      </c>
      <c r="B3201" s="1" t="str">
        <f>IF(A3201&lt;&gt;"", VLOOKUP(A3201, imdb_netflix_v5!A$2:H$7370, 2, FALSE), "")</f>
        <v>Movie</v>
      </c>
      <c r="C3201" s="2" t="str">
        <f>IF(A3201&lt;&gt;"", VLOOKUP(A3201, imdb_netflix_v5!A$2:H$7370, 3, FALSE), "")</f>
        <v>Action, Drama</v>
      </c>
      <c r="D3201" s="2">
        <f>IF(A3201&lt;&gt;"", VLOOKUP(A3201, imdb_netflix_v5!A$2:H$7370, 4, FALSE), "")</f>
        <v>7.6</v>
      </c>
      <c r="E3201" s="2">
        <f>IF(A3201&lt;&gt;"", VLOOKUP(A3201, imdb_netflix_v5!A$2:H$7370, 5, FALSE), "")</f>
        <v>2024</v>
      </c>
      <c r="F3201" s="2" t="str">
        <f>IF(A3201&lt;&gt;"", VLOOKUP(A3201, imdb_netflix_v5!A$2:H$7370, 7, FALSE), "")</f>
        <v>NA</v>
      </c>
    </row>
    <row r="3202" ht="15.75" customHeight="1">
      <c r="A3202" s="1" t="str">
        <f>IFERROR(__xludf.DUMMYFUNCTION("""COMPUTED_VALUE"""),"demon slayer kimetsu no yaiba - to the swordsmith village")</f>
        <v>demon slayer kimetsu no yaiba - to the swordsmith village</v>
      </c>
      <c r="B3202" s="1" t="str">
        <f>IF(A3202&lt;&gt;"", VLOOKUP(A3202, imdb_netflix_v5!A$2:H$7370, 2, FALSE), "")</f>
        <v>Movie</v>
      </c>
      <c r="C3202" s="2" t="str">
        <f>IF(A3202&lt;&gt;"", VLOOKUP(A3202, imdb_netflix_v5!A$2:H$7370, 3, FALSE), "")</f>
        <v>Action, Adventure, Animation</v>
      </c>
      <c r="D3202" s="2">
        <f>IF(A3202&lt;&gt;"", VLOOKUP(A3202, imdb_netflix_v5!A$2:H$7370, 4, FALSE), "")</f>
        <v>7.6</v>
      </c>
      <c r="E3202" s="2">
        <f>IF(A3202&lt;&gt;"", VLOOKUP(A3202, imdb_netflix_v5!A$2:H$7370, 5, FALSE), "")</f>
        <v>2023</v>
      </c>
      <c r="F3202" s="2" t="str">
        <f>IF(A3202&lt;&gt;"", VLOOKUP(A3202, imdb_netflix_v5!A$2:H$7370, 7, FALSE), "")</f>
        <v>NA</v>
      </c>
    </row>
    <row r="3203" ht="15.75" customHeight="1">
      <c r="A3203" s="1" t="str">
        <f>IFERROR(__xludf.DUMMYFUNCTION("""COMPUTED_VALUE"""),"early edition")</f>
        <v>early edition</v>
      </c>
      <c r="B3203" s="1" t="str">
        <f>IF(A3203&lt;&gt;"", VLOOKUP(A3203, imdb_netflix_v5!A$2:H$7370, 2, FALSE), "")</f>
        <v>TV Show</v>
      </c>
      <c r="C3203" s="2" t="str">
        <f>IF(A3203&lt;&gt;"", VLOOKUP(A3203, imdb_netflix_v5!A$2:H$7370, 3, FALSE), "")</f>
        <v>Adventure, Comedy, Drama</v>
      </c>
      <c r="D3203" s="2">
        <f>IF(A3203&lt;&gt;"", VLOOKUP(A3203, imdb_netflix_v5!A$2:H$7370, 4, FALSE), "")</f>
        <v>7.6</v>
      </c>
      <c r="E3203" s="2">
        <f>IF(A3203&lt;&gt;"", VLOOKUP(A3203, imdb_netflix_v5!A$2:H$7370, 5, FALSE), "")</f>
        <v>1996</v>
      </c>
      <c r="F3203" s="2" t="str">
        <f>IF(A3203&lt;&gt;"", VLOOKUP(A3203, imdb_netflix_v5!A$2:H$7370, 7, FALSE), "")</f>
        <v>NA</v>
      </c>
    </row>
    <row r="3204" ht="15.75" customHeight="1">
      <c r="A3204" s="1" t="str">
        <f>IFERROR(__xludf.DUMMYFUNCTION("""COMPUTED_VALUE"""),"baskets")</f>
        <v>baskets</v>
      </c>
      <c r="B3204" s="1" t="str">
        <f>IF(A3204&lt;&gt;"", VLOOKUP(A3204, imdb_netflix_v5!A$2:H$7370, 2, FALSE), "")</f>
        <v>TV Show</v>
      </c>
      <c r="C3204" s="2" t="str">
        <f>IF(A3204&lt;&gt;"", VLOOKUP(A3204, imdb_netflix_v5!A$2:H$7370, 3, FALSE), "")</f>
        <v>Comedy, Drama</v>
      </c>
      <c r="D3204" s="2">
        <f>IF(A3204&lt;&gt;"", VLOOKUP(A3204, imdb_netflix_v5!A$2:H$7370, 4, FALSE), "")</f>
        <v>7.6</v>
      </c>
      <c r="E3204" s="2">
        <f>IF(A3204&lt;&gt;"", VLOOKUP(A3204, imdb_netflix_v5!A$2:H$7370, 5, FALSE), "")</f>
        <v>2016</v>
      </c>
      <c r="F3204" s="2" t="str">
        <f>IF(A3204&lt;&gt;"", VLOOKUP(A3204, imdb_netflix_v5!A$2:H$7370, 7, FALSE), "")</f>
        <v>NA</v>
      </c>
    </row>
    <row r="3205" ht="15.75" customHeight="1">
      <c r="A3205" s="1" t="str">
        <f>IFERROR(__xludf.DUMMYFUNCTION("""COMPUTED_VALUE"""),"snabba cash")</f>
        <v>snabba cash</v>
      </c>
      <c r="B3205" s="1" t="str">
        <f>IF(A3205&lt;&gt;"", VLOOKUP(A3205, imdb_netflix_v5!A$2:H$7370, 2, FALSE), "")</f>
        <v>TV Show</v>
      </c>
      <c r="C3205" s="2" t="str">
        <f>IF(A3205&lt;&gt;"", VLOOKUP(A3205, imdb_netflix_v5!A$2:H$7370, 3, FALSE), "")</f>
        <v>Action, Crime, Drama</v>
      </c>
      <c r="D3205" s="2">
        <f>IF(A3205&lt;&gt;"", VLOOKUP(A3205, imdb_netflix_v5!A$2:H$7370, 4, FALSE), "")</f>
        <v>7.6</v>
      </c>
      <c r="E3205" s="2">
        <f>IF(A3205&lt;&gt;"", VLOOKUP(A3205, imdb_netflix_v5!A$2:H$7370, 5, FALSE), "")</f>
        <v>2021</v>
      </c>
      <c r="F3205" s="2" t="str">
        <f>IF(A3205&lt;&gt;"", VLOOKUP(A3205, imdb_netflix_v5!A$2:H$7370, 7, FALSE), "")</f>
        <v>NA</v>
      </c>
    </row>
    <row r="3206" ht="15.75" customHeight="1">
      <c r="A3206" s="1" t="str">
        <f>IFERROR(__xludf.DUMMYFUNCTION("""COMPUTED_VALUE"""),"athlete a")</f>
        <v>athlete a</v>
      </c>
      <c r="B3206" s="1" t="str">
        <f>IF(A3206&lt;&gt;"", VLOOKUP(A3206, imdb_netflix_v5!A$2:H$7370, 2, FALSE), "")</f>
        <v>Movie</v>
      </c>
      <c r="C3206" s="2" t="str">
        <f>IF(A3206&lt;&gt;"", VLOOKUP(A3206, imdb_netflix_v5!A$2:H$7370, 3, FALSE), "")</f>
        <v>Crime, Documentary, Sport</v>
      </c>
      <c r="D3206" s="2">
        <f>IF(A3206&lt;&gt;"", VLOOKUP(A3206, imdb_netflix_v5!A$2:H$7370, 4, FALSE), "")</f>
        <v>7.6</v>
      </c>
      <c r="E3206" s="2">
        <f>IF(A3206&lt;&gt;"", VLOOKUP(A3206, imdb_netflix_v5!A$2:H$7370, 5, FALSE), "")</f>
        <v>2020</v>
      </c>
      <c r="F3206" s="2" t="str">
        <f>IF(A3206&lt;&gt;"", VLOOKUP(A3206, imdb_netflix_v5!A$2:H$7370, 7, FALSE), "")</f>
        <v>NA</v>
      </c>
    </row>
    <row r="3207" ht="15.75" customHeight="1">
      <c r="A3207" s="1" t="str">
        <f>IFERROR(__xludf.DUMMYFUNCTION("""COMPUTED_VALUE"""),"my way")</f>
        <v>my way</v>
      </c>
      <c r="B3207" s="1" t="str">
        <f>IF(A3207&lt;&gt;"", VLOOKUP(A3207, imdb_netflix_v5!A$2:H$7370, 2, FALSE), "")</f>
        <v>Movie</v>
      </c>
      <c r="C3207" s="2" t="str">
        <f>IF(A3207&lt;&gt;"", VLOOKUP(A3207, imdb_netflix_v5!A$2:H$7370, 3, FALSE), "")</f>
        <v>Action, Drama, War</v>
      </c>
      <c r="D3207" s="2">
        <f>IF(A3207&lt;&gt;"", VLOOKUP(A3207, imdb_netflix_v5!A$2:H$7370, 4, FALSE), "")</f>
        <v>7.6</v>
      </c>
      <c r="E3207" s="2">
        <f>IF(A3207&lt;&gt;"", VLOOKUP(A3207, imdb_netflix_v5!A$2:H$7370, 5, FALSE), "")</f>
        <v>2011</v>
      </c>
      <c r="F3207" s="2" t="str">
        <f>IF(A3207&lt;&gt;"", VLOOKUP(A3207, imdb_netflix_v5!A$2:H$7370, 7, FALSE), "")</f>
        <v>NA</v>
      </c>
    </row>
    <row r="3208" ht="15.75" customHeight="1">
      <c r="A3208" s="1" t="str">
        <f>IFERROR(__xludf.DUMMYFUNCTION("""COMPUTED_VALUE"""),"destry rides again")</f>
        <v>destry rides again</v>
      </c>
      <c r="B3208" s="1" t="str">
        <f>IF(A3208&lt;&gt;"", VLOOKUP(A3208, imdb_netflix_v5!A$2:H$7370, 2, FALSE), "")</f>
        <v>Movie</v>
      </c>
      <c r="C3208" s="2" t="str">
        <f>IF(A3208&lt;&gt;"", VLOOKUP(A3208, imdb_netflix_v5!A$2:H$7370, 3, FALSE), "")</f>
        <v>Comedy, Western</v>
      </c>
      <c r="D3208" s="2">
        <f>IF(A3208&lt;&gt;"", VLOOKUP(A3208, imdb_netflix_v5!A$2:H$7370, 4, FALSE), "")</f>
        <v>7.6</v>
      </c>
      <c r="E3208" s="2">
        <f>IF(A3208&lt;&gt;"", VLOOKUP(A3208, imdb_netflix_v5!A$2:H$7370, 5, FALSE), "")</f>
        <v>1939</v>
      </c>
      <c r="F3208" s="2" t="str">
        <f>IF(A3208&lt;&gt;"", VLOOKUP(A3208, imdb_netflix_v5!A$2:H$7370, 7, FALSE), "")</f>
        <v>NA</v>
      </c>
    </row>
    <row r="3209" ht="15.75" customHeight="1">
      <c r="A3209" s="1" t="str">
        <f>IFERROR(__xludf.DUMMYFUNCTION("""COMPUTED_VALUE"""),"outsourced")</f>
        <v>outsourced</v>
      </c>
      <c r="B3209" s="1" t="str">
        <f>IF(A3209&lt;&gt;"", VLOOKUP(A3209, imdb_netflix_v5!A$2:H$7370, 2, FALSE), "")</f>
        <v>TV Show</v>
      </c>
      <c r="C3209" s="2" t="str">
        <f>IF(A3209&lt;&gt;"", VLOOKUP(A3209, imdb_netflix_v5!A$2:H$7370, 3, FALSE), "")</f>
        <v>Comedy</v>
      </c>
      <c r="D3209" s="2">
        <f>IF(A3209&lt;&gt;"", VLOOKUP(A3209, imdb_netflix_v5!A$2:H$7370, 4, FALSE), "")</f>
        <v>7.6</v>
      </c>
      <c r="E3209" s="2">
        <f>IF(A3209&lt;&gt;"", VLOOKUP(A3209, imdb_netflix_v5!A$2:H$7370, 5, FALSE), "")</f>
        <v>2010</v>
      </c>
      <c r="F3209" s="2" t="str">
        <f>IF(A3209&lt;&gt;"", VLOOKUP(A3209, imdb_netflix_v5!A$2:H$7370, 7, FALSE), "")</f>
        <v>NA</v>
      </c>
    </row>
    <row r="3210" ht="15.75" customHeight="1">
      <c r="A3210" s="1" t="str">
        <f>IFERROR(__xludf.DUMMYFUNCTION("""COMPUTED_VALUE"""),"who killed the electric car?")</f>
        <v>who killed the electric car?</v>
      </c>
      <c r="B3210" s="1" t="str">
        <f>IF(A3210&lt;&gt;"", VLOOKUP(A3210, imdb_netflix_v5!A$2:H$7370, 2, FALSE), "")</f>
        <v>Movie</v>
      </c>
      <c r="C3210" s="2" t="str">
        <f>IF(A3210&lt;&gt;"", VLOOKUP(A3210, imdb_netflix_v5!A$2:H$7370, 3, FALSE), "")</f>
        <v>Documentary</v>
      </c>
      <c r="D3210" s="2">
        <f>IF(A3210&lt;&gt;"", VLOOKUP(A3210, imdb_netflix_v5!A$2:H$7370, 4, FALSE), "")</f>
        <v>7.6</v>
      </c>
      <c r="E3210" s="2">
        <f>IF(A3210&lt;&gt;"", VLOOKUP(A3210, imdb_netflix_v5!A$2:H$7370, 5, FALSE), "")</f>
        <v>2006</v>
      </c>
      <c r="F3210" s="2" t="str">
        <f>IF(A3210&lt;&gt;"", VLOOKUP(A3210, imdb_netflix_v5!A$2:H$7370, 7, FALSE), "")</f>
        <v>NA</v>
      </c>
    </row>
    <row r="3211" ht="15.75" customHeight="1">
      <c r="A3211" s="1" t="str">
        <f>IFERROR(__xludf.DUMMYFUNCTION("""COMPUTED_VALUE"""),"minx")</f>
        <v>minx</v>
      </c>
      <c r="B3211" s="1" t="str">
        <f>IF(A3211&lt;&gt;"", VLOOKUP(A3211, imdb_netflix_v5!A$2:H$7370, 2, FALSE), "")</f>
        <v>TV Show</v>
      </c>
      <c r="C3211" s="2" t="str">
        <f>IF(A3211&lt;&gt;"", VLOOKUP(A3211, imdb_netflix_v5!A$2:H$7370, 3, FALSE), "")</f>
        <v>Comedy</v>
      </c>
      <c r="D3211" s="2">
        <f>IF(A3211&lt;&gt;"", VLOOKUP(A3211, imdb_netflix_v5!A$2:H$7370, 4, FALSE), "")</f>
        <v>7.6</v>
      </c>
      <c r="E3211" s="2">
        <f>IF(A3211&lt;&gt;"", VLOOKUP(A3211, imdb_netflix_v5!A$2:H$7370, 5, FALSE), "")</f>
        <v>2022</v>
      </c>
      <c r="F3211" s="2" t="str">
        <f>IF(A3211&lt;&gt;"", VLOOKUP(A3211, imdb_netflix_v5!A$2:H$7370, 7, FALSE), "")</f>
        <v>NA</v>
      </c>
    </row>
    <row r="3212" ht="15.75" customHeight="1">
      <c r="A3212" s="1" t="str">
        <f>IFERROR(__xludf.DUMMYFUNCTION("""COMPUTED_VALUE"""),"irudhi suttru")</f>
        <v>irudhi suttru</v>
      </c>
      <c r="B3212" s="1" t="str">
        <f>IF(A3212&lt;&gt;"", VLOOKUP(A3212, imdb_netflix_v5!A$2:H$7370, 2, FALSE), "")</f>
        <v>Movie</v>
      </c>
      <c r="C3212" s="2" t="str">
        <f>IF(A3212&lt;&gt;"", VLOOKUP(A3212, imdb_netflix_v5!A$2:H$7370, 3, FALSE), "")</f>
        <v>Drama, Sport</v>
      </c>
      <c r="D3212" s="2">
        <f>IF(A3212&lt;&gt;"", VLOOKUP(A3212, imdb_netflix_v5!A$2:H$7370, 4, FALSE), "")</f>
        <v>7.6</v>
      </c>
      <c r="E3212" s="2">
        <f>IF(A3212&lt;&gt;"", VLOOKUP(A3212, imdb_netflix_v5!A$2:H$7370, 5, FALSE), "")</f>
        <v>2016</v>
      </c>
      <c r="F3212" s="2" t="str">
        <f>IF(A3212&lt;&gt;"", VLOOKUP(A3212, imdb_netflix_v5!A$2:H$7370, 7, FALSE), "")</f>
        <v>NA</v>
      </c>
    </row>
    <row r="3213" ht="15.75" customHeight="1">
      <c r="A3213" s="1" t="str">
        <f>IFERROR(__xludf.DUMMYFUNCTION("""COMPUTED_VALUE"""),"bordertown")</f>
        <v>bordertown</v>
      </c>
      <c r="B3213" s="1" t="str">
        <f>IF(A3213&lt;&gt;"", VLOOKUP(A3213, imdb_netflix_v5!A$2:H$7370, 2, FALSE), "")</f>
        <v>TV Show</v>
      </c>
      <c r="C3213" s="2" t="str">
        <f>IF(A3213&lt;&gt;"", VLOOKUP(A3213, imdb_netflix_v5!A$2:H$7370, 3, FALSE), "")</f>
        <v>Crime, Drama, Mystery</v>
      </c>
      <c r="D3213" s="2">
        <f>IF(A3213&lt;&gt;"", VLOOKUP(A3213, imdb_netflix_v5!A$2:H$7370, 4, FALSE), "")</f>
        <v>7.6</v>
      </c>
      <c r="E3213" s="2">
        <f>IF(A3213&lt;&gt;"", VLOOKUP(A3213, imdb_netflix_v5!A$2:H$7370, 5, FALSE), "")</f>
        <v>2016</v>
      </c>
      <c r="F3213" s="2" t="str">
        <f>IF(A3213&lt;&gt;"", VLOOKUP(A3213, imdb_netflix_v5!A$2:H$7370, 7, FALSE), "")</f>
        <v>NA</v>
      </c>
    </row>
    <row r="3214" ht="15.75" customHeight="1">
      <c r="A3214" s="1" t="str">
        <f>IFERROR(__xludf.DUMMYFUNCTION("""COMPUTED_VALUE"""),"dragon ball z fusion reborn")</f>
        <v>dragon ball z fusion reborn</v>
      </c>
      <c r="B3214" s="1" t="str">
        <f>IF(A3214&lt;&gt;"", VLOOKUP(A3214, imdb_netflix_v5!A$2:H$7370, 2, FALSE), "")</f>
        <v>Movie</v>
      </c>
      <c r="C3214" s="2" t="str">
        <f>IF(A3214&lt;&gt;"", VLOOKUP(A3214, imdb_netflix_v5!A$2:H$7370, 3, FALSE), "")</f>
        <v>Action, Animation, Sci-Fi</v>
      </c>
      <c r="D3214" s="2">
        <f>IF(A3214&lt;&gt;"", VLOOKUP(A3214, imdb_netflix_v5!A$2:H$7370, 4, FALSE), "")</f>
        <v>7.6</v>
      </c>
      <c r="E3214" s="2">
        <f>IF(A3214&lt;&gt;"", VLOOKUP(A3214, imdb_netflix_v5!A$2:H$7370, 5, FALSE), "")</f>
        <v>1995</v>
      </c>
      <c r="F3214" s="2" t="str">
        <f>IF(A3214&lt;&gt;"", VLOOKUP(A3214, imdb_netflix_v5!A$2:H$7370, 7, FALSE), "")</f>
        <v>NA</v>
      </c>
    </row>
    <row r="3215" ht="15.75" customHeight="1">
      <c r="A3215" s="1" t="str">
        <f>IFERROR(__xludf.DUMMYFUNCTION("""COMPUTED_VALUE"""),"spellbound")</f>
        <v>spellbound</v>
      </c>
      <c r="B3215" s="1" t="str">
        <f>IF(A3215&lt;&gt;"", VLOOKUP(A3215, imdb_netflix_v5!A$2:H$7370, 2, FALSE), "")</f>
        <v>Movie</v>
      </c>
      <c r="C3215" s="2" t="str">
        <f>IF(A3215&lt;&gt;"", VLOOKUP(A3215, imdb_netflix_v5!A$2:H$7370, 3, FALSE), "")</f>
        <v>Comedy, Documentary, Thriller</v>
      </c>
      <c r="D3215" s="2">
        <f>IF(A3215&lt;&gt;"", VLOOKUP(A3215, imdb_netflix_v5!A$2:H$7370, 4, FALSE), "")</f>
        <v>7.6</v>
      </c>
      <c r="E3215" s="2">
        <f>IF(A3215&lt;&gt;"", VLOOKUP(A3215, imdb_netflix_v5!A$2:H$7370, 5, FALSE), "")</f>
        <v>2002</v>
      </c>
      <c r="F3215" s="2" t="str">
        <f>IF(A3215&lt;&gt;"", VLOOKUP(A3215, imdb_netflix_v5!A$2:H$7370, 7, FALSE), "")</f>
        <v>NA</v>
      </c>
    </row>
    <row r="3216" ht="15.75" customHeight="1">
      <c r="A3216" s="1" t="str">
        <f>IFERROR(__xludf.DUMMYFUNCTION("""COMPUTED_VALUE"""),"fire force")</f>
        <v>fire force</v>
      </c>
      <c r="B3216" s="1" t="str">
        <f>IF(A3216&lt;&gt;"", VLOOKUP(A3216, imdb_netflix_v5!A$2:H$7370, 2, FALSE), "")</f>
        <v>TV Show</v>
      </c>
      <c r="C3216" s="2" t="str">
        <f>IF(A3216&lt;&gt;"", VLOOKUP(A3216, imdb_netflix_v5!A$2:H$7370, 3, FALSE), "")</f>
        <v>Action, Animation, Drama</v>
      </c>
      <c r="D3216" s="2">
        <f>IF(A3216&lt;&gt;"", VLOOKUP(A3216, imdb_netflix_v5!A$2:H$7370, 4, FALSE), "")</f>
        <v>7.6</v>
      </c>
      <c r="E3216" s="2">
        <f>IF(A3216&lt;&gt;"", VLOOKUP(A3216, imdb_netflix_v5!A$2:H$7370, 5, FALSE), "")</f>
        <v>2019</v>
      </c>
      <c r="F3216" s="2" t="str">
        <f>IF(A3216&lt;&gt;"", VLOOKUP(A3216, imdb_netflix_v5!A$2:H$7370, 7, FALSE), "")</f>
        <v>NA</v>
      </c>
    </row>
    <row r="3217" ht="15.75" customHeight="1">
      <c r="A3217" s="1" t="str">
        <f>IFERROR(__xludf.DUMMYFUNCTION("""COMPUTED_VALUE"""),"ghoomer")</f>
        <v>ghoomer</v>
      </c>
      <c r="B3217" s="1" t="str">
        <f>IF(A3217&lt;&gt;"", VLOOKUP(A3217, imdb_netflix_v5!A$2:H$7370, 2, FALSE), "")</f>
        <v>Movie</v>
      </c>
      <c r="C3217" s="2" t="str">
        <f>IF(A3217&lt;&gt;"", VLOOKUP(A3217, imdb_netflix_v5!A$2:H$7370, 3, FALSE), "")</f>
        <v>Drama, Sport</v>
      </c>
      <c r="D3217" s="2">
        <f>IF(A3217&lt;&gt;"", VLOOKUP(A3217, imdb_netflix_v5!A$2:H$7370, 4, FALSE), "")</f>
        <v>7.6</v>
      </c>
      <c r="E3217" s="2">
        <f>IF(A3217&lt;&gt;"", VLOOKUP(A3217, imdb_netflix_v5!A$2:H$7370, 5, FALSE), "")</f>
        <v>2023</v>
      </c>
      <c r="F3217" s="2" t="str">
        <f>IF(A3217&lt;&gt;"", VLOOKUP(A3217, imdb_netflix_v5!A$2:H$7370, 7, FALSE), "")</f>
        <v>NA</v>
      </c>
    </row>
    <row r="3218" ht="15.75" customHeight="1">
      <c r="A3218" s="1" t="str">
        <f>IFERROR(__xludf.DUMMYFUNCTION("""COMPUTED_VALUE"""),"after the thin man")</f>
        <v>after the thin man</v>
      </c>
      <c r="B3218" s="1" t="str">
        <f>IF(A3218&lt;&gt;"", VLOOKUP(A3218, imdb_netflix_v5!A$2:H$7370, 2, FALSE), "")</f>
        <v>Movie</v>
      </c>
      <c r="C3218" s="2" t="str">
        <f>IF(A3218&lt;&gt;"", VLOOKUP(A3218, imdb_netflix_v5!A$2:H$7370, 3, FALSE), "")</f>
        <v>Comedy, Crime, Mystery</v>
      </c>
      <c r="D3218" s="2">
        <f>IF(A3218&lt;&gt;"", VLOOKUP(A3218, imdb_netflix_v5!A$2:H$7370, 4, FALSE), "")</f>
        <v>7.6</v>
      </c>
      <c r="E3218" s="2">
        <f>IF(A3218&lt;&gt;"", VLOOKUP(A3218, imdb_netflix_v5!A$2:H$7370, 5, FALSE), "")</f>
        <v>1936</v>
      </c>
      <c r="F3218" s="2" t="str">
        <f>IF(A3218&lt;&gt;"", VLOOKUP(A3218, imdb_netflix_v5!A$2:H$7370, 7, FALSE), "")</f>
        <v>NA</v>
      </c>
    </row>
    <row r="3219" ht="15.75" customHeight="1">
      <c r="A3219" s="1" t="str">
        <f>IFERROR(__xludf.DUMMYFUNCTION("""COMPUTED_VALUE"""),"bheja fry")</f>
        <v>bheja fry</v>
      </c>
      <c r="B3219" s="1" t="str">
        <f>IF(A3219&lt;&gt;"", VLOOKUP(A3219, imdb_netflix_v5!A$2:H$7370, 2, FALSE), "")</f>
        <v>Movie</v>
      </c>
      <c r="C3219" s="2" t="str">
        <f>IF(A3219&lt;&gt;"", VLOOKUP(A3219, imdb_netflix_v5!A$2:H$7370, 3, FALSE), "")</f>
        <v>Comedy, Drama</v>
      </c>
      <c r="D3219" s="2">
        <f>IF(A3219&lt;&gt;"", VLOOKUP(A3219, imdb_netflix_v5!A$2:H$7370, 4, FALSE), "")</f>
        <v>7.6</v>
      </c>
      <c r="E3219" s="2">
        <f>IF(A3219&lt;&gt;"", VLOOKUP(A3219, imdb_netflix_v5!A$2:H$7370, 5, FALSE), "")</f>
        <v>2007</v>
      </c>
      <c r="F3219" s="2" t="str">
        <f>IF(A3219&lt;&gt;"", VLOOKUP(A3219, imdb_netflix_v5!A$2:H$7370, 7, FALSE), "")</f>
        <v>NA</v>
      </c>
    </row>
    <row r="3220" ht="15.75" customHeight="1">
      <c r="A3220" s="1" t="str">
        <f>IFERROR(__xludf.DUMMYFUNCTION("""COMPUTED_VALUE"""),"the pride of the yankees")</f>
        <v>the pride of the yankees</v>
      </c>
      <c r="B3220" s="1" t="str">
        <f>IF(A3220&lt;&gt;"", VLOOKUP(A3220, imdb_netflix_v5!A$2:H$7370, 2, FALSE), "")</f>
        <v>Movie</v>
      </c>
      <c r="C3220" s="2" t="str">
        <f>IF(A3220&lt;&gt;"", VLOOKUP(A3220, imdb_netflix_v5!A$2:H$7370, 3, FALSE), "")</f>
        <v>Biography, Drama, Romance</v>
      </c>
      <c r="D3220" s="2">
        <f>IF(A3220&lt;&gt;"", VLOOKUP(A3220, imdb_netflix_v5!A$2:H$7370, 4, FALSE), "")</f>
        <v>7.6</v>
      </c>
      <c r="E3220" s="2">
        <f>IF(A3220&lt;&gt;"", VLOOKUP(A3220, imdb_netflix_v5!A$2:H$7370, 5, FALSE), "")</f>
        <v>1942</v>
      </c>
      <c r="F3220" s="2" t="str">
        <f>IF(A3220&lt;&gt;"", VLOOKUP(A3220, imdb_netflix_v5!A$2:H$7370, 7, FALSE), "")</f>
        <v>NA</v>
      </c>
    </row>
    <row r="3221" ht="15.75" customHeight="1">
      <c r="A3221" s="1" t="str">
        <f>IFERROR(__xludf.DUMMYFUNCTION("""COMPUTED_VALUE"""),"cholera street")</f>
        <v>cholera street</v>
      </c>
      <c r="B3221" s="1" t="str">
        <f>IF(A3221&lt;&gt;"", VLOOKUP(A3221, imdb_netflix_v5!A$2:H$7370, 2, FALSE), "")</f>
        <v>Movie</v>
      </c>
      <c r="C3221" s="2" t="str">
        <f>IF(A3221&lt;&gt;"", VLOOKUP(A3221, imdb_netflix_v5!A$2:H$7370, 3, FALSE), "")</f>
        <v>Crime, Drama, Romance</v>
      </c>
      <c r="D3221" s="2">
        <f>IF(A3221&lt;&gt;"", VLOOKUP(A3221, imdb_netflix_v5!A$2:H$7370, 4, FALSE), "")</f>
        <v>7.6</v>
      </c>
      <c r="E3221" s="2">
        <f>IF(A3221&lt;&gt;"", VLOOKUP(A3221, imdb_netflix_v5!A$2:H$7370, 5, FALSE), "")</f>
        <v>1997</v>
      </c>
      <c r="F3221" s="2" t="str">
        <f>IF(A3221&lt;&gt;"", VLOOKUP(A3221, imdb_netflix_v5!A$2:H$7370, 7, FALSE), "")</f>
        <v>NA</v>
      </c>
    </row>
    <row r="3222" ht="15.75" customHeight="1">
      <c r="A3222" s="1" t="str">
        <f>IFERROR(__xludf.DUMMYFUNCTION("""COMPUTED_VALUE"""),"tim and eric awesome show, great job!")</f>
        <v>tim and eric awesome show, great job!</v>
      </c>
      <c r="B3222" s="1" t="str">
        <f>IF(A3222&lt;&gt;"", VLOOKUP(A3222, imdb_netflix_v5!A$2:H$7370, 2, FALSE), "")</f>
        <v>TV Show</v>
      </c>
      <c r="C3222" s="2" t="str">
        <f>IF(A3222&lt;&gt;"", VLOOKUP(A3222, imdb_netflix_v5!A$2:H$7370, 3, FALSE), "")</f>
        <v>Comedy, Music</v>
      </c>
      <c r="D3222" s="2">
        <f>IF(A3222&lt;&gt;"", VLOOKUP(A3222, imdb_netflix_v5!A$2:H$7370, 4, FALSE), "")</f>
        <v>7.6</v>
      </c>
      <c r="E3222" s="2">
        <f>IF(A3222&lt;&gt;"", VLOOKUP(A3222, imdb_netflix_v5!A$2:H$7370, 5, FALSE), "")</f>
        <v>2007</v>
      </c>
      <c r="F3222" s="2" t="str">
        <f>IF(A3222&lt;&gt;"", VLOOKUP(A3222, imdb_netflix_v5!A$2:H$7370, 7, FALSE), "")</f>
        <v>NA</v>
      </c>
    </row>
    <row r="3223" ht="15.75" customHeight="1">
      <c r="A3223" s="1" t="str">
        <f>IFERROR(__xludf.DUMMYFUNCTION("""COMPUTED_VALUE"""),"shooting dogs")</f>
        <v>shooting dogs</v>
      </c>
      <c r="B3223" s="1" t="str">
        <f>IF(A3223&lt;&gt;"", VLOOKUP(A3223, imdb_netflix_v5!A$2:H$7370, 2, FALSE), "")</f>
        <v>Movie</v>
      </c>
      <c r="C3223" s="2" t="str">
        <f>IF(A3223&lt;&gt;"", VLOOKUP(A3223, imdb_netflix_v5!A$2:H$7370, 3, FALSE), "")</f>
        <v>Drama, History, War</v>
      </c>
      <c r="D3223" s="2">
        <f>IF(A3223&lt;&gt;"", VLOOKUP(A3223, imdb_netflix_v5!A$2:H$7370, 4, FALSE), "")</f>
        <v>7.6</v>
      </c>
      <c r="E3223" s="2">
        <f>IF(A3223&lt;&gt;"", VLOOKUP(A3223, imdb_netflix_v5!A$2:H$7370, 5, FALSE), "")</f>
        <v>2005</v>
      </c>
      <c r="F3223" s="2" t="str">
        <f>IF(A3223&lt;&gt;"", VLOOKUP(A3223, imdb_netflix_v5!A$2:H$7370, 7, FALSE), "")</f>
        <v>NA</v>
      </c>
    </row>
    <row r="3224" ht="15.75" customHeight="1">
      <c r="A3224" s="1" t="str">
        <f>IFERROR(__xludf.DUMMYFUNCTION("""COMPUTED_VALUE"""),"three wishes for cinderella")</f>
        <v>three wishes for cinderella</v>
      </c>
      <c r="B3224" s="1" t="str">
        <f>IF(A3224&lt;&gt;"", VLOOKUP(A3224, imdb_netflix_v5!A$2:H$7370, 2, FALSE), "")</f>
        <v>Movie</v>
      </c>
      <c r="C3224" s="2" t="str">
        <f>IF(A3224&lt;&gt;"", VLOOKUP(A3224, imdb_netflix_v5!A$2:H$7370, 3, FALSE), "")</f>
        <v>Adventure, Drama, Family</v>
      </c>
      <c r="D3224" s="2">
        <f>IF(A3224&lt;&gt;"", VLOOKUP(A3224, imdb_netflix_v5!A$2:H$7370, 4, FALSE), "")</f>
        <v>7.6</v>
      </c>
      <c r="E3224" s="2">
        <f>IF(A3224&lt;&gt;"", VLOOKUP(A3224, imdb_netflix_v5!A$2:H$7370, 5, FALSE), "")</f>
        <v>1973</v>
      </c>
      <c r="F3224" s="2" t="str">
        <f>IF(A3224&lt;&gt;"", VLOOKUP(A3224, imdb_netflix_v5!A$2:H$7370, 7, FALSE), "")</f>
        <v>NA</v>
      </c>
    </row>
    <row r="3225" ht="15.75" customHeight="1">
      <c r="A3225" s="1" t="str">
        <f>IFERROR(__xludf.DUMMYFUNCTION("""COMPUTED_VALUE"""),"odd man out")</f>
        <v>odd man out</v>
      </c>
      <c r="B3225" s="1" t="str">
        <f>IF(A3225&lt;&gt;"", VLOOKUP(A3225, imdb_netflix_v5!A$2:H$7370, 2, FALSE), "")</f>
        <v>Movie</v>
      </c>
      <c r="C3225" s="2" t="str">
        <f>IF(A3225&lt;&gt;"", VLOOKUP(A3225, imdb_netflix_v5!A$2:H$7370, 3, FALSE), "")</f>
        <v>Crime, Drama, Film-Noir</v>
      </c>
      <c r="D3225" s="2">
        <f>IF(A3225&lt;&gt;"", VLOOKUP(A3225, imdb_netflix_v5!A$2:H$7370, 4, FALSE), "")</f>
        <v>7.6</v>
      </c>
      <c r="E3225" s="2">
        <f>IF(A3225&lt;&gt;"", VLOOKUP(A3225, imdb_netflix_v5!A$2:H$7370, 5, FALSE), "")</f>
        <v>1947</v>
      </c>
      <c r="F3225" s="2" t="str">
        <f>IF(A3225&lt;&gt;"", VLOOKUP(A3225, imdb_netflix_v5!A$2:H$7370, 7, FALSE), "")</f>
        <v>NA</v>
      </c>
    </row>
    <row r="3226" ht="15.75" customHeight="1">
      <c r="A3226" s="1" t="str">
        <f>IFERROR(__xludf.DUMMYFUNCTION("""COMPUTED_VALUE"""),"ayan")</f>
        <v>ayan</v>
      </c>
      <c r="B3226" s="1" t="str">
        <f>IF(A3226&lt;&gt;"", VLOOKUP(A3226, imdb_netflix_v5!A$2:H$7370, 2, FALSE), "")</f>
        <v>Movie</v>
      </c>
      <c r="C3226" s="2" t="str">
        <f>IF(A3226&lt;&gt;"", VLOOKUP(A3226, imdb_netflix_v5!A$2:H$7370, 3, FALSE), "")</f>
        <v>Action, Crime, Drama</v>
      </c>
      <c r="D3226" s="2">
        <f>IF(A3226&lt;&gt;"", VLOOKUP(A3226, imdb_netflix_v5!A$2:H$7370, 4, FALSE), "")</f>
        <v>7.6</v>
      </c>
      <c r="E3226" s="2">
        <f>IF(A3226&lt;&gt;"", VLOOKUP(A3226, imdb_netflix_v5!A$2:H$7370, 5, FALSE), "")</f>
        <v>2009</v>
      </c>
      <c r="F3226" s="2" t="str">
        <f>IF(A3226&lt;&gt;"", VLOOKUP(A3226, imdb_netflix_v5!A$2:H$7370, 7, FALSE), "")</f>
        <v>NA</v>
      </c>
    </row>
    <row r="3227" ht="15.75" customHeight="1">
      <c r="A3227" s="1" t="str">
        <f>IFERROR(__xludf.DUMMYFUNCTION("""COMPUTED_VALUE"""),"you are the apple of my eye")</f>
        <v>you are the apple of my eye</v>
      </c>
      <c r="B3227" s="1" t="str">
        <f>IF(A3227&lt;&gt;"", VLOOKUP(A3227, imdb_netflix_v5!A$2:H$7370, 2, FALSE), "")</f>
        <v>Movie</v>
      </c>
      <c r="C3227" s="2" t="str">
        <f>IF(A3227&lt;&gt;"", VLOOKUP(A3227, imdb_netflix_v5!A$2:H$7370, 3, FALSE), "")</f>
        <v>Comedy, Drama, Romance</v>
      </c>
      <c r="D3227" s="2">
        <f>IF(A3227&lt;&gt;"", VLOOKUP(A3227, imdb_netflix_v5!A$2:H$7370, 4, FALSE), "")</f>
        <v>7.6</v>
      </c>
      <c r="E3227" s="2">
        <f>IF(A3227&lt;&gt;"", VLOOKUP(A3227, imdb_netflix_v5!A$2:H$7370, 5, FALSE), "")</f>
        <v>2011</v>
      </c>
      <c r="F3227" s="2" t="str">
        <f>IF(A3227&lt;&gt;"", VLOOKUP(A3227, imdb_netflix_v5!A$2:H$7370, 7, FALSE), "")</f>
        <v>NA</v>
      </c>
    </row>
    <row r="3228" ht="15.75" customHeight="1">
      <c r="A3228" s="1" t="str">
        <f>IFERROR(__xludf.DUMMYFUNCTION("""COMPUTED_VALUE"""),"the dresden files")</f>
        <v>the dresden files</v>
      </c>
      <c r="B3228" s="1" t="str">
        <f>IF(A3228&lt;&gt;"", VLOOKUP(A3228, imdb_netflix_v5!A$2:H$7370, 2, FALSE), "")</f>
        <v>TV Show</v>
      </c>
      <c r="C3228" s="2" t="str">
        <f>IF(A3228&lt;&gt;"", VLOOKUP(A3228, imdb_netflix_v5!A$2:H$7370, 3, FALSE), "")</f>
        <v>Crime, Drama, Fantasy</v>
      </c>
      <c r="D3228" s="2">
        <f>IF(A3228&lt;&gt;"", VLOOKUP(A3228, imdb_netflix_v5!A$2:H$7370, 4, FALSE), "")</f>
        <v>7.6</v>
      </c>
      <c r="E3228" s="2">
        <f>IF(A3228&lt;&gt;"", VLOOKUP(A3228, imdb_netflix_v5!A$2:H$7370, 5, FALSE), "")</f>
        <v>2007</v>
      </c>
      <c r="F3228" s="2" t="str">
        <f>IF(A3228&lt;&gt;"", VLOOKUP(A3228, imdb_netflix_v5!A$2:H$7370, 7, FALSE), "")</f>
        <v>NA</v>
      </c>
    </row>
    <row r="3229" ht="15.75" customHeight="1">
      <c r="A3229" s="1" t="str">
        <f>IFERROR(__xludf.DUMMYFUNCTION("""COMPUTED_VALUE"""),"aamir")</f>
        <v>aamir</v>
      </c>
      <c r="B3229" s="1" t="str">
        <f>IF(A3229&lt;&gt;"", VLOOKUP(A3229, imdb_netflix_v5!A$2:H$7370, 2, FALSE), "")</f>
        <v>Movie</v>
      </c>
      <c r="C3229" s="2" t="str">
        <f>IF(A3229&lt;&gt;"", VLOOKUP(A3229, imdb_netflix_v5!A$2:H$7370, 3, FALSE), "")</f>
        <v>Action, Crime, Drama</v>
      </c>
      <c r="D3229" s="2">
        <f>IF(A3229&lt;&gt;"", VLOOKUP(A3229, imdb_netflix_v5!A$2:H$7370, 4, FALSE), "")</f>
        <v>7.6</v>
      </c>
      <c r="E3229" s="2">
        <f>IF(A3229&lt;&gt;"", VLOOKUP(A3229, imdb_netflix_v5!A$2:H$7370, 5, FALSE), "")</f>
        <v>2008</v>
      </c>
      <c r="F3229" s="2" t="str">
        <f>IF(A3229&lt;&gt;"", VLOOKUP(A3229, imdb_netflix_v5!A$2:H$7370, 7, FALSE), "")</f>
        <v>NA</v>
      </c>
    </row>
    <row r="3230" ht="15.75" customHeight="1">
      <c r="A3230" s="1" t="str">
        <f>IFERROR(__xludf.DUMMYFUNCTION("""COMPUTED_VALUE"""),"joe pickett")</f>
        <v>joe pickett</v>
      </c>
      <c r="B3230" s="1" t="str">
        <f>IF(A3230&lt;&gt;"", VLOOKUP(A3230, imdb_netflix_v5!A$2:H$7370, 2, FALSE), "")</f>
        <v>TV Show</v>
      </c>
      <c r="C3230" s="2" t="str">
        <f>IF(A3230&lt;&gt;"", VLOOKUP(A3230, imdb_netflix_v5!A$2:H$7370, 3, FALSE), "")</f>
        <v>Drama, Western</v>
      </c>
      <c r="D3230" s="2">
        <f>IF(A3230&lt;&gt;"", VLOOKUP(A3230, imdb_netflix_v5!A$2:H$7370, 4, FALSE), "")</f>
        <v>7.6</v>
      </c>
      <c r="E3230" s="2">
        <f>IF(A3230&lt;&gt;"", VLOOKUP(A3230, imdb_netflix_v5!A$2:H$7370, 5, FALSE), "")</f>
        <v>2021</v>
      </c>
      <c r="F3230" s="2" t="str">
        <f>IF(A3230&lt;&gt;"", VLOOKUP(A3230, imdb_netflix_v5!A$2:H$7370, 7, FALSE), "")</f>
        <v>NA</v>
      </c>
    </row>
    <row r="3231" ht="15.75" customHeight="1">
      <c r="A3231" s="1" t="str">
        <f>IFERROR(__xludf.DUMMYFUNCTION("""COMPUTED_VALUE"""),"school spirits")</f>
        <v>school spirits</v>
      </c>
      <c r="B3231" s="1" t="str">
        <f>IF(A3231&lt;&gt;"", VLOOKUP(A3231, imdb_netflix_v5!A$2:H$7370, 2, FALSE), "")</f>
        <v>TV Show</v>
      </c>
      <c r="C3231" s="2" t="str">
        <f>IF(A3231&lt;&gt;"", VLOOKUP(A3231, imdb_netflix_v5!A$2:H$7370, 3, FALSE), "")</f>
        <v>Drama, Fantasy, Mystery</v>
      </c>
      <c r="D3231" s="2">
        <f>IF(A3231&lt;&gt;"", VLOOKUP(A3231, imdb_netflix_v5!A$2:H$7370, 4, FALSE), "")</f>
        <v>7.6</v>
      </c>
      <c r="E3231" s="2">
        <f>IF(A3231&lt;&gt;"", VLOOKUP(A3231, imdb_netflix_v5!A$2:H$7370, 5, FALSE), "")</f>
        <v>2023</v>
      </c>
      <c r="F3231" s="2">
        <f>IF(A3231&lt;&gt;"", VLOOKUP(A3231, imdb_netflix_v5!A$2:H$7370, 7, FALSE), "")</f>
        <v>8900000</v>
      </c>
    </row>
    <row r="3232" ht="15.75" customHeight="1">
      <c r="A3232" s="1" t="str">
        <f>IFERROR(__xludf.DUMMYFUNCTION("""COMPUTED_VALUE"""),"the man who copied")</f>
        <v>the man who copied</v>
      </c>
      <c r="B3232" s="1" t="str">
        <f>IF(A3232&lt;&gt;"", VLOOKUP(A3232, imdb_netflix_v5!A$2:H$7370, 2, FALSE), "")</f>
        <v>Movie</v>
      </c>
      <c r="C3232" s="2" t="str">
        <f>IF(A3232&lt;&gt;"", VLOOKUP(A3232, imdb_netflix_v5!A$2:H$7370, 3, FALSE), "")</f>
        <v>Comedy, Crime, Drama</v>
      </c>
      <c r="D3232" s="2">
        <f>IF(A3232&lt;&gt;"", VLOOKUP(A3232, imdb_netflix_v5!A$2:H$7370, 4, FALSE), "")</f>
        <v>7.6</v>
      </c>
      <c r="E3232" s="2">
        <f>IF(A3232&lt;&gt;"", VLOOKUP(A3232, imdb_netflix_v5!A$2:H$7370, 5, FALSE), "")</f>
        <v>2003</v>
      </c>
      <c r="F3232" s="2" t="str">
        <f>IF(A3232&lt;&gt;"", VLOOKUP(A3232, imdb_netflix_v5!A$2:H$7370, 7, FALSE), "")</f>
        <v>NA</v>
      </c>
    </row>
    <row r="3233" ht="15.75" customHeight="1">
      <c r="A3233" s="1" t="str">
        <f>IFERROR(__xludf.DUMMYFUNCTION("""COMPUTED_VALUE"""),"somersault in a coffin")</f>
        <v>somersault in a coffin</v>
      </c>
      <c r="B3233" s="1" t="str">
        <f>IF(A3233&lt;&gt;"", VLOOKUP(A3233, imdb_netflix_v5!A$2:H$7370, 2, FALSE), "")</f>
        <v>Movie</v>
      </c>
      <c r="C3233" s="2" t="str">
        <f>IF(A3233&lt;&gt;"", VLOOKUP(A3233, imdb_netflix_v5!A$2:H$7370, 3, FALSE), "")</f>
        <v>Drama</v>
      </c>
      <c r="D3233" s="2">
        <f>IF(A3233&lt;&gt;"", VLOOKUP(A3233, imdb_netflix_v5!A$2:H$7370, 4, FALSE), "")</f>
        <v>7.6</v>
      </c>
      <c r="E3233" s="2">
        <f>IF(A3233&lt;&gt;"", VLOOKUP(A3233, imdb_netflix_v5!A$2:H$7370, 5, FALSE), "")</f>
        <v>1996</v>
      </c>
      <c r="F3233" s="2" t="str">
        <f>IF(A3233&lt;&gt;"", VLOOKUP(A3233, imdb_netflix_v5!A$2:H$7370, 7, FALSE), "")</f>
        <v>NA</v>
      </c>
    </row>
    <row r="3234" ht="15.75" customHeight="1">
      <c r="A3234" s="1" t="str">
        <f>IFERROR(__xludf.DUMMYFUNCTION("""COMPUTED_VALUE"""),"the real ghostbusters")</f>
        <v>the real ghostbusters</v>
      </c>
      <c r="B3234" s="1" t="str">
        <f>IF(A3234&lt;&gt;"", VLOOKUP(A3234, imdb_netflix_v5!A$2:H$7370, 2, FALSE), "")</f>
        <v>TV Show</v>
      </c>
      <c r="C3234" s="2" t="str">
        <f>IF(A3234&lt;&gt;"", VLOOKUP(A3234, imdb_netflix_v5!A$2:H$7370, 3, FALSE), "")</f>
        <v>Action, Animation, Comedy</v>
      </c>
      <c r="D3234" s="2">
        <f>IF(A3234&lt;&gt;"", VLOOKUP(A3234, imdb_netflix_v5!A$2:H$7370, 4, FALSE), "")</f>
        <v>7.6</v>
      </c>
      <c r="E3234" s="2">
        <f>IF(A3234&lt;&gt;"", VLOOKUP(A3234, imdb_netflix_v5!A$2:H$7370, 5, FALSE), "")</f>
        <v>1986</v>
      </c>
      <c r="F3234" s="2" t="str">
        <f>IF(A3234&lt;&gt;"", VLOOKUP(A3234, imdb_netflix_v5!A$2:H$7370, 7, FALSE), "")</f>
        <v>NA</v>
      </c>
    </row>
    <row r="3235" ht="15.75" customHeight="1">
      <c r="A3235" s="1" t="str">
        <f>IFERROR(__xludf.DUMMYFUNCTION("""COMPUTED_VALUE"""),"a confession")</f>
        <v>a confession</v>
      </c>
      <c r="B3235" s="1" t="str">
        <f>IF(A3235&lt;&gt;"", VLOOKUP(A3235, imdb_netflix_v5!A$2:H$7370, 2, FALSE), "")</f>
        <v>TV Show</v>
      </c>
      <c r="C3235" s="2" t="str">
        <f>IF(A3235&lt;&gt;"", VLOOKUP(A3235, imdb_netflix_v5!A$2:H$7370, 3, FALSE), "")</f>
        <v>Biography, Crime, Drama</v>
      </c>
      <c r="D3235" s="2">
        <f>IF(A3235&lt;&gt;"", VLOOKUP(A3235, imdb_netflix_v5!A$2:H$7370, 4, FALSE), "")</f>
        <v>7.6</v>
      </c>
      <c r="E3235" s="2">
        <f>IF(A3235&lt;&gt;"", VLOOKUP(A3235, imdb_netflix_v5!A$2:H$7370, 5, FALSE), "")</f>
        <v>2019</v>
      </c>
      <c r="F3235" s="2" t="str">
        <f>IF(A3235&lt;&gt;"", VLOOKUP(A3235, imdb_netflix_v5!A$2:H$7370, 7, FALSE), "")</f>
        <v>NA</v>
      </c>
    </row>
    <row r="3236" ht="15.75" customHeight="1">
      <c r="A3236" s="1" t="str">
        <f>IFERROR(__xludf.DUMMYFUNCTION("""COMPUTED_VALUE"""),"peppermint candy")</f>
        <v>peppermint candy</v>
      </c>
      <c r="B3236" s="1" t="str">
        <f>IF(A3236&lt;&gt;"", VLOOKUP(A3236, imdb_netflix_v5!A$2:H$7370, 2, FALSE), "")</f>
        <v>Movie</v>
      </c>
      <c r="C3236" s="2" t="str">
        <f>IF(A3236&lt;&gt;"", VLOOKUP(A3236, imdb_netflix_v5!A$2:H$7370, 3, FALSE), "")</f>
        <v>Drama</v>
      </c>
      <c r="D3236" s="2">
        <f>IF(A3236&lt;&gt;"", VLOOKUP(A3236, imdb_netflix_v5!A$2:H$7370, 4, FALSE), "")</f>
        <v>7.6</v>
      </c>
      <c r="E3236" s="2">
        <f>IF(A3236&lt;&gt;"", VLOOKUP(A3236, imdb_netflix_v5!A$2:H$7370, 5, FALSE), "")</f>
        <v>1999</v>
      </c>
      <c r="F3236" s="2" t="str">
        <f>IF(A3236&lt;&gt;"", VLOOKUP(A3236, imdb_netflix_v5!A$2:H$7370, 7, FALSE), "")</f>
        <v>NA</v>
      </c>
    </row>
    <row r="3237" ht="15.75" customHeight="1">
      <c r="A3237" s="1" t="str">
        <f>IFERROR(__xludf.DUMMYFUNCTION("""COMPUTED_VALUE"""),"gasland")</f>
        <v>gasland</v>
      </c>
      <c r="B3237" s="1" t="str">
        <f>IF(A3237&lt;&gt;"", VLOOKUP(A3237, imdb_netflix_v5!A$2:H$7370, 2, FALSE), "")</f>
        <v>Movie</v>
      </c>
      <c r="C3237" s="2" t="str">
        <f>IF(A3237&lt;&gt;"", VLOOKUP(A3237, imdb_netflix_v5!A$2:H$7370, 3, FALSE), "")</f>
        <v>Documentary</v>
      </c>
      <c r="D3237" s="2">
        <f>IF(A3237&lt;&gt;"", VLOOKUP(A3237, imdb_netflix_v5!A$2:H$7370, 4, FALSE), "")</f>
        <v>7.6</v>
      </c>
      <c r="E3237" s="2">
        <f>IF(A3237&lt;&gt;"", VLOOKUP(A3237, imdb_netflix_v5!A$2:H$7370, 5, FALSE), "")</f>
        <v>2010</v>
      </c>
      <c r="F3237" s="2" t="str">
        <f>IF(A3237&lt;&gt;"", VLOOKUP(A3237, imdb_netflix_v5!A$2:H$7370, 7, FALSE), "")</f>
        <v>NA</v>
      </c>
    </row>
    <row r="3238" ht="15.75" customHeight="1">
      <c r="A3238" s="1" t="str">
        <f>IFERROR(__xludf.DUMMYFUNCTION("""COMPUTED_VALUE"""),"chance")</f>
        <v>chance</v>
      </c>
      <c r="B3238" s="1" t="str">
        <f>IF(A3238&lt;&gt;"", VLOOKUP(A3238, imdb_netflix_v5!A$2:H$7370, 2, FALSE), "")</f>
        <v>TV Show</v>
      </c>
      <c r="C3238" s="2" t="str">
        <f>IF(A3238&lt;&gt;"", VLOOKUP(A3238, imdb_netflix_v5!A$2:H$7370, 3, FALSE), "")</f>
        <v>Drama, Mystery, Thriller</v>
      </c>
      <c r="D3238" s="2">
        <f>IF(A3238&lt;&gt;"", VLOOKUP(A3238, imdb_netflix_v5!A$2:H$7370, 4, FALSE), "")</f>
        <v>7.6</v>
      </c>
      <c r="E3238" s="2">
        <f>IF(A3238&lt;&gt;"", VLOOKUP(A3238, imdb_netflix_v5!A$2:H$7370, 5, FALSE), "")</f>
        <v>2016</v>
      </c>
      <c r="F3238" s="2" t="str">
        <f>IF(A3238&lt;&gt;"", VLOOKUP(A3238, imdb_netflix_v5!A$2:H$7370, 7, FALSE), "")</f>
        <v>NA</v>
      </c>
    </row>
    <row r="3239" ht="15.75" customHeight="1">
      <c r="A3239" s="1" t="str">
        <f>IFERROR(__xludf.DUMMYFUNCTION("""COMPUTED_VALUE"""),"a heart in winter")</f>
        <v>a heart in winter</v>
      </c>
      <c r="B3239" s="1" t="str">
        <f>IF(A3239&lt;&gt;"", VLOOKUP(A3239, imdb_netflix_v5!A$2:H$7370, 2, FALSE), "")</f>
        <v>Movie</v>
      </c>
      <c r="C3239" s="2" t="str">
        <f>IF(A3239&lt;&gt;"", VLOOKUP(A3239, imdb_netflix_v5!A$2:H$7370, 3, FALSE), "")</f>
        <v>Drama, Music, Romance</v>
      </c>
      <c r="D3239" s="2">
        <f>IF(A3239&lt;&gt;"", VLOOKUP(A3239, imdb_netflix_v5!A$2:H$7370, 4, FALSE), "")</f>
        <v>7.6</v>
      </c>
      <c r="E3239" s="2">
        <f>IF(A3239&lt;&gt;"", VLOOKUP(A3239, imdb_netflix_v5!A$2:H$7370, 5, FALSE), "")</f>
        <v>1992</v>
      </c>
      <c r="F3239" s="2" t="str">
        <f>IF(A3239&lt;&gt;"", VLOOKUP(A3239, imdb_netflix_v5!A$2:H$7370, 7, FALSE), "")</f>
        <v>NA</v>
      </c>
    </row>
    <row r="3240" ht="15.75" customHeight="1">
      <c r="A3240" s="1" t="str">
        <f>IFERROR(__xludf.DUMMYFUNCTION("""COMPUTED_VALUE"""),"the pawnbroker")</f>
        <v>the pawnbroker</v>
      </c>
      <c r="B3240" s="1" t="str">
        <f>IF(A3240&lt;&gt;"", VLOOKUP(A3240, imdb_netflix_v5!A$2:H$7370, 2, FALSE), "")</f>
        <v>Movie</v>
      </c>
      <c r="C3240" s="2" t="str">
        <f>IF(A3240&lt;&gt;"", VLOOKUP(A3240, imdb_netflix_v5!A$2:H$7370, 3, FALSE), "")</f>
        <v>Drama</v>
      </c>
      <c r="D3240" s="2">
        <f>IF(A3240&lt;&gt;"", VLOOKUP(A3240, imdb_netflix_v5!A$2:H$7370, 4, FALSE), "")</f>
        <v>7.6</v>
      </c>
      <c r="E3240" s="2">
        <f>IF(A3240&lt;&gt;"", VLOOKUP(A3240, imdb_netflix_v5!A$2:H$7370, 5, FALSE), "")</f>
        <v>1964</v>
      </c>
      <c r="F3240" s="2" t="str">
        <f>IF(A3240&lt;&gt;"", VLOOKUP(A3240, imdb_netflix_v5!A$2:H$7370, 7, FALSE), "")</f>
        <v>NA</v>
      </c>
    </row>
    <row r="3241" ht="15.75" customHeight="1">
      <c r="A3241" s="1" t="str">
        <f>IFERROR(__xludf.DUMMYFUNCTION("""COMPUTED_VALUE"""),"the sea hawk")</f>
        <v>the sea hawk</v>
      </c>
      <c r="B3241" s="1" t="str">
        <f>IF(A3241&lt;&gt;"", VLOOKUP(A3241, imdb_netflix_v5!A$2:H$7370, 2, FALSE), "")</f>
        <v>Movie</v>
      </c>
      <c r="C3241" s="2" t="str">
        <f>IF(A3241&lt;&gt;"", VLOOKUP(A3241, imdb_netflix_v5!A$2:H$7370, 3, FALSE), "")</f>
        <v>Action, Adventure, History</v>
      </c>
      <c r="D3241" s="2">
        <f>IF(A3241&lt;&gt;"", VLOOKUP(A3241, imdb_netflix_v5!A$2:H$7370, 4, FALSE), "")</f>
        <v>7.6</v>
      </c>
      <c r="E3241" s="2">
        <f>IF(A3241&lt;&gt;"", VLOOKUP(A3241, imdb_netflix_v5!A$2:H$7370, 5, FALSE), "")</f>
        <v>1940</v>
      </c>
      <c r="F3241" s="2" t="str">
        <f>IF(A3241&lt;&gt;"", VLOOKUP(A3241, imdb_netflix_v5!A$2:H$7370, 7, FALSE), "")</f>
        <v>NA</v>
      </c>
    </row>
    <row r="3242" ht="15.75" customHeight="1">
      <c r="A3242" s="1" t="str">
        <f>IFERROR(__xludf.DUMMYFUNCTION("""COMPUTED_VALUE"""),"the green ray")</f>
        <v>the green ray</v>
      </c>
      <c r="B3242" s="1" t="str">
        <f>IF(A3242&lt;&gt;"", VLOOKUP(A3242, imdb_netflix_v5!A$2:H$7370, 2, FALSE), "")</f>
        <v>Movie</v>
      </c>
      <c r="C3242" s="2" t="str">
        <f>IF(A3242&lt;&gt;"", VLOOKUP(A3242, imdb_netflix_v5!A$2:H$7370, 3, FALSE), "")</f>
        <v>Drama, Romance</v>
      </c>
      <c r="D3242" s="2">
        <f>IF(A3242&lt;&gt;"", VLOOKUP(A3242, imdb_netflix_v5!A$2:H$7370, 4, FALSE), "")</f>
        <v>7.6</v>
      </c>
      <c r="E3242" s="2">
        <f>IF(A3242&lt;&gt;"", VLOOKUP(A3242, imdb_netflix_v5!A$2:H$7370, 5, FALSE), "")</f>
        <v>1986</v>
      </c>
      <c r="F3242" s="2" t="str">
        <f>IF(A3242&lt;&gt;"", VLOOKUP(A3242, imdb_netflix_v5!A$2:H$7370, 7, FALSE), "")</f>
        <v>NA</v>
      </c>
    </row>
    <row r="3243" ht="15.75" customHeight="1">
      <c r="A3243" s="1" t="str">
        <f>IFERROR(__xludf.DUMMYFUNCTION("""COMPUTED_VALUE"""),"berlin station")</f>
        <v>berlin station</v>
      </c>
      <c r="B3243" s="1" t="str">
        <f>IF(A3243&lt;&gt;"", VLOOKUP(A3243, imdb_netflix_v5!A$2:H$7370, 2, FALSE), "")</f>
        <v>TV Show</v>
      </c>
      <c r="C3243" s="2" t="str">
        <f>IF(A3243&lt;&gt;"", VLOOKUP(A3243, imdb_netflix_v5!A$2:H$7370, 3, FALSE), "")</f>
        <v>Action, Drama, Mystery</v>
      </c>
      <c r="D3243" s="2">
        <f>IF(A3243&lt;&gt;"", VLOOKUP(A3243, imdb_netflix_v5!A$2:H$7370, 4, FALSE), "")</f>
        <v>7.6</v>
      </c>
      <c r="E3243" s="2">
        <f>IF(A3243&lt;&gt;"", VLOOKUP(A3243, imdb_netflix_v5!A$2:H$7370, 5, FALSE), "")</f>
        <v>2016</v>
      </c>
      <c r="F3243" s="2" t="str">
        <f>IF(A3243&lt;&gt;"", VLOOKUP(A3243, imdb_netflix_v5!A$2:H$7370, 7, FALSE), "")</f>
        <v>NA</v>
      </c>
    </row>
    <row r="3244" ht="15.75" customHeight="1">
      <c r="A3244" s="1" t="str">
        <f>IFERROR(__xludf.DUMMYFUNCTION("""COMPUTED_VALUE"""),"harrow")</f>
        <v>harrow</v>
      </c>
      <c r="B3244" s="1" t="str">
        <f>IF(A3244&lt;&gt;"", VLOOKUP(A3244, imdb_netflix_v5!A$2:H$7370, 2, FALSE), "")</f>
        <v>TV Show</v>
      </c>
      <c r="C3244" s="2" t="str">
        <f>IF(A3244&lt;&gt;"", VLOOKUP(A3244, imdb_netflix_v5!A$2:H$7370, 3, FALSE), "")</f>
        <v>Crime, Drama, Mystery</v>
      </c>
      <c r="D3244" s="2">
        <f>IF(A3244&lt;&gt;"", VLOOKUP(A3244, imdb_netflix_v5!A$2:H$7370, 4, FALSE), "")</f>
        <v>7.6</v>
      </c>
      <c r="E3244" s="2">
        <f>IF(A3244&lt;&gt;"", VLOOKUP(A3244, imdb_netflix_v5!A$2:H$7370, 5, FALSE), "")</f>
        <v>2018</v>
      </c>
      <c r="F3244" s="2" t="str">
        <f>IF(A3244&lt;&gt;"", VLOOKUP(A3244, imdb_netflix_v5!A$2:H$7370, 7, FALSE), "")</f>
        <v>NA</v>
      </c>
    </row>
    <row r="3245" ht="15.75" customHeight="1">
      <c r="A3245" s="1" t="str">
        <f>IFERROR(__xludf.DUMMYFUNCTION("""COMPUTED_VALUE"""),"the passion of anna")</f>
        <v>the passion of anna</v>
      </c>
      <c r="B3245" s="1" t="str">
        <f>IF(A3245&lt;&gt;"", VLOOKUP(A3245, imdb_netflix_v5!A$2:H$7370, 2, FALSE), "")</f>
        <v>Movie</v>
      </c>
      <c r="C3245" s="2" t="str">
        <f>IF(A3245&lt;&gt;"", VLOOKUP(A3245, imdb_netflix_v5!A$2:H$7370, 3, FALSE), "")</f>
        <v>Drama</v>
      </c>
      <c r="D3245" s="2">
        <f>IF(A3245&lt;&gt;"", VLOOKUP(A3245, imdb_netflix_v5!A$2:H$7370, 4, FALSE), "")</f>
        <v>7.6</v>
      </c>
      <c r="E3245" s="2">
        <f>IF(A3245&lt;&gt;"", VLOOKUP(A3245, imdb_netflix_v5!A$2:H$7370, 5, FALSE), "")</f>
        <v>1969</v>
      </c>
      <c r="F3245" s="2" t="str">
        <f>IF(A3245&lt;&gt;"", VLOOKUP(A3245, imdb_netflix_v5!A$2:H$7370, 7, FALSE), "")</f>
        <v>NA</v>
      </c>
    </row>
    <row r="3246" ht="15.75" customHeight="1">
      <c r="A3246" s="1" t="str">
        <f>IFERROR(__xludf.DUMMYFUNCTION("""COMPUTED_VALUE"""),"a summers tale")</f>
        <v>a summers tale</v>
      </c>
      <c r="B3246" s="1" t="str">
        <f>IF(A3246&lt;&gt;"", VLOOKUP(A3246, imdb_netflix_v5!A$2:H$7370, 2, FALSE), "")</f>
        <v>Movie</v>
      </c>
      <c r="C3246" s="2" t="str">
        <f>IF(A3246&lt;&gt;"", VLOOKUP(A3246, imdb_netflix_v5!A$2:H$7370, 3, FALSE), "")</f>
        <v>Comedy, Drama, Romance</v>
      </c>
      <c r="D3246" s="2">
        <f>IF(A3246&lt;&gt;"", VLOOKUP(A3246, imdb_netflix_v5!A$2:H$7370, 4, FALSE), "")</f>
        <v>7.6</v>
      </c>
      <c r="E3246" s="2">
        <f>IF(A3246&lt;&gt;"", VLOOKUP(A3246, imdb_netflix_v5!A$2:H$7370, 5, FALSE), "")</f>
        <v>1996</v>
      </c>
      <c r="F3246" s="2" t="str">
        <f>IF(A3246&lt;&gt;"", VLOOKUP(A3246, imdb_netflix_v5!A$2:H$7370, 7, FALSE), "")</f>
        <v>NA</v>
      </c>
    </row>
    <row r="3247" ht="15.75" customHeight="1">
      <c r="A3247" s="1">
        <f>IFERROR(__xludf.DUMMYFUNCTION("""COMPUTED_VALUE"""),1776.0)</f>
        <v>1776</v>
      </c>
      <c r="B3247" s="1" t="str">
        <f>IF(A3247&lt;&gt;"", VLOOKUP(A3247, imdb_netflix_v5!A$2:H$7370, 2, FALSE), "")</f>
        <v>Movie</v>
      </c>
      <c r="C3247" s="2" t="str">
        <f>IF(A3247&lt;&gt;"", VLOOKUP(A3247, imdb_netflix_v5!A$2:H$7370, 3, FALSE), "")</f>
        <v>Drama, Family, History</v>
      </c>
      <c r="D3247" s="2">
        <f>IF(A3247&lt;&gt;"", VLOOKUP(A3247, imdb_netflix_v5!A$2:H$7370, 4, FALSE), "")</f>
        <v>7.6</v>
      </c>
      <c r="E3247" s="2">
        <f>IF(A3247&lt;&gt;"", VLOOKUP(A3247, imdb_netflix_v5!A$2:H$7370, 5, FALSE), "")</f>
        <v>1972</v>
      </c>
      <c r="F3247" s="2" t="str">
        <f>IF(A3247&lt;&gt;"", VLOOKUP(A3247, imdb_netflix_v5!A$2:H$7370, 7, FALSE), "")</f>
        <v>NA</v>
      </c>
    </row>
    <row r="3248" ht="15.75" customHeight="1">
      <c r="A3248" s="1" t="str">
        <f>IFERROR(__xludf.DUMMYFUNCTION("""COMPUTED_VALUE"""),"a sun")</f>
        <v>a sun</v>
      </c>
      <c r="B3248" s="1" t="str">
        <f>IF(A3248&lt;&gt;"", VLOOKUP(A3248, imdb_netflix_v5!A$2:H$7370, 2, FALSE), "")</f>
        <v>Movie</v>
      </c>
      <c r="C3248" s="2" t="str">
        <f>IF(A3248&lt;&gt;"", VLOOKUP(A3248, imdb_netflix_v5!A$2:H$7370, 3, FALSE), "")</f>
        <v>Crime, Drama</v>
      </c>
      <c r="D3248" s="2">
        <f>IF(A3248&lt;&gt;"", VLOOKUP(A3248, imdb_netflix_v5!A$2:H$7370, 4, FALSE), "")</f>
        <v>7.6</v>
      </c>
      <c r="E3248" s="2">
        <f>IF(A3248&lt;&gt;"", VLOOKUP(A3248, imdb_netflix_v5!A$2:H$7370, 5, FALSE), "")</f>
        <v>2019</v>
      </c>
      <c r="F3248" s="2" t="str">
        <f>IF(A3248&lt;&gt;"", VLOOKUP(A3248, imdb_netflix_v5!A$2:H$7370, 7, FALSE), "")</f>
        <v>NA</v>
      </c>
    </row>
    <row r="3249" ht="15.75" customHeight="1">
      <c r="A3249" s="1" t="str">
        <f>IFERROR(__xludf.DUMMYFUNCTION("""COMPUTED_VALUE"""),"weiner")</f>
        <v>weiner</v>
      </c>
      <c r="B3249" s="1" t="str">
        <f>IF(A3249&lt;&gt;"", VLOOKUP(A3249, imdb_netflix_v5!A$2:H$7370, 2, FALSE), "")</f>
        <v>Movie</v>
      </c>
      <c r="C3249" s="2" t="str">
        <f>IF(A3249&lt;&gt;"", VLOOKUP(A3249, imdb_netflix_v5!A$2:H$7370, 3, FALSE), "")</f>
        <v>Documentary</v>
      </c>
      <c r="D3249" s="2">
        <f>IF(A3249&lt;&gt;"", VLOOKUP(A3249, imdb_netflix_v5!A$2:H$7370, 4, FALSE), "")</f>
        <v>7.6</v>
      </c>
      <c r="E3249" s="2">
        <f>IF(A3249&lt;&gt;"", VLOOKUP(A3249, imdb_netflix_v5!A$2:H$7370, 5, FALSE), "")</f>
        <v>2016</v>
      </c>
      <c r="F3249" s="2" t="str">
        <f>IF(A3249&lt;&gt;"", VLOOKUP(A3249, imdb_netflix_v5!A$2:H$7370, 7, FALSE), "")</f>
        <v>NA</v>
      </c>
    </row>
    <row r="3250" ht="15.75" customHeight="1">
      <c r="A3250" s="1" t="str">
        <f>IFERROR(__xludf.DUMMYFUNCTION("""COMPUTED_VALUE"""),"bhavesh joshi superhero")</f>
        <v>bhavesh joshi superhero</v>
      </c>
      <c r="B3250" s="1" t="str">
        <f>IF(A3250&lt;&gt;"", VLOOKUP(A3250, imdb_netflix_v5!A$2:H$7370, 2, FALSE), "")</f>
        <v>Movie</v>
      </c>
      <c r="C3250" s="2" t="str">
        <f>IF(A3250&lt;&gt;"", VLOOKUP(A3250, imdb_netflix_v5!A$2:H$7370, 3, FALSE), "")</f>
        <v>Action, Drama</v>
      </c>
      <c r="D3250" s="2">
        <f>IF(A3250&lt;&gt;"", VLOOKUP(A3250, imdb_netflix_v5!A$2:H$7370, 4, FALSE), "")</f>
        <v>7.6</v>
      </c>
      <c r="E3250" s="2">
        <f>IF(A3250&lt;&gt;"", VLOOKUP(A3250, imdb_netflix_v5!A$2:H$7370, 5, FALSE), "")</f>
        <v>2018</v>
      </c>
      <c r="F3250" s="2" t="str">
        <f>IF(A3250&lt;&gt;"", VLOOKUP(A3250, imdb_netflix_v5!A$2:H$7370, 7, FALSE), "")</f>
        <v>NA</v>
      </c>
    </row>
    <row r="3251" ht="15.75" customHeight="1">
      <c r="A3251" s="1" t="str">
        <f>IFERROR(__xludf.DUMMYFUNCTION("""COMPUTED_VALUE"""),"the prime of miss jean brodie")</f>
        <v>the prime of miss jean brodie</v>
      </c>
      <c r="B3251" s="1" t="str">
        <f>IF(A3251&lt;&gt;"", VLOOKUP(A3251, imdb_netflix_v5!A$2:H$7370, 2, FALSE), "")</f>
        <v>Movie</v>
      </c>
      <c r="C3251" s="2" t="str">
        <f>IF(A3251&lt;&gt;"", VLOOKUP(A3251, imdb_netflix_v5!A$2:H$7370, 3, FALSE), "")</f>
        <v>Comedy, Drama, Romance</v>
      </c>
      <c r="D3251" s="2">
        <f>IF(A3251&lt;&gt;"", VLOOKUP(A3251, imdb_netflix_v5!A$2:H$7370, 4, FALSE), "")</f>
        <v>7.6</v>
      </c>
      <c r="E3251" s="2">
        <f>IF(A3251&lt;&gt;"", VLOOKUP(A3251, imdb_netflix_v5!A$2:H$7370, 5, FALSE), "")</f>
        <v>1969</v>
      </c>
      <c r="F3251" s="2" t="str">
        <f>IF(A3251&lt;&gt;"", VLOOKUP(A3251, imdb_netflix_v5!A$2:H$7370, 7, FALSE), "")</f>
        <v>NA</v>
      </c>
    </row>
    <row r="3252" ht="15.75" customHeight="1">
      <c r="A3252" s="1" t="str">
        <f>IFERROR(__xludf.DUMMYFUNCTION("""COMPUTED_VALUE"""),"chimes at midnight")</f>
        <v>chimes at midnight</v>
      </c>
      <c r="B3252" s="1" t="str">
        <f>IF(A3252&lt;&gt;"", VLOOKUP(A3252, imdb_netflix_v5!A$2:H$7370, 2, FALSE), "")</f>
        <v>Movie</v>
      </c>
      <c r="C3252" s="2" t="str">
        <f>IF(A3252&lt;&gt;"", VLOOKUP(A3252, imdb_netflix_v5!A$2:H$7370, 3, FALSE), "")</f>
        <v>Comedy, Drama, History</v>
      </c>
      <c r="D3252" s="2">
        <f>IF(A3252&lt;&gt;"", VLOOKUP(A3252, imdb_netflix_v5!A$2:H$7370, 4, FALSE), "")</f>
        <v>7.6</v>
      </c>
      <c r="E3252" s="2">
        <f>IF(A3252&lt;&gt;"", VLOOKUP(A3252, imdb_netflix_v5!A$2:H$7370, 5, FALSE), "")</f>
        <v>1965</v>
      </c>
      <c r="F3252" s="2" t="str">
        <f>IF(A3252&lt;&gt;"", VLOOKUP(A3252, imdb_netflix_v5!A$2:H$7370, 7, FALSE), "")</f>
        <v>NA</v>
      </c>
    </row>
    <row r="3253" ht="15.75" customHeight="1">
      <c r="A3253" s="1" t="str">
        <f>IFERROR(__xludf.DUMMYFUNCTION("""COMPUTED_VALUE"""),"accattone")</f>
        <v>accattone</v>
      </c>
      <c r="B3253" s="1" t="str">
        <f>IF(A3253&lt;&gt;"", VLOOKUP(A3253, imdb_netflix_v5!A$2:H$7370, 2, FALSE), "")</f>
        <v>Movie</v>
      </c>
      <c r="C3253" s="2" t="str">
        <f>IF(A3253&lt;&gt;"", VLOOKUP(A3253, imdb_netflix_v5!A$2:H$7370, 3, FALSE), "")</f>
        <v>Drama</v>
      </c>
      <c r="D3253" s="2">
        <f>IF(A3253&lt;&gt;"", VLOOKUP(A3253, imdb_netflix_v5!A$2:H$7370, 4, FALSE), "")</f>
        <v>7.6</v>
      </c>
      <c r="E3253" s="2">
        <f>IF(A3253&lt;&gt;"", VLOOKUP(A3253, imdb_netflix_v5!A$2:H$7370, 5, FALSE), "")</f>
        <v>1961</v>
      </c>
      <c r="F3253" s="2" t="str">
        <f>IF(A3253&lt;&gt;"", VLOOKUP(A3253, imdb_netflix_v5!A$2:H$7370, 7, FALSE), "")</f>
        <v>NA</v>
      </c>
    </row>
    <row r="3254" ht="15.75" customHeight="1">
      <c r="A3254" s="1" t="str">
        <f>IFERROR(__xludf.DUMMYFUNCTION("""COMPUTED_VALUE"""),"special")</f>
        <v>special</v>
      </c>
      <c r="B3254" s="1" t="str">
        <f>IF(A3254&lt;&gt;"", VLOOKUP(A3254, imdb_netflix_v5!A$2:H$7370, 2, FALSE), "")</f>
        <v>TV Show</v>
      </c>
      <c r="C3254" s="2" t="str">
        <f>IF(A3254&lt;&gt;"", VLOOKUP(A3254, imdb_netflix_v5!A$2:H$7370, 3, FALSE), "")</f>
        <v>Comedy, Drama</v>
      </c>
      <c r="D3254" s="2">
        <f>IF(A3254&lt;&gt;"", VLOOKUP(A3254, imdb_netflix_v5!A$2:H$7370, 4, FALSE), "")</f>
        <v>7.6</v>
      </c>
      <c r="E3254" s="2">
        <f>IF(A3254&lt;&gt;"", VLOOKUP(A3254, imdb_netflix_v5!A$2:H$7370, 5, FALSE), "")</f>
        <v>2019</v>
      </c>
      <c r="F3254" s="2" t="str">
        <f>IF(A3254&lt;&gt;"", VLOOKUP(A3254, imdb_netflix_v5!A$2:H$7370, 7, FALSE), "")</f>
        <v>NA</v>
      </c>
    </row>
    <row r="3255" ht="15.75" customHeight="1">
      <c r="A3255" s="1" t="str">
        <f>IFERROR(__xludf.DUMMYFUNCTION("""COMPUTED_VALUE"""),"when youre strange")</f>
        <v>when youre strange</v>
      </c>
      <c r="B3255" s="1" t="str">
        <f>IF(A3255&lt;&gt;"", VLOOKUP(A3255, imdb_netflix_v5!A$2:H$7370, 2, FALSE), "")</f>
        <v>Movie</v>
      </c>
      <c r="C3255" s="2" t="str">
        <f>IF(A3255&lt;&gt;"", VLOOKUP(A3255, imdb_netflix_v5!A$2:H$7370, 3, FALSE), "")</f>
        <v>Documentary, Music</v>
      </c>
      <c r="D3255" s="2">
        <f>IF(A3255&lt;&gt;"", VLOOKUP(A3255, imdb_netflix_v5!A$2:H$7370, 4, FALSE), "")</f>
        <v>7.6</v>
      </c>
      <c r="E3255" s="2">
        <f>IF(A3255&lt;&gt;"", VLOOKUP(A3255, imdb_netflix_v5!A$2:H$7370, 5, FALSE), "")</f>
        <v>2009</v>
      </c>
      <c r="F3255" s="2" t="str">
        <f>IF(A3255&lt;&gt;"", VLOOKUP(A3255, imdb_netflix_v5!A$2:H$7370, 7, FALSE), "")</f>
        <v>NA</v>
      </c>
    </row>
    <row r="3256" ht="15.75" customHeight="1">
      <c r="A3256" s="1" t="str">
        <f>IFERROR(__xludf.DUMMYFUNCTION("""COMPUTED_VALUE"""),"we will dance again")</f>
        <v>we will dance again</v>
      </c>
      <c r="B3256" s="1" t="str">
        <f>IF(A3256&lt;&gt;"", VLOOKUP(A3256, imdb_netflix_v5!A$2:H$7370, 2, FALSE), "")</f>
        <v>Movie</v>
      </c>
      <c r="C3256" s="2" t="str">
        <f>IF(A3256&lt;&gt;"", VLOOKUP(A3256, imdb_netflix_v5!A$2:H$7370, 3, FALSE), "")</f>
        <v>Documentary</v>
      </c>
      <c r="D3256" s="2">
        <f>IF(A3256&lt;&gt;"", VLOOKUP(A3256, imdb_netflix_v5!A$2:H$7370, 4, FALSE), "")</f>
        <v>7.6</v>
      </c>
      <c r="E3256" s="2">
        <f>IF(A3256&lt;&gt;"", VLOOKUP(A3256, imdb_netflix_v5!A$2:H$7370, 5, FALSE), "")</f>
        <v>2024</v>
      </c>
      <c r="F3256" s="2" t="str">
        <f>IF(A3256&lt;&gt;"", VLOOKUP(A3256, imdb_netflix_v5!A$2:H$7370, 7, FALSE), "")</f>
        <v>NA</v>
      </c>
    </row>
    <row r="3257" ht="15.75" customHeight="1">
      <c r="A3257" s="1" t="str">
        <f>IFERROR(__xludf.DUMMYFUNCTION("""COMPUTED_VALUE"""),"lonely are the brave")</f>
        <v>lonely are the brave</v>
      </c>
      <c r="B3257" s="1" t="str">
        <f>IF(A3257&lt;&gt;"", VLOOKUP(A3257, imdb_netflix_v5!A$2:H$7370, 2, FALSE), "")</f>
        <v>Movie</v>
      </c>
      <c r="C3257" s="2" t="str">
        <f>IF(A3257&lt;&gt;"", VLOOKUP(A3257, imdb_netflix_v5!A$2:H$7370, 3, FALSE), "")</f>
        <v>Drama, Western</v>
      </c>
      <c r="D3257" s="2">
        <f>IF(A3257&lt;&gt;"", VLOOKUP(A3257, imdb_netflix_v5!A$2:H$7370, 4, FALSE), "")</f>
        <v>7.6</v>
      </c>
      <c r="E3257" s="2">
        <f>IF(A3257&lt;&gt;"", VLOOKUP(A3257, imdb_netflix_v5!A$2:H$7370, 5, FALSE), "")</f>
        <v>1962</v>
      </c>
      <c r="F3257" s="2" t="str">
        <f>IF(A3257&lt;&gt;"", VLOOKUP(A3257, imdb_netflix_v5!A$2:H$7370, 7, FALSE), "")</f>
        <v>NA</v>
      </c>
    </row>
    <row r="3258" ht="15.75" customHeight="1">
      <c r="A3258" s="1" t="str">
        <f>IFERROR(__xludf.DUMMYFUNCTION("""COMPUTED_VALUE"""),"where the sidewalk ends")</f>
        <v>where the sidewalk ends</v>
      </c>
      <c r="B3258" s="1" t="str">
        <f>IF(A3258&lt;&gt;"", VLOOKUP(A3258, imdb_netflix_v5!A$2:H$7370, 2, FALSE), "")</f>
        <v>Movie</v>
      </c>
      <c r="C3258" s="2" t="str">
        <f>IF(A3258&lt;&gt;"", VLOOKUP(A3258, imdb_netflix_v5!A$2:H$7370, 3, FALSE), "")</f>
        <v>Crime, Drama, Film-Noir</v>
      </c>
      <c r="D3258" s="2">
        <f>IF(A3258&lt;&gt;"", VLOOKUP(A3258, imdb_netflix_v5!A$2:H$7370, 4, FALSE), "")</f>
        <v>7.6</v>
      </c>
      <c r="E3258" s="2">
        <f>IF(A3258&lt;&gt;"", VLOOKUP(A3258, imdb_netflix_v5!A$2:H$7370, 5, FALSE), "")</f>
        <v>1950</v>
      </c>
      <c r="F3258" s="2" t="str">
        <f>IF(A3258&lt;&gt;"", VLOOKUP(A3258, imdb_netflix_v5!A$2:H$7370, 7, FALSE), "")</f>
        <v>NA</v>
      </c>
    </row>
    <row r="3259" ht="15.75" customHeight="1">
      <c r="A3259" s="1" t="str">
        <f>IFERROR(__xludf.DUMMYFUNCTION("""COMPUTED_VALUE"""),"khaleja")</f>
        <v>khaleja</v>
      </c>
      <c r="B3259" s="1" t="str">
        <f>IF(A3259&lt;&gt;"", VLOOKUP(A3259, imdb_netflix_v5!A$2:H$7370, 2, FALSE), "")</f>
        <v>Movie</v>
      </c>
      <c r="C3259" s="2" t="str">
        <f>IF(A3259&lt;&gt;"", VLOOKUP(A3259, imdb_netflix_v5!A$2:H$7370, 3, FALSE), "")</f>
        <v>Action, Comedy, Fantasy</v>
      </c>
      <c r="D3259" s="2">
        <f>IF(A3259&lt;&gt;"", VLOOKUP(A3259, imdb_netflix_v5!A$2:H$7370, 4, FALSE), "")</f>
        <v>7.6</v>
      </c>
      <c r="E3259" s="2">
        <f>IF(A3259&lt;&gt;"", VLOOKUP(A3259, imdb_netflix_v5!A$2:H$7370, 5, FALSE), "")</f>
        <v>2010</v>
      </c>
      <c r="F3259" s="2" t="str">
        <f>IF(A3259&lt;&gt;"", VLOOKUP(A3259, imdb_netflix_v5!A$2:H$7370, 7, FALSE), "")</f>
        <v>NA</v>
      </c>
    </row>
    <row r="3260" ht="15.75" customHeight="1">
      <c r="A3260" s="1" t="str">
        <f>IFERROR(__xludf.DUMMYFUNCTION("""COMPUTED_VALUE"""),"karen pirie")</f>
        <v>karen pirie</v>
      </c>
      <c r="B3260" s="1" t="str">
        <f>IF(A3260&lt;&gt;"", VLOOKUP(A3260, imdb_netflix_v5!A$2:H$7370, 2, FALSE), "")</f>
        <v>TV Show</v>
      </c>
      <c r="C3260" s="2" t="str">
        <f>IF(A3260&lt;&gt;"", VLOOKUP(A3260, imdb_netflix_v5!A$2:H$7370, 3, FALSE), "")</f>
        <v>Crime, Drama, Mystery</v>
      </c>
      <c r="D3260" s="2">
        <f>IF(A3260&lt;&gt;"", VLOOKUP(A3260, imdb_netflix_v5!A$2:H$7370, 4, FALSE), "")</f>
        <v>7.6</v>
      </c>
      <c r="E3260" s="2">
        <f>IF(A3260&lt;&gt;"", VLOOKUP(A3260, imdb_netflix_v5!A$2:H$7370, 5, FALSE), "")</f>
        <v>2022</v>
      </c>
      <c r="F3260" s="2" t="str">
        <f>IF(A3260&lt;&gt;"", VLOOKUP(A3260, imdb_netflix_v5!A$2:H$7370, 7, FALSE), "")</f>
        <v>NA</v>
      </c>
    </row>
    <row r="3261" ht="15.75" customHeight="1">
      <c r="A3261" s="1" t="str">
        <f>IFERROR(__xludf.DUMMYFUNCTION("""COMPUTED_VALUE"""),"elsbeth")</f>
        <v>elsbeth</v>
      </c>
      <c r="B3261" s="1" t="str">
        <f>IF(A3261&lt;&gt;"", VLOOKUP(A3261, imdb_netflix_v5!A$2:H$7370, 2, FALSE), "")</f>
        <v>TV Show</v>
      </c>
      <c r="C3261" s="2" t="str">
        <f>IF(A3261&lt;&gt;"", VLOOKUP(A3261, imdb_netflix_v5!A$2:H$7370, 3, FALSE), "")</f>
        <v>Comedy, Crime, Drama</v>
      </c>
      <c r="D3261" s="2">
        <f>IF(A3261&lt;&gt;"", VLOOKUP(A3261, imdb_netflix_v5!A$2:H$7370, 4, FALSE), "")</f>
        <v>7.6</v>
      </c>
      <c r="E3261" s="2">
        <f>IF(A3261&lt;&gt;"", VLOOKUP(A3261, imdb_netflix_v5!A$2:H$7370, 5, FALSE), "")</f>
        <v>2024</v>
      </c>
      <c r="F3261" s="2" t="str">
        <f>IF(A3261&lt;&gt;"", VLOOKUP(A3261, imdb_netflix_v5!A$2:H$7370, 7, FALSE), "")</f>
        <v>NA</v>
      </c>
    </row>
    <row r="3262" ht="15.75" customHeight="1">
      <c r="A3262" s="1" t="str">
        <f>IFERROR(__xludf.DUMMYFUNCTION("""COMPUTED_VALUE"""),"extracurricular")</f>
        <v>extracurricular</v>
      </c>
      <c r="B3262" s="1" t="str">
        <f>IF(A3262&lt;&gt;"", VLOOKUP(A3262, imdb_netflix_v5!A$2:H$7370, 2, FALSE), "")</f>
        <v>TV Show</v>
      </c>
      <c r="C3262" s="2" t="str">
        <f>IF(A3262&lt;&gt;"", VLOOKUP(A3262, imdb_netflix_v5!A$2:H$7370, 3, FALSE), "")</f>
        <v>Crime, Drama</v>
      </c>
      <c r="D3262" s="2">
        <f>IF(A3262&lt;&gt;"", VLOOKUP(A3262, imdb_netflix_v5!A$2:H$7370, 4, FALSE), "")</f>
        <v>7.6</v>
      </c>
      <c r="E3262" s="2">
        <f>IF(A3262&lt;&gt;"", VLOOKUP(A3262, imdb_netflix_v5!A$2:H$7370, 5, FALSE), "")</f>
        <v>2020</v>
      </c>
      <c r="F3262" s="2" t="str">
        <f>IF(A3262&lt;&gt;"", VLOOKUP(A3262, imdb_netflix_v5!A$2:H$7370, 7, FALSE), "")</f>
        <v>NA</v>
      </c>
    </row>
    <row r="3263" ht="15.75" customHeight="1">
      <c r="A3263" s="1" t="str">
        <f>IFERROR(__xludf.DUMMYFUNCTION("""COMPUTED_VALUE"""),"the taming of the scoundrel")</f>
        <v>the taming of the scoundrel</v>
      </c>
      <c r="B3263" s="1" t="str">
        <f>IF(A3263&lt;&gt;"", VLOOKUP(A3263, imdb_netflix_v5!A$2:H$7370, 2, FALSE), "")</f>
        <v>Movie</v>
      </c>
      <c r="C3263" s="2" t="str">
        <f>IF(A3263&lt;&gt;"", VLOOKUP(A3263, imdb_netflix_v5!A$2:H$7370, 3, FALSE), "")</f>
        <v>Comedy, Romance</v>
      </c>
      <c r="D3263" s="2">
        <f>IF(A3263&lt;&gt;"", VLOOKUP(A3263, imdb_netflix_v5!A$2:H$7370, 4, FALSE), "")</f>
        <v>7.6</v>
      </c>
      <c r="E3263" s="2">
        <f>IF(A3263&lt;&gt;"", VLOOKUP(A3263, imdb_netflix_v5!A$2:H$7370, 5, FALSE), "")</f>
        <v>1980</v>
      </c>
      <c r="F3263" s="2" t="str">
        <f>IF(A3263&lt;&gt;"", VLOOKUP(A3263, imdb_netflix_v5!A$2:H$7370, 7, FALSE), "")</f>
        <v>NA</v>
      </c>
    </row>
    <row r="3264" ht="15.75" customHeight="1">
      <c r="A3264" s="1" t="str">
        <f>IFERROR(__xludf.DUMMYFUNCTION("""COMPUTED_VALUE"""),"the sky is pink")</f>
        <v>the sky is pink</v>
      </c>
      <c r="B3264" s="1" t="str">
        <f>IF(A3264&lt;&gt;"", VLOOKUP(A3264, imdb_netflix_v5!A$2:H$7370, 2, FALSE), "")</f>
        <v>Movie</v>
      </c>
      <c r="C3264" s="2" t="str">
        <f>IF(A3264&lt;&gt;"", VLOOKUP(A3264, imdb_netflix_v5!A$2:H$7370, 3, FALSE), "")</f>
        <v>Drama, Romance</v>
      </c>
      <c r="D3264" s="2">
        <f>IF(A3264&lt;&gt;"", VLOOKUP(A3264, imdb_netflix_v5!A$2:H$7370, 4, FALSE), "")</f>
        <v>7.6</v>
      </c>
      <c r="E3264" s="2">
        <f>IF(A3264&lt;&gt;"", VLOOKUP(A3264, imdb_netflix_v5!A$2:H$7370, 5, FALSE), "")</f>
        <v>2019</v>
      </c>
      <c r="F3264" s="2" t="str">
        <f>IF(A3264&lt;&gt;"", VLOOKUP(A3264, imdb_netflix_v5!A$2:H$7370, 7, FALSE), "")</f>
        <v>NA</v>
      </c>
    </row>
    <row r="3265" ht="15.75" customHeight="1">
      <c r="A3265" s="1" t="str">
        <f>IFERROR(__xludf.DUMMYFUNCTION("""COMPUTED_VALUE"""),"butterfly")</f>
        <v>butterfly</v>
      </c>
      <c r="B3265" s="1" t="str">
        <f>IF(A3265&lt;&gt;"", VLOOKUP(A3265, imdb_netflix_v5!A$2:H$7370, 2, FALSE), "")</f>
        <v>Movie</v>
      </c>
      <c r="C3265" s="2" t="str">
        <f>IF(A3265&lt;&gt;"", VLOOKUP(A3265, imdb_netflix_v5!A$2:H$7370, 3, FALSE), "")</f>
        <v>Drama, War</v>
      </c>
      <c r="D3265" s="2">
        <f>IF(A3265&lt;&gt;"", VLOOKUP(A3265, imdb_netflix_v5!A$2:H$7370, 4, FALSE), "")</f>
        <v>7.6</v>
      </c>
      <c r="E3265" s="2">
        <f>IF(A3265&lt;&gt;"", VLOOKUP(A3265, imdb_netflix_v5!A$2:H$7370, 5, FALSE), "")</f>
        <v>1999</v>
      </c>
      <c r="F3265" s="2" t="str">
        <f>IF(A3265&lt;&gt;"", VLOOKUP(A3265, imdb_netflix_v5!A$2:H$7370, 7, FALSE), "")</f>
        <v>NA</v>
      </c>
    </row>
    <row r="3266" ht="15.75" customHeight="1">
      <c r="A3266" s="1" t="str">
        <f>IFERROR(__xludf.DUMMYFUNCTION("""COMPUTED_VALUE"""),"the fallen idol")</f>
        <v>the fallen idol</v>
      </c>
      <c r="B3266" s="1" t="str">
        <f>IF(A3266&lt;&gt;"", VLOOKUP(A3266, imdb_netflix_v5!A$2:H$7370, 2, FALSE), "")</f>
        <v>Movie</v>
      </c>
      <c r="C3266" s="2" t="str">
        <f>IF(A3266&lt;&gt;"", VLOOKUP(A3266, imdb_netflix_v5!A$2:H$7370, 3, FALSE), "")</f>
        <v>Drama, Film-Noir, Mystery</v>
      </c>
      <c r="D3266" s="2">
        <f>IF(A3266&lt;&gt;"", VLOOKUP(A3266, imdb_netflix_v5!A$2:H$7370, 4, FALSE), "")</f>
        <v>7.6</v>
      </c>
      <c r="E3266" s="2">
        <f>IF(A3266&lt;&gt;"", VLOOKUP(A3266, imdb_netflix_v5!A$2:H$7370, 5, FALSE), "")</f>
        <v>1948</v>
      </c>
      <c r="F3266" s="2" t="str">
        <f>IF(A3266&lt;&gt;"", VLOOKUP(A3266, imdb_netflix_v5!A$2:H$7370, 7, FALSE), "")</f>
        <v>NA</v>
      </c>
    </row>
    <row r="3267" ht="15.75" customHeight="1">
      <c r="A3267" s="1" t="str">
        <f>IFERROR(__xludf.DUMMYFUNCTION("""COMPUTED_VALUE"""),"doctor strange")</f>
        <v>doctor strange</v>
      </c>
      <c r="B3267" s="1" t="str">
        <f>IF(A3267&lt;&gt;"", VLOOKUP(A3267, imdb_netflix_v5!A$2:H$7370, 2, FALSE), "")</f>
        <v>Movie</v>
      </c>
      <c r="C3267" s="2" t="str">
        <f>IF(A3267&lt;&gt;"", VLOOKUP(A3267, imdb_netflix_v5!A$2:H$7370, 3, FALSE), "")</f>
        <v>Action, Adventure, Fantasy</v>
      </c>
      <c r="D3267" s="2">
        <f>IF(A3267&lt;&gt;"", VLOOKUP(A3267, imdb_netflix_v5!A$2:H$7370, 4, FALSE), "")</f>
        <v>7.5</v>
      </c>
      <c r="E3267" s="2">
        <f>IF(A3267&lt;&gt;"", VLOOKUP(A3267, imdb_netflix_v5!A$2:H$7370, 5, FALSE), "")</f>
        <v>2016</v>
      </c>
      <c r="F3267" s="2" t="str">
        <f>IF(A3267&lt;&gt;"", VLOOKUP(A3267, imdb_netflix_v5!A$2:H$7370, 7, FALSE), "")</f>
        <v>NA</v>
      </c>
    </row>
    <row r="3268" ht="15.75" customHeight="1">
      <c r="A3268" s="1" t="str">
        <f>IFERROR(__xludf.DUMMYFUNCTION("""COMPUTED_VALUE"""),"the hunger games catching fire")</f>
        <v>the hunger games catching fire</v>
      </c>
      <c r="B3268" s="1" t="str">
        <f>IF(A3268&lt;&gt;"", VLOOKUP(A3268, imdb_netflix_v5!A$2:H$7370, 2, FALSE), "")</f>
        <v>Movie</v>
      </c>
      <c r="C3268" s="2" t="str">
        <f>IF(A3268&lt;&gt;"", VLOOKUP(A3268, imdb_netflix_v5!A$2:H$7370, 3, FALSE), "")</f>
        <v>Action, Adventure, Sci-Fi</v>
      </c>
      <c r="D3268" s="2">
        <f>IF(A3268&lt;&gt;"", VLOOKUP(A3268, imdb_netflix_v5!A$2:H$7370, 4, FALSE), "")</f>
        <v>7.5</v>
      </c>
      <c r="E3268" s="2">
        <f>IF(A3268&lt;&gt;"", VLOOKUP(A3268, imdb_netflix_v5!A$2:H$7370, 5, FALSE), "")</f>
        <v>2013</v>
      </c>
      <c r="F3268" s="2">
        <f>IF(A3268&lt;&gt;"", VLOOKUP(A3268, imdb_netflix_v5!A$2:H$7370, 7, FALSE), "")</f>
        <v>5010000</v>
      </c>
    </row>
    <row r="3269" ht="15.75" customHeight="1">
      <c r="A3269" s="1" t="str">
        <f>IFERROR(__xludf.DUMMYFUNCTION("""COMPUTED_VALUE"""),"spider-man 2")</f>
        <v>spider-man 2</v>
      </c>
      <c r="B3269" s="1" t="str">
        <f>IF(A3269&lt;&gt;"", VLOOKUP(A3269, imdb_netflix_v5!A$2:H$7370, 2, FALSE), "")</f>
        <v>Movie</v>
      </c>
      <c r="C3269" s="2" t="str">
        <f>IF(A3269&lt;&gt;"", VLOOKUP(A3269, imdb_netflix_v5!A$2:H$7370, 3, FALSE), "")</f>
        <v>Action, Adventure, Sci-Fi</v>
      </c>
      <c r="D3269" s="2">
        <f>IF(A3269&lt;&gt;"", VLOOKUP(A3269, imdb_netflix_v5!A$2:H$7370, 4, FALSE), "")</f>
        <v>7.5</v>
      </c>
      <c r="E3269" s="2">
        <f>IF(A3269&lt;&gt;"", VLOOKUP(A3269, imdb_netflix_v5!A$2:H$7370, 5, FALSE), "")</f>
        <v>2004</v>
      </c>
      <c r="F3269" s="2" t="str">
        <f>IF(A3269&lt;&gt;"", VLOOKUP(A3269, imdb_netflix_v5!A$2:H$7370, 7, FALSE), "")</f>
        <v>NA</v>
      </c>
    </row>
    <row r="3270" ht="15.75" customHeight="1">
      <c r="A3270" s="1" t="str">
        <f>IFERROR(__xludf.DUMMYFUNCTION("""COMPUTED_VALUE"""),"harry potter and the order of the phoenix")</f>
        <v>harry potter and the order of the phoenix</v>
      </c>
      <c r="B3270" s="1" t="str">
        <f>IF(A3270&lt;&gt;"", VLOOKUP(A3270, imdb_netflix_v5!A$2:H$7370, 2, FALSE), "")</f>
        <v>Movie</v>
      </c>
      <c r="C3270" s="2" t="str">
        <f>IF(A3270&lt;&gt;"", VLOOKUP(A3270, imdb_netflix_v5!A$2:H$7370, 3, FALSE), "")</f>
        <v>Action, Adventure, Family</v>
      </c>
      <c r="D3270" s="2">
        <f>IF(A3270&lt;&gt;"", VLOOKUP(A3270, imdb_netflix_v5!A$2:H$7370, 4, FALSE), "")</f>
        <v>7.5</v>
      </c>
      <c r="E3270" s="2">
        <f>IF(A3270&lt;&gt;"", VLOOKUP(A3270, imdb_netflix_v5!A$2:H$7370, 5, FALSE), "")</f>
        <v>2007</v>
      </c>
      <c r="F3270" s="2" t="str">
        <f>IF(A3270&lt;&gt;"", VLOOKUP(A3270, imdb_netflix_v5!A$2:H$7370, 7, FALSE), "")</f>
        <v>NA</v>
      </c>
    </row>
    <row r="3271" ht="15.75" customHeight="1">
      <c r="A3271" s="1" t="str">
        <f>IFERROR(__xludf.DUMMYFUNCTION("""COMPUTED_VALUE"""),"zombieland")</f>
        <v>zombieland</v>
      </c>
      <c r="B3271" s="1" t="str">
        <f>IF(A3271&lt;&gt;"", VLOOKUP(A3271, imdb_netflix_v5!A$2:H$7370, 2, FALSE), "")</f>
        <v>Movie</v>
      </c>
      <c r="C3271" s="2" t="str">
        <f>IF(A3271&lt;&gt;"", VLOOKUP(A3271, imdb_netflix_v5!A$2:H$7370, 3, FALSE), "")</f>
        <v>Action, Comedy, Horror</v>
      </c>
      <c r="D3271" s="2">
        <f>IF(A3271&lt;&gt;"", VLOOKUP(A3271, imdb_netflix_v5!A$2:H$7370, 4, FALSE), "")</f>
        <v>7.5</v>
      </c>
      <c r="E3271" s="2">
        <f>IF(A3271&lt;&gt;"", VLOOKUP(A3271, imdb_netflix_v5!A$2:H$7370, 5, FALSE), "")</f>
        <v>2009</v>
      </c>
      <c r="F3271" s="2" t="str">
        <f>IF(A3271&lt;&gt;"", VLOOKUP(A3271, imdb_netflix_v5!A$2:H$7370, 7, FALSE), "")</f>
        <v>NA</v>
      </c>
    </row>
    <row r="3272" ht="15.75" customHeight="1">
      <c r="A3272" s="1" t="str">
        <f>IFERROR(__xludf.DUMMYFUNCTION("""COMPUTED_VALUE"""),"baby driver")</f>
        <v>baby driver</v>
      </c>
      <c r="B3272" s="1" t="str">
        <f>IF(A3272&lt;&gt;"", VLOOKUP(A3272, imdb_netflix_v5!A$2:H$7370, 2, FALSE), "")</f>
        <v>Movie</v>
      </c>
      <c r="C3272" s="2" t="str">
        <f>IF(A3272&lt;&gt;"", VLOOKUP(A3272, imdb_netflix_v5!A$2:H$7370, 3, FALSE), "")</f>
        <v>Action, Crime, Drama</v>
      </c>
      <c r="D3272" s="2">
        <f>IF(A3272&lt;&gt;"", VLOOKUP(A3272, imdb_netflix_v5!A$2:H$7370, 4, FALSE), "")</f>
        <v>7.5</v>
      </c>
      <c r="E3272" s="2">
        <f>IF(A3272&lt;&gt;"", VLOOKUP(A3272, imdb_netflix_v5!A$2:H$7370, 5, FALSE), "")</f>
        <v>2017</v>
      </c>
      <c r="F3272" s="2" t="str">
        <f>IF(A3272&lt;&gt;"", VLOOKUP(A3272, imdb_netflix_v5!A$2:H$7370, 7, FALSE), "")</f>
        <v>NA</v>
      </c>
    </row>
    <row r="3273" ht="15.75" customHeight="1">
      <c r="A3273" s="1" t="str">
        <f>IFERROR(__xludf.DUMMYFUNCTION("""COMPUTED_VALUE"""),"a quiet place")</f>
        <v>a quiet place</v>
      </c>
      <c r="B3273" s="1" t="str">
        <f>IF(A3273&lt;&gt;"", VLOOKUP(A3273, imdb_netflix_v5!A$2:H$7370, 2, FALSE), "")</f>
        <v>Movie</v>
      </c>
      <c r="C3273" s="2" t="str">
        <f>IF(A3273&lt;&gt;"", VLOOKUP(A3273, imdb_netflix_v5!A$2:H$7370, 3, FALSE), "")</f>
        <v>Drama, Horror, Sci-Fi</v>
      </c>
      <c r="D3273" s="2">
        <f>IF(A3273&lt;&gt;"", VLOOKUP(A3273, imdb_netflix_v5!A$2:H$7370, 4, FALSE), "")</f>
        <v>7.5</v>
      </c>
      <c r="E3273" s="2">
        <f>IF(A3273&lt;&gt;"", VLOOKUP(A3273, imdb_netflix_v5!A$2:H$7370, 5, FALSE), "")</f>
        <v>2018</v>
      </c>
      <c r="F3273" s="2" t="str">
        <f>IF(A3273&lt;&gt;"", VLOOKUP(A3273, imdb_netflix_v5!A$2:H$7370, 7, FALSE), "")</f>
        <v>NA</v>
      </c>
    </row>
    <row r="3274" ht="15.75" customHeight="1">
      <c r="A3274" s="1" t="str">
        <f>IFERROR(__xludf.DUMMYFUNCTION("""COMPUTED_VALUE"""),"the conjuring")</f>
        <v>the conjuring</v>
      </c>
      <c r="B3274" s="1" t="str">
        <f>IF(A3274&lt;&gt;"", VLOOKUP(A3274, imdb_netflix_v5!A$2:H$7370, 2, FALSE), "")</f>
        <v>Movie</v>
      </c>
      <c r="C3274" s="2" t="str">
        <f>IF(A3274&lt;&gt;"", VLOOKUP(A3274, imdb_netflix_v5!A$2:H$7370, 3, FALSE), "")</f>
        <v>Horror, Mystery, Thriller</v>
      </c>
      <c r="D3274" s="2">
        <f>IF(A3274&lt;&gt;"", VLOOKUP(A3274, imdb_netflix_v5!A$2:H$7370, 4, FALSE), "")</f>
        <v>7.5</v>
      </c>
      <c r="E3274" s="2">
        <f>IF(A3274&lt;&gt;"", VLOOKUP(A3274, imdb_netflix_v5!A$2:H$7370, 5, FALSE), "")</f>
        <v>2013</v>
      </c>
      <c r="F3274" s="2" t="str">
        <f>IF(A3274&lt;&gt;"", VLOOKUP(A3274, imdb_netflix_v5!A$2:H$7370, 7, FALSE), "")</f>
        <v>NA</v>
      </c>
    </row>
    <row r="3275" ht="15.75" customHeight="1">
      <c r="A3275" s="1" t="str">
        <f>IFERROR(__xludf.DUMMYFUNCTION("""COMPUTED_VALUE"""),"source code")</f>
        <v>source code</v>
      </c>
      <c r="B3275" s="1" t="str">
        <f>IF(A3275&lt;&gt;"", VLOOKUP(A3275, imdb_netflix_v5!A$2:H$7370, 2, FALSE), "")</f>
        <v>Movie</v>
      </c>
      <c r="C3275" s="2" t="str">
        <f>IF(A3275&lt;&gt;"", VLOOKUP(A3275, imdb_netflix_v5!A$2:H$7370, 3, FALSE), "")</f>
        <v>Action, Drama, Mystery</v>
      </c>
      <c r="D3275" s="2">
        <f>IF(A3275&lt;&gt;"", VLOOKUP(A3275, imdb_netflix_v5!A$2:H$7370, 4, FALSE), "")</f>
        <v>7.5</v>
      </c>
      <c r="E3275" s="2">
        <f>IF(A3275&lt;&gt;"", VLOOKUP(A3275, imdb_netflix_v5!A$2:H$7370, 5, FALSE), "")</f>
        <v>2011</v>
      </c>
      <c r="F3275" s="2" t="str">
        <f>IF(A3275&lt;&gt;"", VLOOKUP(A3275, imdb_netflix_v5!A$2:H$7370, 7, FALSE), "")</f>
        <v>NA</v>
      </c>
    </row>
    <row r="3276" ht="15.75" customHeight="1">
      <c r="A3276" s="1" t="str">
        <f>IFERROR(__xludf.DUMMYFUNCTION("""COMPUTED_VALUE"""),"indiana jones and the temple of doom")</f>
        <v>indiana jones and the temple of doom</v>
      </c>
      <c r="B3276" s="1" t="str">
        <f>IF(A3276&lt;&gt;"", VLOOKUP(A3276, imdb_netflix_v5!A$2:H$7370, 2, FALSE), "")</f>
        <v>Movie</v>
      </c>
      <c r="C3276" s="2" t="str">
        <f>IF(A3276&lt;&gt;"", VLOOKUP(A3276, imdb_netflix_v5!A$2:H$7370, 3, FALSE), "")</f>
        <v>Action, Adventure</v>
      </c>
      <c r="D3276" s="2">
        <f>IF(A3276&lt;&gt;"", VLOOKUP(A3276, imdb_netflix_v5!A$2:H$7370, 4, FALSE), "")</f>
        <v>7.5</v>
      </c>
      <c r="E3276" s="2">
        <f>IF(A3276&lt;&gt;"", VLOOKUP(A3276, imdb_netflix_v5!A$2:H$7370, 5, FALSE), "")</f>
        <v>1984</v>
      </c>
      <c r="F3276" s="2" t="str">
        <f>IF(A3276&lt;&gt;"", VLOOKUP(A3276, imdb_netflix_v5!A$2:H$7370, 7, FALSE), "")</f>
        <v>NA</v>
      </c>
    </row>
    <row r="3277" ht="15.75" customHeight="1">
      <c r="A3277" s="1" t="str">
        <f>IFERROR(__xludf.DUMMYFUNCTION("""COMPUTED_VALUE"""),"ice age")</f>
        <v>ice age</v>
      </c>
      <c r="B3277" s="1" t="str">
        <f>IF(A3277&lt;&gt;"", VLOOKUP(A3277, imdb_netflix_v5!A$2:H$7370, 2, FALSE), "")</f>
        <v>Movie</v>
      </c>
      <c r="C3277" s="2" t="str">
        <f>IF(A3277&lt;&gt;"", VLOOKUP(A3277, imdb_netflix_v5!A$2:H$7370, 3, FALSE), "")</f>
        <v>Adventure, Animation, Comedy</v>
      </c>
      <c r="D3277" s="2">
        <f>IF(A3277&lt;&gt;"", VLOOKUP(A3277, imdb_netflix_v5!A$2:H$7370, 4, FALSE), "")</f>
        <v>7.5</v>
      </c>
      <c r="E3277" s="2">
        <f>IF(A3277&lt;&gt;"", VLOOKUP(A3277, imdb_netflix_v5!A$2:H$7370, 5, FALSE), "")</f>
        <v>2002</v>
      </c>
      <c r="F3277" s="2" t="str">
        <f>IF(A3277&lt;&gt;"", VLOOKUP(A3277, imdb_netflix_v5!A$2:H$7370, 7, FALSE), "")</f>
        <v>NA</v>
      </c>
    </row>
    <row r="3278" ht="15.75" customHeight="1">
      <c r="A3278" s="1" t="str">
        <f>IFERROR(__xludf.DUMMYFUNCTION("""COMPUTED_VALUE"""),"avatar the way of water")</f>
        <v>avatar the way of water</v>
      </c>
      <c r="B3278" s="1" t="str">
        <f>IF(A3278&lt;&gt;"", VLOOKUP(A3278, imdb_netflix_v5!A$2:H$7370, 2, FALSE), "")</f>
        <v>Movie</v>
      </c>
      <c r="C3278" s="2" t="str">
        <f>IF(A3278&lt;&gt;"", VLOOKUP(A3278, imdb_netflix_v5!A$2:H$7370, 3, FALSE), "")</f>
        <v>Action, Adventure, Fantasy</v>
      </c>
      <c r="D3278" s="2">
        <f>IF(A3278&lt;&gt;"", VLOOKUP(A3278, imdb_netflix_v5!A$2:H$7370, 4, FALSE), "")</f>
        <v>7.5</v>
      </c>
      <c r="E3278" s="2">
        <f>IF(A3278&lt;&gt;"", VLOOKUP(A3278, imdb_netflix_v5!A$2:H$7370, 5, FALSE), "")</f>
        <v>2022</v>
      </c>
      <c r="F3278" s="2" t="str">
        <f>IF(A3278&lt;&gt;"", VLOOKUP(A3278, imdb_netflix_v5!A$2:H$7370, 7, FALSE), "")</f>
        <v>NA</v>
      </c>
    </row>
    <row r="3279" ht="15.75" customHeight="1">
      <c r="A3279" s="1" t="str">
        <f>IFERROR(__xludf.DUMMYFUNCTION("""COMPUTED_VALUE"""),"gangs of new york")</f>
        <v>gangs of new york</v>
      </c>
      <c r="B3279" s="1" t="str">
        <f>IF(A3279&lt;&gt;"", VLOOKUP(A3279, imdb_netflix_v5!A$2:H$7370, 2, FALSE), "")</f>
        <v>Movie</v>
      </c>
      <c r="C3279" s="2" t="str">
        <f>IF(A3279&lt;&gt;"", VLOOKUP(A3279, imdb_netflix_v5!A$2:H$7370, 3, FALSE), "")</f>
        <v>Crime, Drama</v>
      </c>
      <c r="D3279" s="2">
        <f>IF(A3279&lt;&gt;"", VLOOKUP(A3279, imdb_netflix_v5!A$2:H$7370, 4, FALSE), "")</f>
        <v>7.5</v>
      </c>
      <c r="E3279" s="2">
        <f>IF(A3279&lt;&gt;"", VLOOKUP(A3279, imdb_netflix_v5!A$2:H$7370, 5, FALSE), "")</f>
        <v>2002</v>
      </c>
      <c r="F3279" s="2" t="str">
        <f>IF(A3279&lt;&gt;"", VLOOKUP(A3279, imdb_netflix_v5!A$2:H$7370, 7, FALSE), "")</f>
        <v>NA</v>
      </c>
    </row>
    <row r="3280" ht="15.75" customHeight="1">
      <c r="A3280" s="1" t="str">
        <f>IFERROR(__xludf.DUMMYFUNCTION("""COMPUTED_VALUE"""),"the hurt locker")</f>
        <v>the hurt locker</v>
      </c>
      <c r="B3280" s="1" t="str">
        <f>IF(A3280&lt;&gt;"", VLOOKUP(A3280, imdb_netflix_v5!A$2:H$7370, 2, FALSE), "")</f>
        <v>Movie</v>
      </c>
      <c r="C3280" s="2" t="str">
        <f>IF(A3280&lt;&gt;"", VLOOKUP(A3280, imdb_netflix_v5!A$2:H$7370, 3, FALSE), "")</f>
        <v>Drama, Thriller, War</v>
      </c>
      <c r="D3280" s="2">
        <f>IF(A3280&lt;&gt;"", VLOOKUP(A3280, imdb_netflix_v5!A$2:H$7370, 4, FALSE), "")</f>
        <v>7.5</v>
      </c>
      <c r="E3280" s="2">
        <f>IF(A3280&lt;&gt;"", VLOOKUP(A3280, imdb_netflix_v5!A$2:H$7370, 5, FALSE), "")</f>
        <v>2008</v>
      </c>
      <c r="F3280" s="2" t="str">
        <f>IF(A3280&lt;&gt;"", VLOOKUP(A3280, imdb_netflix_v5!A$2:H$7370, 7, FALSE), "")</f>
        <v>NA</v>
      </c>
    </row>
    <row r="3281" ht="15.75" customHeight="1">
      <c r="A3281" s="1" t="str">
        <f>IFERROR(__xludf.DUMMYFUNCTION("""COMPUTED_VALUE"""),"28 days later")</f>
        <v>28 days later</v>
      </c>
      <c r="B3281" s="1" t="str">
        <f>IF(A3281&lt;&gt;"", VLOOKUP(A3281, imdb_netflix_v5!A$2:H$7370, 2, FALSE), "")</f>
        <v>Movie</v>
      </c>
      <c r="C3281" s="2" t="str">
        <f>IF(A3281&lt;&gt;"", VLOOKUP(A3281, imdb_netflix_v5!A$2:H$7370, 3, FALSE), "")</f>
        <v>Drama, Horror, Sci-Fi</v>
      </c>
      <c r="D3281" s="2">
        <f>IF(A3281&lt;&gt;"", VLOOKUP(A3281, imdb_netflix_v5!A$2:H$7370, 4, FALSE), "")</f>
        <v>7.5</v>
      </c>
      <c r="E3281" s="2">
        <f>IF(A3281&lt;&gt;"", VLOOKUP(A3281, imdb_netflix_v5!A$2:H$7370, 5, FALSE), "")</f>
        <v>2002</v>
      </c>
      <c r="F3281" s="2" t="str">
        <f>IF(A3281&lt;&gt;"", VLOOKUP(A3281, imdb_netflix_v5!A$2:H$7370, 7, FALSE), "")</f>
        <v>NA</v>
      </c>
    </row>
    <row r="3282" ht="15.75" customHeight="1">
      <c r="A3282" s="1" t="str">
        <f>IFERROR(__xludf.DUMMYFUNCTION("""COMPUTED_VALUE"""),"arrow")</f>
        <v>arrow</v>
      </c>
      <c r="B3282" s="1" t="str">
        <f>IF(A3282&lt;&gt;"", VLOOKUP(A3282, imdb_netflix_v5!A$2:H$7370, 2, FALSE), "")</f>
        <v>TV Show</v>
      </c>
      <c r="C3282" s="2" t="str">
        <f>IF(A3282&lt;&gt;"", VLOOKUP(A3282, imdb_netflix_v5!A$2:H$7370, 3, FALSE), "")</f>
        <v>Action, Adventure, Crime</v>
      </c>
      <c r="D3282" s="2">
        <f>IF(A3282&lt;&gt;"", VLOOKUP(A3282, imdb_netflix_v5!A$2:H$7370, 4, FALSE), "")</f>
        <v>7.5</v>
      </c>
      <c r="E3282" s="2">
        <f>IF(A3282&lt;&gt;"", VLOOKUP(A3282, imdb_netflix_v5!A$2:H$7370, 5, FALSE), "")</f>
        <v>2012</v>
      </c>
      <c r="F3282" s="2" t="str">
        <f>IF(A3282&lt;&gt;"", VLOOKUP(A3282, imdb_netflix_v5!A$2:H$7370, 7, FALSE), "")</f>
        <v>NA</v>
      </c>
    </row>
    <row r="3283" ht="15.75" customHeight="1">
      <c r="A3283" s="1" t="str">
        <f>IFERROR(__xludf.DUMMYFUNCTION("""COMPUTED_VALUE"""),"collateral")</f>
        <v>collateral</v>
      </c>
      <c r="B3283" s="1" t="str">
        <f>IF(A3283&lt;&gt;"", VLOOKUP(A3283, imdb_netflix_v5!A$2:H$7370, 2, FALSE), "")</f>
        <v>Movie</v>
      </c>
      <c r="C3283" s="2" t="str">
        <f>IF(A3283&lt;&gt;"", VLOOKUP(A3283, imdb_netflix_v5!A$2:H$7370, 3, FALSE), "")</f>
        <v>Action, Crime, Drama</v>
      </c>
      <c r="D3283" s="2">
        <f>IF(A3283&lt;&gt;"", VLOOKUP(A3283, imdb_netflix_v5!A$2:H$7370, 4, FALSE), "")</f>
        <v>7.5</v>
      </c>
      <c r="E3283" s="2">
        <f>IF(A3283&lt;&gt;"", VLOOKUP(A3283, imdb_netflix_v5!A$2:H$7370, 5, FALSE), "")</f>
        <v>2004</v>
      </c>
      <c r="F3283" s="2">
        <f>IF(A3283&lt;&gt;"", VLOOKUP(A3283, imdb_netflix_v5!A$2:H$7370, 7, FALSE), "")</f>
        <v>6100000</v>
      </c>
    </row>
    <row r="3284" ht="15.75" customHeight="1">
      <c r="A3284" s="1" t="str">
        <f>IFERROR(__xludf.DUMMYFUNCTION("""COMPUTED_VALUE"""),"the town")</f>
        <v>the town</v>
      </c>
      <c r="B3284" s="1" t="str">
        <f>IF(A3284&lt;&gt;"", VLOOKUP(A3284, imdb_netflix_v5!A$2:H$7370, 2, FALSE), "")</f>
        <v>Movie</v>
      </c>
      <c r="C3284" s="2" t="str">
        <f>IF(A3284&lt;&gt;"", VLOOKUP(A3284, imdb_netflix_v5!A$2:H$7370, 3, FALSE), "")</f>
        <v>Crime, Drama, Thriller</v>
      </c>
      <c r="D3284" s="2">
        <f>IF(A3284&lt;&gt;"", VLOOKUP(A3284, imdb_netflix_v5!A$2:H$7370, 4, FALSE), "")</f>
        <v>7.5</v>
      </c>
      <c r="E3284" s="2">
        <f>IF(A3284&lt;&gt;"", VLOOKUP(A3284, imdb_netflix_v5!A$2:H$7370, 5, FALSE), "")</f>
        <v>2010</v>
      </c>
      <c r="F3284" s="2" t="str">
        <f>IF(A3284&lt;&gt;"", VLOOKUP(A3284, imdb_netflix_v5!A$2:H$7370, 7, FALSE), "")</f>
        <v>NA</v>
      </c>
    </row>
    <row r="3285" ht="15.75" customHeight="1">
      <c r="A3285" s="1" t="str">
        <f>IFERROR(__xludf.DUMMYFUNCTION("""COMPUTED_VALUE"""),"batman")</f>
        <v>batman</v>
      </c>
      <c r="B3285" s="1" t="str">
        <f>IF(A3285&lt;&gt;"", VLOOKUP(A3285, imdb_netflix_v5!A$2:H$7370, 2, FALSE), "")</f>
        <v>Movie</v>
      </c>
      <c r="C3285" s="2" t="str">
        <f>IF(A3285&lt;&gt;"", VLOOKUP(A3285, imdb_netflix_v5!A$2:H$7370, 3, FALSE), "")</f>
        <v>Action, Adventure</v>
      </c>
      <c r="D3285" s="2">
        <f>IF(A3285&lt;&gt;"", VLOOKUP(A3285, imdb_netflix_v5!A$2:H$7370, 4, FALSE), "")</f>
        <v>7.5</v>
      </c>
      <c r="E3285" s="2">
        <f>IF(A3285&lt;&gt;"", VLOOKUP(A3285, imdb_netflix_v5!A$2:H$7370, 5, FALSE), "")</f>
        <v>1989</v>
      </c>
      <c r="F3285" s="2" t="str">
        <f>IF(A3285&lt;&gt;"", VLOOKUP(A3285, imdb_netflix_v5!A$2:H$7370, 7, FALSE), "")</f>
        <v>NA</v>
      </c>
    </row>
    <row r="3286" ht="15.75" customHeight="1">
      <c r="A3286" s="1" t="str">
        <f>IFERROR(__xludf.DUMMYFUNCTION("""COMPUTED_VALUE"""),"the devils advocate")</f>
        <v>the devils advocate</v>
      </c>
      <c r="B3286" s="1" t="str">
        <f>IF(A3286&lt;&gt;"", VLOOKUP(A3286, imdb_netflix_v5!A$2:H$7370, 2, FALSE), "")</f>
        <v>Movie</v>
      </c>
      <c r="C3286" s="2" t="str">
        <f>IF(A3286&lt;&gt;"", VLOOKUP(A3286, imdb_netflix_v5!A$2:H$7370, 3, FALSE), "")</f>
        <v>Drama, Fantasy, Mystery</v>
      </c>
      <c r="D3286" s="2">
        <f>IF(A3286&lt;&gt;"", VLOOKUP(A3286, imdb_netflix_v5!A$2:H$7370, 4, FALSE), "")</f>
        <v>7.5</v>
      </c>
      <c r="E3286" s="2">
        <f>IF(A3286&lt;&gt;"", VLOOKUP(A3286, imdb_netflix_v5!A$2:H$7370, 5, FALSE), "")</f>
        <v>1997</v>
      </c>
      <c r="F3286" s="2" t="str">
        <f>IF(A3286&lt;&gt;"", VLOOKUP(A3286, imdb_netflix_v5!A$2:H$7370, 7, FALSE), "")</f>
        <v>NA</v>
      </c>
    </row>
    <row r="3287" ht="15.75" customHeight="1">
      <c r="A3287" s="1" t="str">
        <f>IFERROR(__xludf.DUMMYFUNCTION("""COMPUTED_VALUE"""),"127 hours")</f>
        <v>127 hours</v>
      </c>
      <c r="B3287" s="1" t="str">
        <f>IF(A3287&lt;&gt;"", VLOOKUP(A3287, imdb_netflix_v5!A$2:H$7370, 2, FALSE), "")</f>
        <v>Movie</v>
      </c>
      <c r="C3287" s="2" t="str">
        <f>IF(A3287&lt;&gt;"", VLOOKUP(A3287, imdb_netflix_v5!A$2:H$7370, 3, FALSE), "")</f>
        <v>Biography, Drama</v>
      </c>
      <c r="D3287" s="2">
        <f>IF(A3287&lt;&gt;"", VLOOKUP(A3287, imdb_netflix_v5!A$2:H$7370, 4, FALSE), "")</f>
        <v>7.5</v>
      </c>
      <c r="E3287" s="2">
        <f>IF(A3287&lt;&gt;"", VLOOKUP(A3287, imdb_netflix_v5!A$2:H$7370, 5, FALSE), "")</f>
        <v>2010</v>
      </c>
      <c r="F3287" s="2" t="str">
        <f>IF(A3287&lt;&gt;"", VLOOKUP(A3287, imdb_netflix_v5!A$2:H$7370, 7, FALSE), "")</f>
        <v>NA</v>
      </c>
    </row>
    <row r="3288" ht="15.75" customHeight="1">
      <c r="A3288" s="1" t="str">
        <f>IFERROR(__xludf.DUMMYFUNCTION("""COMPUTED_VALUE"""),"the illusionist")</f>
        <v>the illusionist</v>
      </c>
      <c r="B3288" s="1" t="str">
        <f>IF(A3288&lt;&gt;"", VLOOKUP(A3288, imdb_netflix_v5!A$2:H$7370, 2, FALSE), "")</f>
        <v>Movie</v>
      </c>
      <c r="C3288" s="2" t="str">
        <f>IF(A3288&lt;&gt;"", VLOOKUP(A3288, imdb_netflix_v5!A$2:H$7370, 3, FALSE), "")</f>
        <v>Drama, Fantasy, Mystery</v>
      </c>
      <c r="D3288" s="2">
        <f>IF(A3288&lt;&gt;"", VLOOKUP(A3288, imdb_netflix_v5!A$2:H$7370, 4, FALSE), "")</f>
        <v>7.5</v>
      </c>
      <c r="E3288" s="2">
        <f>IF(A3288&lt;&gt;"", VLOOKUP(A3288, imdb_netflix_v5!A$2:H$7370, 5, FALSE), "")</f>
        <v>2006</v>
      </c>
      <c r="F3288" s="2" t="str">
        <f>IF(A3288&lt;&gt;"", VLOOKUP(A3288, imdb_netflix_v5!A$2:H$7370, 7, FALSE), "")</f>
        <v>NA</v>
      </c>
    </row>
    <row r="3289" ht="15.75" customHeight="1">
      <c r="A3289" s="1" t="str">
        <f>IFERROR(__xludf.DUMMYFUNCTION("""COMPUTED_VALUE"""),"beetlejuice")</f>
        <v>beetlejuice</v>
      </c>
      <c r="B3289" s="1" t="str">
        <f>IF(A3289&lt;&gt;"", VLOOKUP(A3289, imdb_netflix_v5!A$2:H$7370, 2, FALSE), "")</f>
        <v>Movie</v>
      </c>
      <c r="C3289" s="2" t="str">
        <f>IF(A3289&lt;&gt;"", VLOOKUP(A3289, imdb_netflix_v5!A$2:H$7370, 3, FALSE), "")</f>
        <v>Comedy, Fantasy</v>
      </c>
      <c r="D3289" s="2">
        <f>IF(A3289&lt;&gt;"", VLOOKUP(A3289, imdb_netflix_v5!A$2:H$7370, 4, FALSE), "")</f>
        <v>7.5</v>
      </c>
      <c r="E3289" s="2">
        <f>IF(A3289&lt;&gt;"", VLOOKUP(A3289, imdb_netflix_v5!A$2:H$7370, 5, FALSE), "")</f>
        <v>1988</v>
      </c>
      <c r="F3289" s="2" t="str">
        <f>IF(A3289&lt;&gt;"", VLOOKUP(A3289, imdb_netflix_v5!A$2:H$7370, 7, FALSE), "")</f>
        <v>NA</v>
      </c>
    </row>
    <row r="3290" ht="15.75" customHeight="1">
      <c r="A3290" s="1" t="str">
        <f>IFERROR(__xludf.DUMMYFUNCTION("""COMPUTED_VALUE"""),"the aviator")</f>
        <v>the aviator</v>
      </c>
      <c r="B3290" s="1" t="str">
        <f>IF(A3290&lt;&gt;"", VLOOKUP(A3290, imdb_netflix_v5!A$2:H$7370, 2, FALSE), "")</f>
        <v>Movie</v>
      </c>
      <c r="C3290" s="2" t="str">
        <f>IF(A3290&lt;&gt;"", VLOOKUP(A3290, imdb_netflix_v5!A$2:H$7370, 3, FALSE), "")</f>
        <v>Biography, Drama</v>
      </c>
      <c r="D3290" s="2">
        <f>IF(A3290&lt;&gt;"", VLOOKUP(A3290, imdb_netflix_v5!A$2:H$7370, 4, FALSE), "")</f>
        <v>7.5</v>
      </c>
      <c r="E3290" s="2">
        <f>IF(A3290&lt;&gt;"", VLOOKUP(A3290, imdb_netflix_v5!A$2:H$7370, 5, FALSE), "")</f>
        <v>2004</v>
      </c>
      <c r="F3290" s="2" t="str">
        <f>IF(A3290&lt;&gt;"", VLOOKUP(A3290, imdb_netflix_v5!A$2:H$7370, 7, FALSE), "")</f>
        <v>NA</v>
      </c>
    </row>
    <row r="3291" ht="15.75" customHeight="1">
      <c r="A3291" s="1" t="str">
        <f>IFERROR(__xludf.DUMMYFUNCTION("""COMPUTED_VALUE"""),"eyes wide shut")</f>
        <v>eyes wide shut</v>
      </c>
      <c r="B3291" s="1" t="str">
        <f>IF(A3291&lt;&gt;"", VLOOKUP(A3291, imdb_netflix_v5!A$2:H$7370, 2, FALSE), "")</f>
        <v>Movie</v>
      </c>
      <c r="C3291" s="2" t="str">
        <f>IF(A3291&lt;&gt;"", VLOOKUP(A3291, imdb_netflix_v5!A$2:H$7370, 3, FALSE), "")</f>
        <v>Drama, Mystery, Thriller</v>
      </c>
      <c r="D3291" s="2">
        <f>IF(A3291&lt;&gt;"", VLOOKUP(A3291, imdb_netflix_v5!A$2:H$7370, 4, FALSE), "")</f>
        <v>7.5</v>
      </c>
      <c r="E3291" s="2">
        <f>IF(A3291&lt;&gt;"", VLOOKUP(A3291, imdb_netflix_v5!A$2:H$7370, 5, FALSE), "")</f>
        <v>1999</v>
      </c>
      <c r="F3291" s="2" t="str">
        <f>IF(A3291&lt;&gt;"", VLOOKUP(A3291, imdb_netflix_v5!A$2:H$7370, 7, FALSE), "")</f>
        <v>NA</v>
      </c>
    </row>
    <row r="3292" ht="15.75" customHeight="1">
      <c r="A3292" s="1" t="str">
        <f>IFERROR(__xludf.DUMMYFUNCTION("""COMPUTED_VALUE"""),"jackie brown")</f>
        <v>jackie brown</v>
      </c>
      <c r="B3292" s="1" t="str">
        <f>IF(A3292&lt;&gt;"", VLOOKUP(A3292, imdb_netflix_v5!A$2:H$7370, 2, FALSE), "")</f>
        <v>Movie</v>
      </c>
      <c r="C3292" s="2" t="str">
        <f>IF(A3292&lt;&gt;"", VLOOKUP(A3292, imdb_netflix_v5!A$2:H$7370, 3, FALSE), "")</f>
        <v>Crime, Drama, Thriller</v>
      </c>
      <c r="D3292" s="2">
        <f>IF(A3292&lt;&gt;"", VLOOKUP(A3292, imdb_netflix_v5!A$2:H$7370, 4, FALSE), "")</f>
        <v>7.5</v>
      </c>
      <c r="E3292" s="2">
        <f>IF(A3292&lt;&gt;"", VLOOKUP(A3292, imdb_netflix_v5!A$2:H$7370, 5, FALSE), "")</f>
        <v>1997</v>
      </c>
      <c r="F3292" s="2" t="str">
        <f>IF(A3292&lt;&gt;"", VLOOKUP(A3292, imdb_netflix_v5!A$2:H$7370, 7, FALSE), "")</f>
        <v>NA</v>
      </c>
    </row>
    <row r="3293" ht="15.75" customHeight="1">
      <c r="A3293" s="1" t="str">
        <f>IFERROR(__xludf.DUMMYFUNCTION("""COMPUTED_VALUE"""),"the flash")</f>
        <v>the flash</v>
      </c>
      <c r="B3293" s="1" t="str">
        <f>IF(A3293&lt;&gt;"", VLOOKUP(A3293, imdb_netflix_v5!A$2:H$7370, 2, FALSE), "")</f>
        <v>TV Show</v>
      </c>
      <c r="C3293" s="2" t="str">
        <f>IF(A3293&lt;&gt;"", VLOOKUP(A3293, imdb_netflix_v5!A$2:H$7370, 3, FALSE), "")</f>
        <v>Action, Adventure, Drama</v>
      </c>
      <c r="D3293" s="2">
        <f>IF(A3293&lt;&gt;"", VLOOKUP(A3293, imdb_netflix_v5!A$2:H$7370, 4, FALSE), "")</f>
        <v>7.5</v>
      </c>
      <c r="E3293" s="2">
        <f>IF(A3293&lt;&gt;"", VLOOKUP(A3293, imdb_netflix_v5!A$2:H$7370, 5, FALSE), "")</f>
        <v>2014</v>
      </c>
      <c r="F3293" s="2" t="str">
        <f>IF(A3293&lt;&gt;"", VLOOKUP(A3293, imdb_netflix_v5!A$2:H$7370, 7, FALSE), "")</f>
        <v>NA</v>
      </c>
    </row>
    <row r="3294" ht="15.75" customHeight="1">
      <c r="A3294" s="1" t="str">
        <f>IFERROR(__xludf.DUMMYFUNCTION("""COMPUTED_VALUE"""),"total recall")</f>
        <v>total recall</v>
      </c>
      <c r="B3294" s="1" t="str">
        <f>IF(A3294&lt;&gt;"", VLOOKUP(A3294, imdb_netflix_v5!A$2:H$7370, 2, FALSE), "")</f>
        <v>Movie</v>
      </c>
      <c r="C3294" s="2" t="str">
        <f>IF(A3294&lt;&gt;"", VLOOKUP(A3294, imdb_netflix_v5!A$2:H$7370, 3, FALSE), "")</f>
        <v>Action, Adventure, Sci-Fi</v>
      </c>
      <c r="D3294" s="2">
        <f>IF(A3294&lt;&gt;"", VLOOKUP(A3294, imdb_netflix_v5!A$2:H$7370, 4, FALSE), "")</f>
        <v>7.5</v>
      </c>
      <c r="E3294" s="2">
        <f>IF(A3294&lt;&gt;"", VLOOKUP(A3294, imdb_netflix_v5!A$2:H$7370, 5, FALSE), "")</f>
        <v>1990</v>
      </c>
      <c r="F3294" s="2" t="str">
        <f>IF(A3294&lt;&gt;"", VLOOKUP(A3294, imdb_netflix_v5!A$2:H$7370, 7, FALSE), "")</f>
        <v>NA</v>
      </c>
    </row>
    <row r="3295" ht="15.75" customHeight="1">
      <c r="A3295" s="1" t="str">
        <f>IFERROR(__xludf.DUMMYFUNCTION("""COMPUTED_VALUE"""),"interview with the vampire")</f>
        <v>interview with the vampire</v>
      </c>
      <c r="B3295" s="1" t="str">
        <f>IF(A3295&lt;&gt;"", VLOOKUP(A3295, imdb_netflix_v5!A$2:H$7370, 2, FALSE), "")</f>
        <v>Movie</v>
      </c>
      <c r="C3295" s="2" t="str">
        <f>IF(A3295&lt;&gt;"", VLOOKUP(A3295, imdb_netflix_v5!A$2:H$7370, 3, FALSE), "")</f>
        <v>Drama, Fantasy, Horror</v>
      </c>
      <c r="D3295" s="2">
        <f>IF(A3295&lt;&gt;"", VLOOKUP(A3295, imdb_netflix_v5!A$2:H$7370, 4, FALSE), "")</f>
        <v>7.5</v>
      </c>
      <c r="E3295" s="2">
        <f>IF(A3295&lt;&gt;"", VLOOKUP(A3295, imdb_netflix_v5!A$2:H$7370, 5, FALSE), "")</f>
        <v>1994</v>
      </c>
      <c r="F3295" s="2" t="str">
        <f>IF(A3295&lt;&gt;"", VLOOKUP(A3295, imdb_netflix_v5!A$2:H$7370, 7, FALSE), "")</f>
        <v>NA</v>
      </c>
    </row>
    <row r="3296" ht="15.75" customHeight="1">
      <c r="A3296" s="1" t="str">
        <f>IFERROR(__xludf.DUMMYFUNCTION("""COMPUTED_VALUE"""),"incredibles 2")</f>
        <v>incredibles 2</v>
      </c>
      <c r="B3296" s="1" t="str">
        <f>IF(A3296&lt;&gt;"", VLOOKUP(A3296, imdb_netflix_v5!A$2:H$7370, 2, FALSE), "")</f>
        <v>Movie</v>
      </c>
      <c r="C3296" s="2" t="str">
        <f>IF(A3296&lt;&gt;"", VLOOKUP(A3296, imdb_netflix_v5!A$2:H$7370, 3, FALSE), "")</f>
        <v>Action, Adventure, Animation</v>
      </c>
      <c r="D3296" s="2">
        <f>IF(A3296&lt;&gt;"", VLOOKUP(A3296, imdb_netflix_v5!A$2:H$7370, 4, FALSE), "")</f>
        <v>7.5</v>
      </c>
      <c r="E3296" s="2">
        <f>IF(A3296&lt;&gt;"", VLOOKUP(A3296, imdb_netflix_v5!A$2:H$7370, 5, FALSE), "")</f>
        <v>2018</v>
      </c>
      <c r="F3296" s="2" t="str">
        <f>IF(A3296&lt;&gt;"", VLOOKUP(A3296, imdb_netflix_v5!A$2:H$7370, 7, FALSE), "")</f>
        <v>NA</v>
      </c>
    </row>
    <row r="3297" ht="15.75" customHeight="1">
      <c r="A3297" s="1" t="str">
        <f>IFERROR(__xludf.DUMMYFUNCTION("""COMPUTED_VALUE"""),"hugo")</f>
        <v>hugo</v>
      </c>
      <c r="B3297" s="1" t="str">
        <f>IF(A3297&lt;&gt;"", VLOOKUP(A3297, imdb_netflix_v5!A$2:H$7370, 2, FALSE), "")</f>
        <v>Movie</v>
      </c>
      <c r="C3297" s="2" t="str">
        <f>IF(A3297&lt;&gt;"", VLOOKUP(A3297, imdb_netflix_v5!A$2:H$7370, 3, FALSE), "")</f>
        <v>Adventure, Drama, Family</v>
      </c>
      <c r="D3297" s="2">
        <f>IF(A3297&lt;&gt;"", VLOOKUP(A3297, imdb_netflix_v5!A$2:H$7370, 4, FALSE), "")</f>
        <v>7.5</v>
      </c>
      <c r="E3297" s="2">
        <f>IF(A3297&lt;&gt;"", VLOOKUP(A3297, imdb_netflix_v5!A$2:H$7370, 5, FALSE), "")</f>
        <v>2011</v>
      </c>
      <c r="F3297" s="2" t="str">
        <f>IF(A3297&lt;&gt;"", VLOOKUP(A3297, imdb_netflix_v5!A$2:H$7370, 7, FALSE), "")</f>
        <v>NA</v>
      </c>
    </row>
    <row r="3298" ht="15.75" customHeight="1">
      <c r="A3298" s="1" t="str">
        <f>IFERROR(__xludf.DUMMYFUNCTION("""COMPUTED_VALUE"""),"13 reasons why")</f>
        <v>13 reasons why</v>
      </c>
      <c r="B3298" s="1" t="str">
        <f>IF(A3298&lt;&gt;"", VLOOKUP(A3298, imdb_netflix_v5!A$2:H$7370, 2, FALSE), "")</f>
        <v>TV Show</v>
      </c>
      <c r="C3298" s="2" t="str">
        <f>IF(A3298&lt;&gt;"", VLOOKUP(A3298, imdb_netflix_v5!A$2:H$7370, 3, FALSE), "")</f>
        <v>Drama, Mystery, Thriller</v>
      </c>
      <c r="D3298" s="2">
        <f>IF(A3298&lt;&gt;"", VLOOKUP(A3298, imdb_netflix_v5!A$2:H$7370, 4, FALSE), "")</f>
        <v>7.5</v>
      </c>
      <c r="E3298" s="2">
        <f>IF(A3298&lt;&gt;"", VLOOKUP(A3298, imdb_netflix_v5!A$2:H$7370, 5, FALSE), "")</f>
        <v>2017</v>
      </c>
      <c r="F3298" s="2" t="str">
        <f>IF(A3298&lt;&gt;"", VLOOKUP(A3298, imdb_netflix_v5!A$2:H$7370, 7, FALSE), "")</f>
        <v>NA</v>
      </c>
    </row>
    <row r="3299" ht="15.75" customHeight="1">
      <c r="A3299" s="1" t="str">
        <f>IFERROR(__xludf.DUMMYFUNCTION("""COMPUTED_VALUE"""),"the greatest showman")</f>
        <v>the greatest showman</v>
      </c>
      <c r="B3299" s="1" t="str">
        <f>IF(A3299&lt;&gt;"", VLOOKUP(A3299, imdb_netflix_v5!A$2:H$7370, 2, FALSE), "")</f>
        <v>Movie</v>
      </c>
      <c r="C3299" s="2" t="str">
        <f>IF(A3299&lt;&gt;"", VLOOKUP(A3299, imdb_netflix_v5!A$2:H$7370, 3, FALSE), "")</f>
        <v>Biography, Drama, Musical</v>
      </c>
      <c r="D3299" s="2">
        <f>IF(A3299&lt;&gt;"", VLOOKUP(A3299, imdb_netflix_v5!A$2:H$7370, 4, FALSE), "")</f>
        <v>7.5</v>
      </c>
      <c r="E3299" s="2">
        <f>IF(A3299&lt;&gt;"", VLOOKUP(A3299, imdb_netflix_v5!A$2:H$7370, 5, FALSE), "")</f>
        <v>2017</v>
      </c>
      <c r="F3299" s="2" t="str">
        <f>IF(A3299&lt;&gt;"", VLOOKUP(A3299, imdb_netflix_v5!A$2:H$7370, 7, FALSE), "")</f>
        <v>NA</v>
      </c>
    </row>
    <row r="3300" ht="15.75" customHeight="1">
      <c r="A3300" s="1" t="str">
        <f>IFERROR(__xludf.DUMMYFUNCTION("""COMPUTED_VALUE"""),"babel")</f>
        <v>babel</v>
      </c>
      <c r="B3300" s="1" t="str">
        <f>IF(A3300&lt;&gt;"", VLOOKUP(A3300, imdb_netflix_v5!A$2:H$7370, 2, FALSE), "")</f>
        <v>Movie</v>
      </c>
      <c r="C3300" s="2" t="str">
        <f>IF(A3300&lt;&gt;"", VLOOKUP(A3300, imdb_netflix_v5!A$2:H$7370, 3, FALSE), "")</f>
        <v>Drama</v>
      </c>
      <c r="D3300" s="2">
        <f>IF(A3300&lt;&gt;"", VLOOKUP(A3300, imdb_netflix_v5!A$2:H$7370, 4, FALSE), "")</f>
        <v>7.5</v>
      </c>
      <c r="E3300" s="2">
        <f>IF(A3300&lt;&gt;"", VLOOKUP(A3300, imdb_netflix_v5!A$2:H$7370, 5, FALSE), "")</f>
        <v>2006</v>
      </c>
      <c r="F3300" s="2" t="str">
        <f>IF(A3300&lt;&gt;"", VLOOKUP(A3300, imdb_netflix_v5!A$2:H$7370, 7, FALSE), "")</f>
        <v>NA</v>
      </c>
    </row>
    <row r="3301" ht="15.75" customHeight="1">
      <c r="A3301" s="1" t="str">
        <f>IFERROR(__xludf.DUMMYFUNCTION("""COMPUTED_VALUE"""),"lone survivor")</f>
        <v>lone survivor</v>
      </c>
      <c r="B3301" s="1" t="str">
        <f>IF(A3301&lt;&gt;"", VLOOKUP(A3301, imdb_netflix_v5!A$2:H$7370, 2, FALSE), "")</f>
        <v>Movie</v>
      </c>
      <c r="C3301" s="2" t="str">
        <f>IF(A3301&lt;&gt;"", VLOOKUP(A3301, imdb_netflix_v5!A$2:H$7370, 3, FALSE), "")</f>
        <v>Action, Biography, Drama</v>
      </c>
      <c r="D3301" s="2">
        <f>IF(A3301&lt;&gt;"", VLOOKUP(A3301, imdb_netflix_v5!A$2:H$7370, 4, FALSE), "")</f>
        <v>7.5</v>
      </c>
      <c r="E3301" s="2">
        <f>IF(A3301&lt;&gt;"", VLOOKUP(A3301, imdb_netflix_v5!A$2:H$7370, 5, FALSE), "")</f>
        <v>2013</v>
      </c>
      <c r="F3301" s="2">
        <f>IF(A3301&lt;&gt;"", VLOOKUP(A3301, imdb_netflix_v5!A$2:H$7370, 7, FALSE), "")</f>
        <v>5500000</v>
      </c>
    </row>
    <row r="3302" ht="15.75" customHeight="1">
      <c r="A3302" s="1" t="str">
        <f>IFERROR(__xludf.DUMMYFUNCTION("""COMPUTED_VALUE"""),"fear and loathing in las vegas")</f>
        <v>fear and loathing in las vegas</v>
      </c>
      <c r="B3302" s="1" t="str">
        <f>IF(A3302&lt;&gt;"", VLOOKUP(A3302, imdb_netflix_v5!A$2:H$7370, 2, FALSE), "")</f>
        <v>Movie</v>
      </c>
      <c r="C3302" s="2" t="str">
        <f>IF(A3302&lt;&gt;"", VLOOKUP(A3302, imdb_netflix_v5!A$2:H$7370, 3, FALSE), "")</f>
        <v>Adventure, Comedy, Drama</v>
      </c>
      <c r="D3302" s="2">
        <f>IF(A3302&lt;&gt;"", VLOOKUP(A3302, imdb_netflix_v5!A$2:H$7370, 4, FALSE), "")</f>
        <v>7.5</v>
      </c>
      <c r="E3302" s="2">
        <f>IF(A3302&lt;&gt;"", VLOOKUP(A3302, imdb_netflix_v5!A$2:H$7370, 5, FALSE), "")</f>
        <v>1998</v>
      </c>
      <c r="F3302" s="2" t="str">
        <f>IF(A3302&lt;&gt;"", VLOOKUP(A3302, imdb_netflix_v5!A$2:H$7370, 7, FALSE), "")</f>
        <v>NA</v>
      </c>
    </row>
    <row r="3303" ht="15.75" customHeight="1">
      <c r="A3303" s="1" t="str">
        <f>IFERROR(__xludf.DUMMYFUNCTION("""COMPUTED_VALUE"""),"contact")</f>
        <v>contact</v>
      </c>
      <c r="B3303" s="1" t="str">
        <f>IF(A3303&lt;&gt;"", VLOOKUP(A3303, imdb_netflix_v5!A$2:H$7370, 2, FALSE), "")</f>
        <v>Movie</v>
      </c>
      <c r="C3303" s="2" t="str">
        <f>IF(A3303&lt;&gt;"", VLOOKUP(A3303, imdb_netflix_v5!A$2:H$7370, 3, FALSE), "")</f>
        <v>Drama, Mystery, Sci-Fi</v>
      </c>
      <c r="D3303" s="2">
        <f>IF(A3303&lt;&gt;"", VLOOKUP(A3303, imdb_netflix_v5!A$2:H$7370, 4, FALSE), "")</f>
        <v>7.5</v>
      </c>
      <c r="E3303" s="2">
        <f>IF(A3303&lt;&gt;"", VLOOKUP(A3303, imdb_netflix_v5!A$2:H$7370, 5, FALSE), "")</f>
        <v>1997</v>
      </c>
      <c r="F3303" s="2" t="str">
        <f>IF(A3303&lt;&gt;"", VLOOKUP(A3303, imdb_netflix_v5!A$2:H$7370, 7, FALSE), "")</f>
        <v>NA</v>
      </c>
    </row>
    <row r="3304" ht="15.75" customHeight="1">
      <c r="A3304" s="1" t="str">
        <f>IFERROR(__xludf.DUMMYFUNCTION("""COMPUTED_VALUE"""),"blackkklansman")</f>
        <v>blackkklansman</v>
      </c>
      <c r="B3304" s="1" t="str">
        <f>IF(A3304&lt;&gt;"", VLOOKUP(A3304, imdb_netflix_v5!A$2:H$7370, 2, FALSE), "")</f>
        <v>Movie</v>
      </c>
      <c r="C3304" s="2" t="str">
        <f>IF(A3304&lt;&gt;"", VLOOKUP(A3304, imdb_netflix_v5!A$2:H$7370, 3, FALSE), "")</f>
        <v>Biography, Comedy, Crime</v>
      </c>
      <c r="D3304" s="2">
        <f>IF(A3304&lt;&gt;"", VLOOKUP(A3304, imdb_netflix_v5!A$2:H$7370, 4, FALSE), "")</f>
        <v>7.5</v>
      </c>
      <c r="E3304" s="2">
        <f>IF(A3304&lt;&gt;"", VLOOKUP(A3304, imdb_netflix_v5!A$2:H$7370, 5, FALSE), "")</f>
        <v>2018</v>
      </c>
      <c r="F3304" s="2" t="str">
        <f>IF(A3304&lt;&gt;"", VLOOKUP(A3304, imdb_netflix_v5!A$2:H$7370, 7, FALSE), "")</f>
        <v>NA</v>
      </c>
    </row>
    <row r="3305" ht="15.75" customHeight="1">
      <c r="A3305" s="1" t="str">
        <f>IFERROR(__xludf.DUMMYFUNCTION("""COMPUTED_VALUE"""),"the 100")</f>
        <v>the 100</v>
      </c>
      <c r="B3305" s="1" t="str">
        <f>IF(A3305&lt;&gt;"", VLOOKUP(A3305, imdb_netflix_v5!A$2:H$7370, 2, FALSE), "")</f>
        <v>TV Show</v>
      </c>
      <c r="C3305" s="2" t="str">
        <f>IF(A3305&lt;&gt;"", VLOOKUP(A3305, imdb_netflix_v5!A$2:H$7370, 3, FALSE), "")</f>
        <v>Action, Drama, Sci-Fi</v>
      </c>
      <c r="D3305" s="2">
        <f>IF(A3305&lt;&gt;"", VLOOKUP(A3305, imdb_netflix_v5!A$2:H$7370, 4, FALSE), "")</f>
        <v>7.5</v>
      </c>
      <c r="E3305" s="2">
        <f>IF(A3305&lt;&gt;"", VLOOKUP(A3305, imdb_netflix_v5!A$2:H$7370, 5, FALSE), "")</f>
        <v>2014</v>
      </c>
      <c r="F3305" s="2">
        <f>IF(A3305&lt;&gt;"", VLOOKUP(A3305, imdb_netflix_v5!A$2:H$7370, 7, FALSE), "")</f>
        <v>12990000</v>
      </c>
    </row>
    <row r="3306" ht="15.75" customHeight="1">
      <c r="A3306" s="1" t="str">
        <f>IFERROR(__xludf.DUMMYFUNCTION("""COMPUTED_VALUE"""),"enemy at the gates")</f>
        <v>enemy at the gates</v>
      </c>
      <c r="B3306" s="1" t="str">
        <f>IF(A3306&lt;&gt;"", VLOOKUP(A3306, imdb_netflix_v5!A$2:H$7370, 2, FALSE), "")</f>
        <v>Movie</v>
      </c>
      <c r="C3306" s="2" t="str">
        <f>IF(A3306&lt;&gt;"", VLOOKUP(A3306, imdb_netflix_v5!A$2:H$7370, 3, FALSE), "")</f>
        <v>Action, Drama, War</v>
      </c>
      <c r="D3306" s="2">
        <f>IF(A3306&lt;&gt;"", VLOOKUP(A3306, imdb_netflix_v5!A$2:H$7370, 4, FALSE), "")</f>
        <v>7.5</v>
      </c>
      <c r="E3306" s="2">
        <f>IF(A3306&lt;&gt;"", VLOOKUP(A3306, imdb_netflix_v5!A$2:H$7370, 5, FALSE), "")</f>
        <v>2001</v>
      </c>
      <c r="F3306" s="2" t="str">
        <f>IF(A3306&lt;&gt;"", VLOOKUP(A3306, imdb_netflix_v5!A$2:H$7370, 7, FALSE), "")</f>
        <v>NA</v>
      </c>
    </row>
    <row r="3307" ht="15.75" customHeight="1">
      <c r="A3307" s="1" t="str">
        <f>IFERROR(__xludf.DUMMYFUNCTION("""COMPUTED_VALUE"""),"blow")</f>
        <v>blow</v>
      </c>
      <c r="B3307" s="1" t="str">
        <f>IF(A3307&lt;&gt;"", VLOOKUP(A3307, imdb_netflix_v5!A$2:H$7370, 2, FALSE), "")</f>
        <v>Movie</v>
      </c>
      <c r="C3307" s="2" t="str">
        <f>IF(A3307&lt;&gt;"", VLOOKUP(A3307, imdb_netflix_v5!A$2:H$7370, 3, FALSE), "")</f>
        <v>Biography, Crime, Drama</v>
      </c>
      <c r="D3307" s="2">
        <f>IF(A3307&lt;&gt;"", VLOOKUP(A3307, imdb_netflix_v5!A$2:H$7370, 4, FALSE), "")</f>
        <v>7.5</v>
      </c>
      <c r="E3307" s="2">
        <f>IF(A3307&lt;&gt;"", VLOOKUP(A3307, imdb_netflix_v5!A$2:H$7370, 5, FALSE), "")</f>
        <v>2001</v>
      </c>
      <c r="F3307" s="2" t="str">
        <f>IF(A3307&lt;&gt;"", VLOOKUP(A3307, imdb_netflix_v5!A$2:H$7370, 7, FALSE), "")</f>
        <v>NA</v>
      </c>
    </row>
    <row r="3308" ht="15.75" customHeight="1">
      <c r="A3308" s="1" t="str">
        <f>IFERROR(__xludf.DUMMYFUNCTION("""COMPUTED_VALUE"""),"perfume the story of a murderer")</f>
        <v>perfume the story of a murderer</v>
      </c>
      <c r="B3308" s="1" t="str">
        <f>IF(A3308&lt;&gt;"", VLOOKUP(A3308, imdb_netflix_v5!A$2:H$7370, 2, FALSE), "")</f>
        <v>Movie</v>
      </c>
      <c r="C3308" s="2" t="str">
        <f>IF(A3308&lt;&gt;"", VLOOKUP(A3308, imdb_netflix_v5!A$2:H$7370, 3, FALSE), "")</f>
        <v>Crime, Drama, Fantasy</v>
      </c>
      <c r="D3308" s="2">
        <f>IF(A3308&lt;&gt;"", VLOOKUP(A3308, imdb_netflix_v5!A$2:H$7370, 4, FALSE), "")</f>
        <v>7.5</v>
      </c>
      <c r="E3308" s="2">
        <f>IF(A3308&lt;&gt;"", VLOOKUP(A3308, imdb_netflix_v5!A$2:H$7370, 5, FALSE), "")</f>
        <v>2006</v>
      </c>
      <c r="F3308" s="2">
        <f>IF(A3308&lt;&gt;"", VLOOKUP(A3308, imdb_netflix_v5!A$2:H$7370, 7, FALSE), "")</f>
        <v>4450000</v>
      </c>
    </row>
    <row r="3309" ht="15.75" customHeight="1">
      <c r="A3309" s="1" t="str">
        <f>IFERROR(__xludf.DUMMYFUNCTION("""COMPUTED_VALUE"""),"heroes")</f>
        <v>heroes</v>
      </c>
      <c r="B3309" s="1" t="str">
        <f>IF(A3309&lt;&gt;"", VLOOKUP(A3309, imdb_netflix_v5!A$2:H$7370, 2, FALSE), "")</f>
        <v>TV Show</v>
      </c>
      <c r="C3309" s="2" t="str">
        <f>IF(A3309&lt;&gt;"", VLOOKUP(A3309, imdb_netflix_v5!A$2:H$7370, 3, FALSE), "")</f>
        <v>Crime, Drama, Fantasy</v>
      </c>
      <c r="D3309" s="2">
        <f>IF(A3309&lt;&gt;"", VLOOKUP(A3309, imdb_netflix_v5!A$2:H$7370, 4, FALSE), "")</f>
        <v>7.5</v>
      </c>
      <c r="E3309" s="2">
        <f>IF(A3309&lt;&gt;"", VLOOKUP(A3309, imdb_netflix_v5!A$2:H$7370, 5, FALSE), "")</f>
        <v>2006</v>
      </c>
      <c r="F3309" s="2" t="str">
        <f>IF(A3309&lt;&gt;"", VLOOKUP(A3309, imdb_netflix_v5!A$2:H$7370, 7, FALSE), "")</f>
        <v>NA</v>
      </c>
    </row>
    <row r="3310" ht="15.75" customHeight="1">
      <c r="A3310" s="1" t="str">
        <f>IFERROR(__xludf.DUMMYFUNCTION("""COMPUTED_VALUE"""),"the impossible")</f>
        <v>the impossible</v>
      </c>
      <c r="B3310" s="1" t="str">
        <f>IF(A3310&lt;&gt;"", VLOOKUP(A3310, imdb_netflix_v5!A$2:H$7370, 2, FALSE), "")</f>
        <v>Movie</v>
      </c>
      <c r="C3310" s="2" t="str">
        <f>IF(A3310&lt;&gt;"", VLOOKUP(A3310, imdb_netflix_v5!A$2:H$7370, 3, FALSE), "")</f>
        <v>Drama, History, Thriller</v>
      </c>
      <c r="D3310" s="2">
        <f>IF(A3310&lt;&gt;"", VLOOKUP(A3310, imdb_netflix_v5!A$2:H$7370, 4, FALSE), "")</f>
        <v>7.5</v>
      </c>
      <c r="E3310" s="2">
        <f>IF(A3310&lt;&gt;"", VLOOKUP(A3310, imdb_netflix_v5!A$2:H$7370, 5, FALSE), "")</f>
        <v>2012</v>
      </c>
      <c r="F3310" s="2" t="str">
        <f>IF(A3310&lt;&gt;"", VLOOKUP(A3310, imdb_netflix_v5!A$2:H$7370, 7, FALSE), "")</f>
        <v>NA</v>
      </c>
    </row>
    <row r="3311" ht="15.75" customHeight="1">
      <c r="A3311" s="1" t="str">
        <f>IFERROR(__xludf.DUMMYFUNCTION("""COMPUTED_VALUE"""),"i, tonya")</f>
        <v>i, tonya</v>
      </c>
      <c r="B3311" s="1" t="str">
        <f>IF(A3311&lt;&gt;"", VLOOKUP(A3311, imdb_netflix_v5!A$2:H$7370, 2, FALSE), "")</f>
        <v>Movie</v>
      </c>
      <c r="C3311" s="2" t="str">
        <f>IF(A3311&lt;&gt;"", VLOOKUP(A3311, imdb_netflix_v5!A$2:H$7370, 3, FALSE), "")</f>
        <v>Biography, Comedy, Drama</v>
      </c>
      <c r="D3311" s="2">
        <f>IF(A3311&lt;&gt;"", VLOOKUP(A3311, imdb_netflix_v5!A$2:H$7370, 4, FALSE), "")</f>
        <v>7.5</v>
      </c>
      <c r="E3311" s="2">
        <f>IF(A3311&lt;&gt;"", VLOOKUP(A3311, imdb_netflix_v5!A$2:H$7370, 5, FALSE), "")</f>
        <v>2017</v>
      </c>
      <c r="F3311" s="2" t="str">
        <f>IF(A3311&lt;&gt;"", VLOOKUP(A3311, imdb_netflix_v5!A$2:H$7370, 7, FALSE), "")</f>
        <v>NA</v>
      </c>
    </row>
    <row r="3312" ht="15.75" customHeight="1">
      <c r="A3312" s="1" t="str">
        <f>IFERROR(__xludf.DUMMYFUNCTION("""COMPUTED_VALUE"""),"munich")</f>
        <v>munich</v>
      </c>
      <c r="B3312" s="1" t="str">
        <f>IF(A3312&lt;&gt;"", VLOOKUP(A3312, imdb_netflix_v5!A$2:H$7370, 2, FALSE), "")</f>
        <v>Movie</v>
      </c>
      <c r="C3312" s="2" t="str">
        <f>IF(A3312&lt;&gt;"", VLOOKUP(A3312, imdb_netflix_v5!A$2:H$7370, 3, FALSE), "")</f>
        <v>Drama, History, Thriller</v>
      </c>
      <c r="D3312" s="2">
        <f>IF(A3312&lt;&gt;"", VLOOKUP(A3312, imdb_netflix_v5!A$2:H$7370, 4, FALSE), "")</f>
        <v>7.5</v>
      </c>
      <c r="E3312" s="2">
        <f>IF(A3312&lt;&gt;"", VLOOKUP(A3312, imdb_netflix_v5!A$2:H$7370, 5, FALSE), "")</f>
        <v>2005</v>
      </c>
      <c r="F3312" s="2" t="str">
        <f>IF(A3312&lt;&gt;"", VLOOKUP(A3312, imdb_netflix_v5!A$2:H$7370, 7, FALSE), "")</f>
        <v>NA</v>
      </c>
    </row>
    <row r="3313" ht="15.75" customHeight="1">
      <c r="A3313" s="1" t="str">
        <f>IFERROR(__xludf.DUMMYFUNCTION("""COMPUTED_VALUE"""),"master and commander the far side of the world")</f>
        <v>master and commander the far side of the world</v>
      </c>
      <c r="B3313" s="1" t="str">
        <f>IF(A3313&lt;&gt;"", VLOOKUP(A3313, imdb_netflix_v5!A$2:H$7370, 2, FALSE), "")</f>
        <v>Movie</v>
      </c>
      <c r="C3313" s="2" t="str">
        <f>IF(A3313&lt;&gt;"", VLOOKUP(A3313, imdb_netflix_v5!A$2:H$7370, 3, FALSE), "")</f>
        <v>Action, Adventure, Drama</v>
      </c>
      <c r="D3313" s="2">
        <f>IF(A3313&lt;&gt;"", VLOOKUP(A3313, imdb_netflix_v5!A$2:H$7370, 4, FALSE), "")</f>
        <v>7.5</v>
      </c>
      <c r="E3313" s="2">
        <f>IF(A3313&lt;&gt;"", VLOOKUP(A3313, imdb_netflix_v5!A$2:H$7370, 5, FALSE), "")</f>
        <v>2003</v>
      </c>
      <c r="F3313" s="2" t="str">
        <f>IF(A3313&lt;&gt;"", VLOOKUP(A3313, imdb_netflix_v5!A$2:H$7370, 7, FALSE), "")</f>
        <v>NA</v>
      </c>
    </row>
    <row r="3314" ht="15.75" customHeight="1">
      <c r="A3314" s="1" t="str">
        <f>IFERROR(__xludf.DUMMYFUNCTION("""COMPUTED_VALUE"""),"the favourite")</f>
        <v>the favourite</v>
      </c>
      <c r="B3314" s="1" t="str">
        <f>IF(A3314&lt;&gt;"", VLOOKUP(A3314, imdb_netflix_v5!A$2:H$7370, 2, FALSE), "")</f>
        <v>Movie</v>
      </c>
      <c r="C3314" s="2" t="str">
        <f>IF(A3314&lt;&gt;"", VLOOKUP(A3314, imdb_netflix_v5!A$2:H$7370, 3, FALSE), "")</f>
        <v>Biography, Comedy, Drama</v>
      </c>
      <c r="D3314" s="2">
        <f>IF(A3314&lt;&gt;"", VLOOKUP(A3314, imdb_netflix_v5!A$2:H$7370, 4, FALSE), "")</f>
        <v>7.5</v>
      </c>
      <c r="E3314" s="2">
        <f>IF(A3314&lt;&gt;"", VLOOKUP(A3314, imdb_netflix_v5!A$2:H$7370, 5, FALSE), "")</f>
        <v>2018</v>
      </c>
      <c r="F3314" s="2" t="str">
        <f>IF(A3314&lt;&gt;"", VLOOKUP(A3314, imdb_netflix_v5!A$2:H$7370, 7, FALSE), "")</f>
        <v>NA</v>
      </c>
    </row>
    <row r="3315" ht="15.75" customHeight="1">
      <c r="A3315" s="1" t="str">
        <f>IFERROR(__xludf.DUMMYFUNCTION("""COMPUTED_VALUE"""),"sleepers")</f>
        <v>sleepers</v>
      </c>
      <c r="B3315" s="1" t="str">
        <f>IF(A3315&lt;&gt;"", VLOOKUP(A3315, imdb_netflix_v5!A$2:H$7370, 2, FALSE), "")</f>
        <v>Movie</v>
      </c>
      <c r="C3315" s="2" t="str">
        <f>IF(A3315&lt;&gt;"", VLOOKUP(A3315, imdb_netflix_v5!A$2:H$7370, 3, FALSE), "")</f>
        <v>Crime, Drama, Thriller</v>
      </c>
      <c r="D3315" s="2">
        <f>IF(A3315&lt;&gt;"", VLOOKUP(A3315, imdb_netflix_v5!A$2:H$7370, 4, FALSE), "")</f>
        <v>7.5</v>
      </c>
      <c r="E3315" s="2">
        <f>IF(A3315&lt;&gt;"", VLOOKUP(A3315, imdb_netflix_v5!A$2:H$7370, 5, FALSE), "")</f>
        <v>1996</v>
      </c>
      <c r="F3315" s="2" t="str">
        <f>IF(A3315&lt;&gt;"", VLOOKUP(A3315, imdb_netflix_v5!A$2:H$7370, 7, FALSE), "")</f>
        <v>NA</v>
      </c>
    </row>
    <row r="3316" ht="15.75" customHeight="1">
      <c r="A3316" s="1" t="str">
        <f>IFERROR(__xludf.DUMMYFUNCTION("""COMPUTED_VALUE"""),"furiosa a mad max saga")</f>
        <v>furiosa a mad max saga</v>
      </c>
      <c r="B3316" s="1" t="str">
        <f>IF(A3316&lt;&gt;"", VLOOKUP(A3316, imdb_netflix_v5!A$2:H$7370, 2, FALSE), "")</f>
        <v>Movie</v>
      </c>
      <c r="C3316" s="2" t="str">
        <f>IF(A3316&lt;&gt;"", VLOOKUP(A3316, imdb_netflix_v5!A$2:H$7370, 3, FALSE), "")</f>
        <v>Action, Adventure, Sci-Fi</v>
      </c>
      <c r="D3316" s="2">
        <f>IF(A3316&lt;&gt;"", VLOOKUP(A3316, imdb_netflix_v5!A$2:H$7370, 4, FALSE), "")</f>
        <v>7.5</v>
      </c>
      <c r="E3316" s="2">
        <f>IF(A3316&lt;&gt;"", VLOOKUP(A3316, imdb_netflix_v5!A$2:H$7370, 5, FALSE), "")</f>
        <v>2024</v>
      </c>
      <c r="F3316" s="2" t="str">
        <f>IF(A3316&lt;&gt;"", VLOOKUP(A3316, imdb_netflix_v5!A$2:H$7370, 7, FALSE), "")</f>
        <v>NA</v>
      </c>
    </row>
    <row r="3317" ht="15.75" customHeight="1">
      <c r="A3317" s="1" t="str">
        <f>IFERROR(__xludf.DUMMYFUNCTION("""COMPUTED_VALUE"""),"kiss kiss bang bang")</f>
        <v>kiss kiss bang bang</v>
      </c>
      <c r="B3317" s="1" t="str">
        <f>IF(A3317&lt;&gt;"", VLOOKUP(A3317, imdb_netflix_v5!A$2:H$7370, 2, FALSE), "")</f>
        <v>Movie</v>
      </c>
      <c r="C3317" s="2" t="str">
        <f>IF(A3317&lt;&gt;"", VLOOKUP(A3317, imdb_netflix_v5!A$2:H$7370, 3, FALSE), "")</f>
        <v>Comedy, Crime, Mystery</v>
      </c>
      <c r="D3317" s="2">
        <f>IF(A3317&lt;&gt;"", VLOOKUP(A3317, imdb_netflix_v5!A$2:H$7370, 4, FALSE), "")</f>
        <v>7.5</v>
      </c>
      <c r="E3317" s="2">
        <f>IF(A3317&lt;&gt;"", VLOOKUP(A3317, imdb_netflix_v5!A$2:H$7370, 5, FALSE), "")</f>
        <v>2005</v>
      </c>
      <c r="F3317" s="2" t="str">
        <f>IF(A3317&lt;&gt;"", VLOOKUP(A3317, imdb_netflix_v5!A$2:H$7370, 7, FALSE), "")</f>
        <v>NA</v>
      </c>
    </row>
    <row r="3318" ht="15.75" customHeight="1">
      <c r="A3318" s="1" t="str">
        <f>IFERROR(__xludf.DUMMYFUNCTION("""COMPUTED_VALUE"""),"stranger than fiction")</f>
        <v>stranger than fiction</v>
      </c>
      <c r="B3318" s="1" t="str">
        <f>IF(A3318&lt;&gt;"", VLOOKUP(A3318, imdb_netflix_v5!A$2:H$7370, 2, FALSE), "")</f>
        <v>Movie</v>
      </c>
      <c r="C3318" s="2" t="str">
        <f>IF(A3318&lt;&gt;"", VLOOKUP(A3318, imdb_netflix_v5!A$2:H$7370, 3, FALSE), "")</f>
        <v>Comedy, Drama, Fantasy</v>
      </c>
      <c r="D3318" s="2">
        <f>IF(A3318&lt;&gt;"", VLOOKUP(A3318, imdb_netflix_v5!A$2:H$7370, 4, FALSE), "")</f>
        <v>7.5</v>
      </c>
      <c r="E3318" s="2">
        <f>IF(A3318&lt;&gt;"", VLOOKUP(A3318, imdb_netflix_v5!A$2:H$7370, 5, FALSE), "")</f>
        <v>2006</v>
      </c>
      <c r="F3318" s="2" t="str">
        <f>IF(A3318&lt;&gt;"", VLOOKUP(A3318, imdb_netflix_v5!A$2:H$7370, 7, FALSE), "")</f>
        <v>NA</v>
      </c>
    </row>
    <row r="3319" ht="15.75" customHeight="1">
      <c r="A3319" s="1" t="str">
        <f>IFERROR(__xludf.DUMMYFUNCTION("""COMPUTED_VALUE"""),"thank you for smoking")</f>
        <v>thank you for smoking</v>
      </c>
      <c r="B3319" s="1" t="str">
        <f>IF(A3319&lt;&gt;"", VLOOKUP(A3319, imdb_netflix_v5!A$2:H$7370, 2, FALSE), "")</f>
        <v>Movie</v>
      </c>
      <c r="C3319" s="2" t="str">
        <f>IF(A3319&lt;&gt;"", VLOOKUP(A3319, imdb_netflix_v5!A$2:H$7370, 3, FALSE), "")</f>
        <v>Comedy, Drama</v>
      </c>
      <c r="D3319" s="2">
        <f>IF(A3319&lt;&gt;"", VLOOKUP(A3319, imdb_netflix_v5!A$2:H$7370, 4, FALSE), "")</f>
        <v>7.5</v>
      </c>
      <c r="E3319" s="2">
        <f>IF(A3319&lt;&gt;"", VLOOKUP(A3319, imdb_netflix_v5!A$2:H$7370, 5, FALSE), "")</f>
        <v>2005</v>
      </c>
      <c r="F3319" s="2" t="str">
        <f>IF(A3319&lt;&gt;"", VLOOKUP(A3319, imdb_netflix_v5!A$2:H$7370, 7, FALSE), "")</f>
        <v>NA</v>
      </c>
    </row>
    <row r="3320" ht="15.75" customHeight="1">
      <c r="A3320" s="1" t="str">
        <f>IFERROR(__xludf.DUMMYFUNCTION("""COMPUTED_VALUE"""),"agents of s.h.i.e.l.d.")</f>
        <v>agents of s.h.i.e.l.d.</v>
      </c>
      <c r="B3320" s="1" t="str">
        <f>IF(A3320&lt;&gt;"", VLOOKUP(A3320, imdb_netflix_v5!A$2:H$7370, 2, FALSE), "")</f>
        <v>TV Show</v>
      </c>
      <c r="C3320" s="2" t="str">
        <f>IF(A3320&lt;&gt;"", VLOOKUP(A3320, imdb_netflix_v5!A$2:H$7370, 3, FALSE), "")</f>
        <v>Action, Adventure, Drama</v>
      </c>
      <c r="D3320" s="2">
        <f>IF(A3320&lt;&gt;"", VLOOKUP(A3320, imdb_netflix_v5!A$2:H$7370, 4, FALSE), "")</f>
        <v>7.5</v>
      </c>
      <c r="E3320" s="2">
        <f>IF(A3320&lt;&gt;"", VLOOKUP(A3320, imdb_netflix_v5!A$2:H$7370, 5, FALSE), "")</f>
        <v>2013</v>
      </c>
      <c r="F3320" s="2" t="str">
        <f>IF(A3320&lt;&gt;"", VLOOKUP(A3320, imdb_netflix_v5!A$2:H$7370, 7, FALSE), "")</f>
        <v>NA</v>
      </c>
    </row>
    <row r="3321" ht="15.75" customHeight="1">
      <c r="A3321" s="1" t="str">
        <f>IFERROR(__xludf.DUMMYFUNCTION("""COMPUTED_VALUE"""),"national lampoons christmas vacation")</f>
        <v>national lampoons christmas vacation</v>
      </c>
      <c r="B3321" s="1" t="str">
        <f>IF(A3321&lt;&gt;"", VLOOKUP(A3321, imdb_netflix_v5!A$2:H$7370, 2, FALSE), "")</f>
        <v>Movie</v>
      </c>
      <c r="C3321" s="2" t="str">
        <f>IF(A3321&lt;&gt;"", VLOOKUP(A3321, imdb_netflix_v5!A$2:H$7370, 3, FALSE), "")</f>
        <v>Comedy</v>
      </c>
      <c r="D3321" s="2">
        <f>IF(A3321&lt;&gt;"", VLOOKUP(A3321, imdb_netflix_v5!A$2:H$7370, 4, FALSE), "")</f>
        <v>7.5</v>
      </c>
      <c r="E3321" s="2">
        <f>IF(A3321&lt;&gt;"", VLOOKUP(A3321, imdb_netflix_v5!A$2:H$7370, 5, FALSE), "")</f>
        <v>1989</v>
      </c>
      <c r="F3321" s="2" t="str">
        <f>IF(A3321&lt;&gt;"", VLOOKUP(A3321, imdb_netflix_v5!A$2:H$7370, 7, FALSE), "")</f>
        <v>NA</v>
      </c>
    </row>
    <row r="3322" ht="15.75" customHeight="1">
      <c r="A3322" s="1" t="str">
        <f>IFERROR(__xludf.DUMMYFUNCTION("""COMPUTED_VALUE"""),"hawkeye")</f>
        <v>hawkeye</v>
      </c>
      <c r="B3322" s="1" t="str">
        <f>IF(A3322&lt;&gt;"", VLOOKUP(A3322, imdb_netflix_v5!A$2:H$7370, 2, FALSE), "")</f>
        <v>TV Show</v>
      </c>
      <c r="C3322" s="2" t="str">
        <f>IF(A3322&lt;&gt;"", VLOOKUP(A3322, imdb_netflix_v5!A$2:H$7370, 3, FALSE), "")</f>
        <v>Action, Adventure, Crime</v>
      </c>
      <c r="D3322" s="2">
        <f>IF(A3322&lt;&gt;"", VLOOKUP(A3322, imdb_netflix_v5!A$2:H$7370, 4, FALSE), "")</f>
        <v>7.5</v>
      </c>
      <c r="E3322" s="2">
        <f>IF(A3322&lt;&gt;"", VLOOKUP(A3322, imdb_netflix_v5!A$2:H$7370, 5, FALSE), "")</f>
        <v>2021</v>
      </c>
      <c r="F3322" s="2" t="str">
        <f>IF(A3322&lt;&gt;"", VLOOKUP(A3322, imdb_netflix_v5!A$2:H$7370, 7, FALSE), "")</f>
        <v>NA</v>
      </c>
    </row>
    <row r="3323" ht="15.75" customHeight="1">
      <c r="A3323" s="1" t="str">
        <f>IFERROR(__xludf.DUMMYFUNCTION("""COMPUTED_VALUE"""),"the hunt for red october")</f>
        <v>the hunt for red october</v>
      </c>
      <c r="B3323" s="1" t="str">
        <f>IF(A3323&lt;&gt;"", VLOOKUP(A3323, imdb_netflix_v5!A$2:H$7370, 2, FALSE), "")</f>
        <v>Movie</v>
      </c>
      <c r="C3323" s="2" t="str">
        <f>IF(A3323&lt;&gt;"", VLOOKUP(A3323, imdb_netflix_v5!A$2:H$7370, 3, FALSE), "")</f>
        <v>Action, Adventure, Thriller</v>
      </c>
      <c r="D3323" s="2">
        <f>IF(A3323&lt;&gt;"", VLOOKUP(A3323, imdb_netflix_v5!A$2:H$7370, 4, FALSE), "")</f>
        <v>7.5</v>
      </c>
      <c r="E3323" s="2">
        <f>IF(A3323&lt;&gt;"", VLOOKUP(A3323, imdb_netflix_v5!A$2:H$7370, 5, FALSE), "")</f>
        <v>1990</v>
      </c>
      <c r="F3323" s="2" t="str">
        <f>IF(A3323&lt;&gt;"", VLOOKUP(A3323, imdb_netflix_v5!A$2:H$7370, 7, FALSE), "")</f>
        <v>NA</v>
      </c>
    </row>
    <row r="3324" ht="15.75" customHeight="1">
      <c r="A3324" s="1" t="str">
        <f>IFERROR(__xludf.DUMMYFUNCTION("""COMPUTED_VALUE"""),"promising young woman")</f>
        <v>promising young woman</v>
      </c>
      <c r="B3324" s="1" t="str">
        <f>IF(A3324&lt;&gt;"", VLOOKUP(A3324, imdb_netflix_v5!A$2:H$7370, 2, FALSE), "")</f>
        <v>Movie</v>
      </c>
      <c r="C3324" s="2" t="str">
        <f>IF(A3324&lt;&gt;"", VLOOKUP(A3324, imdb_netflix_v5!A$2:H$7370, 3, FALSE), "")</f>
        <v>Crime, Drama, Mystery</v>
      </c>
      <c r="D3324" s="2">
        <f>IF(A3324&lt;&gt;"", VLOOKUP(A3324, imdb_netflix_v5!A$2:H$7370, 4, FALSE), "")</f>
        <v>7.5</v>
      </c>
      <c r="E3324" s="2">
        <f>IF(A3324&lt;&gt;"", VLOOKUP(A3324, imdb_netflix_v5!A$2:H$7370, 5, FALSE), "")</f>
        <v>2020</v>
      </c>
      <c r="F3324" s="2" t="str">
        <f>IF(A3324&lt;&gt;"", VLOOKUP(A3324, imdb_netflix_v5!A$2:H$7370, 7, FALSE), "")</f>
        <v>NA</v>
      </c>
    </row>
    <row r="3325" ht="15.75" customHeight="1">
      <c r="A3325" s="1" t="str">
        <f>IFERROR(__xludf.DUMMYFUNCTION("""COMPUTED_VALUE"""),"the crow")</f>
        <v>the crow</v>
      </c>
      <c r="B3325" s="1" t="str">
        <f>IF(A3325&lt;&gt;"", VLOOKUP(A3325, imdb_netflix_v5!A$2:H$7370, 2, FALSE), "")</f>
        <v>Movie</v>
      </c>
      <c r="C3325" s="2" t="str">
        <f>IF(A3325&lt;&gt;"", VLOOKUP(A3325, imdb_netflix_v5!A$2:H$7370, 3, FALSE), "")</f>
        <v>Action, Crime, Drama</v>
      </c>
      <c r="D3325" s="2">
        <f>IF(A3325&lt;&gt;"", VLOOKUP(A3325, imdb_netflix_v5!A$2:H$7370, 4, FALSE), "")</f>
        <v>7.5</v>
      </c>
      <c r="E3325" s="2">
        <f>IF(A3325&lt;&gt;"", VLOOKUP(A3325, imdb_netflix_v5!A$2:H$7370, 5, FALSE), "")</f>
        <v>1994</v>
      </c>
      <c r="F3325" s="2" t="str">
        <f>IF(A3325&lt;&gt;"", VLOOKUP(A3325, imdb_netflix_v5!A$2:H$7370, 7, FALSE), "")</f>
        <v>NA</v>
      </c>
    </row>
    <row r="3326" ht="15.75" customHeight="1">
      <c r="A3326" s="1" t="str">
        <f>IFERROR(__xludf.DUMMYFUNCTION("""COMPUTED_VALUE"""),"upgrade")</f>
        <v>upgrade</v>
      </c>
      <c r="B3326" s="1" t="str">
        <f>IF(A3326&lt;&gt;"", VLOOKUP(A3326, imdb_netflix_v5!A$2:H$7370, 2, FALSE), "")</f>
        <v>Movie</v>
      </c>
      <c r="C3326" s="2" t="str">
        <f>IF(A3326&lt;&gt;"", VLOOKUP(A3326, imdb_netflix_v5!A$2:H$7370, 3, FALSE), "")</f>
        <v>Action, Sci-Fi, Thriller</v>
      </c>
      <c r="D3326" s="2">
        <f>IF(A3326&lt;&gt;"", VLOOKUP(A3326, imdb_netflix_v5!A$2:H$7370, 4, FALSE), "")</f>
        <v>7.5</v>
      </c>
      <c r="E3326" s="2">
        <f>IF(A3326&lt;&gt;"", VLOOKUP(A3326, imdb_netflix_v5!A$2:H$7370, 5, FALSE), "")</f>
        <v>2018</v>
      </c>
      <c r="F3326" s="2" t="str">
        <f>IF(A3326&lt;&gt;"", VLOOKUP(A3326, imdb_netflix_v5!A$2:H$7370, 7, FALSE), "")</f>
        <v>NA</v>
      </c>
    </row>
    <row r="3327" ht="15.75" customHeight="1">
      <c r="A3327" s="1" t="str">
        <f>IFERROR(__xludf.DUMMYFUNCTION("""COMPUTED_VALUE"""),"sideways")</f>
        <v>sideways</v>
      </c>
      <c r="B3327" s="1" t="str">
        <f>IF(A3327&lt;&gt;"", VLOOKUP(A3327, imdb_netflix_v5!A$2:H$7370, 2, FALSE), "")</f>
        <v>Movie</v>
      </c>
      <c r="C3327" s="2" t="str">
        <f>IF(A3327&lt;&gt;"", VLOOKUP(A3327, imdb_netflix_v5!A$2:H$7370, 3, FALSE), "")</f>
        <v>Comedy, Drama, Romance</v>
      </c>
      <c r="D3327" s="2">
        <f>IF(A3327&lt;&gt;"", VLOOKUP(A3327, imdb_netflix_v5!A$2:H$7370, 4, FALSE), "")</f>
        <v>7.5</v>
      </c>
      <c r="E3327" s="2">
        <f>IF(A3327&lt;&gt;"", VLOOKUP(A3327, imdb_netflix_v5!A$2:H$7370, 5, FALSE), "")</f>
        <v>2004</v>
      </c>
      <c r="F3327" s="2" t="str">
        <f>IF(A3327&lt;&gt;"", VLOOKUP(A3327, imdb_netflix_v5!A$2:H$7370, 7, FALSE), "")</f>
        <v>NA</v>
      </c>
    </row>
    <row r="3328" ht="15.75" customHeight="1">
      <c r="A3328" s="1" t="str">
        <f>IFERROR(__xludf.DUMMYFUNCTION("""COMPUTED_VALUE"""),"gossip girl")</f>
        <v>gossip girl</v>
      </c>
      <c r="B3328" s="1" t="str">
        <f>IF(A3328&lt;&gt;"", VLOOKUP(A3328, imdb_netflix_v5!A$2:H$7370, 2, FALSE), "")</f>
        <v>TV Show</v>
      </c>
      <c r="C3328" s="2" t="str">
        <f>IF(A3328&lt;&gt;"", VLOOKUP(A3328, imdb_netflix_v5!A$2:H$7370, 3, FALSE), "")</f>
        <v>Drama, Romance</v>
      </c>
      <c r="D3328" s="2">
        <f>IF(A3328&lt;&gt;"", VLOOKUP(A3328, imdb_netflix_v5!A$2:H$7370, 4, FALSE), "")</f>
        <v>7.5</v>
      </c>
      <c r="E3328" s="2">
        <f>IF(A3328&lt;&gt;"", VLOOKUP(A3328, imdb_netflix_v5!A$2:H$7370, 5, FALSE), "")</f>
        <v>2007</v>
      </c>
      <c r="F3328" s="2" t="str">
        <f>IF(A3328&lt;&gt;"", VLOOKUP(A3328, imdb_netflix_v5!A$2:H$7370, 7, FALSE), "")</f>
        <v>NA</v>
      </c>
    </row>
    <row r="3329" ht="15.75" customHeight="1">
      <c r="A3329" s="1" t="str">
        <f>IFERROR(__xludf.DUMMYFUNCTION("""COMPUTED_VALUE"""),"tucker and dale vs evil")</f>
        <v>tucker and dale vs evil</v>
      </c>
      <c r="B3329" s="1" t="str">
        <f>IF(A3329&lt;&gt;"", VLOOKUP(A3329, imdb_netflix_v5!A$2:H$7370, 2, FALSE), "")</f>
        <v>Movie</v>
      </c>
      <c r="C3329" s="2" t="str">
        <f>IF(A3329&lt;&gt;"", VLOOKUP(A3329, imdb_netflix_v5!A$2:H$7370, 3, FALSE), "")</f>
        <v>Comedy, Horror</v>
      </c>
      <c r="D3329" s="2">
        <f>IF(A3329&lt;&gt;"", VLOOKUP(A3329, imdb_netflix_v5!A$2:H$7370, 4, FALSE), "")</f>
        <v>7.5</v>
      </c>
      <c r="E3329" s="2">
        <f>IF(A3329&lt;&gt;"", VLOOKUP(A3329, imdb_netflix_v5!A$2:H$7370, 5, FALSE), "")</f>
        <v>2010</v>
      </c>
      <c r="F3329" s="2" t="str">
        <f>IF(A3329&lt;&gt;"", VLOOKUP(A3329, imdb_netflix_v5!A$2:H$7370, 7, FALSE), "")</f>
        <v>NA</v>
      </c>
    </row>
    <row r="3330" ht="15.75" customHeight="1">
      <c r="A3330" s="1" t="str">
        <f>IFERROR(__xludf.DUMMYFUNCTION("""COMPUTED_VALUE"""),"the abyss")</f>
        <v>the abyss</v>
      </c>
      <c r="B3330" s="1" t="str">
        <f>IF(A3330&lt;&gt;"", VLOOKUP(A3330, imdb_netflix_v5!A$2:H$7370, 2, FALSE), "")</f>
        <v>Movie</v>
      </c>
      <c r="C3330" s="2" t="str">
        <f>IF(A3330&lt;&gt;"", VLOOKUP(A3330, imdb_netflix_v5!A$2:H$7370, 3, FALSE), "")</f>
        <v>Adventure, Drama, Mystery</v>
      </c>
      <c r="D3330" s="2">
        <f>IF(A3330&lt;&gt;"", VLOOKUP(A3330, imdb_netflix_v5!A$2:H$7370, 4, FALSE), "")</f>
        <v>7.5</v>
      </c>
      <c r="E3330" s="2">
        <f>IF(A3330&lt;&gt;"", VLOOKUP(A3330, imdb_netflix_v5!A$2:H$7370, 5, FALSE), "")</f>
        <v>1989</v>
      </c>
      <c r="F3330" s="2" t="str">
        <f>IF(A3330&lt;&gt;"", VLOOKUP(A3330, imdb_netflix_v5!A$2:H$7370, 7, FALSE), "")</f>
        <v>NA</v>
      </c>
    </row>
    <row r="3331" ht="15.75" customHeight="1">
      <c r="A3331" s="1" t="str">
        <f>IFERROR(__xludf.DUMMYFUNCTION("""COMPUTED_VALUE"""),"battle royale")</f>
        <v>battle royale</v>
      </c>
      <c r="B3331" s="1" t="str">
        <f>IF(A3331&lt;&gt;"", VLOOKUP(A3331, imdb_netflix_v5!A$2:H$7370, 2, FALSE), "")</f>
        <v>Movie</v>
      </c>
      <c r="C3331" s="2" t="str">
        <f>IF(A3331&lt;&gt;"", VLOOKUP(A3331, imdb_netflix_v5!A$2:H$7370, 3, FALSE), "")</f>
        <v>Adventure, Drama, Thriller</v>
      </c>
      <c r="D3331" s="2">
        <f>IF(A3331&lt;&gt;"", VLOOKUP(A3331, imdb_netflix_v5!A$2:H$7370, 4, FALSE), "")</f>
        <v>7.5</v>
      </c>
      <c r="E3331" s="2">
        <f>IF(A3331&lt;&gt;"", VLOOKUP(A3331, imdb_netflix_v5!A$2:H$7370, 5, FALSE), "")</f>
        <v>2000</v>
      </c>
      <c r="F3331" s="2" t="str">
        <f>IF(A3331&lt;&gt;"", VLOOKUP(A3331, imdb_netflix_v5!A$2:H$7370, 7, FALSE), "")</f>
        <v>NA</v>
      </c>
    </row>
    <row r="3332" ht="15.75" customHeight="1">
      <c r="A3332" s="1" t="str">
        <f>IFERROR(__xludf.DUMMYFUNCTION("""COMPUTED_VALUE"""),"the assassination of jesse james by the coward robert ford")</f>
        <v>the assassination of jesse james by the coward robert ford</v>
      </c>
      <c r="B3332" s="1" t="str">
        <f>IF(A3332&lt;&gt;"", VLOOKUP(A3332, imdb_netflix_v5!A$2:H$7370, 2, FALSE), "")</f>
        <v>Movie</v>
      </c>
      <c r="C3332" s="2" t="str">
        <f>IF(A3332&lt;&gt;"", VLOOKUP(A3332, imdb_netflix_v5!A$2:H$7370, 3, FALSE), "")</f>
        <v>Biography, Crime, Drama</v>
      </c>
      <c r="D3332" s="2">
        <f>IF(A3332&lt;&gt;"", VLOOKUP(A3332, imdb_netflix_v5!A$2:H$7370, 4, FALSE), "")</f>
        <v>7.5</v>
      </c>
      <c r="E3332" s="2">
        <f>IF(A3332&lt;&gt;"", VLOOKUP(A3332, imdb_netflix_v5!A$2:H$7370, 5, FALSE), "")</f>
        <v>2007</v>
      </c>
      <c r="F3332" s="2" t="str">
        <f>IF(A3332&lt;&gt;"", VLOOKUP(A3332, imdb_netflix_v5!A$2:H$7370, 7, FALSE), "")</f>
        <v>NA</v>
      </c>
    </row>
    <row r="3333" ht="15.75" customHeight="1">
      <c r="A3333" s="1" t="str">
        <f>IFERROR(__xludf.DUMMYFUNCTION("""COMPUTED_VALUE"""),"grindhouse")</f>
        <v>grindhouse</v>
      </c>
      <c r="B3333" s="1" t="str">
        <f>IF(A3333&lt;&gt;"", VLOOKUP(A3333, imdb_netflix_v5!A$2:H$7370, 2, FALSE), "")</f>
        <v>Movie</v>
      </c>
      <c r="C3333" s="2" t="str">
        <f>IF(A3333&lt;&gt;"", VLOOKUP(A3333, imdb_netflix_v5!A$2:H$7370, 3, FALSE), "")</f>
        <v>Horror, Thriller</v>
      </c>
      <c r="D3333" s="2">
        <f>IF(A3333&lt;&gt;"", VLOOKUP(A3333, imdb_netflix_v5!A$2:H$7370, 4, FALSE), "")</f>
        <v>7.5</v>
      </c>
      <c r="E3333" s="2">
        <f>IF(A3333&lt;&gt;"", VLOOKUP(A3333, imdb_netflix_v5!A$2:H$7370, 5, FALSE), "")</f>
        <v>2007</v>
      </c>
      <c r="F3333" s="2" t="str">
        <f>IF(A3333&lt;&gt;"", VLOOKUP(A3333, imdb_netflix_v5!A$2:H$7370, 7, FALSE), "")</f>
        <v>NA</v>
      </c>
    </row>
    <row r="3334" ht="15.75" customHeight="1">
      <c r="A3334" s="1" t="str">
        <f>IFERROR(__xludf.DUMMYFUNCTION("""COMPUTED_VALUE"""),"legends of the fall")</f>
        <v>legends of the fall</v>
      </c>
      <c r="B3334" s="1" t="str">
        <f>IF(A3334&lt;&gt;"", VLOOKUP(A3334, imdb_netflix_v5!A$2:H$7370, 2, FALSE), "")</f>
        <v>Movie</v>
      </c>
      <c r="C3334" s="2" t="str">
        <f>IF(A3334&lt;&gt;"", VLOOKUP(A3334, imdb_netflix_v5!A$2:H$7370, 3, FALSE), "")</f>
        <v>Drama, Romance, War</v>
      </c>
      <c r="D3334" s="2">
        <f>IF(A3334&lt;&gt;"", VLOOKUP(A3334, imdb_netflix_v5!A$2:H$7370, 4, FALSE), "")</f>
        <v>7.5</v>
      </c>
      <c r="E3334" s="2">
        <f>IF(A3334&lt;&gt;"", VLOOKUP(A3334, imdb_netflix_v5!A$2:H$7370, 5, FALSE), "")</f>
        <v>1994</v>
      </c>
      <c r="F3334" s="2" t="str">
        <f>IF(A3334&lt;&gt;"", VLOOKUP(A3334, imdb_netflix_v5!A$2:H$7370, 7, FALSE), "")</f>
        <v>NA</v>
      </c>
    </row>
    <row r="3335" ht="15.75" customHeight="1">
      <c r="A3335" s="1" t="str">
        <f>IFERROR(__xludf.DUMMYFUNCTION("""COMPUTED_VALUE"""),"a time to kill")</f>
        <v>a time to kill</v>
      </c>
      <c r="B3335" s="1" t="str">
        <f>IF(A3335&lt;&gt;"", VLOOKUP(A3335, imdb_netflix_v5!A$2:H$7370, 2, FALSE), "")</f>
        <v>Movie</v>
      </c>
      <c r="C3335" s="2" t="str">
        <f>IF(A3335&lt;&gt;"", VLOOKUP(A3335, imdb_netflix_v5!A$2:H$7370, 3, FALSE), "")</f>
        <v>Crime, Drama, Thriller</v>
      </c>
      <c r="D3335" s="2">
        <f>IF(A3335&lt;&gt;"", VLOOKUP(A3335, imdb_netflix_v5!A$2:H$7370, 4, FALSE), "")</f>
        <v>7.5</v>
      </c>
      <c r="E3335" s="2">
        <f>IF(A3335&lt;&gt;"", VLOOKUP(A3335, imdb_netflix_v5!A$2:H$7370, 5, FALSE), "")</f>
        <v>1996</v>
      </c>
      <c r="F3335" s="2" t="str">
        <f>IF(A3335&lt;&gt;"", VLOOKUP(A3335, imdb_netflix_v5!A$2:H$7370, 7, FALSE), "")</f>
        <v>NA</v>
      </c>
    </row>
    <row r="3336" ht="15.75" customHeight="1">
      <c r="A3336" s="1" t="str">
        <f>IFERROR(__xludf.DUMMYFUNCTION("""COMPUTED_VALUE"""),"a man called otto")</f>
        <v>a man called otto</v>
      </c>
      <c r="B3336" s="1" t="str">
        <f>IF(A3336&lt;&gt;"", VLOOKUP(A3336, imdb_netflix_v5!A$2:H$7370, 2, FALSE), "")</f>
        <v>Movie</v>
      </c>
      <c r="C3336" s="2" t="str">
        <f>IF(A3336&lt;&gt;"", VLOOKUP(A3336, imdb_netflix_v5!A$2:H$7370, 3, FALSE), "")</f>
        <v>Comedy, Drama</v>
      </c>
      <c r="D3336" s="2">
        <f>IF(A3336&lt;&gt;"", VLOOKUP(A3336, imdb_netflix_v5!A$2:H$7370, 4, FALSE), "")</f>
        <v>7.5</v>
      </c>
      <c r="E3336" s="2">
        <f>IF(A3336&lt;&gt;"", VLOOKUP(A3336, imdb_netflix_v5!A$2:H$7370, 5, FALSE), "")</f>
        <v>2022</v>
      </c>
      <c r="F3336" s="2">
        <f>IF(A3336&lt;&gt;"", VLOOKUP(A3336, imdb_netflix_v5!A$2:H$7370, 7, FALSE), "")</f>
        <v>5350000</v>
      </c>
    </row>
    <row r="3337" ht="15.75" customHeight="1">
      <c r="A3337" s="1" t="str">
        <f>IFERROR(__xludf.DUMMYFUNCTION("""COMPUTED_VALUE"""),"milk")</f>
        <v>milk</v>
      </c>
      <c r="B3337" s="1" t="str">
        <f>IF(A3337&lt;&gt;"", VLOOKUP(A3337, imdb_netflix_v5!A$2:H$7370, 2, FALSE), "")</f>
        <v>Movie</v>
      </c>
      <c r="C3337" s="2" t="str">
        <f>IF(A3337&lt;&gt;"", VLOOKUP(A3337, imdb_netflix_v5!A$2:H$7370, 3, FALSE), "")</f>
        <v>Biography, Drama, History</v>
      </c>
      <c r="D3337" s="2">
        <f>IF(A3337&lt;&gt;"", VLOOKUP(A3337, imdb_netflix_v5!A$2:H$7370, 4, FALSE), "")</f>
        <v>7.5</v>
      </c>
      <c r="E3337" s="2">
        <f>IF(A3337&lt;&gt;"", VLOOKUP(A3337, imdb_netflix_v5!A$2:H$7370, 5, FALSE), "")</f>
        <v>2008</v>
      </c>
      <c r="F3337" s="2" t="str">
        <f>IF(A3337&lt;&gt;"", VLOOKUP(A3337, imdb_netflix_v5!A$2:H$7370, 7, FALSE), "")</f>
        <v>NA</v>
      </c>
    </row>
    <row r="3338" ht="15.75" customHeight="1">
      <c r="A3338" s="1" t="str">
        <f>IFERROR(__xludf.DUMMYFUNCTION("""COMPUTED_VALUE"""),"guy ritchies the covenant")</f>
        <v>guy ritchies the covenant</v>
      </c>
      <c r="B3338" s="1" t="str">
        <f>IF(A3338&lt;&gt;"", VLOOKUP(A3338, imdb_netflix_v5!A$2:H$7370, 2, FALSE), "")</f>
        <v>Movie</v>
      </c>
      <c r="C3338" s="2" t="str">
        <f>IF(A3338&lt;&gt;"", VLOOKUP(A3338, imdb_netflix_v5!A$2:H$7370, 3, FALSE), "")</f>
        <v>Action, Drama, Thriller</v>
      </c>
      <c r="D3338" s="2">
        <f>IF(A3338&lt;&gt;"", VLOOKUP(A3338, imdb_netflix_v5!A$2:H$7370, 4, FALSE), "")</f>
        <v>7.5</v>
      </c>
      <c r="E3338" s="2">
        <f>IF(A3338&lt;&gt;"", VLOOKUP(A3338, imdb_netflix_v5!A$2:H$7370, 5, FALSE), "")</f>
        <v>2023</v>
      </c>
      <c r="F3338" s="2" t="str">
        <f>IF(A3338&lt;&gt;"", VLOOKUP(A3338, imdb_netflix_v5!A$2:H$7370, 7, FALSE), "")</f>
        <v>NA</v>
      </c>
    </row>
    <row r="3339" ht="15.75" customHeight="1">
      <c r="A3339" s="1" t="str">
        <f>IFERROR(__xludf.DUMMYFUNCTION("""COMPUTED_VALUE"""),"we need to talk about kevin")</f>
        <v>we need to talk about kevin</v>
      </c>
      <c r="B3339" s="1" t="str">
        <f>IF(A3339&lt;&gt;"", VLOOKUP(A3339, imdb_netflix_v5!A$2:H$7370, 2, FALSE), "")</f>
        <v>Movie</v>
      </c>
      <c r="C3339" s="2" t="str">
        <f>IF(A3339&lt;&gt;"", VLOOKUP(A3339, imdb_netflix_v5!A$2:H$7370, 3, FALSE), "")</f>
        <v>Drama, Mystery, Thriller</v>
      </c>
      <c r="D3339" s="2">
        <f>IF(A3339&lt;&gt;"", VLOOKUP(A3339, imdb_netflix_v5!A$2:H$7370, 4, FALSE), "")</f>
        <v>7.5</v>
      </c>
      <c r="E3339" s="2">
        <f>IF(A3339&lt;&gt;"", VLOOKUP(A3339, imdb_netflix_v5!A$2:H$7370, 5, FALSE), "")</f>
        <v>2011</v>
      </c>
      <c r="F3339" s="2" t="str">
        <f>IF(A3339&lt;&gt;"", VLOOKUP(A3339, imdb_netflix_v5!A$2:H$7370, 7, FALSE), "")</f>
        <v>NA</v>
      </c>
    </row>
    <row r="3340" ht="15.75" customHeight="1">
      <c r="A3340" s="1" t="str">
        <f>IFERROR(__xludf.DUMMYFUNCTION("""COMPUTED_VALUE"""),"saving mr. banks")</f>
        <v>saving mr. banks</v>
      </c>
      <c r="B3340" s="1" t="str">
        <f>IF(A3340&lt;&gt;"", VLOOKUP(A3340, imdb_netflix_v5!A$2:H$7370, 2, FALSE), "")</f>
        <v>Movie</v>
      </c>
      <c r="C3340" s="2" t="str">
        <f>IF(A3340&lt;&gt;"", VLOOKUP(A3340, imdb_netflix_v5!A$2:H$7370, 3, FALSE), "")</f>
        <v>Biography, Comedy, Drama</v>
      </c>
      <c r="D3340" s="2">
        <f>IF(A3340&lt;&gt;"", VLOOKUP(A3340, imdb_netflix_v5!A$2:H$7370, 4, FALSE), "")</f>
        <v>7.5</v>
      </c>
      <c r="E3340" s="2">
        <f>IF(A3340&lt;&gt;"", VLOOKUP(A3340, imdb_netflix_v5!A$2:H$7370, 5, FALSE), "")</f>
        <v>2013</v>
      </c>
      <c r="F3340" s="2" t="str">
        <f>IF(A3340&lt;&gt;"", VLOOKUP(A3340, imdb_netflix_v5!A$2:H$7370, 7, FALSE), "")</f>
        <v>NA</v>
      </c>
    </row>
    <row r="3341" ht="15.75" customHeight="1">
      <c r="A3341" s="1" t="str">
        <f>IFERROR(__xludf.DUMMYFUNCTION("""COMPUTED_VALUE"""),"trading places")</f>
        <v>trading places</v>
      </c>
      <c r="B3341" s="1" t="str">
        <f>IF(A3341&lt;&gt;"", VLOOKUP(A3341, imdb_netflix_v5!A$2:H$7370, 2, FALSE), "")</f>
        <v>Movie</v>
      </c>
      <c r="C3341" s="2" t="str">
        <f>IF(A3341&lt;&gt;"", VLOOKUP(A3341, imdb_netflix_v5!A$2:H$7370, 3, FALSE), "")</f>
        <v>Comedy</v>
      </c>
      <c r="D3341" s="2">
        <f>IF(A3341&lt;&gt;"", VLOOKUP(A3341, imdb_netflix_v5!A$2:H$7370, 4, FALSE), "")</f>
        <v>7.5</v>
      </c>
      <c r="E3341" s="2">
        <f>IF(A3341&lt;&gt;"", VLOOKUP(A3341, imdb_netflix_v5!A$2:H$7370, 5, FALSE), "")</f>
        <v>1983</v>
      </c>
      <c r="F3341" s="2" t="str">
        <f>IF(A3341&lt;&gt;"", VLOOKUP(A3341, imdb_netflix_v5!A$2:H$7370, 7, FALSE), "")</f>
        <v>NA</v>
      </c>
    </row>
    <row r="3342" ht="15.75" customHeight="1">
      <c r="A3342" s="1" t="str">
        <f>IFERROR(__xludf.DUMMYFUNCTION("""COMPUTED_VALUE"""),"pinocchio")</f>
        <v>pinocchio</v>
      </c>
      <c r="B3342" s="1" t="str">
        <f>IF(A3342&lt;&gt;"", VLOOKUP(A3342, imdb_netflix_v5!A$2:H$7370, 2, FALSE), "")</f>
        <v>Movie</v>
      </c>
      <c r="C3342" s="2" t="str">
        <f>IF(A3342&lt;&gt;"", VLOOKUP(A3342, imdb_netflix_v5!A$2:H$7370, 3, FALSE), "")</f>
        <v>Adventure, Animation, Comedy</v>
      </c>
      <c r="D3342" s="2">
        <f>IF(A3342&lt;&gt;"", VLOOKUP(A3342, imdb_netflix_v5!A$2:H$7370, 4, FALSE), "")</f>
        <v>7.5</v>
      </c>
      <c r="E3342" s="2">
        <f>IF(A3342&lt;&gt;"", VLOOKUP(A3342, imdb_netflix_v5!A$2:H$7370, 5, FALSE), "")</f>
        <v>1940</v>
      </c>
      <c r="F3342" s="2" t="str">
        <f>IF(A3342&lt;&gt;"", VLOOKUP(A3342, imdb_netflix_v5!A$2:H$7370, 7, FALSE), "")</f>
        <v>NA</v>
      </c>
    </row>
    <row r="3343" ht="15.75" customHeight="1">
      <c r="A3343" s="1" t="str">
        <f>IFERROR(__xludf.DUMMYFUNCTION("""COMPUTED_VALUE"""),"a fish called wanda")</f>
        <v>a fish called wanda</v>
      </c>
      <c r="B3343" s="1" t="str">
        <f>IF(A3343&lt;&gt;"", VLOOKUP(A3343, imdb_netflix_v5!A$2:H$7370, 2, FALSE), "")</f>
        <v>Movie</v>
      </c>
      <c r="C3343" s="2" t="str">
        <f>IF(A3343&lt;&gt;"", VLOOKUP(A3343, imdb_netflix_v5!A$2:H$7370, 3, FALSE), "")</f>
        <v>Comedy, Crime</v>
      </c>
      <c r="D3343" s="2">
        <f>IF(A3343&lt;&gt;"", VLOOKUP(A3343, imdb_netflix_v5!A$2:H$7370, 4, FALSE), "")</f>
        <v>7.5</v>
      </c>
      <c r="E3343" s="2">
        <f>IF(A3343&lt;&gt;"", VLOOKUP(A3343, imdb_netflix_v5!A$2:H$7370, 5, FALSE), "")</f>
        <v>1988</v>
      </c>
      <c r="F3343" s="2" t="str">
        <f>IF(A3343&lt;&gt;"", VLOOKUP(A3343, imdb_netflix_v5!A$2:H$7370, 7, FALSE), "")</f>
        <v>NA</v>
      </c>
    </row>
    <row r="3344" ht="15.75" customHeight="1">
      <c r="A3344" s="1" t="str">
        <f>IFERROR(__xludf.DUMMYFUNCTION("""COMPUTED_VALUE"""),"brooklyn")</f>
        <v>brooklyn</v>
      </c>
      <c r="B3344" s="1" t="str">
        <f>IF(A3344&lt;&gt;"", VLOOKUP(A3344, imdb_netflix_v5!A$2:H$7370, 2, FALSE), "")</f>
        <v>Movie</v>
      </c>
      <c r="C3344" s="2" t="str">
        <f>IF(A3344&lt;&gt;"", VLOOKUP(A3344, imdb_netflix_v5!A$2:H$7370, 3, FALSE), "")</f>
        <v>Drama, Romance</v>
      </c>
      <c r="D3344" s="2">
        <f>IF(A3344&lt;&gt;"", VLOOKUP(A3344, imdb_netflix_v5!A$2:H$7370, 4, FALSE), "")</f>
        <v>7.5</v>
      </c>
      <c r="E3344" s="2">
        <f>IF(A3344&lt;&gt;"", VLOOKUP(A3344, imdb_netflix_v5!A$2:H$7370, 5, FALSE), "")</f>
        <v>2015</v>
      </c>
      <c r="F3344" s="2" t="str">
        <f>IF(A3344&lt;&gt;"", VLOOKUP(A3344, imdb_netflix_v5!A$2:H$7370, 7, FALSE), "")</f>
        <v>NA</v>
      </c>
    </row>
    <row r="3345" ht="15.75" customHeight="1">
      <c r="A3345" s="1" t="str">
        <f>IFERROR(__xludf.DUMMYFUNCTION("""COMPUTED_VALUE"""),"3 body problem")</f>
        <v>3 body problem</v>
      </c>
      <c r="B3345" s="1" t="str">
        <f>IF(A3345&lt;&gt;"", VLOOKUP(A3345, imdb_netflix_v5!A$2:H$7370, 2, FALSE), "")</f>
        <v>TV Show</v>
      </c>
      <c r="C3345" s="2" t="str">
        <f>IF(A3345&lt;&gt;"", VLOOKUP(A3345, imdb_netflix_v5!A$2:H$7370, 3, FALSE), "")</f>
        <v>Adventure, Drama, Fantasy</v>
      </c>
      <c r="D3345" s="2">
        <f>IF(A3345&lt;&gt;"", VLOOKUP(A3345, imdb_netflix_v5!A$2:H$7370, 4, FALSE), "")</f>
        <v>7.5</v>
      </c>
      <c r="E3345" s="2">
        <f>IF(A3345&lt;&gt;"", VLOOKUP(A3345, imdb_netflix_v5!A$2:H$7370, 5, FALSE), "")</f>
        <v>2024</v>
      </c>
      <c r="F3345" s="2" t="str">
        <f>IF(A3345&lt;&gt;"", VLOOKUP(A3345, imdb_netflix_v5!A$2:H$7370, 7, FALSE), "")</f>
        <v>NA</v>
      </c>
    </row>
    <row r="3346" ht="15.75" customHeight="1">
      <c r="A3346" s="1" t="str">
        <f>IFERROR(__xludf.DUMMYFUNCTION("""COMPUTED_VALUE"""),"wallace &amp; gromit the curse of the were-rabbit")</f>
        <v>wallace &amp; gromit the curse of the were-rabbit</v>
      </c>
      <c r="B3346" s="1" t="str">
        <f>IF(A3346&lt;&gt;"", VLOOKUP(A3346, imdb_netflix_v5!A$2:H$7370, 2, FALSE), "")</f>
        <v>Movie</v>
      </c>
      <c r="C3346" s="2" t="str">
        <f>IF(A3346&lt;&gt;"", VLOOKUP(A3346, imdb_netflix_v5!A$2:H$7370, 3, FALSE), "")</f>
        <v>Adventure, Animation, Comedy</v>
      </c>
      <c r="D3346" s="2">
        <f>IF(A3346&lt;&gt;"", VLOOKUP(A3346, imdb_netflix_v5!A$2:H$7370, 4, FALSE), "")</f>
        <v>7.5</v>
      </c>
      <c r="E3346" s="2">
        <f>IF(A3346&lt;&gt;"", VLOOKUP(A3346, imdb_netflix_v5!A$2:H$7370, 5, FALSE), "")</f>
        <v>2005</v>
      </c>
      <c r="F3346" s="2" t="str">
        <f>IF(A3346&lt;&gt;"", VLOOKUP(A3346, imdb_netflix_v5!A$2:H$7370, 7, FALSE), "")</f>
        <v>NA</v>
      </c>
    </row>
    <row r="3347" ht="15.75" customHeight="1">
      <c r="A3347" s="1" t="str">
        <f>IFERROR(__xludf.DUMMYFUNCTION("""COMPUTED_VALUE"""),"the big sick")</f>
        <v>the big sick</v>
      </c>
      <c r="B3347" s="1" t="str">
        <f>IF(A3347&lt;&gt;"", VLOOKUP(A3347, imdb_netflix_v5!A$2:H$7370, 2, FALSE), "")</f>
        <v>Movie</v>
      </c>
      <c r="C3347" s="2" t="str">
        <f>IF(A3347&lt;&gt;"", VLOOKUP(A3347, imdb_netflix_v5!A$2:H$7370, 3, FALSE), "")</f>
        <v>Comedy, Drama, Romance</v>
      </c>
      <c r="D3347" s="2">
        <f>IF(A3347&lt;&gt;"", VLOOKUP(A3347, imdb_netflix_v5!A$2:H$7370, 4, FALSE), "")</f>
        <v>7.5</v>
      </c>
      <c r="E3347" s="2">
        <f>IF(A3347&lt;&gt;"", VLOOKUP(A3347, imdb_netflix_v5!A$2:H$7370, 5, FALSE), "")</f>
        <v>2017</v>
      </c>
      <c r="F3347" s="2" t="str">
        <f>IF(A3347&lt;&gt;"", VLOOKUP(A3347, imdb_netflix_v5!A$2:H$7370, 7, FALSE), "")</f>
        <v>NA</v>
      </c>
    </row>
    <row r="3348" ht="15.75" customHeight="1">
      <c r="A3348" s="1" t="str">
        <f>IFERROR(__xludf.DUMMYFUNCTION("""COMPUTED_VALUE"""),"still alice")</f>
        <v>still alice</v>
      </c>
      <c r="B3348" s="1" t="str">
        <f>IF(A3348&lt;&gt;"", VLOOKUP(A3348, imdb_netflix_v5!A$2:H$7370, 2, FALSE), "")</f>
        <v>Movie</v>
      </c>
      <c r="C3348" s="2" t="str">
        <f>IF(A3348&lt;&gt;"", VLOOKUP(A3348, imdb_netflix_v5!A$2:H$7370, 3, FALSE), "")</f>
        <v>Drama</v>
      </c>
      <c r="D3348" s="2">
        <f>IF(A3348&lt;&gt;"", VLOOKUP(A3348, imdb_netflix_v5!A$2:H$7370, 4, FALSE), "")</f>
        <v>7.5</v>
      </c>
      <c r="E3348" s="2">
        <f>IF(A3348&lt;&gt;"", VLOOKUP(A3348, imdb_netflix_v5!A$2:H$7370, 5, FALSE), "")</f>
        <v>2014</v>
      </c>
      <c r="F3348" s="2" t="str">
        <f>IF(A3348&lt;&gt;"", VLOOKUP(A3348, imdb_netflix_v5!A$2:H$7370, 7, FALSE), "")</f>
        <v>NA</v>
      </c>
    </row>
    <row r="3349" ht="15.75" customHeight="1">
      <c r="A3349" s="1" t="str">
        <f>IFERROR(__xludf.DUMMYFUNCTION("""COMPUTED_VALUE"""),"lupin")</f>
        <v>lupin</v>
      </c>
      <c r="B3349" s="1" t="str">
        <f>IF(A3349&lt;&gt;"", VLOOKUP(A3349, imdb_netflix_v5!A$2:H$7370, 2, FALSE), "")</f>
        <v>TV Show</v>
      </c>
      <c r="C3349" s="2" t="str">
        <f>IF(A3349&lt;&gt;"", VLOOKUP(A3349, imdb_netflix_v5!A$2:H$7370, 3, FALSE), "")</f>
        <v>Action, Crime, Drama</v>
      </c>
      <c r="D3349" s="2">
        <f>IF(A3349&lt;&gt;"", VLOOKUP(A3349, imdb_netflix_v5!A$2:H$7370, 4, FALSE), "")</f>
        <v>7.5</v>
      </c>
      <c r="E3349" s="2">
        <f>IF(A3349&lt;&gt;"", VLOOKUP(A3349, imdb_netflix_v5!A$2:H$7370, 5, FALSE), "")</f>
        <v>2021</v>
      </c>
      <c r="F3349" s="2">
        <f>IF(A3349&lt;&gt;"", VLOOKUP(A3349, imdb_netflix_v5!A$2:H$7370, 7, FALSE), "")</f>
        <v>8500000</v>
      </c>
    </row>
    <row r="3350" ht="15.75" customHeight="1">
      <c r="A3350" s="1" t="str">
        <f>IFERROR(__xludf.DUMMYFUNCTION("""COMPUTED_VALUE"""),"the book thief")</f>
        <v>the book thief</v>
      </c>
      <c r="B3350" s="1" t="str">
        <f>IF(A3350&lt;&gt;"", VLOOKUP(A3350, imdb_netflix_v5!A$2:H$7370, 2, FALSE), "")</f>
        <v>Movie</v>
      </c>
      <c r="C3350" s="2" t="str">
        <f>IF(A3350&lt;&gt;"", VLOOKUP(A3350, imdb_netflix_v5!A$2:H$7370, 3, FALSE), "")</f>
        <v>Drama, War</v>
      </c>
      <c r="D3350" s="2">
        <f>IF(A3350&lt;&gt;"", VLOOKUP(A3350, imdb_netflix_v5!A$2:H$7370, 4, FALSE), "")</f>
        <v>7.5</v>
      </c>
      <c r="E3350" s="2">
        <f>IF(A3350&lt;&gt;"", VLOOKUP(A3350, imdb_netflix_v5!A$2:H$7370, 5, FALSE), "")</f>
        <v>2013</v>
      </c>
      <c r="F3350" s="2" t="str">
        <f>IF(A3350&lt;&gt;"", VLOOKUP(A3350, imdb_netflix_v5!A$2:H$7370, 7, FALSE), "")</f>
        <v>NA</v>
      </c>
    </row>
    <row r="3351" ht="15.75" customHeight="1">
      <c r="A3351" s="1" t="str">
        <f>IFERROR(__xludf.DUMMYFUNCTION("""COMPUTED_VALUE"""),"king richard")</f>
        <v>king richard</v>
      </c>
      <c r="B3351" s="1" t="str">
        <f>IF(A3351&lt;&gt;"", VLOOKUP(A3351, imdb_netflix_v5!A$2:H$7370, 2, FALSE), "")</f>
        <v>Movie</v>
      </c>
      <c r="C3351" s="2" t="str">
        <f>IF(A3351&lt;&gt;"", VLOOKUP(A3351, imdb_netflix_v5!A$2:H$7370, 3, FALSE), "")</f>
        <v>Biography, Drama, Sport</v>
      </c>
      <c r="D3351" s="2">
        <f>IF(A3351&lt;&gt;"", VLOOKUP(A3351, imdb_netflix_v5!A$2:H$7370, 4, FALSE), "")</f>
        <v>7.5</v>
      </c>
      <c r="E3351" s="2">
        <f>IF(A3351&lt;&gt;"", VLOOKUP(A3351, imdb_netflix_v5!A$2:H$7370, 5, FALSE), "")</f>
        <v>2021</v>
      </c>
      <c r="F3351" s="2" t="str">
        <f>IF(A3351&lt;&gt;"", VLOOKUP(A3351, imdb_netflix_v5!A$2:H$7370, 7, FALSE), "")</f>
        <v>NA</v>
      </c>
    </row>
    <row r="3352" ht="15.75" customHeight="1">
      <c r="A3352" s="1" t="str">
        <f>IFERROR(__xludf.DUMMYFUNCTION("""COMPUTED_VALUE"""),"the hours")</f>
        <v>the hours</v>
      </c>
      <c r="B3352" s="1" t="str">
        <f>IF(A3352&lt;&gt;"", VLOOKUP(A3352, imdb_netflix_v5!A$2:H$7370, 2, FALSE), "")</f>
        <v>Movie</v>
      </c>
      <c r="C3352" s="2" t="str">
        <f>IF(A3352&lt;&gt;"", VLOOKUP(A3352, imdb_netflix_v5!A$2:H$7370, 3, FALSE), "")</f>
        <v>Drama, Romance</v>
      </c>
      <c r="D3352" s="2">
        <f>IF(A3352&lt;&gt;"", VLOOKUP(A3352, imdb_netflix_v5!A$2:H$7370, 4, FALSE), "")</f>
        <v>7.5</v>
      </c>
      <c r="E3352" s="2">
        <f>IF(A3352&lt;&gt;"", VLOOKUP(A3352, imdb_netflix_v5!A$2:H$7370, 5, FALSE), "")</f>
        <v>2002</v>
      </c>
      <c r="F3352" s="2" t="str">
        <f>IF(A3352&lt;&gt;"", VLOOKUP(A3352, imdb_netflix_v5!A$2:H$7370, 7, FALSE), "")</f>
        <v>NA</v>
      </c>
    </row>
    <row r="3353" ht="15.75" customHeight="1">
      <c r="A3353" s="1" t="str">
        <f>IFERROR(__xludf.DUMMYFUNCTION("""COMPUTED_VALUE"""),"robin hood")</f>
        <v>robin hood</v>
      </c>
      <c r="B3353" s="1" t="str">
        <f>IF(A3353&lt;&gt;"", VLOOKUP(A3353, imdb_netflix_v5!A$2:H$7370, 2, FALSE), "")</f>
        <v>Movie</v>
      </c>
      <c r="C3353" s="2" t="str">
        <f>IF(A3353&lt;&gt;"", VLOOKUP(A3353, imdb_netflix_v5!A$2:H$7370, 3, FALSE), "")</f>
        <v>Adventure, Animation, Comedy</v>
      </c>
      <c r="D3353" s="2">
        <f>IF(A3353&lt;&gt;"", VLOOKUP(A3353, imdb_netflix_v5!A$2:H$7370, 4, FALSE), "")</f>
        <v>7.5</v>
      </c>
      <c r="E3353" s="2">
        <f>IF(A3353&lt;&gt;"", VLOOKUP(A3353, imdb_netflix_v5!A$2:H$7370, 5, FALSE), "")</f>
        <v>1973</v>
      </c>
      <c r="F3353" s="2" t="str">
        <f>IF(A3353&lt;&gt;"", VLOOKUP(A3353, imdb_netflix_v5!A$2:H$7370, 7, FALSE), "")</f>
        <v>NA</v>
      </c>
    </row>
    <row r="3354" ht="15.75" customHeight="1">
      <c r="A3354" s="1" t="str">
        <f>IFERROR(__xludf.DUMMYFUNCTION("""COMPUTED_VALUE"""),"smallville")</f>
        <v>smallville</v>
      </c>
      <c r="B3354" s="1" t="str">
        <f>IF(A3354&lt;&gt;"", VLOOKUP(A3354, imdb_netflix_v5!A$2:H$7370, 2, FALSE), "")</f>
        <v>TV Show</v>
      </c>
      <c r="C3354" s="2" t="str">
        <f>IF(A3354&lt;&gt;"", VLOOKUP(A3354, imdb_netflix_v5!A$2:H$7370, 3, FALSE), "")</f>
        <v>Action, Adventure, Drama</v>
      </c>
      <c r="D3354" s="2">
        <f>IF(A3354&lt;&gt;"", VLOOKUP(A3354, imdb_netflix_v5!A$2:H$7370, 4, FALSE), "")</f>
        <v>7.5</v>
      </c>
      <c r="E3354" s="2">
        <f>IF(A3354&lt;&gt;"", VLOOKUP(A3354, imdb_netflix_v5!A$2:H$7370, 5, FALSE), "")</f>
        <v>2001</v>
      </c>
      <c r="F3354" s="2" t="str">
        <f>IF(A3354&lt;&gt;"", VLOOKUP(A3354, imdb_netflix_v5!A$2:H$7370, 7, FALSE), "")</f>
        <v>NA</v>
      </c>
    </row>
    <row r="3355" ht="15.75" customHeight="1">
      <c r="A3355" s="1" t="str">
        <f>IFERROR(__xludf.DUMMYFUNCTION("""COMPUTED_VALUE"""),"the omen")</f>
        <v>the omen</v>
      </c>
      <c r="B3355" s="1" t="str">
        <f>IF(A3355&lt;&gt;"", VLOOKUP(A3355, imdb_netflix_v5!A$2:H$7370, 2, FALSE), "")</f>
        <v>Movie</v>
      </c>
      <c r="C3355" s="2" t="str">
        <f>IF(A3355&lt;&gt;"", VLOOKUP(A3355, imdb_netflix_v5!A$2:H$7370, 3, FALSE), "")</f>
        <v>Horror, Mystery</v>
      </c>
      <c r="D3355" s="2">
        <f>IF(A3355&lt;&gt;"", VLOOKUP(A3355, imdb_netflix_v5!A$2:H$7370, 4, FALSE), "")</f>
        <v>7.5</v>
      </c>
      <c r="E3355" s="2">
        <f>IF(A3355&lt;&gt;"", VLOOKUP(A3355, imdb_netflix_v5!A$2:H$7370, 5, FALSE), "")</f>
        <v>1976</v>
      </c>
      <c r="F3355" s="2" t="str">
        <f>IF(A3355&lt;&gt;"", VLOOKUP(A3355, imdb_netflix_v5!A$2:H$7370, 7, FALSE), "")</f>
        <v>NA</v>
      </c>
    </row>
    <row r="3356" ht="15.75" customHeight="1">
      <c r="A3356" s="1" t="str">
        <f>IFERROR(__xludf.DUMMYFUNCTION("""COMPUTED_VALUE"""),"doubt")</f>
        <v>doubt</v>
      </c>
      <c r="B3356" s="1" t="str">
        <f>IF(A3356&lt;&gt;"", VLOOKUP(A3356, imdb_netflix_v5!A$2:H$7370, 2, FALSE), "")</f>
        <v>Movie</v>
      </c>
      <c r="C3356" s="2" t="str">
        <f>IF(A3356&lt;&gt;"", VLOOKUP(A3356, imdb_netflix_v5!A$2:H$7370, 3, FALSE), "")</f>
        <v>Drama, Mystery</v>
      </c>
      <c r="D3356" s="2">
        <f>IF(A3356&lt;&gt;"", VLOOKUP(A3356, imdb_netflix_v5!A$2:H$7370, 4, FALSE), "")</f>
        <v>7.5</v>
      </c>
      <c r="E3356" s="2">
        <f>IF(A3356&lt;&gt;"", VLOOKUP(A3356, imdb_netflix_v5!A$2:H$7370, 5, FALSE), "")</f>
        <v>2008</v>
      </c>
      <c r="F3356" s="2" t="str">
        <f>IF(A3356&lt;&gt;"", VLOOKUP(A3356, imdb_netflix_v5!A$2:H$7370, 7, FALSE), "")</f>
        <v>NA</v>
      </c>
    </row>
    <row r="3357" ht="15.75" customHeight="1">
      <c r="A3357" s="1" t="str">
        <f>IFERROR(__xludf.DUMMYFUNCTION("""COMPUTED_VALUE"""),"pleasantville")</f>
        <v>pleasantville</v>
      </c>
      <c r="B3357" s="1" t="str">
        <f>IF(A3357&lt;&gt;"", VLOOKUP(A3357, imdb_netflix_v5!A$2:H$7370, 2, FALSE), "")</f>
        <v>Movie</v>
      </c>
      <c r="C3357" s="2" t="str">
        <f>IF(A3357&lt;&gt;"", VLOOKUP(A3357, imdb_netflix_v5!A$2:H$7370, 3, FALSE), "")</f>
        <v>Comedy, Drama, Fantasy</v>
      </c>
      <c r="D3357" s="2">
        <f>IF(A3357&lt;&gt;"", VLOOKUP(A3357, imdb_netflix_v5!A$2:H$7370, 4, FALSE), "")</f>
        <v>7.5</v>
      </c>
      <c r="E3357" s="2">
        <f>IF(A3357&lt;&gt;"", VLOOKUP(A3357, imdb_netflix_v5!A$2:H$7370, 5, FALSE), "")</f>
        <v>1998</v>
      </c>
      <c r="F3357" s="2" t="str">
        <f>IF(A3357&lt;&gt;"", VLOOKUP(A3357, imdb_netflix_v5!A$2:H$7370, 7, FALSE), "")</f>
        <v>NA</v>
      </c>
    </row>
    <row r="3358" ht="15.75" customHeight="1">
      <c r="A3358" s="1" t="str">
        <f>IFERROR(__xludf.DUMMYFUNCTION("""COMPUTED_VALUE"""),"leaving las vegas")</f>
        <v>leaving las vegas</v>
      </c>
      <c r="B3358" s="1" t="str">
        <f>IF(A3358&lt;&gt;"", VLOOKUP(A3358, imdb_netflix_v5!A$2:H$7370, 2, FALSE), "")</f>
        <v>Movie</v>
      </c>
      <c r="C3358" s="2" t="str">
        <f>IF(A3358&lt;&gt;"", VLOOKUP(A3358, imdb_netflix_v5!A$2:H$7370, 3, FALSE), "")</f>
        <v>Drama, Romance</v>
      </c>
      <c r="D3358" s="2">
        <f>IF(A3358&lt;&gt;"", VLOOKUP(A3358, imdb_netflix_v5!A$2:H$7370, 4, FALSE), "")</f>
        <v>7.5</v>
      </c>
      <c r="E3358" s="2">
        <f>IF(A3358&lt;&gt;"", VLOOKUP(A3358, imdb_netflix_v5!A$2:H$7370, 5, FALSE), "")</f>
        <v>1995</v>
      </c>
      <c r="F3358" s="2" t="str">
        <f>IF(A3358&lt;&gt;"", VLOOKUP(A3358, imdb_netflix_v5!A$2:H$7370, 7, FALSE), "")</f>
        <v>NA</v>
      </c>
    </row>
    <row r="3359" ht="15.75" customHeight="1">
      <c r="A3359" s="1" t="str">
        <f>IFERROR(__xludf.DUMMYFUNCTION("""COMPUTED_VALUE"""),"fahrenheit 9/11")</f>
        <v>fahrenheit 9/11</v>
      </c>
      <c r="B3359" s="1" t="str">
        <f>IF(A3359&lt;&gt;"", VLOOKUP(A3359, imdb_netflix_v5!A$2:H$7370, 2, FALSE), "")</f>
        <v>Movie</v>
      </c>
      <c r="C3359" s="2" t="str">
        <f>IF(A3359&lt;&gt;"", VLOOKUP(A3359, imdb_netflix_v5!A$2:H$7370, 3, FALSE), "")</f>
        <v>Documentary, Drama, War</v>
      </c>
      <c r="D3359" s="2">
        <f>IF(A3359&lt;&gt;"", VLOOKUP(A3359, imdb_netflix_v5!A$2:H$7370, 4, FALSE), "")</f>
        <v>7.5</v>
      </c>
      <c r="E3359" s="2">
        <f>IF(A3359&lt;&gt;"", VLOOKUP(A3359, imdb_netflix_v5!A$2:H$7370, 5, FALSE), "")</f>
        <v>2004</v>
      </c>
      <c r="F3359" s="2" t="str">
        <f>IF(A3359&lt;&gt;"", VLOOKUP(A3359, imdb_netflix_v5!A$2:H$7370, 7, FALSE), "")</f>
        <v>NA</v>
      </c>
    </row>
    <row r="3360" ht="15.75" customHeight="1">
      <c r="A3360" s="1" t="str">
        <f>IFERROR(__xludf.DUMMYFUNCTION("""COMPUTED_VALUE"""),"field of dreams")</f>
        <v>field of dreams</v>
      </c>
      <c r="B3360" s="1" t="str">
        <f>IF(A3360&lt;&gt;"", VLOOKUP(A3360, imdb_netflix_v5!A$2:H$7370, 2, FALSE), "")</f>
        <v>Movie</v>
      </c>
      <c r="C3360" s="2" t="str">
        <f>IF(A3360&lt;&gt;"", VLOOKUP(A3360, imdb_netflix_v5!A$2:H$7370, 3, FALSE), "")</f>
        <v>Drama, Family, Fantasy</v>
      </c>
      <c r="D3360" s="2">
        <f>IF(A3360&lt;&gt;"", VLOOKUP(A3360, imdb_netflix_v5!A$2:H$7370, 4, FALSE), "")</f>
        <v>7.5</v>
      </c>
      <c r="E3360" s="2">
        <f>IF(A3360&lt;&gt;"", VLOOKUP(A3360, imdb_netflix_v5!A$2:H$7370, 5, FALSE), "")</f>
        <v>1989</v>
      </c>
      <c r="F3360" s="2" t="str">
        <f>IF(A3360&lt;&gt;"", VLOOKUP(A3360, imdb_netflix_v5!A$2:H$7370, 7, FALSE), "")</f>
        <v>NA</v>
      </c>
    </row>
    <row r="3361" ht="15.75" customHeight="1">
      <c r="A3361" s="1" t="str">
        <f>IFERROR(__xludf.DUMMYFUNCTION("""COMPUTED_VALUE"""),"love, simon")</f>
        <v>love, simon</v>
      </c>
      <c r="B3361" s="1" t="str">
        <f>IF(A3361&lt;&gt;"", VLOOKUP(A3361, imdb_netflix_v5!A$2:H$7370, 2, FALSE), "")</f>
        <v>Movie</v>
      </c>
      <c r="C3361" s="2" t="str">
        <f>IF(A3361&lt;&gt;"", VLOOKUP(A3361, imdb_netflix_v5!A$2:H$7370, 3, FALSE), "")</f>
        <v>Comedy, Drama, Romance</v>
      </c>
      <c r="D3361" s="2">
        <f>IF(A3361&lt;&gt;"", VLOOKUP(A3361, imdb_netflix_v5!A$2:H$7370, 4, FALSE), "")</f>
        <v>7.5</v>
      </c>
      <c r="E3361" s="2">
        <f>IF(A3361&lt;&gt;"", VLOOKUP(A3361, imdb_netflix_v5!A$2:H$7370, 5, FALSE), "")</f>
        <v>2018</v>
      </c>
      <c r="F3361" s="2" t="str">
        <f>IF(A3361&lt;&gt;"", VLOOKUP(A3361, imdb_netflix_v5!A$2:H$7370, 7, FALSE), "")</f>
        <v>NA</v>
      </c>
    </row>
    <row r="3362" ht="15.75" customHeight="1">
      <c r="A3362" s="1" t="str">
        <f>IFERROR(__xludf.DUMMYFUNCTION("""COMPUTED_VALUE"""),"the life of david gale")</f>
        <v>the life of david gale</v>
      </c>
      <c r="B3362" s="1" t="str">
        <f>IF(A3362&lt;&gt;"", VLOOKUP(A3362, imdb_netflix_v5!A$2:H$7370, 2, FALSE), "")</f>
        <v>Movie</v>
      </c>
      <c r="C3362" s="2" t="str">
        <f>IF(A3362&lt;&gt;"", VLOOKUP(A3362, imdb_netflix_v5!A$2:H$7370, 3, FALSE), "")</f>
        <v>Crime, Drama, Mystery</v>
      </c>
      <c r="D3362" s="2">
        <f>IF(A3362&lt;&gt;"", VLOOKUP(A3362, imdb_netflix_v5!A$2:H$7370, 4, FALSE), "")</f>
        <v>7.5</v>
      </c>
      <c r="E3362" s="2">
        <f>IF(A3362&lt;&gt;"", VLOOKUP(A3362, imdb_netflix_v5!A$2:H$7370, 5, FALSE), "")</f>
        <v>2003</v>
      </c>
      <c r="F3362" s="2" t="str">
        <f>IF(A3362&lt;&gt;"", VLOOKUP(A3362, imdb_netflix_v5!A$2:H$7370, 7, FALSE), "")</f>
        <v>NA</v>
      </c>
    </row>
    <row r="3363" ht="15.75" customHeight="1">
      <c r="A3363" s="1" t="str">
        <f>IFERROR(__xludf.DUMMYFUNCTION("""COMPUTED_VALUE"""),"monty pythons the meaning of life")</f>
        <v>monty pythons the meaning of life</v>
      </c>
      <c r="B3363" s="1" t="str">
        <f>IF(A3363&lt;&gt;"", VLOOKUP(A3363, imdb_netflix_v5!A$2:H$7370, 2, FALSE), "")</f>
        <v>Movie</v>
      </c>
      <c r="C3363" s="2" t="str">
        <f>IF(A3363&lt;&gt;"", VLOOKUP(A3363, imdb_netflix_v5!A$2:H$7370, 3, FALSE), "")</f>
        <v>Comedy, Musical</v>
      </c>
      <c r="D3363" s="2">
        <f>IF(A3363&lt;&gt;"", VLOOKUP(A3363, imdb_netflix_v5!A$2:H$7370, 4, FALSE), "")</f>
        <v>7.5</v>
      </c>
      <c r="E3363" s="2">
        <f>IF(A3363&lt;&gt;"", VLOOKUP(A3363, imdb_netflix_v5!A$2:H$7370, 5, FALSE), "")</f>
        <v>1983</v>
      </c>
      <c r="F3363" s="2" t="str">
        <f>IF(A3363&lt;&gt;"", VLOOKUP(A3363, imdb_netflix_v5!A$2:H$7370, 7, FALSE), "")</f>
        <v>NA</v>
      </c>
    </row>
    <row r="3364" ht="15.75" customHeight="1">
      <c r="A3364" s="1" t="str">
        <f>IFERROR(__xludf.DUMMYFUNCTION("""COMPUTED_VALUE"""),"an american werewolf in london")</f>
        <v>an american werewolf in london</v>
      </c>
      <c r="B3364" s="1" t="str">
        <f>IF(A3364&lt;&gt;"", VLOOKUP(A3364, imdb_netflix_v5!A$2:H$7370, 2, FALSE), "")</f>
        <v>Movie</v>
      </c>
      <c r="C3364" s="2" t="str">
        <f>IF(A3364&lt;&gt;"", VLOOKUP(A3364, imdb_netflix_v5!A$2:H$7370, 3, FALSE), "")</f>
        <v>Comedy, Horror</v>
      </c>
      <c r="D3364" s="2">
        <f>IF(A3364&lt;&gt;"", VLOOKUP(A3364, imdb_netflix_v5!A$2:H$7370, 4, FALSE), "")</f>
        <v>7.5</v>
      </c>
      <c r="E3364" s="2">
        <f>IF(A3364&lt;&gt;"", VLOOKUP(A3364, imdb_netflix_v5!A$2:H$7370, 5, FALSE), "")</f>
        <v>1981</v>
      </c>
      <c r="F3364" s="2" t="str">
        <f>IF(A3364&lt;&gt;"", VLOOKUP(A3364, imdb_netflix_v5!A$2:H$7370, 7, FALSE), "")</f>
        <v>NA</v>
      </c>
    </row>
    <row r="3365" ht="15.75" customHeight="1">
      <c r="A3365" s="1" t="str">
        <f>IFERROR(__xludf.DUMMYFUNCTION("""COMPUTED_VALUE"""),"ahsoka")</f>
        <v>ahsoka</v>
      </c>
      <c r="B3365" s="1" t="str">
        <f>IF(A3365&lt;&gt;"", VLOOKUP(A3365, imdb_netflix_v5!A$2:H$7370, 2, FALSE), "")</f>
        <v>TV Show</v>
      </c>
      <c r="C3365" s="2" t="str">
        <f>IF(A3365&lt;&gt;"", VLOOKUP(A3365, imdb_netflix_v5!A$2:H$7370, 3, FALSE), "")</f>
        <v>Action, Adventure, Drama</v>
      </c>
      <c r="D3365" s="2">
        <f>IF(A3365&lt;&gt;"", VLOOKUP(A3365, imdb_netflix_v5!A$2:H$7370, 4, FALSE), "")</f>
        <v>7.5</v>
      </c>
      <c r="E3365" s="2">
        <f>IF(A3365&lt;&gt;"", VLOOKUP(A3365, imdb_netflix_v5!A$2:H$7370, 5, FALSE), "")</f>
        <v>2023</v>
      </c>
      <c r="F3365" s="2" t="str">
        <f>IF(A3365&lt;&gt;"", VLOOKUP(A3365, imdb_netflix_v5!A$2:H$7370, 7, FALSE), "")</f>
        <v>NA</v>
      </c>
    </row>
    <row r="3366" ht="15.75" customHeight="1">
      <c r="A3366" s="1" t="str">
        <f>IFERROR(__xludf.DUMMYFUNCTION("""COMPUTED_VALUE"""),"the fabelmans")</f>
        <v>the fabelmans</v>
      </c>
      <c r="B3366" s="1" t="str">
        <f>IF(A3366&lt;&gt;"", VLOOKUP(A3366, imdb_netflix_v5!A$2:H$7370, 2, FALSE), "")</f>
        <v>Movie</v>
      </c>
      <c r="C3366" s="2" t="str">
        <f>IF(A3366&lt;&gt;"", VLOOKUP(A3366, imdb_netflix_v5!A$2:H$7370, 3, FALSE), "")</f>
        <v>Drama</v>
      </c>
      <c r="D3366" s="2">
        <f>IF(A3366&lt;&gt;"", VLOOKUP(A3366, imdb_netflix_v5!A$2:H$7370, 4, FALSE), "")</f>
        <v>7.5</v>
      </c>
      <c r="E3366" s="2">
        <f>IF(A3366&lt;&gt;"", VLOOKUP(A3366, imdb_netflix_v5!A$2:H$7370, 5, FALSE), "")</f>
        <v>2022</v>
      </c>
      <c r="F3366" s="2" t="str">
        <f>IF(A3366&lt;&gt;"", VLOOKUP(A3366, imdb_netflix_v5!A$2:H$7370, 7, FALSE), "")</f>
        <v>NA</v>
      </c>
    </row>
    <row r="3367" ht="15.75" customHeight="1">
      <c r="A3367" s="1" t="str">
        <f>IFERROR(__xludf.DUMMYFUNCTION("""COMPUTED_VALUE"""),"tick, tick... boom!")</f>
        <v>tick, tick... boom!</v>
      </c>
      <c r="B3367" s="1" t="str">
        <f>IF(A3367&lt;&gt;"", VLOOKUP(A3367, imdb_netflix_v5!A$2:H$7370, 2, FALSE), "")</f>
        <v>Movie</v>
      </c>
      <c r="C3367" s="2" t="str">
        <f>IF(A3367&lt;&gt;"", VLOOKUP(A3367, imdb_netflix_v5!A$2:H$7370, 3, FALSE), "")</f>
        <v>Biography, Comedy, Drama</v>
      </c>
      <c r="D3367" s="2">
        <f>IF(A3367&lt;&gt;"", VLOOKUP(A3367, imdb_netflix_v5!A$2:H$7370, 4, FALSE), "")</f>
        <v>7.5</v>
      </c>
      <c r="E3367" s="2">
        <f>IF(A3367&lt;&gt;"", VLOOKUP(A3367, imdb_netflix_v5!A$2:H$7370, 5, FALSE), "")</f>
        <v>2021</v>
      </c>
      <c r="F3367" s="2" t="str">
        <f>IF(A3367&lt;&gt;"", VLOOKUP(A3367, imdb_netflix_v5!A$2:H$7370, 7, FALSE), "")</f>
        <v>NA</v>
      </c>
    </row>
    <row r="3368" ht="15.75" customHeight="1">
      <c r="A3368" s="1" t="str">
        <f>IFERROR(__xludf.DUMMYFUNCTION("""COMPUTED_VALUE"""),"a single man")</f>
        <v>a single man</v>
      </c>
      <c r="B3368" s="1" t="str">
        <f>IF(A3368&lt;&gt;"", VLOOKUP(A3368, imdb_netflix_v5!A$2:H$7370, 2, FALSE), "")</f>
        <v>Movie</v>
      </c>
      <c r="C3368" s="2" t="str">
        <f>IF(A3368&lt;&gt;"", VLOOKUP(A3368, imdb_netflix_v5!A$2:H$7370, 3, FALSE), "")</f>
        <v>Drama, Romance, Thriller</v>
      </c>
      <c r="D3368" s="2">
        <f>IF(A3368&lt;&gt;"", VLOOKUP(A3368, imdb_netflix_v5!A$2:H$7370, 4, FALSE), "")</f>
        <v>7.5</v>
      </c>
      <c r="E3368" s="2">
        <f>IF(A3368&lt;&gt;"", VLOOKUP(A3368, imdb_netflix_v5!A$2:H$7370, 5, FALSE), "")</f>
        <v>2009</v>
      </c>
      <c r="F3368" s="2" t="str">
        <f>IF(A3368&lt;&gt;"", VLOOKUP(A3368, imdb_netflix_v5!A$2:H$7370, 7, FALSE), "")</f>
        <v>NA</v>
      </c>
    </row>
    <row r="3369" ht="15.75" customHeight="1">
      <c r="A3369" s="1" t="str">
        <f>IFERROR(__xludf.DUMMYFUNCTION("""COMPUTED_VALUE"""),"the night agent")</f>
        <v>the night agent</v>
      </c>
      <c r="B3369" s="1" t="str">
        <f>IF(A3369&lt;&gt;"", VLOOKUP(A3369, imdb_netflix_v5!A$2:H$7370, 2, FALSE), "")</f>
        <v>TV Show</v>
      </c>
      <c r="C3369" s="2" t="str">
        <f>IF(A3369&lt;&gt;"", VLOOKUP(A3369, imdb_netflix_v5!A$2:H$7370, 3, FALSE), "")</f>
        <v>Action, Drama, Thriller</v>
      </c>
      <c r="D3369" s="2">
        <f>IF(A3369&lt;&gt;"", VLOOKUP(A3369, imdb_netflix_v5!A$2:H$7370, 4, FALSE), "")</f>
        <v>7.5</v>
      </c>
      <c r="E3369" s="2">
        <f>IF(A3369&lt;&gt;"", VLOOKUP(A3369, imdb_netflix_v5!A$2:H$7370, 5, FALSE), "")</f>
        <v>2023</v>
      </c>
      <c r="F3369" s="2">
        <f>IF(A3369&lt;&gt;"", VLOOKUP(A3369, imdb_netflix_v5!A$2:H$7370, 7, FALSE), "")</f>
        <v>12650000</v>
      </c>
    </row>
    <row r="3370" ht="15.75" customHeight="1">
      <c r="A3370" s="1" t="str">
        <f>IFERROR(__xludf.DUMMYFUNCTION("""COMPUTED_VALUE"""),"shadow and bone")</f>
        <v>shadow and bone</v>
      </c>
      <c r="B3370" s="1" t="str">
        <f>IF(A3370&lt;&gt;"", VLOOKUP(A3370, imdb_netflix_v5!A$2:H$7370, 2, FALSE), "")</f>
        <v>TV Show</v>
      </c>
      <c r="C3370" s="2" t="str">
        <f>IF(A3370&lt;&gt;"", VLOOKUP(A3370, imdb_netflix_v5!A$2:H$7370, 3, FALSE), "")</f>
        <v>Action, Adventure, Drama</v>
      </c>
      <c r="D3370" s="2">
        <f>IF(A3370&lt;&gt;"", VLOOKUP(A3370, imdb_netflix_v5!A$2:H$7370, 4, FALSE), "")</f>
        <v>7.5</v>
      </c>
      <c r="E3370" s="2">
        <f>IF(A3370&lt;&gt;"", VLOOKUP(A3370, imdb_netflix_v5!A$2:H$7370, 5, FALSE), "")</f>
        <v>2021</v>
      </c>
      <c r="F3370" s="2">
        <f>IF(A3370&lt;&gt;"", VLOOKUP(A3370, imdb_netflix_v5!A$2:H$7370, 7, FALSE), "")</f>
        <v>11620000</v>
      </c>
    </row>
    <row r="3371" ht="15.75" customHeight="1">
      <c r="A3371" s="1" t="str">
        <f>IFERROR(__xludf.DUMMYFUNCTION("""COMPUTED_VALUE"""),"little children")</f>
        <v>little children</v>
      </c>
      <c r="B3371" s="1" t="str">
        <f>IF(A3371&lt;&gt;"", VLOOKUP(A3371, imdb_netflix_v5!A$2:H$7370, 2, FALSE), "")</f>
        <v>Movie</v>
      </c>
      <c r="C3371" s="2" t="str">
        <f>IF(A3371&lt;&gt;"", VLOOKUP(A3371, imdb_netflix_v5!A$2:H$7370, 3, FALSE), "")</f>
        <v>Drama, Romance</v>
      </c>
      <c r="D3371" s="2">
        <f>IF(A3371&lt;&gt;"", VLOOKUP(A3371, imdb_netflix_v5!A$2:H$7370, 4, FALSE), "")</f>
        <v>7.5</v>
      </c>
      <c r="E3371" s="2">
        <f>IF(A3371&lt;&gt;"", VLOOKUP(A3371, imdb_netflix_v5!A$2:H$7370, 5, FALSE), "")</f>
        <v>2006</v>
      </c>
      <c r="F3371" s="2" t="str">
        <f>IF(A3371&lt;&gt;"", VLOOKUP(A3371, imdb_netflix_v5!A$2:H$7370, 7, FALSE), "")</f>
        <v>NA</v>
      </c>
    </row>
    <row r="3372" ht="15.75" customHeight="1">
      <c r="A3372" s="1" t="str">
        <f>IFERROR(__xludf.DUMMYFUNCTION("""COMPUTED_VALUE"""),"house of flying daggers")</f>
        <v>house of flying daggers</v>
      </c>
      <c r="B3372" s="1" t="str">
        <f>IF(A3372&lt;&gt;"", VLOOKUP(A3372, imdb_netflix_v5!A$2:H$7370, 2, FALSE), "")</f>
        <v>Movie</v>
      </c>
      <c r="C3372" s="2" t="str">
        <f>IF(A3372&lt;&gt;"", VLOOKUP(A3372, imdb_netflix_v5!A$2:H$7370, 3, FALSE), "")</f>
        <v>Action, Adventure, Drama</v>
      </c>
      <c r="D3372" s="2">
        <f>IF(A3372&lt;&gt;"", VLOOKUP(A3372, imdb_netflix_v5!A$2:H$7370, 4, FALSE), "")</f>
        <v>7.5</v>
      </c>
      <c r="E3372" s="2">
        <f>IF(A3372&lt;&gt;"", VLOOKUP(A3372, imdb_netflix_v5!A$2:H$7370, 5, FALSE), "")</f>
        <v>2004</v>
      </c>
      <c r="F3372" s="2" t="str">
        <f>IF(A3372&lt;&gt;"", VLOOKUP(A3372, imdb_netflix_v5!A$2:H$7370, 7, FALSE), "")</f>
        <v>NA</v>
      </c>
    </row>
    <row r="3373" ht="15.75" customHeight="1">
      <c r="A3373" s="1" t="str">
        <f>IFERROR(__xludf.DUMMYFUNCTION("""COMPUTED_VALUE"""),"the man who wasnt there")</f>
        <v>the man who wasnt there</v>
      </c>
      <c r="B3373" s="1" t="str">
        <f>IF(A3373&lt;&gt;"", VLOOKUP(A3373, imdb_netflix_v5!A$2:H$7370, 2, FALSE), "")</f>
        <v>Movie</v>
      </c>
      <c r="C3373" s="2" t="str">
        <f>IF(A3373&lt;&gt;"", VLOOKUP(A3373, imdb_netflix_v5!A$2:H$7370, 3, FALSE), "")</f>
        <v>Crime, Drama</v>
      </c>
      <c r="D3373" s="2">
        <f>IF(A3373&lt;&gt;"", VLOOKUP(A3373, imdb_netflix_v5!A$2:H$7370, 4, FALSE), "")</f>
        <v>7.5</v>
      </c>
      <c r="E3373" s="2">
        <f>IF(A3373&lt;&gt;"", VLOOKUP(A3373, imdb_netflix_v5!A$2:H$7370, 5, FALSE), "")</f>
        <v>2001</v>
      </c>
      <c r="F3373" s="2" t="str">
        <f>IF(A3373&lt;&gt;"", VLOOKUP(A3373, imdb_netflix_v5!A$2:H$7370, 7, FALSE), "")</f>
        <v>NA</v>
      </c>
    </row>
    <row r="3374" ht="15.75" customHeight="1">
      <c r="A3374" s="1" t="str">
        <f>IFERROR(__xludf.DUMMYFUNCTION("""COMPUTED_VALUE"""),"titans")</f>
        <v>titans</v>
      </c>
      <c r="B3374" s="1" t="str">
        <f>IF(A3374&lt;&gt;"", VLOOKUP(A3374, imdb_netflix_v5!A$2:H$7370, 2, FALSE), "")</f>
        <v>TV Show</v>
      </c>
      <c r="C3374" s="2" t="str">
        <f>IF(A3374&lt;&gt;"", VLOOKUP(A3374, imdb_netflix_v5!A$2:H$7370, 3, FALSE), "")</f>
        <v>Action, Adventure, Crime</v>
      </c>
      <c r="D3374" s="2">
        <f>IF(A3374&lt;&gt;"", VLOOKUP(A3374, imdb_netflix_v5!A$2:H$7370, 4, FALSE), "")</f>
        <v>7.5</v>
      </c>
      <c r="E3374" s="2">
        <f>IF(A3374&lt;&gt;"", VLOOKUP(A3374, imdb_netflix_v5!A$2:H$7370, 5, FALSE), "")</f>
        <v>2018</v>
      </c>
      <c r="F3374" s="2">
        <f>IF(A3374&lt;&gt;"", VLOOKUP(A3374, imdb_netflix_v5!A$2:H$7370, 7, FALSE), "")</f>
        <v>21400000</v>
      </c>
    </row>
    <row r="3375" ht="15.75" customHeight="1">
      <c r="A3375" s="1" t="str">
        <f>IFERROR(__xludf.DUMMYFUNCTION("""COMPUTED_VALUE"""),"the warriors")</f>
        <v>the warriors</v>
      </c>
      <c r="B3375" s="1" t="str">
        <f>IF(A3375&lt;&gt;"", VLOOKUP(A3375, imdb_netflix_v5!A$2:H$7370, 2, FALSE), "")</f>
        <v>Movie</v>
      </c>
      <c r="C3375" s="2" t="str">
        <f>IF(A3375&lt;&gt;"", VLOOKUP(A3375, imdb_netflix_v5!A$2:H$7370, 3, FALSE), "")</f>
        <v>Action, Crime, Thriller</v>
      </c>
      <c r="D3375" s="2">
        <f>IF(A3375&lt;&gt;"", VLOOKUP(A3375, imdb_netflix_v5!A$2:H$7370, 4, FALSE), "")</f>
        <v>7.5</v>
      </c>
      <c r="E3375" s="2">
        <f>IF(A3375&lt;&gt;"", VLOOKUP(A3375, imdb_netflix_v5!A$2:H$7370, 5, FALSE), "")</f>
        <v>1979</v>
      </c>
      <c r="F3375" s="2" t="str">
        <f>IF(A3375&lt;&gt;"", VLOOKUP(A3375, imdb_netflix_v5!A$2:H$7370, 7, FALSE), "")</f>
        <v>NA</v>
      </c>
    </row>
    <row r="3376" ht="15.75" customHeight="1">
      <c r="A3376" s="1" t="str">
        <f>IFERROR(__xludf.DUMMYFUNCTION("""COMPUTED_VALUE"""),"ip man 2")</f>
        <v>ip man 2</v>
      </c>
      <c r="B3376" s="1" t="str">
        <f>IF(A3376&lt;&gt;"", VLOOKUP(A3376, imdb_netflix_v5!A$2:H$7370, 2, FALSE), "")</f>
        <v>Movie</v>
      </c>
      <c r="C3376" s="2" t="str">
        <f>IF(A3376&lt;&gt;"", VLOOKUP(A3376, imdb_netflix_v5!A$2:H$7370, 3, FALSE), "")</f>
        <v>Action, Biography, Drama</v>
      </c>
      <c r="D3376" s="2">
        <f>IF(A3376&lt;&gt;"", VLOOKUP(A3376, imdb_netflix_v5!A$2:H$7370, 4, FALSE), "")</f>
        <v>7.5</v>
      </c>
      <c r="E3376" s="2">
        <f>IF(A3376&lt;&gt;"", VLOOKUP(A3376, imdb_netflix_v5!A$2:H$7370, 5, FALSE), "")</f>
        <v>2010</v>
      </c>
      <c r="F3376" s="2" t="str">
        <f>IF(A3376&lt;&gt;"", VLOOKUP(A3376, imdb_netflix_v5!A$2:H$7370, 7, FALSE), "")</f>
        <v>NA</v>
      </c>
    </row>
    <row r="3377" ht="15.75" customHeight="1">
      <c r="A3377" s="1" t="str">
        <f>IFERROR(__xludf.DUMMYFUNCTION("""COMPUTED_VALUE"""),"lolita")</f>
        <v>lolita</v>
      </c>
      <c r="B3377" s="1" t="str">
        <f>IF(A3377&lt;&gt;"", VLOOKUP(A3377, imdb_netflix_v5!A$2:H$7370, 2, FALSE), "")</f>
        <v>Movie</v>
      </c>
      <c r="C3377" s="2" t="str">
        <f>IF(A3377&lt;&gt;"", VLOOKUP(A3377, imdb_netflix_v5!A$2:H$7370, 3, FALSE), "")</f>
        <v>Crime, Drama, Romance</v>
      </c>
      <c r="D3377" s="2">
        <f>IF(A3377&lt;&gt;"", VLOOKUP(A3377, imdb_netflix_v5!A$2:H$7370, 4, FALSE), "")</f>
        <v>7.5</v>
      </c>
      <c r="E3377" s="2">
        <f>IF(A3377&lt;&gt;"", VLOOKUP(A3377, imdb_netflix_v5!A$2:H$7370, 5, FALSE), "")</f>
        <v>1962</v>
      </c>
      <c r="F3377" s="2" t="str">
        <f>IF(A3377&lt;&gt;"", VLOOKUP(A3377, imdb_netflix_v5!A$2:H$7370, 7, FALSE), "")</f>
        <v>NA</v>
      </c>
    </row>
    <row r="3378" ht="15.75" customHeight="1">
      <c r="A3378" s="1" t="str">
        <f>IFERROR(__xludf.DUMMYFUNCTION("""COMPUTED_VALUE"""),"headhunters")</f>
        <v>headhunters</v>
      </c>
      <c r="B3378" s="1" t="str">
        <f>IF(A3378&lt;&gt;"", VLOOKUP(A3378, imdb_netflix_v5!A$2:H$7370, 2, FALSE), "")</f>
        <v>Movie</v>
      </c>
      <c r="C3378" s="2" t="str">
        <f>IF(A3378&lt;&gt;"", VLOOKUP(A3378, imdb_netflix_v5!A$2:H$7370, 3, FALSE), "")</f>
        <v>Action, Crime, Thriller</v>
      </c>
      <c r="D3378" s="2">
        <f>IF(A3378&lt;&gt;"", VLOOKUP(A3378, imdb_netflix_v5!A$2:H$7370, 4, FALSE), "")</f>
        <v>7.5</v>
      </c>
      <c r="E3378" s="2">
        <f>IF(A3378&lt;&gt;"", VLOOKUP(A3378, imdb_netflix_v5!A$2:H$7370, 5, FALSE), "")</f>
        <v>2011</v>
      </c>
      <c r="F3378" s="2" t="str">
        <f>IF(A3378&lt;&gt;"", VLOOKUP(A3378, imdb_netflix_v5!A$2:H$7370, 7, FALSE), "")</f>
        <v>NA</v>
      </c>
    </row>
    <row r="3379" ht="15.75" customHeight="1">
      <c r="A3379" s="1" t="str">
        <f>IFERROR(__xludf.DUMMYFUNCTION("""COMPUTED_VALUE"""),"blood simple")</f>
        <v>blood simple</v>
      </c>
      <c r="B3379" s="1" t="str">
        <f>IF(A3379&lt;&gt;"", VLOOKUP(A3379, imdb_netflix_v5!A$2:H$7370, 2, FALSE), "")</f>
        <v>Movie</v>
      </c>
      <c r="C3379" s="2" t="str">
        <f>IF(A3379&lt;&gt;"", VLOOKUP(A3379, imdb_netflix_v5!A$2:H$7370, 3, FALSE), "")</f>
        <v>Crime, Drama, Thriller</v>
      </c>
      <c r="D3379" s="2">
        <f>IF(A3379&lt;&gt;"", VLOOKUP(A3379, imdb_netflix_v5!A$2:H$7370, 4, FALSE), "")</f>
        <v>7.5</v>
      </c>
      <c r="E3379" s="2">
        <f>IF(A3379&lt;&gt;"", VLOOKUP(A3379, imdb_netflix_v5!A$2:H$7370, 5, FALSE), "")</f>
        <v>1984</v>
      </c>
      <c r="F3379" s="2" t="str">
        <f>IF(A3379&lt;&gt;"", VLOOKUP(A3379, imdb_netflix_v5!A$2:H$7370, 7, FALSE), "")</f>
        <v>NA</v>
      </c>
    </row>
    <row r="3380" ht="15.75" customHeight="1">
      <c r="A3380" s="1" t="str">
        <f>IFERROR(__xludf.DUMMYFUNCTION("""COMPUTED_VALUE"""),"dead alive")</f>
        <v>dead alive</v>
      </c>
      <c r="B3380" s="1" t="str">
        <f>IF(A3380&lt;&gt;"", VLOOKUP(A3380, imdb_netflix_v5!A$2:H$7370, 2, FALSE), "")</f>
        <v>Movie</v>
      </c>
      <c r="C3380" s="2" t="str">
        <f>IF(A3380&lt;&gt;"", VLOOKUP(A3380, imdb_netflix_v5!A$2:H$7370, 3, FALSE), "")</f>
        <v>Comedy, Fantasy, Horror</v>
      </c>
      <c r="D3380" s="2">
        <f>IF(A3380&lt;&gt;"", VLOOKUP(A3380, imdb_netflix_v5!A$2:H$7370, 4, FALSE), "")</f>
        <v>7.5</v>
      </c>
      <c r="E3380" s="2">
        <f>IF(A3380&lt;&gt;"", VLOOKUP(A3380, imdb_netflix_v5!A$2:H$7370, 5, FALSE), "")</f>
        <v>1992</v>
      </c>
      <c r="F3380" s="2" t="str">
        <f>IF(A3380&lt;&gt;"", VLOOKUP(A3380, imdb_netflix_v5!A$2:H$7370, 7, FALSE), "")</f>
        <v>NA</v>
      </c>
    </row>
    <row r="3381" ht="15.75" customHeight="1">
      <c r="A3381" s="1" t="str">
        <f>IFERROR(__xludf.DUMMYFUNCTION("""COMPUTED_VALUE"""),"boys dont cry")</f>
        <v>boys dont cry</v>
      </c>
      <c r="B3381" s="1" t="str">
        <f>IF(A3381&lt;&gt;"", VLOOKUP(A3381, imdb_netflix_v5!A$2:H$7370, 2, FALSE), "")</f>
        <v>Movie</v>
      </c>
      <c r="C3381" s="2" t="str">
        <f>IF(A3381&lt;&gt;"", VLOOKUP(A3381, imdb_netflix_v5!A$2:H$7370, 3, FALSE), "")</f>
        <v>Biography, Crime, Drama</v>
      </c>
      <c r="D3381" s="2">
        <f>IF(A3381&lt;&gt;"", VLOOKUP(A3381, imdb_netflix_v5!A$2:H$7370, 4, FALSE), "")</f>
        <v>7.5</v>
      </c>
      <c r="E3381" s="2">
        <f>IF(A3381&lt;&gt;"", VLOOKUP(A3381, imdb_netflix_v5!A$2:H$7370, 5, FALSE), "")</f>
        <v>1999</v>
      </c>
      <c r="F3381" s="2" t="str">
        <f>IF(A3381&lt;&gt;"", VLOOKUP(A3381, imdb_netflix_v5!A$2:H$7370, 7, FALSE), "")</f>
        <v>NA</v>
      </c>
    </row>
    <row r="3382" ht="15.75" customHeight="1">
      <c r="A3382" s="1" t="str">
        <f>IFERROR(__xludf.DUMMYFUNCTION("""COMPUTED_VALUE"""),"dead man")</f>
        <v>dead man</v>
      </c>
      <c r="B3382" s="1" t="str">
        <f>IF(A3382&lt;&gt;"", VLOOKUP(A3382, imdb_netflix_v5!A$2:H$7370, 2, FALSE), "")</f>
        <v>Movie</v>
      </c>
      <c r="C3382" s="2" t="str">
        <f>IF(A3382&lt;&gt;"", VLOOKUP(A3382, imdb_netflix_v5!A$2:H$7370, 3, FALSE), "")</f>
        <v>Adventure, Comedy, Drama</v>
      </c>
      <c r="D3382" s="2">
        <f>IF(A3382&lt;&gt;"", VLOOKUP(A3382, imdb_netflix_v5!A$2:H$7370, 4, FALSE), "")</f>
        <v>7.5</v>
      </c>
      <c r="E3382" s="2">
        <f>IF(A3382&lt;&gt;"", VLOOKUP(A3382, imdb_netflix_v5!A$2:H$7370, 5, FALSE), "")</f>
        <v>1995</v>
      </c>
      <c r="F3382" s="2" t="str">
        <f>IF(A3382&lt;&gt;"", VLOOKUP(A3382, imdb_netflix_v5!A$2:H$7370, 7, FALSE), "")</f>
        <v>NA</v>
      </c>
    </row>
    <row r="3383" ht="15.75" customHeight="1">
      <c r="A3383" s="1">
        <f>IFERROR(__xludf.DUMMYFUNCTION("""COMPUTED_VALUE"""),42.0)</f>
        <v>42</v>
      </c>
      <c r="B3383" s="1" t="str">
        <f>IF(A3383&lt;&gt;"", VLOOKUP(A3383, imdb_netflix_v5!A$2:H$7370, 2, FALSE), "")</f>
        <v>Movie</v>
      </c>
      <c r="C3383" s="2" t="str">
        <f>IF(A3383&lt;&gt;"", VLOOKUP(A3383, imdb_netflix_v5!A$2:H$7370, 3, FALSE), "")</f>
        <v>Biography, Drama, Sport</v>
      </c>
      <c r="D3383" s="2">
        <f>IF(A3383&lt;&gt;"", VLOOKUP(A3383, imdb_netflix_v5!A$2:H$7370, 4, FALSE), "")</f>
        <v>7.5</v>
      </c>
      <c r="E3383" s="2">
        <f>IF(A3383&lt;&gt;"", VLOOKUP(A3383, imdb_netflix_v5!A$2:H$7370, 5, FALSE), "")</f>
        <v>2013</v>
      </c>
      <c r="F3383" s="2" t="str">
        <f>IF(A3383&lt;&gt;"", VLOOKUP(A3383, imdb_netflix_v5!A$2:H$7370, 7, FALSE), "")</f>
        <v>NA</v>
      </c>
    </row>
    <row r="3384" ht="15.75" customHeight="1">
      <c r="A3384" s="1" t="str">
        <f>IFERROR(__xludf.DUMMYFUNCTION("""COMPUTED_VALUE"""),"dead man walking")</f>
        <v>dead man walking</v>
      </c>
      <c r="B3384" s="1" t="str">
        <f>IF(A3384&lt;&gt;"", VLOOKUP(A3384, imdb_netflix_v5!A$2:H$7370, 2, FALSE), "")</f>
        <v>Movie</v>
      </c>
      <c r="C3384" s="2" t="str">
        <f>IF(A3384&lt;&gt;"", VLOOKUP(A3384, imdb_netflix_v5!A$2:H$7370, 3, FALSE), "")</f>
        <v>Crime, Drama</v>
      </c>
      <c r="D3384" s="2">
        <f>IF(A3384&lt;&gt;"", VLOOKUP(A3384, imdb_netflix_v5!A$2:H$7370, 4, FALSE), "")</f>
        <v>7.5</v>
      </c>
      <c r="E3384" s="2">
        <f>IF(A3384&lt;&gt;"", VLOOKUP(A3384, imdb_netflix_v5!A$2:H$7370, 5, FALSE), "")</f>
        <v>1995</v>
      </c>
      <c r="F3384" s="2" t="str">
        <f>IF(A3384&lt;&gt;"", VLOOKUP(A3384, imdb_netflix_v5!A$2:H$7370, 7, FALSE), "")</f>
        <v>NA</v>
      </c>
    </row>
    <row r="3385" ht="15.75" customHeight="1">
      <c r="A3385" s="1" t="str">
        <f>IFERROR(__xludf.DUMMYFUNCTION("""COMPUTED_VALUE"""),"american fiction")</f>
        <v>american fiction</v>
      </c>
      <c r="B3385" s="1" t="str">
        <f>IF(A3385&lt;&gt;"", VLOOKUP(A3385, imdb_netflix_v5!A$2:H$7370, 2, FALSE), "")</f>
        <v>Movie</v>
      </c>
      <c r="C3385" s="2" t="str">
        <f>IF(A3385&lt;&gt;"", VLOOKUP(A3385, imdb_netflix_v5!A$2:H$7370, 3, FALSE), "")</f>
        <v>Comedy, Drama</v>
      </c>
      <c r="D3385" s="2">
        <f>IF(A3385&lt;&gt;"", VLOOKUP(A3385, imdb_netflix_v5!A$2:H$7370, 4, FALSE), "")</f>
        <v>7.5</v>
      </c>
      <c r="E3385" s="2">
        <f>IF(A3385&lt;&gt;"", VLOOKUP(A3385, imdb_netflix_v5!A$2:H$7370, 5, FALSE), "")</f>
        <v>2023</v>
      </c>
      <c r="F3385" s="2" t="str">
        <f>IF(A3385&lt;&gt;"", VLOOKUP(A3385, imdb_netflix_v5!A$2:H$7370, 7, FALSE), "")</f>
        <v>NA</v>
      </c>
    </row>
    <row r="3386" ht="15.75" customHeight="1">
      <c r="A3386" s="1" t="str">
        <f>IFERROR(__xludf.DUMMYFUNCTION("""COMPUTED_VALUE"""),"richard jewell")</f>
        <v>richard jewell</v>
      </c>
      <c r="B3386" s="1" t="str">
        <f>IF(A3386&lt;&gt;"", VLOOKUP(A3386, imdb_netflix_v5!A$2:H$7370, 2, FALSE), "")</f>
        <v>Movie</v>
      </c>
      <c r="C3386" s="2" t="str">
        <f>IF(A3386&lt;&gt;"", VLOOKUP(A3386, imdb_netflix_v5!A$2:H$7370, 3, FALSE), "")</f>
        <v>Biography, Crime, Drama</v>
      </c>
      <c r="D3386" s="2">
        <f>IF(A3386&lt;&gt;"", VLOOKUP(A3386, imdb_netflix_v5!A$2:H$7370, 4, FALSE), "")</f>
        <v>7.5</v>
      </c>
      <c r="E3386" s="2">
        <f>IF(A3386&lt;&gt;"", VLOOKUP(A3386, imdb_netflix_v5!A$2:H$7370, 5, FALSE), "")</f>
        <v>2019</v>
      </c>
      <c r="F3386" s="2" t="str">
        <f>IF(A3386&lt;&gt;"", VLOOKUP(A3386, imdb_netflix_v5!A$2:H$7370, 7, FALSE), "")</f>
        <v>NA</v>
      </c>
    </row>
    <row r="3387" ht="15.75" customHeight="1">
      <c r="A3387" s="1" t="str">
        <f>IFERROR(__xludf.DUMMYFUNCTION("""COMPUTED_VALUE"""),"synecdoche, new york")</f>
        <v>synecdoche, new york</v>
      </c>
      <c r="B3387" s="1" t="str">
        <f>IF(A3387&lt;&gt;"", VLOOKUP(A3387, imdb_netflix_v5!A$2:H$7370, 2, FALSE), "")</f>
        <v>Movie</v>
      </c>
      <c r="C3387" s="2" t="str">
        <f>IF(A3387&lt;&gt;"", VLOOKUP(A3387, imdb_netflix_v5!A$2:H$7370, 3, FALSE), "")</f>
        <v>Drama</v>
      </c>
      <c r="D3387" s="2">
        <f>IF(A3387&lt;&gt;"", VLOOKUP(A3387, imdb_netflix_v5!A$2:H$7370, 4, FALSE), "")</f>
        <v>7.5</v>
      </c>
      <c r="E3387" s="2">
        <f>IF(A3387&lt;&gt;"", VLOOKUP(A3387, imdb_netflix_v5!A$2:H$7370, 5, FALSE), "")</f>
        <v>2008</v>
      </c>
      <c r="F3387" s="2" t="str">
        <f>IF(A3387&lt;&gt;"", VLOOKUP(A3387, imdb_netflix_v5!A$2:H$7370, 7, FALSE), "")</f>
        <v>NA</v>
      </c>
    </row>
    <row r="3388" ht="15.75" customHeight="1">
      <c r="A3388" s="1" t="str">
        <f>IFERROR(__xludf.DUMMYFUNCTION("""COMPUTED_VALUE"""),"ghost dog the way of the samurai")</f>
        <v>ghost dog the way of the samurai</v>
      </c>
      <c r="B3388" s="1" t="str">
        <f>IF(A3388&lt;&gt;"", VLOOKUP(A3388, imdb_netflix_v5!A$2:H$7370, 2, FALSE), "")</f>
        <v>Movie</v>
      </c>
      <c r="C3388" s="2" t="str">
        <f>IF(A3388&lt;&gt;"", VLOOKUP(A3388, imdb_netflix_v5!A$2:H$7370, 3, FALSE), "")</f>
        <v>Crime, Drama</v>
      </c>
      <c r="D3388" s="2">
        <f>IF(A3388&lt;&gt;"", VLOOKUP(A3388, imdb_netflix_v5!A$2:H$7370, 4, FALSE), "")</f>
        <v>7.5</v>
      </c>
      <c r="E3388" s="2">
        <f>IF(A3388&lt;&gt;"", VLOOKUP(A3388, imdb_netflix_v5!A$2:H$7370, 5, FALSE), "")</f>
        <v>1999</v>
      </c>
      <c r="F3388" s="2" t="str">
        <f>IF(A3388&lt;&gt;"", VLOOKUP(A3388, imdb_netflix_v5!A$2:H$7370, 7, FALSE), "")</f>
        <v>NA</v>
      </c>
    </row>
    <row r="3389" ht="15.75" customHeight="1">
      <c r="A3389" s="1" t="str">
        <f>IFERROR(__xludf.DUMMYFUNCTION("""COMPUTED_VALUE"""),"midnight run")</f>
        <v>midnight run</v>
      </c>
      <c r="B3389" s="1" t="str">
        <f>IF(A3389&lt;&gt;"", VLOOKUP(A3389, imdb_netflix_v5!A$2:H$7370, 2, FALSE), "")</f>
        <v>Movie</v>
      </c>
      <c r="C3389" s="2" t="str">
        <f>IF(A3389&lt;&gt;"", VLOOKUP(A3389, imdb_netflix_v5!A$2:H$7370, 3, FALSE), "")</f>
        <v>Action, Comedy, Crime</v>
      </c>
      <c r="D3389" s="2">
        <f>IF(A3389&lt;&gt;"", VLOOKUP(A3389, imdb_netflix_v5!A$2:H$7370, 4, FALSE), "")</f>
        <v>7.5</v>
      </c>
      <c r="E3389" s="2">
        <f>IF(A3389&lt;&gt;"", VLOOKUP(A3389, imdb_netflix_v5!A$2:H$7370, 5, FALSE), "")</f>
        <v>1988</v>
      </c>
      <c r="F3389" s="2" t="str">
        <f>IF(A3389&lt;&gt;"", VLOOKUP(A3389, imdb_netflix_v5!A$2:H$7370, 7, FALSE), "")</f>
        <v>NA</v>
      </c>
    </row>
    <row r="3390" ht="15.75" customHeight="1">
      <c r="A3390" s="1" t="str">
        <f>IFERROR(__xludf.DUMMYFUNCTION("""COMPUTED_VALUE"""),"the wicker man")</f>
        <v>the wicker man</v>
      </c>
      <c r="B3390" s="1" t="str">
        <f>IF(A3390&lt;&gt;"", VLOOKUP(A3390, imdb_netflix_v5!A$2:H$7370, 2, FALSE), "")</f>
        <v>Movie</v>
      </c>
      <c r="C3390" s="2" t="str">
        <f>IF(A3390&lt;&gt;"", VLOOKUP(A3390, imdb_netflix_v5!A$2:H$7370, 3, FALSE), "")</f>
        <v>Horror, Mystery, Thriller</v>
      </c>
      <c r="D3390" s="2">
        <f>IF(A3390&lt;&gt;"", VLOOKUP(A3390, imdb_netflix_v5!A$2:H$7370, 4, FALSE), "")</f>
        <v>7.5</v>
      </c>
      <c r="E3390" s="2">
        <f>IF(A3390&lt;&gt;"", VLOOKUP(A3390, imdb_netflix_v5!A$2:H$7370, 5, FALSE), "")</f>
        <v>1973</v>
      </c>
      <c r="F3390" s="2" t="str">
        <f>IF(A3390&lt;&gt;"", VLOOKUP(A3390, imdb_netflix_v5!A$2:H$7370, 7, FALSE), "")</f>
        <v>NA</v>
      </c>
    </row>
    <row r="3391" ht="15.75" customHeight="1">
      <c r="A3391" s="1" t="str">
        <f>IFERROR(__xludf.DUMMYFUNCTION("""COMPUTED_VALUE"""),"the piano")</f>
        <v>the piano</v>
      </c>
      <c r="B3391" s="1" t="str">
        <f>IF(A3391&lt;&gt;"", VLOOKUP(A3391, imdb_netflix_v5!A$2:H$7370, 2, FALSE), "")</f>
        <v>Movie</v>
      </c>
      <c r="C3391" s="2" t="str">
        <f>IF(A3391&lt;&gt;"", VLOOKUP(A3391, imdb_netflix_v5!A$2:H$7370, 3, FALSE), "")</f>
        <v>Drama, Music, Romance</v>
      </c>
      <c r="D3391" s="2">
        <f>IF(A3391&lt;&gt;"", VLOOKUP(A3391, imdb_netflix_v5!A$2:H$7370, 4, FALSE), "")</f>
        <v>7.5</v>
      </c>
      <c r="E3391" s="2">
        <f>IF(A3391&lt;&gt;"", VLOOKUP(A3391, imdb_netflix_v5!A$2:H$7370, 5, FALSE), "")</f>
        <v>1993</v>
      </c>
      <c r="F3391" s="2" t="str">
        <f>IF(A3391&lt;&gt;"", VLOOKUP(A3391, imdb_netflix_v5!A$2:H$7370, 7, FALSE), "")</f>
        <v>NA</v>
      </c>
    </row>
    <row r="3392" ht="15.75" customHeight="1">
      <c r="A3392" s="1" t="str">
        <f>IFERROR(__xludf.DUMMYFUNCTION("""COMPUTED_VALUE"""),"star trek picard")</f>
        <v>star trek picard</v>
      </c>
      <c r="B3392" s="1" t="str">
        <f>IF(A3392&lt;&gt;"", VLOOKUP(A3392, imdb_netflix_v5!A$2:H$7370, 2, FALSE), "")</f>
        <v>TV Show</v>
      </c>
      <c r="C3392" s="2" t="str">
        <f>IF(A3392&lt;&gt;"", VLOOKUP(A3392, imdb_netflix_v5!A$2:H$7370, 3, FALSE), "")</f>
        <v>Action, Adventure, Drama</v>
      </c>
      <c r="D3392" s="2">
        <f>IF(A3392&lt;&gt;"", VLOOKUP(A3392, imdb_netflix_v5!A$2:H$7370, 4, FALSE), "")</f>
        <v>7.5</v>
      </c>
      <c r="E3392" s="2">
        <f>IF(A3392&lt;&gt;"", VLOOKUP(A3392, imdb_netflix_v5!A$2:H$7370, 5, FALSE), "")</f>
        <v>2020</v>
      </c>
      <c r="F3392" s="2" t="str">
        <f>IF(A3392&lt;&gt;"", VLOOKUP(A3392, imdb_netflix_v5!A$2:H$7370, 7, FALSE), "")</f>
        <v>NA</v>
      </c>
    </row>
    <row r="3393" ht="15.75" customHeight="1">
      <c r="A3393" s="1" t="str">
        <f>IFERROR(__xludf.DUMMYFUNCTION("""COMPUTED_VALUE"""),"selma")</f>
        <v>selma</v>
      </c>
      <c r="B3393" s="1" t="str">
        <f>IF(A3393&lt;&gt;"", VLOOKUP(A3393, imdb_netflix_v5!A$2:H$7370, 2, FALSE), "")</f>
        <v>Movie</v>
      </c>
      <c r="C3393" s="2" t="str">
        <f>IF(A3393&lt;&gt;"", VLOOKUP(A3393, imdb_netflix_v5!A$2:H$7370, 3, FALSE), "")</f>
        <v>Biography, Drama, History</v>
      </c>
      <c r="D3393" s="2">
        <f>IF(A3393&lt;&gt;"", VLOOKUP(A3393, imdb_netflix_v5!A$2:H$7370, 4, FALSE), "")</f>
        <v>7.5</v>
      </c>
      <c r="E3393" s="2">
        <f>IF(A3393&lt;&gt;"", VLOOKUP(A3393, imdb_netflix_v5!A$2:H$7370, 5, FALSE), "")</f>
        <v>2014</v>
      </c>
      <c r="F3393" s="2" t="str">
        <f>IF(A3393&lt;&gt;"", VLOOKUP(A3393, imdb_netflix_v5!A$2:H$7370, 7, FALSE), "")</f>
        <v>NA</v>
      </c>
    </row>
    <row r="3394" ht="15.75" customHeight="1">
      <c r="A3394" s="1" t="str">
        <f>IFERROR(__xludf.DUMMYFUNCTION("""COMPUTED_VALUE"""),"the fisher king")</f>
        <v>the fisher king</v>
      </c>
      <c r="B3394" s="1" t="str">
        <f>IF(A3394&lt;&gt;"", VLOOKUP(A3394, imdb_netflix_v5!A$2:H$7370, 2, FALSE), "")</f>
        <v>Movie</v>
      </c>
      <c r="C3394" s="2" t="str">
        <f>IF(A3394&lt;&gt;"", VLOOKUP(A3394, imdb_netflix_v5!A$2:H$7370, 3, FALSE), "")</f>
        <v>Comedy, Drama, Fantasy</v>
      </c>
      <c r="D3394" s="2">
        <f>IF(A3394&lt;&gt;"", VLOOKUP(A3394, imdb_netflix_v5!A$2:H$7370, 4, FALSE), "")</f>
        <v>7.5</v>
      </c>
      <c r="E3394" s="2">
        <f>IF(A3394&lt;&gt;"", VLOOKUP(A3394, imdb_netflix_v5!A$2:H$7370, 5, FALSE), "")</f>
        <v>1991</v>
      </c>
      <c r="F3394" s="2" t="str">
        <f>IF(A3394&lt;&gt;"", VLOOKUP(A3394, imdb_netflix_v5!A$2:H$7370, 7, FALSE), "")</f>
        <v>NA</v>
      </c>
    </row>
    <row r="3395" ht="15.75" customHeight="1">
      <c r="A3395" s="1" t="str">
        <f>IFERROR(__xludf.DUMMYFUNCTION("""COMPUTED_VALUE"""),"la vie en rose")</f>
        <v>la vie en rose</v>
      </c>
      <c r="B3395" s="1" t="str">
        <f>IF(A3395&lt;&gt;"", VLOOKUP(A3395, imdb_netflix_v5!A$2:H$7370, 2, FALSE), "")</f>
        <v>Movie</v>
      </c>
      <c r="C3395" s="2" t="str">
        <f>IF(A3395&lt;&gt;"", VLOOKUP(A3395, imdb_netflix_v5!A$2:H$7370, 3, FALSE), "")</f>
        <v>Biography, Drama, Music</v>
      </c>
      <c r="D3395" s="2">
        <f>IF(A3395&lt;&gt;"", VLOOKUP(A3395, imdb_netflix_v5!A$2:H$7370, 4, FALSE), "")</f>
        <v>7.5</v>
      </c>
      <c r="E3395" s="2">
        <f>IF(A3395&lt;&gt;"", VLOOKUP(A3395, imdb_netflix_v5!A$2:H$7370, 5, FALSE), "")</f>
        <v>2007</v>
      </c>
      <c r="F3395" s="2" t="str">
        <f>IF(A3395&lt;&gt;"", VLOOKUP(A3395, imdb_netflix_v5!A$2:H$7370, 7, FALSE), "")</f>
        <v>NA</v>
      </c>
    </row>
    <row r="3396" ht="15.75" customHeight="1">
      <c r="A3396" s="1" t="str">
        <f>IFERROR(__xludf.DUMMYFUNCTION("""COMPUTED_VALUE"""),"delicatessen")</f>
        <v>delicatessen</v>
      </c>
      <c r="B3396" s="1" t="str">
        <f>IF(A3396&lt;&gt;"", VLOOKUP(A3396, imdb_netflix_v5!A$2:H$7370, 2, FALSE), "")</f>
        <v>Movie</v>
      </c>
      <c r="C3396" s="2" t="str">
        <f>IF(A3396&lt;&gt;"", VLOOKUP(A3396, imdb_netflix_v5!A$2:H$7370, 3, FALSE), "")</f>
        <v>Comedy, Crime</v>
      </c>
      <c r="D3396" s="2">
        <f>IF(A3396&lt;&gt;"", VLOOKUP(A3396, imdb_netflix_v5!A$2:H$7370, 4, FALSE), "")</f>
        <v>7.5</v>
      </c>
      <c r="E3396" s="2">
        <f>IF(A3396&lt;&gt;"", VLOOKUP(A3396, imdb_netflix_v5!A$2:H$7370, 5, FALSE), "")</f>
        <v>1991</v>
      </c>
      <c r="F3396" s="2" t="str">
        <f>IF(A3396&lt;&gt;"", VLOOKUP(A3396, imdb_netflix_v5!A$2:H$7370, 7, FALSE), "")</f>
        <v>NA</v>
      </c>
    </row>
    <row r="3397" ht="15.75" customHeight="1">
      <c r="A3397" s="1" t="str">
        <f>IFERROR(__xludf.DUMMYFUNCTION("""COMPUTED_VALUE"""),"outer banks")</f>
        <v>outer banks</v>
      </c>
      <c r="B3397" s="1" t="str">
        <f>IF(A3397&lt;&gt;"", VLOOKUP(A3397, imdb_netflix_v5!A$2:H$7370, 2, FALSE), "")</f>
        <v>TV Show</v>
      </c>
      <c r="C3397" s="2" t="str">
        <f>IF(A3397&lt;&gt;"", VLOOKUP(A3397, imdb_netflix_v5!A$2:H$7370, 3, FALSE), "")</f>
        <v>Action, Crime, Drama</v>
      </c>
      <c r="D3397" s="2">
        <f>IF(A3397&lt;&gt;"", VLOOKUP(A3397, imdb_netflix_v5!A$2:H$7370, 4, FALSE), "")</f>
        <v>7.5</v>
      </c>
      <c r="E3397" s="2">
        <f>IF(A3397&lt;&gt;"", VLOOKUP(A3397, imdb_netflix_v5!A$2:H$7370, 5, FALSE), "")</f>
        <v>2020</v>
      </c>
      <c r="F3397" s="2">
        <f>IF(A3397&lt;&gt;"", VLOOKUP(A3397, imdb_netflix_v5!A$2:H$7370, 7, FALSE), "")</f>
        <v>11310000</v>
      </c>
    </row>
    <row r="3398" ht="15.75" customHeight="1">
      <c r="A3398" s="1" t="str">
        <f>IFERROR(__xludf.DUMMYFUNCTION("""COMPUTED_VALUE"""),"midnight express")</f>
        <v>midnight express</v>
      </c>
      <c r="B3398" s="1" t="str">
        <f>IF(A3398&lt;&gt;"", VLOOKUP(A3398, imdb_netflix_v5!A$2:H$7370, 2, FALSE), "")</f>
        <v>Movie</v>
      </c>
      <c r="C3398" s="2" t="str">
        <f>IF(A3398&lt;&gt;"", VLOOKUP(A3398, imdb_netflix_v5!A$2:H$7370, 3, FALSE), "")</f>
        <v>Biography, Crime, Drama</v>
      </c>
      <c r="D3398" s="2">
        <f>IF(A3398&lt;&gt;"", VLOOKUP(A3398, imdb_netflix_v5!A$2:H$7370, 4, FALSE), "")</f>
        <v>7.5</v>
      </c>
      <c r="E3398" s="2">
        <f>IF(A3398&lt;&gt;"", VLOOKUP(A3398, imdb_netflix_v5!A$2:H$7370, 5, FALSE), "")</f>
        <v>1978</v>
      </c>
      <c r="F3398" s="2" t="str">
        <f>IF(A3398&lt;&gt;"", VLOOKUP(A3398, imdb_netflix_v5!A$2:H$7370, 7, FALSE), "")</f>
        <v>NA</v>
      </c>
    </row>
    <row r="3399" ht="15.75" customHeight="1">
      <c r="A3399" s="1" t="str">
        <f>IFERROR(__xludf.DUMMYFUNCTION("""COMPUTED_VALUE"""),"a perfect world")</f>
        <v>a perfect world</v>
      </c>
      <c r="B3399" s="1" t="str">
        <f>IF(A3399&lt;&gt;"", VLOOKUP(A3399, imdb_netflix_v5!A$2:H$7370, 2, FALSE), "")</f>
        <v>Movie</v>
      </c>
      <c r="C3399" s="2" t="str">
        <f>IF(A3399&lt;&gt;"", VLOOKUP(A3399, imdb_netflix_v5!A$2:H$7370, 3, FALSE), "")</f>
        <v>Crime, Drama, Thriller</v>
      </c>
      <c r="D3399" s="2">
        <f>IF(A3399&lt;&gt;"", VLOOKUP(A3399, imdb_netflix_v5!A$2:H$7370, 4, FALSE), "")</f>
        <v>7.5</v>
      </c>
      <c r="E3399" s="2">
        <f>IF(A3399&lt;&gt;"", VLOOKUP(A3399, imdb_netflix_v5!A$2:H$7370, 5, FALSE), "")</f>
        <v>1993</v>
      </c>
      <c r="F3399" s="2" t="str">
        <f>IF(A3399&lt;&gt;"", VLOOKUP(A3399, imdb_netflix_v5!A$2:H$7370, 7, FALSE), "")</f>
        <v>NA</v>
      </c>
    </row>
    <row r="3400" ht="15.75" customHeight="1">
      <c r="A3400" s="1" t="str">
        <f>IFERROR(__xludf.DUMMYFUNCTION("""COMPUTED_VALUE"""),"tiger king")</f>
        <v>tiger king</v>
      </c>
      <c r="B3400" s="1" t="str">
        <f>IF(A3400&lt;&gt;"", VLOOKUP(A3400, imdb_netflix_v5!A$2:H$7370, 2, FALSE), "")</f>
        <v>TV Show</v>
      </c>
      <c r="C3400" s="2" t="str">
        <f>IF(A3400&lt;&gt;"", VLOOKUP(A3400, imdb_netflix_v5!A$2:H$7370, 3, FALSE), "")</f>
        <v>Biography, Crime, Documentary</v>
      </c>
      <c r="D3400" s="2">
        <f>IF(A3400&lt;&gt;"", VLOOKUP(A3400, imdb_netflix_v5!A$2:H$7370, 4, FALSE), "")</f>
        <v>7.5</v>
      </c>
      <c r="E3400" s="2">
        <f>IF(A3400&lt;&gt;"", VLOOKUP(A3400, imdb_netflix_v5!A$2:H$7370, 5, FALSE), "")</f>
        <v>2020</v>
      </c>
      <c r="F3400" s="2">
        <f>IF(A3400&lt;&gt;"", VLOOKUP(A3400, imdb_netflix_v5!A$2:H$7370, 7, FALSE), "")</f>
        <v>16430000</v>
      </c>
    </row>
    <row r="3401" ht="15.75" customHeight="1">
      <c r="A3401" s="1" t="str">
        <f>IFERROR(__xludf.DUMMYFUNCTION("""COMPUTED_VALUE"""),"funny games")</f>
        <v>funny games</v>
      </c>
      <c r="B3401" s="1" t="str">
        <f>IF(A3401&lt;&gt;"", VLOOKUP(A3401, imdb_netflix_v5!A$2:H$7370, 2, FALSE), "")</f>
        <v>Movie</v>
      </c>
      <c r="C3401" s="2" t="str">
        <f>IF(A3401&lt;&gt;"", VLOOKUP(A3401, imdb_netflix_v5!A$2:H$7370, 3, FALSE), "")</f>
        <v>Crime, Drama, Thriller</v>
      </c>
      <c r="D3401" s="2">
        <f>IF(A3401&lt;&gt;"", VLOOKUP(A3401, imdb_netflix_v5!A$2:H$7370, 4, FALSE), "")</f>
        <v>7.5</v>
      </c>
      <c r="E3401" s="2">
        <f>IF(A3401&lt;&gt;"", VLOOKUP(A3401, imdb_netflix_v5!A$2:H$7370, 5, FALSE), "")</f>
        <v>1997</v>
      </c>
      <c r="F3401" s="2" t="str">
        <f>IF(A3401&lt;&gt;"", VLOOKUP(A3401, imdb_netflix_v5!A$2:H$7370, 7, FALSE), "")</f>
        <v>NA</v>
      </c>
    </row>
    <row r="3402" ht="15.75" customHeight="1">
      <c r="A3402" s="1" t="str">
        <f>IFERROR(__xludf.DUMMYFUNCTION("""COMPUTED_VALUE"""),"lady vengeance")</f>
        <v>lady vengeance</v>
      </c>
      <c r="B3402" s="1" t="str">
        <f>IF(A3402&lt;&gt;"", VLOOKUP(A3402, imdb_netflix_v5!A$2:H$7370, 2, FALSE), "")</f>
        <v>Movie</v>
      </c>
      <c r="C3402" s="2" t="str">
        <f>IF(A3402&lt;&gt;"", VLOOKUP(A3402, imdb_netflix_v5!A$2:H$7370, 3, FALSE), "")</f>
        <v>Crime, Drama, Thriller</v>
      </c>
      <c r="D3402" s="2">
        <f>IF(A3402&lt;&gt;"", VLOOKUP(A3402, imdb_netflix_v5!A$2:H$7370, 4, FALSE), "")</f>
        <v>7.5</v>
      </c>
      <c r="E3402" s="2">
        <f>IF(A3402&lt;&gt;"", VLOOKUP(A3402, imdb_netflix_v5!A$2:H$7370, 5, FALSE), "")</f>
        <v>2005</v>
      </c>
      <c r="F3402" s="2" t="str">
        <f>IF(A3402&lt;&gt;"", VLOOKUP(A3402, imdb_netflix_v5!A$2:H$7370, 7, FALSE), "")</f>
        <v>NA</v>
      </c>
    </row>
    <row r="3403" ht="15.75" customHeight="1">
      <c r="A3403" s="1" t="str">
        <f>IFERROR(__xludf.DUMMYFUNCTION("""COMPUTED_VALUE"""),"ginny &amp; georgia")</f>
        <v>ginny &amp; georgia</v>
      </c>
      <c r="B3403" s="1" t="str">
        <f>IF(A3403&lt;&gt;"", VLOOKUP(A3403, imdb_netflix_v5!A$2:H$7370, 2, FALSE), "")</f>
        <v>TV Show</v>
      </c>
      <c r="C3403" s="2" t="str">
        <f>IF(A3403&lt;&gt;"", VLOOKUP(A3403, imdb_netflix_v5!A$2:H$7370, 3, FALSE), "")</f>
        <v>Comedy, Drama</v>
      </c>
      <c r="D3403" s="2">
        <f>IF(A3403&lt;&gt;"", VLOOKUP(A3403, imdb_netflix_v5!A$2:H$7370, 4, FALSE), "")</f>
        <v>7.5</v>
      </c>
      <c r="E3403" s="2">
        <f>IF(A3403&lt;&gt;"", VLOOKUP(A3403, imdb_netflix_v5!A$2:H$7370, 5, FALSE), "")</f>
        <v>2021</v>
      </c>
      <c r="F3403" s="2">
        <f>IF(A3403&lt;&gt;"", VLOOKUP(A3403, imdb_netflix_v5!A$2:H$7370, 7, FALSE), "")</f>
        <v>18510000</v>
      </c>
    </row>
    <row r="3404" ht="15.75" customHeight="1">
      <c r="A3404" s="1" t="str">
        <f>IFERROR(__xludf.DUMMYFUNCTION("""COMPUTED_VALUE"""),"fruitvale station")</f>
        <v>fruitvale station</v>
      </c>
      <c r="B3404" s="1" t="str">
        <f>IF(A3404&lt;&gt;"", VLOOKUP(A3404, imdb_netflix_v5!A$2:H$7370, 2, FALSE), "")</f>
        <v>Movie</v>
      </c>
      <c r="C3404" s="2" t="str">
        <f>IF(A3404&lt;&gt;"", VLOOKUP(A3404, imdb_netflix_v5!A$2:H$7370, 3, FALSE), "")</f>
        <v>Biography, Crime, Drama</v>
      </c>
      <c r="D3404" s="2">
        <f>IF(A3404&lt;&gt;"", VLOOKUP(A3404, imdb_netflix_v5!A$2:H$7370, 4, FALSE), "")</f>
        <v>7.5</v>
      </c>
      <c r="E3404" s="2">
        <f>IF(A3404&lt;&gt;"", VLOOKUP(A3404, imdb_netflix_v5!A$2:H$7370, 5, FALSE), "")</f>
        <v>2013</v>
      </c>
      <c r="F3404" s="2" t="str">
        <f>IF(A3404&lt;&gt;"", VLOOKUP(A3404, imdb_netflix_v5!A$2:H$7370, 7, FALSE), "")</f>
        <v>NA</v>
      </c>
    </row>
    <row r="3405" ht="15.75" customHeight="1">
      <c r="A3405" s="1" t="str">
        <f>IFERROR(__xludf.DUMMYFUNCTION("""COMPUTED_VALUE"""),"miss sloane")</f>
        <v>miss sloane</v>
      </c>
      <c r="B3405" s="1" t="str">
        <f>IF(A3405&lt;&gt;"", VLOOKUP(A3405, imdb_netflix_v5!A$2:H$7370, 2, FALSE), "")</f>
        <v>Movie</v>
      </c>
      <c r="C3405" s="2" t="str">
        <f>IF(A3405&lt;&gt;"", VLOOKUP(A3405, imdb_netflix_v5!A$2:H$7370, 3, FALSE), "")</f>
        <v>Drama</v>
      </c>
      <c r="D3405" s="2">
        <f>IF(A3405&lt;&gt;"", VLOOKUP(A3405, imdb_netflix_v5!A$2:H$7370, 4, FALSE), "")</f>
        <v>7.5</v>
      </c>
      <c r="E3405" s="2">
        <f>IF(A3405&lt;&gt;"", VLOOKUP(A3405, imdb_netflix_v5!A$2:H$7370, 5, FALSE), "")</f>
        <v>2016</v>
      </c>
      <c r="F3405" s="2" t="str">
        <f>IF(A3405&lt;&gt;"", VLOOKUP(A3405, imdb_netflix_v5!A$2:H$7370, 7, FALSE), "")</f>
        <v>NA</v>
      </c>
    </row>
    <row r="3406" ht="15.75" customHeight="1">
      <c r="A3406" s="1" t="str">
        <f>IFERROR(__xludf.DUMMYFUNCTION("""COMPUTED_VALUE"""),"unbreakable kimmy schmidt")</f>
        <v>unbreakable kimmy schmidt</v>
      </c>
      <c r="B3406" s="1" t="str">
        <f>IF(A3406&lt;&gt;"", VLOOKUP(A3406, imdb_netflix_v5!A$2:H$7370, 2, FALSE), "")</f>
        <v>TV Show</v>
      </c>
      <c r="C3406" s="2" t="str">
        <f>IF(A3406&lt;&gt;"", VLOOKUP(A3406, imdb_netflix_v5!A$2:H$7370, 3, FALSE), "")</f>
        <v>Comedy</v>
      </c>
      <c r="D3406" s="2">
        <f>IF(A3406&lt;&gt;"", VLOOKUP(A3406, imdb_netflix_v5!A$2:H$7370, 4, FALSE), "")</f>
        <v>7.5</v>
      </c>
      <c r="E3406" s="2">
        <f>IF(A3406&lt;&gt;"", VLOOKUP(A3406, imdb_netflix_v5!A$2:H$7370, 5, FALSE), "")</f>
        <v>2015</v>
      </c>
      <c r="F3406" s="2" t="str">
        <f>IF(A3406&lt;&gt;"", VLOOKUP(A3406, imdb_netflix_v5!A$2:H$7370, 7, FALSE), "")</f>
        <v>NA</v>
      </c>
    </row>
    <row r="3407" ht="15.75" customHeight="1">
      <c r="A3407" s="1" t="str">
        <f>IFERROR(__xludf.DUMMYFUNCTION("""COMPUTED_VALUE"""),"disconnect")</f>
        <v>disconnect</v>
      </c>
      <c r="B3407" s="1" t="str">
        <f>IF(A3407&lt;&gt;"", VLOOKUP(A3407, imdb_netflix_v5!A$2:H$7370, 2, FALSE), "")</f>
        <v>Movie</v>
      </c>
      <c r="C3407" s="2" t="str">
        <f>IF(A3407&lt;&gt;"", VLOOKUP(A3407, imdb_netflix_v5!A$2:H$7370, 3, FALSE), "")</f>
        <v>Crime, Drama, Mystery</v>
      </c>
      <c r="D3407" s="2">
        <f>IF(A3407&lt;&gt;"", VLOOKUP(A3407, imdb_netflix_v5!A$2:H$7370, 4, FALSE), "")</f>
        <v>7.5</v>
      </c>
      <c r="E3407" s="2">
        <f>IF(A3407&lt;&gt;"", VLOOKUP(A3407, imdb_netflix_v5!A$2:H$7370, 5, FALSE), "")</f>
        <v>2012</v>
      </c>
      <c r="F3407" s="2" t="str">
        <f>IF(A3407&lt;&gt;"", VLOOKUP(A3407, imdb_netflix_v5!A$2:H$7370, 7, FALSE), "")</f>
        <v>NA</v>
      </c>
    </row>
    <row r="3408" ht="15.75" customHeight="1">
      <c r="A3408" s="1" t="str">
        <f>IFERROR(__xludf.DUMMYFUNCTION("""COMPUTED_VALUE"""),"a simple plan")</f>
        <v>a simple plan</v>
      </c>
      <c r="B3408" s="1" t="str">
        <f>IF(A3408&lt;&gt;"", VLOOKUP(A3408, imdb_netflix_v5!A$2:H$7370, 2, FALSE), "")</f>
        <v>Movie</v>
      </c>
      <c r="C3408" s="2" t="str">
        <f>IF(A3408&lt;&gt;"", VLOOKUP(A3408, imdb_netflix_v5!A$2:H$7370, 3, FALSE), "")</f>
        <v>Crime, Drama, Thriller</v>
      </c>
      <c r="D3408" s="2">
        <f>IF(A3408&lt;&gt;"", VLOOKUP(A3408, imdb_netflix_v5!A$2:H$7370, 4, FALSE), "")</f>
        <v>7.5</v>
      </c>
      <c r="E3408" s="2">
        <f>IF(A3408&lt;&gt;"", VLOOKUP(A3408, imdb_netflix_v5!A$2:H$7370, 5, FALSE), "")</f>
        <v>1998</v>
      </c>
      <c r="F3408" s="2" t="str">
        <f>IF(A3408&lt;&gt;"", VLOOKUP(A3408, imdb_netflix_v5!A$2:H$7370, 7, FALSE), "")</f>
        <v>NA</v>
      </c>
    </row>
    <row r="3409" ht="15.75" customHeight="1">
      <c r="A3409" s="1" t="str">
        <f>IFERROR(__xludf.DUMMYFUNCTION("""COMPUTED_VALUE"""),"i am not okay with this")</f>
        <v>i am not okay with this</v>
      </c>
      <c r="B3409" s="1" t="str">
        <f>IF(A3409&lt;&gt;"", VLOOKUP(A3409, imdb_netflix_v5!A$2:H$7370, 2, FALSE), "")</f>
        <v>TV Show</v>
      </c>
      <c r="C3409" s="2" t="str">
        <f>IF(A3409&lt;&gt;"", VLOOKUP(A3409, imdb_netflix_v5!A$2:H$7370, 3, FALSE), "")</f>
        <v>Comedy, Drama, Fantasy</v>
      </c>
      <c r="D3409" s="2">
        <f>IF(A3409&lt;&gt;"", VLOOKUP(A3409, imdb_netflix_v5!A$2:H$7370, 4, FALSE), "")</f>
        <v>7.5</v>
      </c>
      <c r="E3409" s="2">
        <f>IF(A3409&lt;&gt;"", VLOOKUP(A3409, imdb_netflix_v5!A$2:H$7370, 5, FALSE), "")</f>
        <v>2020</v>
      </c>
      <c r="F3409" s="2" t="str">
        <f>IF(A3409&lt;&gt;"", VLOOKUP(A3409, imdb_netflix_v5!A$2:H$7370, 7, FALSE), "")</f>
        <v>NA</v>
      </c>
    </row>
    <row r="3410" ht="15.75" customHeight="1">
      <c r="A3410" s="1" t="str">
        <f>IFERROR(__xludf.DUMMYFUNCTION("""COMPUTED_VALUE"""),"sympathy for mr. vengeance")</f>
        <v>sympathy for mr. vengeance</v>
      </c>
      <c r="B3410" s="1" t="str">
        <f>IF(A3410&lt;&gt;"", VLOOKUP(A3410, imdb_netflix_v5!A$2:H$7370, 2, FALSE), "")</f>
        <v>Movie</v>
      </c>
      <c r="C3410" s="2" t="str">
        <f>IF(A3410&lt;&gt;"", VLOOKUP(A3410, imdb_netflix_v5!A$2:H$7370, 3, FALSE), "")</f>
        <v>Crime, Drama, Thriller</v>
      </c>
      <c r="D3410" s="2">
        <f>IF(A3410&lt;&gt;"", VLOOKUP(A3410, imdb_netflix_v5!A$2:H$7370, 4, FALSE), "")</f>
        <v>7.5</v>
      </c>
      <c r="E3410" s="2">
        <f>IF(A3410&lt;&gt;"", VLOOKUP(A3410, imdb_netflix_v5!A$2:H$7370, 5, FALSE), "")</f>
        <v>2002</v>
      </c>
      <c r="F3410" s="2" t="str">
        <f>IF(A3410&lt;&gt;"", VLOOKUP(A3410, imdb_netflix_v5!A$2:H$7370, 7, FALSE), "")</f>
        <v>NA</v>
      </c>
    </row>
    <row r="3411" ht="15.75" customHeight="1">
      <c r="A3411" s="1" t="str">
        <f>IFERROR(__xludf.DUMMYFUNCTION("""COMPUTED_VALUE"""),"dangerous liaisons")</f>
        <v>dangerous liaisons</v>
      </c>
      <c r="B3411" s="1" t="str">
        <f>IF(A3411&lt;&gt;"", VLOOKUP(A3411, imdb_netflix_v5!A$2:H$7370, 2, FALSE), "")</f>
        <v>Movie</v>
      </c>
      <c r="C3411" s="2" t="str">
        <f>IF(A3411&lt;&gt;"", VLOOKUP(A3411, imdb_netflix_v5!A$2:H$7370, 3, FALSE), "")</f>
        <v>Drama, Romance</v>
      </c>
      <c r="D3411" s="2">
        <f>IF(A3411&lt;&gt;"", VLOOKUP(A3411, imdb_netflix_v5!A$2:H$7370, 4, FALSE), "")</f>
        <v>7.5</v>
      </c>
      <c r="E3411" s="2">
        <f>IF(A3411&lt;&gt;"", VLOOKUP(A3411, imdb_netflix_v5!A$2:H$7370, 5, FALSE), "")</f>
        <v>1988</v>
      </c>
      <c r="F3411" s="2">
        <f>IF(A3411&lt;&gt;"", VLOOKUP(A3411, imdb_netflix_v5!A$2:H$7370, 7, FALSE), "")</f>
        <v>2150000</v>
      </c>
    </row>
    <row r="3412" ht="15.75" customHeight="1">
      <c r="A3412" s="1" t="str">
        <f>IFERROR(__xludf.DUMMYFUNCTION("""COMPUTED_VALUE"""),"hunger")</f>
        <v>hunger</v>
      </c>
      <c r="B3412" s="1" t="str">
        <f>IF(A3412&lt;&gt;"", VLOOKUP(A3412, imdb_netflix_v5!A$2:H$7370, 2, FALSE), "")</f>
        <v>Movie</v>
      </c>
      <c r="C3412" s="2" t="str">
        <f>IF(A3412&lt;&gt;"", VLOOKUP(A3412, imdb_netflix_v5!A$2:H$7370, 3, FALSE), "")</f>
        <v>Biography, Crime, Drama</v>
      </c>
      <c r="D3412" s="2">
        <f>IF(A3412&lt;&gt;"", VLOOKUP(A3412, imdb_netflix_v5!A$2:H$7370, 4, FALSE), "")</f>
        <v>7.5</v>
      </c>
      <c r="E3412" s="2">
        <f>IF(A3412&lt;&gt;"", VLOOKUP(A3412, imdb_netflix_v5!A$2:H$7370, 5, FALSE), "")</f>
        <v>2008</v>
      </c>
      <c r="F3412" s="2">
        <f>IF(A3412&lt;&gt;"", VLOOKUP(A3412, imdb_netflix_v5!A$2:H$7370, 7, FALSE), "")</f>
        <v>2620000</v>
      </c>
    </row>
    <row r="3413" ht="15.75" customHeight="1">
      <c r="A3413" s="1" t="str">
        <f>IFERROR(__xludf.DUMMYFUNCTION("""COMPUTED_VALUE"""),"quiz show")</f>
        <v>quiz show</v>
      </c>
      <c r="B3413" s="1" t="str">
        <f>IF(A3413&lt;&gt;"", VLOOKUP(A3413, imdb_netflix_v5!A$2:H$7370, 2, FALSE), "")</f>
        <v>Movie</v>
      </c>
      <c r="C3413" s="2" t="str">
        <f>IF(A3413&lt;&gt;"", VLOOKUP(A3413, imdb_netflix_v5!A$2:H$7370, 3, FALSE), "")</f>
        <v>Biography, Drama, History</v>
      </c>
      <c r="D3413" s="2">
        <f>IF(A3413&lt;&gt;"", VLOOKUP(A3413, imdb_netflix_v5!A$2:H$7370, 4, FALSE), "")</f>
        <v>7.5</v>
      </c>
      <c r="E3413" s="2">
        <f>IF(A3413&lt;&gt;"", VLOOKUP(A3413, imdb_netflix_v5!A$2:H$7370, 5, FALSE), "")</f>
        <v>1994</v>
      </c>
      <c r="F3413" s="2" t="str">
        <f>IF(A3413&lt;&gt;"", VLOOKUP(A3413, imdb_netflix_v5!A$2:H$7370, 7, FALSE), "")</f>
        <v>NA</v>
      </c>
    </row>
    <row r="3414" ht="15.75" customHeight="1">
      <c r="A3414" s="1" t="str">
        <f>IFERROR(__xludf.DUMMYFUNCTION("""COMPUTED_VALUE"""),"the piano teacher")</f>
        <v>the piano teacher</v>
      </c>
      <c r="B3414" s="1" t="str">
        <f>IF(A3414&lt;&gt;"", VLOOKUP(A3414, imdb_netflix_v5!A$2:H$7370, 2, FALSE), "")</f>
        <v>Movie</v>
      </c>
      <c r="C3414" s="2" t="str">
        <f>IF(A3414&lt;&gt;"", VLOOKUP(A3414, imdb_netflix_v5!A$2:H$7370, 3, FALSE), "")</f>
        <v>Drama, Music</v>
      </c>
      <c r="D3414" s="2">
        <f>IF(A3414&lt;&gt;"", VLOOKUP(A3414, imdb_netflix_v5!A$2:H$7370, 4, FALSE), "")</f>
        <v>7.5</v>
      </c>
      <c r="E3414" s="2">
        <f>IF(A3414&lt;&gt;"", VLOOKUP(A3414, imdb_netflix_v5!A$2:H$7370, 5, FALSE), "")</f>
        <v>2001</v>
      </c>
      <c r="F3414" s="2" t="str">
        <f>IF(A3414&lt;&gt;"", VLOOKUP(A3414, imdb_netflix_v5!A$2:H$7370, 7, FALSE), "")</f>
        <v>NA</v>
      </c>
    </row>
    <row r="3415" ht="15.75" customHeight="1">
      <c r="A3415" s="1" t="str">
        <f>IFERROR(__xludf.DUMMYFUNCTION("""COMPUTED_VALUE"""),"house of sand and fog")</f>
        <v>house of sand and fog</v>
      </c>
      <c r="B3415" s="1" t="str">
        <f>IF(A3415&lt;&gt;"", VLOOKUP(A3415, imdb_netflix_v5!A$2:H$7370, 2, FALSE), "")</f>
        <v>Movie</v>
      </c>
      <c r="C3415" s="2" t="str">
        <f>IF(A3415&lt;&gt;"", VLOOKUP(A3415, imdb_netflix_v5!A$2:H$7370, 3, FALSE), "")</f>
        <v>Crime, Drama</v>
      </c>
      <c r="D3415" s="2">
        <f>IF(A3415&lt;&gt;"", VLOOKUP(A3415, imdb_netflix_v5!A$2:H$7370, 4, FALSE), "")</f>
        <v>7.5</v>
      </c>
      <c r="E3415" s="2">
        <f>IF(A3415&lt;&gt;"", VLOOKUP(A3415, imdb_netflix_v5!A$2:H$7370, 5, FALSE), "")</f>
        <v>2003</v>
      </c>
      <c r="F3415" s="2" t="str">
        <f>IF(A3415&lt;&gt;"", VLOOKUP(A3415, imdb_netflix_v5!A$2:H$7370, 7, FALSE), "")</f>
        <v>NA</v>
      </c>
    </row>
    <row r="3416" ht="15.75" customHeight="1">
      <c r="A3416" s="1" t="str">
        <f>IFERROR(__xludf.DUMMYFUNCTION("""COMPUTED_VALUE"""),"love me if you dare")</f>
        <v>love me if you dare</v>
      </c>
      <c r="B3416" s="1" t="str">
        <f>IF(A3416&lt;&gt;"", VLOOKUP(A3416, imdb_netflix_v5!A$2:H$7370, 2, FALSE), "")</f>
        <v>Movie</v>
      </c>
      <c r="C3416" s="2" t="str">
        <f>IF(A3416&lt;&gt;"", VLOOKUP(A3416, imdb_netflix_v5!A$2:H$7370, 3, FALSE), "")</f>
        <v>Comedy, Drama, Romance</v>
      </c>
      <c r="D3416" s="2">
        <f>IF(A3416&lt;&gt;"", VLOOKUP(A3416, imdb_netflix_v5!A$2:H$7370, 4, FALSE), "")</f>
        <v>7.5</v>
      </c>
      <c r="E3416" s="2">
        <f>IF(A3416&lt;&gt;"", VLOOKUP(A3416, imdb_netflix_v5!A$2:H$7370, 5, FALSE), "")</f>
        <v>2003</v>
      </c>
      <c r="F3416" s="2" t="str">
        <f>IF(A3416&lt;&gt;"", VLOOKUP(A3416, imdb_netflix_v5!A$2:H$7370, 7, FALSE), "")</f>
        <v>NA</v>
      </c>
    </row>
    <row r="3417" ht="15.75" customHeight="1">
      <c r="A3417" s="1" t="str">
        <f>IFERROR(__xludf.DUMMYFUNCTION("""COMPUTED_VALUE"""),"the farewell")</f>
        <v>the farewell</v>
      </c>
      <c r="B3417" s="1" t="str">
        <f>IF(A3417&lt;&gt;"", VLOOKUP(A3417, imdb_netflix_v5!A$2:H$7370, 2, FALSE), "")</f>
        <v>Movie</v>
      </c>
      <c r="C3417" s="2" t="str">
        <f>IF(A3417&lt;&gt;"", VLOOKUP(A3417, imdb_netflix_v5!A$2:H$7370, 3, FALSE), "")</f>
        <v>Comedy, Drama</v>
      </c>
      <c r="D3417" s="2">
        <f>IF(A3417&lt;&gt;"", VLOOKUP(A3417, imdb_netflix_v5!A$2:H$7370, 4, FALSE), "")</f>
        <v>7.5</v>
      </c>
      <c r="E3417" s="2">
        <f>IF(A3417&lt;&gt;"", VLOOKUP(A3417, imdb_netflix_v5!A$2:H$7370, 5, FALSE), "")</f>
        <v>2019</v>
      </c>
      <c r="F3417" s="2" t="str">
        <f>IF(A3417&lt;&gt;"", VLOOKUP(A3417, imdb_netflix_v5!A$2:H$7370, 7, FALSE), "")</f>
        <v>NA</v>
      </c>
    </row>
    <row r="3418" ht="15.75" customHeight="1">
      <c r="A3418" s="1" t="str">
        <f>IFERROR(__xludf.DUMMYFUNCTION("""COMPUTED_VALUE"""),"all of us are dead")</f>
        <v>all of us are dead</v>
      </c>
      <c r="B3418" s="1" t="str">
        <f>IF(A3418&lt;&gt;"", VLOOKUP(A3418, imdb_netflix_v5!A$2:H$7370, 2, FALSE), "")</f>
        <v>TV Show</v>
      </c>
      <c r="C3418" s="2" t="str">
        <f>IF(A3418&lt;&gt;"", VLOOKUP(A3418, imdb_netflix_v5!A$2:H$7370, 3, FALSE), "")</f>
        <v>Action, Drama, Fantasy</v>
      </c>
      <c r="D3418" s="2">
        <f>IF(A3418&lt;&gt;"", VLOOKUP(A3418, imdb_netflix_v5!A$2:H$7370, 4, FALSE), "")</f>
        <v>7.5</v>
      </c>
      <c r="E3418" s="2">
        <f>IF(A3418&lt;&gt;"", VLOOKUP(A3418, imdb_netflix_v5!A$2:H$7370, 5, FALSE), "")</f>
        <v>2022</v>
      </c>
      <c r="F3418" s="2">
        <f>IF(A3418&lt;&gt;"", VLOOKUP(A3418, imdb_netflix_v5!A$2:H$7370, 7, FALSE), "")</f>
        <v>8130000</v>
      </c>
    </row>
    <row r="3419" ht="15.75" customHeight="1">
      <c r="A3419" s="1" t="str">
        <f>IFERROR(__xludf.DUMMYFUNCTION("""COMPUTED_VALUE"""),"the city of lost children")</f>
        <v>the city of lost children</v>
      </c>
      <c r="B3419" s="1" t="str">
        <f>IF(A3419&lt;&gt;"", VLOOKUP(A3419, imdb_netflix_v5!A$2:H$7370, 2, FALSE), "")</f>
        <v>Movie</v>
      </c>
      <c r="C3419" s="2" t="str">
        <f>IF(A3419&lt;&gt;"", VLOOKUP(A3419, imdb_netflix_v5!A$2:H$7370, 3, FALSE), "")</f>
        <v>Adventure, Drama, Fantasy</v>
      </c>
      <c r="D3419" s="2">
        <f>IF(A3419&lt;&gt;"", VLOOKUP(A3419, imdb_netflix_v5!A$2:H$7370, 4, FALSE), "")</f>
        <v>7.5</v>
      </c>
      <c r="E3419" s="2">
        <f>IF(A3419&lt;&gt;"", VLOOKUP(A3419, imdb_netflix_v5!A$2:H$7370, 5, FALSE), "")</f>
        <v>1995</v>
      </c>
      <c r="F3419" s="2" t="str">
        <f>IF(A3419&lt;&gt;"", VLOOKUP(A3419, imdb_netflix_v5!A$2:H$7370, 7, FALSE), "")</f>
        <v>NA</v>
      </c>
    </row>
    <row r="3420" ht="15.75" customHeight="1">
      <c r="A3420" s="1" t="str">
        <f>IFERROR(__xludf.DUMMYFUNCTION("""COMPUTED_VALUE"""),"rudy")</f>
        <v>rudy</v>
      </c>
      <c r="B3420" s="1" t="str">
        <f>IF(A3420&lt;&gt;"", VLOOKUP(A3420, imdb_netflix_v5!A$2:H$7370, 2, FALSE), "")</f>
        <v>Movie</v>
      </c>
      <c r="C3420" s="2" t="str">
        <f>IF(A3420&lt;&gt;"", VLOOKUP(A3420, imdb_netflix_v5!A$2:H$7370, 3, FALSE), "")</f>
        <v>Biography, Drama, Sport</v>
      </c>
      <c r="D3420" s="2">
        <f>IF(A3420&lt;&gt;"", VLOOKUP(A3420, imdb_netflix_v5!A$2:H$7370, 4, FALSE), "")</f>
        <v>7.5</v>
      </c>
      <c r="E3420" s="2">
        <f>IF(A3420&lt;&gt;"", VLOOKUP(A3420, imdb_netflix_v5!A$2:H$7370, 5, FALSE), "")</f>
        <v>1993</v>
      </c>
      <c r="F3420" s="2" t="str">
        <f>IF(A3420&lt;&gt;"", VLOOKUP(A3420, imdb_netflix_v5!A$2:H$7370, 7, FALSE), "")</f>
        <v>NA</v>
      </c>
    </row>
    <row r="3421" ht="15.75" customHeight="1">
      <c r="A3421" s="1" t="str">
        <f>IFERROR(__xludf.DUMMYFUNCTION("""COMPUTED_VALUE"""),"drive my car")</f>
        <v>drive my car</v>
      </c>
      <c r="B3421" s="1" t="str">
        <f>IF(A3421&lt;&gt;"", VLOOKUP(A3421, imdb_netflix_v5!A$2:H$7370, 2, FALSE), "")</f>
        <v>Movie</v>
      </c>
      <c r="C3421" s="2" t="str">
        <f>IF(A3421&lt;&gt;"", VLOOKUP(A3421, imdb_netflix_v5!A$2:H$7370, 3, FALSE), "")</f>
        <v>Drama</v>
      </c>
      <c r="D3421" s="2">
        <f>IF(A3421&lt;&gt;"", VLOOKUP(A3421, imdb_netflix_v5!A$2:H$7370, 4, FALSE), "")</f>
        <v>7.5</v>
      </c>
      <c r="E3421" s="2">
        <f>IF(A3421&lt;&gt;"", VLOOKUP(A3421, imdb_netflix_v5!A$2:H$7370, 5, FALSE), "")</f>
        <v>2021</v>
      </c>
      <c r="F3421" s="2" t="str">
        <f>IF(A3421&lt;&gt;"", VLOOKUP(A3421, imdb_netflix_v5!A$2:H$7370, 7, FALSE), "")</f>
        <v>NA</v>
      </c>
    </row>
    <row r="3422" ht="15.75" customHeight="1">
      <c r="A3422" s="1" t="str">
        <f>IFERROR(__xludf.DUMMYFUNCTION("""COMPUTED_VALUE"""),"13 assassins")</f>
        <v>13 assassins</v>
      </c>
      <c r="B3422" s="1" t="str">
        <f>IF(A3422&lt;&gt;"", VLOOKUP(A3422, imdb_netflix_v5!A$2:H$7370, 2, FALSE), "")</f>
        <v>Movie</v>
      </c>
      <c r="C3422" s="2" t="str">
        <f>IF(A3422&lt;&gt;"", VLOOKUP(A3422, imdb_netflix_v5!A$2:H$7370, 3, FALSE), "")</f>
        <v>Action, Adventure, Drama</v>
      </c>
      <c r="D3422" s="2">
        <f>IF(A3422&lt;&gt;"", VLOOKUP(A3422, imdb_netflix_v5!A$2:H$7370, 4, FALSE), "")</f>
        <v>7.5</v>
      </c>
      <c r="E3422" s="2">
        <f>IF(A3422&lt;&gt;"", VLOOKUP(A3422, imdb_netflix_v5!A$2:H$7370, 5, FALSE), "")</f>
        <v>2010</v>
      </c>
      <c r="F3422" s="2" t="str">
        <f>IF(A3422&lt;&gt;"", VLOOKUP(A3422, imdb_netflix_v5!A$2:H$7370, 7, FALSE), "")</f>
        <v>NA</v>
      </c>
    </row>
    <row r="3423" ht="15.75" customHeight="1">
      <c r="A3423" s="1" t="str">
        <f>IFERROR(__xludf.DUMMYFUNCTION("""COMPUTED_VALUE"""),"best in show")</f>
        <v>best in show</v>
      </c>
      <c r="B3423" s="1" t="str">
        <f>IF(A3423&lt;&gt;"", VLOOKUP(A3423, imdb_netflix_v5!A$2:H$7370, 2, FALSE), "")</f>
        <v>Movie</v>
      </c>
      <c r="C3423" s="2" t="str">
        <f>IF(A3423&lt;&gt;"", VLOOKUP(A3423, imdb_netflix_v5!A$2:H$7370, 3, FALSE), "")</f>
        <v>Comedy</v>
      </c>
      <c r="D3423" s="2">
        <f>IF(A3423&lt;&gt;"", VLOOKUP(A3423, imdb_netflix_v5!A$2:H$7370, 4, FALSE), "")</f>
        <v>7.5</v>
      </c>
      <c r="E3423" s="2">
        <f>IF(A3423&lt;&gt;"", VLOOKUP(A3423, imdb_netflix_v5!A$2:H$7370, 5, FALSE), "")</f>
        <v>2000</v>
      </c>
      <c r="F3423" s="2" t="str">
        <f>IF(A3423&lt;&gt;"", VLOOKUP(A3423, imdb_netflix_v5!A$2:H$7370, 7, FALSE), "")</f>
        <v>NA</v>
      </c>
    </row>
    <row r="3424" ht="15.75" customHeight="1">
      <c r="A3424" s="1" t="str">
        <f>IFERROR(__xludf.DUMMYFUNCTION("""COMPUTED_VALUE"""),"the player")</f>
        <v>the player</v>
      </c>
      <c r="B3424" s="1" t="str">
        <f>IF(A3424&lt;&gt;"", VLOOKUP(A3424, imdb_netflix_v5!A$2:H$7370, 2, FALSE), "")</f>
        <v>Movie</v>
      </c>
      <c r="C3424" s="2" t="str">
        <f>IF(A3424&lt;&gt;"", VLOOKUP(A3424, imdb_netflix_v5!A$2:H$7370, 3, FALSE), "")</f>
        <v>Comedy, Crime, Drama</v>
      </c>
      <c r="D3424" s="2">
        <f>IF(A3424&lt;&gt;"", VLOOKUP(A3424, imdb_netflix_v5!A$2:H$7370, 4, FALSE), "")</f>
        <v>7.5</v>
      </c>
      <c r="E3424" s="2">
        <f>IF(A3424&lt;&gt;"", VLOOKUP(A3424, imdb_netflix_v5!A$2:H$7370, 5, FALSE), "")</f>
        <v>1992</v>
      </c>
      <c r="F3424" s="2" t="str">
        <f>IF(A3424&lt;&gt;"", VLOOKUP(A3424, imdb_netflix_v5!A$2:H$7370, 7, FALSE), "")</f>
        <v>NA</v>
      </c>
    </row>
    <row r="3425" ht="15.75" customHeight="1">
      <c r="A3425" s="1" t="str">
        <f>IFERROR(__xludf.DUMMYFUNCTION("""COMPUTED_VALUE"""),"riders of justice")</f>
        <v>riders of justice</v>
      </c>
      <c r="B3425" s="1" t="str">
        <f>IF(A3425&lt;&gt;"", VLOOKUP(A3425, imdb_netflix_v5!A$2:H$7370, 2, FALSE), "")</f>
        <v>Movie</v>
      </c>
      <c r="C3425" s="2" t="str">
        <f>IF(A3425&lt;&gt;"", VLOOKUP(A3425, imdb_netflix_v5!A$2:H$7370, 3, FALSE), "")</f>
        <v>Action, Comedy, Drama</v>
      </c>
      <c r="D3425" s="2">
        <f>IF(A3425&lt;&gt;"", VLOOKUP(A3425, imdb_netflix_v5!A$2:H$7370, 4, FALSE), "")</f>
        <v>7.5</v>
      </c>
      <c r="E3425" s="2">
        <f>IF(A3425&lt;&gt;"", VLOOKUP(A3425, imdb_netflix_v5!A$2:H$7370, 5, FALSE), "")</f>
        <v>2020</v>
      </c>
      <c r="F3425" s="2">
        <f>IF(A3425&lt;&gt;"", VLOOKUP(A3425, imdb_netflix_v5!A$2:H$7370, 7, FALSE), "")</f>
        <v>3710000</v>
      </c>
    </row>
    <row r="3426" ht="15.75" customHeight="1">
      <c r="A3426" s="1" t="str">
        <f>IFERROR(__xludf.DUMMYFUNCTION("""COMPUTED_VALUE"""),"the guilty")</f>
        <v>the guilty</v>
      </c>
      <c r="B3426" s="1" t="str">
        <f>IF(A3426&lt;&gt;"", VLOOKUP(A3426, imdb_netflix_v5!A$2:H$7370, 2, FALSE), "")</f>
        <v>Movie</v>
      </c>
      <c r="C3426" s="2" t="str">
        <f>IF(A3426&lt;&gt;"", VLOOKUP(A3426, imdb_netflix_v5!A$2:H$7370, 3, FALSE), "")</f>
        <v>Crime, Drama, Thriller</v>
      </c>
      <c r="D3426" s="2">
        <f>IF(A3426&lt;&gt;"", VLOOKUP(A3426, imdb_netflix_v5!A$2:H$7370, 4, FALSE), "")</f>
        <v>7.5</v>
      </c>
      <c r="E3426" s="2">
        <f>IF(A3426&lt;&gt;"", VLOOKUP(A3426, imdb_netflix_v5!A$2:H$7370, 5, FALSE), "")</f>
        <v>2018</v>
      </c>
      <c r="F3426" s="2">
        <f>IF(A3426&lt;&gt;"", VLOOKUP(A3426, imdb_netflix_v5!A$2:H$7370, 7, FALSE), "")</f>
        <v>4400000</v>
      </c>
    </row>
    <row r="3427" ht="15.75" customHeight="1">
      <c r="A3427" s="1" t="str">
        <f>IFERROR(__xludf.DUMMYFUNCTION("""COMPUTED_VALUE"""),"5 centimeters per second")</f>
        <v>5 centimeters per second</v>
      </c>
      <c r="B3427" s="1" t="str">
        <f>IF(A3427&lt;&gt;"", VLOOKUP(A3427, imdb_netflix_v5!A$2:H$7370, 2, FALSE), "")</f>
        <v>Movie</v>
      </c>
      <c r="C3427" s="2" t="str">
        <f>IF(A3427&lt;&gt;"", VLOOKUP(A3427, imdb_netflix_v5!A$2:H$7370, 3, FALSE), "")</f>
        <v>Animation, Drama, Family</v>
      </c>
      <c r="D3427" s="2">
        <f>IF(A3427&lt;&gt;"", VLOOKUP(A3427, imdb_netflix_v5!A$2:H$7370, 4, FALSE), "")</f>
        <v>7.5</v>
      </c>
      <c r="E3427" s="2">
        <f>IF(A3427&lt;&gt;"", VLOOKUP(A3427, imdb_netflix_v5!A$2:H$7370, 5, FALSE), "")</f>
        <v>2007</v>
      </c>
      <c r="F3427" s="2" t="str">
        <f>IF(A3427&lt;&gt;"", VLOOKUP(A3427, imdb_netflix_v5!A$2:H$7370, 7, FALSE), "")</f>
        <v>NA</v>
      </c>
    </row>
    <row r="3428" ht="15.75" customHeight="1">
      <c r="A3428" s="1" t="str">
        <f>IFERROR(__xludf.DUMMYFUNCTION("""COMPUTED_VALUE"""),"menace ii society")</f>
        <v>menace ii society</v>
      </c>
      <c r="B3428" s="1" t="str">
        <f>IF(A3428&lt;&gt;"", VLOOKUP(A3428, imdb_netflix_v5!A$2:H$7370, 2, FALSE), "")</f>
        <v>Movie</v>
      </c>
      <c r="C3428" s="2" t="str">
        <f>IF(A3428&lt;&gt;"", VLOOKUP(A3428, imdb_netflix_v5!A$2:H$7370, 3, FALSE), "")</f>
        <v>Crime, Drama, Thriller</v>
      </c>
      <c r="D3428" s="2">
        <f>IF(A3428&lt;&gt;"", VLOOKUP(A3428, imdb_netflix_v5!A$2:H$7370, 4, FALSE), "")</f>
        <v>7.5</v>
      </c>
      <c r="E3428" s="2">
        <f>IF(A3428&lt;&gt;"", VLOOKUP(A3428, imdb_netflix_v5!A$2:H$7370, 5, FALSE), "")</f>
        <v>1993</v>
      </c>
      <c r="F3428" s="2" t="str">
        <f>IF(A3428&lt;&gt;"", VLOOKUP(A3428, imdb_netflix_v5!A$2:H$7370, 7, FALSE), "")</f>
        <v>NA</v>
      </c>
    </row>
    <row r="3429" ht="15.75" customHeight="1">
      <c r="A3429" s="1" t="str">
        <f>IFERROR(__xludf.DUMMYFUNCTION("""COMPUTED_VALUE"""),"the mauritanian")</f>
        <v>the mauritanian</v>
      </c>
      <c r="B3429" s="1" t="str">
        <f>IF(A3429&lt;&gt;"", VLOOKUP(A3429, imdb_netflix_v5!A$2:H$7370, 2, FALSE), "")</f>
        <v>Movie</v>
      </c>
      <c r="C3429" s="2" t="str">
        <f>IF(A3429&lt;&gt;"", VLOOKUP(A3429, imdb_netflix_v5!A$2:H$7370, 3, FALSE), "")</f>
        <v>Biography, Crime, Drama</v>
      </c>
      <c r="D3429" s="2">
        <f>IF(A3429&lt;&gt;"", VLOOKUP(A3429, imdb_netflix_v5!A$2:H$7370, 4, FALSE), "")</f>
        <v>7.5</v>
      </c>
      <c r="E3429" s="2">
        <f>IF(A3429&lt;&gt;"", VLOOKUP(A3429, imdb_netflix_v5!A$2:H$7370, 5, FALSE), "")</f>
        <v>2021</v>
      </c>
      <c r="F3429" s="2" t="str">
        <f>IF(A3429&lt;&gt;"", VLOOKUP(A3429, imdb_netflix_v5!A$2:H$7370, 7, FALSE), "")</f>
        <v>NA</v>
      </c>
    </row>
    <row r="3430" ht="15.75" customHeight="1">
      <c r="A3430" s="1" t="str">
        <f>IFERROR(__xludf.DUMMYFUNCTION("""COMPUTED_VALUE"""),"pain and glory")</f>
        <v>pain and glory</v>
      </c>
      <c r="B3430" s="1" t="str">
        <f>IF(A3430&lt;&gt;"", VLOOKUP(A3430, imdb_netflix_v5!A$2:H$7370, 2, FALSE), "")</f>
        <v>Movie</v>
      </c>
      <c r="C3430" s="2" t="str">
        <f>IF(A3430&lt;&gt;"", VLOOKUP(A3430, imdb_netflix_v5!A$2:H$7370, 3, FALSE), "")</f>
        <v>Drama</v>
      </c>
      <c r="D3430" s="2">
        <f>IF(A3430&lt;&gt;"", VLOOKUP(A3430, imdb_netflix_v5!A$2:H$7370, 4, FALSE), "")</f>
        <v>7.5</v>
      </c>
      <c r="E3430" s="2">
        <f>IF(A3430&lt;&gt;"", VLOOKUP(A3430, imdb_netflix_v5!A$2:H$7370, 5, FALSE), "")</f>
        <v>2019</v>
      </c>
      <c r="F3430" s="2" t="str">
        <f>IF(A3430&lt;&gt;"", VLOOKUP(A3430, imdb_netflix_v5!A$2:H$7370, 7, FALSE), "")</f>
        <v>NA</v>
      </c>
    </row>
    <row r="3431" ht="15.75" customHeight="1">
      <c r="A3431" s="1" t="str">
        <f>IFERROR(__xludf.DUMMYFUNCTION("""COMPUTED_VALUE"""),"the last temptation of christ")</f>
        <v>the last temptation of christ</v>
      </c>
      <c r="B3431" s="1" t="str">
        <f>IF(A3431&lt;&gt;"", VLOOKUP(A3431, imdb_netflix_v5!A$2:H$7370, 2, FALSE), "")</f>
        <v>Movie</v>
      </c>
      <c r="C3431" s="2" t="str">
        <f>IF(A3431&lt;&gt;"", VLOOKUP(A3431, imdb_netflix_v5!A$2:H$7370, 3, FALSE), "")</f>
        <v>Drama</v>
      </c>
      <c r="D3431" s="2">
        <f>IF(A3431&lt;&gt;"", VLOOKUP(A3431, imdb_netflix_v5!A$2:H$7370, 4, FALSE), "")</f>
        <v>7.5</v>
      </c>
      <c r="E3431" s="2">
        <f>IF(A3431&lt;&gt;"", VLOOKUP(A3431, imdb_netflix_v5!A$2:H$7370, 5, FALSE), "")</f>
        <v>1988</v>
      </c>
      <c r="F3431" s="2" t="str">
        <f>IF(A3431&lt;&gt;"", VLOOKUP(A3431, imdb_netflix_v5!A$2:H$7370, 7, FALSE), "")</f>
        <v>NA</v>
      </c>
    </row>
    <row r="3432" ht="15.75" customHeight="1">
      <c r="A3432" s="1" t="str">
        <f>IFERROR(__xludf.DUMMYFUNCTION("""COMPUTED_VALUE"""),"the great debaters")</f>
        <v>the great debaters</v>
      </c>
      <c r="B3432" s="1" t="str">
        <f>IF(A3432&lt;&gt;"", VLOOKUP(A3432, imdb_netflix_v5!A$2:H$7370, 2, FALSE), "")</f>
        <v>Movie</v>
      </c>
      <c r="C3432" s="2" t="str">
        <f>IF(A3432&lt;&gt;"", VLOOKUP(A3432, imdb_netflix_v5!A$2:H$7370, 3, FALSE), "")</f>
        <v>Biography, Drama, Romance</v>
      </c>
      <c r="D3432" s="2">
        <f>IF(A3432&lt;&gt;"", VLOOKUP(A3432, imdb_netflix_v5!A$2:H$7370, 4, FALSE), "")</f>
        <v>7.5</v>
      </c>
      <c r="E3432" s="2">
        <f>IF(A3432&lt;&gt;"", VLOOKUP(A3432, imdb_netflix_v5!A$2:H$7370, 5, FALSE), "")</f>
        <v>2007</v>
      </c>
      <c r="F3432" s="2" t="str">
        <f>IF(A3432&lt;&gt;"", VLOOKUP(A3432, imdb_netflix_v5!A$2:H$7370, 7, FALSE), "")</f>
        <v>NA</v>
      </c>
    </row>
    <row r="3433" ht="15.75" customHeight="1">
      <c r="A3433" s="1" t="str">
        <f>IFERROR(__xludf.DUMMYFUNCTION("""COMPUTED_VALUE"""),"chaplin")</f>
        <v>chaplin</v>
      </c>
      <c r="B3433" s="1" t="str">
        <f>IF(A3433&lt;&gt;"", VLOOKUP(A3433, imdb_netflix_v5!A$2:H$7370, 2, FALSE), "")</f>
        <v>Movie</v>
      </c>
      <c r="C3433" s="2" t="str">
        <f>IF(A3433&lt;&gt;"", VLOOKUP(A3433, imdb_netflix_v5!A$2:H$7370, 3, FALSE), "")</f>
        <v>Biography, Comedy, Drama</v>
      </c>
      <c r="D3433" s="2">
        <f>IF(A3433&lt;&gt;"", VLOOKUP(A3433, imdb_netflix_v5!A$2:H$7370, 4, FALSE), "")</f>
        <v>7.5</v>
      </c>
      <c r="E3433" s="2">
        <f>IF(A3433&lt;&gt;"", VLOOKUP(A3433, imdb_netflix_v5!A$2:H$7370, 5, FALSE), "")</f>
        <v>1992</v>
      </c>
      <c r="F3433" s="2" t="str">
        <f>IF(A3433&lt;&gt;"", VLOOKUP(A3433, imdb_netflix_v5!A$2:H$7370, 7, FALSE), "")</f>
        <v>NA</v>
      </c>
    </row>
    <row r="3434" ht="15.75" customHeight="1">
      <c r="A3434" s="1" t="str">
        <f>IFERROR(__xludf.DUMMYFUNCTION("""COMPUTED_VALUE"""),"secondhand lions")</f>
        <v>secondhand lions</v>
      </c>
      <c r="B3434" s="1" t="str">
        <f>IF(A3434&lt;&gt;"", VLOOKUP(A3434, imdb_netflix_v5!A$2:H$7370, 2, FALSE), "")</f>
        <v>Movie</v>
      </c>
      <c r="C3434" s="2" t="str">
        <f>IF(A3434&lt;&gt;"", VLOOKUP(A3434, imdb_netflix_v5!A$2:H$7370, 3, FALSE), "")</f>
        <v>Comedy, Drama, Family</v>
      </c>
      <c r="D3434" s="2">
        <f>IF(A3434&lt;&gt;"", VLOOKUP(A3434, imdb_netflix_v5!A$2:H$7370, 4, FALSE), "")</f>
        <v>7.5</v>
      </c>
      <c r="E3434" s="2">
        <f>IF(A3434&lt;&gt;"", VLOOKUP(A3434, imdb_netflix_v5!A$2:H$7370, 5, FALSE), "")</f>
        <v>2003</v>
      </c>
      <c r="F3434" s="2" t="str">
        <f>IF(A3434&lt;&gt;"", VLOOKUP(A3434, imdb_netflix_v5!A$2:H$7370, 7, FALSE), "")</f>
        <v>NA</v>
      </c>
    </row>
    <row r="3435" ht="15.75" customHeight="1">
      <c r="A3435" s="1" t="str">
        <f>IFERROR(__xludf.DUMMYFUNCTION("""COMPUTED_VALUE"""),"cold war")</f>
        <v>cold war</v>
      </c>
      <c r="B3435" s="1" t="str">
        <f>IF(A3435&lt;&gt;"", VLOOKUP(A3435, imdb_netflix_v5!A$2:H$7370, 2, FALSE), "")</f>
        <v>Movie</v>
      </c>
      <c r="C3435" s="2" t="str">
        <f>IF(A3435&lt;&gt;"", VLOOKUP(A3435, imdb_netflix_v5!A$2:H$7370, 3, FALSE), "")</f>
        <v>Drama, Music, Romance</v>
      </c>
      <c r="D3435" s="2">
        <f>IF(A3435&lt;&gt;"", VLOOKUP(A3435, imdb_netflix_v5!A$2:H$7370, 4, FALSE), "")</f>
        <v>7.5</v>
      </c>
      <c r="E3435" s="2">
        <f>IF(A3435&lt;&gt;"", VLOOKUP(A3435, imdb_netflix_v5!A$2:H$7370, 5, FALSE), "")</f>
        <v>2018</v>
      </c>
      <c r="F3435" s="2" t="str">
        <f>IF(A3435&lt;&gt;"", VLOOKUP(A3435, imdb_netflix_v5!A$2:H$7370, 7, FALSE), "")</f>
        <v>NA</v>
      </c>
    </row>
    <row r="3436" ht="15.75" customHeight="1">
      <c r="A3436" s="1" t="str">
        <f>IFERROR(__xludf.DUMMYFUNCTION("""COMPUTED_VALUE"""),"the producers")</f>
        <v>the producers</v>
      </c>
      <c r="B3436" s="1" t="str">
        <f>IF(A3436&lt;&gt;"", VLOOKUP(A3436, imdb_netflix_v5!A$2:H$7370, 2, FALSE), "")</f>
        <v>Movie</v>
      </c>
      <c r="C3436" s="2" t="str">
        <f>IF(A3436&lt;&gt;"", VLOOKUP(A3436, imdb_netflix_v5!A$2:H$7370, 3, FALSE), "")</f>
        <v>Comedy, Music</v>
      </c>
      <c r="D3436" s="2">
        <f>IF(A3436&lt;&gt;"", VLOOKUP(A3436, imdb_netflix_v5!A$2:H$7370, 4, FALSE), "")</f>
        <v>7.5</v>
      </c>
      <c r="E3436" s="2">
        <f>IF(A3436&lt;&gt;"", VLOOKUP(A3436, imdb_netflix_v5!A$2:H$7370, 5, FALSE), "")</f>
        <v>1967</v>
      </c>
      <c r="F3436" s="2" t="str">
        <f>IF(A3436&lt;&gt;"", VLOOKUP(A3436, imdb_netflix_v5!A$2:H$7370, 7, FALSE), "")</f>
        <v>NA</v>
      </c>
    </row>
    <row r="3437" ht="15.75" customHeight="1">
      <c r="A3437" s="1" t="str">
        <f>IFERROR(__xludf.DUMMYFUNCTION("""COMPUTED_VALUE"""),"march of the penguins")</f>
        <v>march of the penguins</v>
      </c>
      <c r="B3437" s="1" t="str">
        <f>IF(A3437&lt;&gt;"", VLOOKUP(A3437, imdb_netflix_v5!A$2:H$7370, 2, FALSE), "")</f>
        <v>Movie</v>
      </c>
      <c r="C3437" s="2" t="str">
        <f>IF(A3437&lt;&gt;"", VLOOKUP(A3437, imdb_netflix_v5!A$2:H$7370, 3, FALSE), "")</f>
        <v>Documentary, Family</v>
      </c>
      <c r="D3437" s="2">
        <f>IF(A3437&lt;&gt;"", VLOOKUP(A3437, imdb_netflix_v5!A$2:H$7370, 4, FALSE), "")</f>
        <v>7.5</v>
      </c>
      <c r="E3437" s="2">
        <f>IF(A3437&lt;&gt;"", VLOOKUP(A3437, imdb_netflix_v5!A$2:H$7370, 5, FALSE), "")</f>
        <v>2005</v>
      </c>
      <c r="F3437" s="2" t="str">
        <f>IF(A3437&lt;&gt;"", VLOOKUP(A3437, imdb_netflix_v5!A$2:H$7370, 7, FALSE), "")</f>
        <v>NA</v>
      </c>
    </row>
    <row r="3438" ht="15.75" customHeight="1">
      <c r="A3438" s="1" t="str">
        <f>IFERROR(__xludf.DUMMYFUNCTION("""COMPUTED_VALUE"""),"miracle")</f>
        <v>miracle</v>
      </c>
      <c r="B3438" s="1" t="str">
        <f>IF(A3438&lt;&gt;"", VLOOKUP(A3438, imdb_netflix_v5!A$2:H$7370, 2, FALSE), "")</f>
        <v>Movie</v>
      </c>
      <c r="C3438" s="2" t="str">
        <f>IF(A3438&lt;&gt;"", VLOOKUP(A3438, imdb_netflix_v5!A$2:H$7370, 3, FALSE), "")</f>
        <v>Biography, Drama, History</v>
      </c>
      <c r="D3438" s="2">
        <f>IF(A3438&lt;&gt;"", VLOOKUP(A3438, imdb_netflix_v5!A$2:H$7370, 4, FALSE), "")</f>
        <v>7.5</v>
      </c>
      <c r="E3438" s="2">
        <f>IF(A3438&lt;&gt;"", VLOOKUP(A3438, imdb_netflix_v5!A$2:H$7370, 5, FALSE), "")</f>
        <v>2004</v>
      </c>
      <c r="F3438" s="2" t="str">
        <f>IF(A3438&lt;&gt;"", VLOOKUP(A3438, imdb_netflix_v5!A$2:H$7370, 7, FALSE), "")</f>
        <v>NA</v>
      </c>
    </row>
    <row r="3439" ht="15.75" customHeight="1">
      <c r="A3439" s="1" t="str">
        <f>IFERROR(__xludf.DUMMYFUNCTION("""COMPUTED_VALUE"""),"king of the hill")</f>
        <v>king of the hill</v>
      </c>
      <c r="B3439" s="1" t="str">
        <f>IF(A3439&lt;&gt;"", VLOOKUP(A3439, imdb_netflix_v5!A$2:H$7370, 2, FALSE), "")</f>
        <v>TV Show</v>
      </c>
      <c r="C3439" s="2" t="str">
        <f>IF(A3439&lt;&gt;"", VLOOKUP(A3439, imdb_netflix_v5!A$2:H$7370, 3, FALSE), "")</f>
        <v>Animation, Comedy, Drama</v>
      </c>
      <c r="D3439" s="2">
        <f>IF(A3439&lt;&gt;"", VLOOKUP(A3439, imdb_netflix_v5!A$2:H$7370, 4, FALSE), "")</f>
        <v>7.5</v>
      </c>
      <c r="E3439" s="2">
        <f>IF(A3439&lt;&gt;"", VLOOKUP(A3439, imdb_netflix_v5!A$2:H$7370, 5, FALSE), "")</f>
        <v>1997</v>
      </c>
      <c r="F3439" s="2" t="str">
        <f>IF(A3439&lt;&gt;"", VLOOKUP(A3439, imdb_netflix_v5!A$2:H$7370, 7, FALSE), "")</f>
        <v>NA</v>
      </c>
    </row>
    <row r="3440" ht="15.75" customHeight="1">
      <c r="A3440" s="1" t="str">
        <f>IFERROR(__xludf.DUMMYFUNCTION("""COMPUTED_VALUE"""),"weathering with you")</f>
        <v>weathering with you</v>
      </c>
      <c r="B3440" s="1" t="str">
        <f>IF(A3440&lt;&gt;"", VLOOKUP(A3440, imdb_netflix_v5!A$2:H$7370, 2, FALSE), "")</f>
        <v>Movie</v>
      </c>
      <c r="C3440" s="2" t="str">
        <f>IF(A3440&lt;&gt;"", VLOOKUP(A3440, imdb_netflix_v5!A$2:H$7370, 3, FALSE), "")</f>
        <v>Animation, Drama, Fantasy</v>
      </c>
      <c r="D3440" s="2">
        <f>IF(A3440&lt;&gt;"", VLOOKUP(A3440, imdb_netflix_v5!A$2:H$7370, 4, FALSE), "")</f>
        <v>7.5</v>
      </c>
      <c r="E3440" s="2">
        <f>IF(A3440&lt;&gt;"", VLOOKUP(A3440, imdb_netflix_v5!A$2:H$7370, 5, FALSE), "")</f>
        <v>2019</v>
      </c>
      <c r="F3440" s="2" t="str">
        <f>IF(A3440&lt;&gt;"", VLOOKUP(A3440, imdb_netflix_v5!A$2:H$7370, 7, FALSE), "")</f>
        <v>NA</v>
      </c>
    </row>
    <row r="3441" ht="15.75" customHeight="1">
      <c r="A3441" s="1" t="str">
        <f>IFERROR(__xludf.DUMMYFUNCTION("""COMPUTED_VALUE"""),"dead mans shoes")</f>
        <v>dead mans shoes</v>
      </c>
      <c r="B3441" s="1" t="str">
        <f>IF(A3441&lt;&gt;"", VLOOKUP(A3441, imdb_netflix_v5!A$2:H$7370, 2, FALSE), "")</f>
        <v>Movie</v>
      </c>
      <c r="C3441" s="2" t="str">
        <f>IF(A3441&lt;&gt;"", VLOOKUP(A3441, imdb_netflix_v5!A$2:H$7370, 3, FALSE), "")</f>
        <v>Crime, Drama, Thriller</v>
      </c>
      <c r="D3441" s="2">
        <f>IF(A3441&lt;&gt;"", VLOOKUP(A3441, imdb_netflix_v5!A$2:H$7370, 4, FALSE), "")</f>
        <v>7.5</v>
      </c>
      <c r="E3441" s="2">
        <f>IF(A3441&lt;&gt;"", VLOOKUP(A3441, imdb_netflix_v5!A$2:H$7370, 5, FALSE), "")</f>
        <v>2004</v>
      </c>
      <c r="F3441" s="2" t="str">
        <f>IF(A3441&lt;&gt;"", VLOOKUP(A3441, imdb_netflix_v5!A$2:H$7370, 7, FALSE), "")</f>
        <v>NA</v>
      </c>
    </row>
    <row r="3442" ht="15.75" customHeight="1">
      <c r="A3442" s="1" t="str">
        <f>IFERROR(__xludf.DUMMYFUNCTION("""COMPUTED_VALUE"""),"tell no one")</f>
        <v>tell no one</v>
      </c>
      <c r="B3442" s="1" t="str">
        <f>IF(A3442&lt;&gt;"", VLOOKUP(A3442, imdb_netflix_v5!A$2:H$7370, 2, FALSE), "")</f>
        <v>Movie</v>
      </c>
      <c r="C3442" s="2" t="str">
        <f>IF(A3442&lt;&gt;"", VLOOKUP(A3442, imdb_netflix_v5!A$2:H$7370, 3, FALSE), "")</f>
        <v>Crime, Drama, Mystery</v>
      </c>
      <c r="D3442" s="2">
        <f>IF(A3442&lt;&gt;"", VLOOKUP(A3442, imdb_netflix_v5!A$2:H$7370, 4, FALSE), "")</f>
        <v>7.5</v>
      </c>
      <c r="E3442" s="2">
        <f>IF(A3442&lt;&gt;"", VLOOKUP(A3442, imdb_netflix_v5!A$2:H$7370, 5, FALSE), "")</f>
        <v>2006</v>
      </c>
      <c r="F3442" s="2" t="str">
        <f>IF(A3442&lt;&gt;"", VLOOKUP(A3442, imdb_netflix_v5!A$2:H$7370, 7, FALSE), "")</f>
        <v>NA</v>
      </c>
    </row>
    <row r="3443" ht="15.75" customHeight="1">
      <c r="A3443" s="1" t="str">
        <f>IFERROR(__xludf.DUMMYFUNCTION("""COMPUTED_VALUE"""),"kuch kuch hota hai")</f>
        <v>kuch kuch hota hai</v>
      </c>
      <c r="B3443" s="1" t="str">
        <f>IF(A3443&lt;&gt;"", VLOOKUP(A3443, imdb_netflix_v5!A$2:H$7370, 2, FALSE), "")</f>
        <v>Movie</v>
      </c>
      <c r="C3443" s="2" t="str">
        <f>IF(A3443&lt;&gt;"", VLOOKUP(A3443, imdb_netflix_v5!A$2:H$7370, 3, FALSE), "")</f>
        <v>Comedy, Drama, Musical</v>
      </c>
      <c r="D3443" s="2">
        <f>IF(A3443&lt;&gt;"", VLOOKUP(A3443, imdb_netflix_v5!A$2:H$7370, 4, FALSE), "")</f>
        <v>7.5</v>
      </c>
      <c r="E3443" s="2">
        <f>IF(A3443&lt;&gt;"", VLOOKUP(A3443, imdb_netflix_v5!A$2:H$7370, 5, FALSE), "")</f>
        <v>1998</v>
      </c>
      <c r="F3443" s="2" t="str">
        <f>IF(A3443&lt;&gt;"", VLOOKUP(A3443, imdb_netflix_v5!A$2:H$7370, 7, FALSE), "")</f>
        <v>NA</v>
      </c>
    </row>
    <row r="3444" ht="15.75" customHeight="1">
      <c r="A3444" s="1" t="str">
        <f>IFERROR(__xludf.DUMMYFUNCTION("""COMPUTED_VALUE"""),"constantine")</f>
        <v>constantine</v>
      </c>
      <c r="B3444" s="1" t="str">
        <f>IF(A3444&lt;&gt;"", VLOOKUP(A3444, imdb_netflix_v5!A$2:H$7370, 2, FALSE), "")</f>
        <v>TV Show</v>
      </c>
      <c r="C3444" s="2" t="str">
        <f>IF(A3444&lt;&gt;"", VLOOKUP(A3444, imdb_netflix_v5!A$2:H$7370, 3, FALSE), "")</f>
        <v>Crime, Drama, Fantasy</v>
      </c>
      <c r="D3444" s="2">
        <f>IF(A3444&lt;&gt;"", VLOOKUP(A3444, imdb_netflix_v5!A$2:H$7370, 4, FALSE), "")</f>
        <v>7.5</v>
      </c>
      <c r="E3444" s="2">
        <f>IF(A3444&lt;&gt;"", VLOOKUP(A3444, imdb_netflix_v5!A$2:H$7370, 5, FALSE), "")</f>
        <v>2014</v>
      </c>
      <c r="F3444" s="2" t="str">
        <f>IF(A3444&lt;&gt;"", VLOOKUP(A3444, imdb_netflix_v5!A$2:H$7370, 7, FALSE), "")</f>
        <v>NA</v>
      </c>
    </row>
    <row r="3445" ht="15.75" customHeight="1">
      <c r="A3445" s="1" t="str">
        <f>IFERROR(__xludf.DUMMYFUNCTION("""COMPUTED_VALUE"""),"the adventures of priscilla, queen of the desert")</f>
        <v>the adventures of priscilla, queen of the desert</v>
      </c>
      <c r="B3445" s="1" t="str">
        <f>IF(A3445&lt;&gt;"", VLOOKUP(A3445, imdb_netflix_v5!A$2:H$7370, 2, FALSE), "")</f>
        <v>Movie</v>
      </c>
      <c r="C3445" s="2" t="str">
        <f>IF(A3445&lt;&gt;"", VLOOKUP(A3445, imdb_netflix_v5!A$2:H$7370, 3, FALSE), "")</f>
        <v>Comedy, Music</v>
      </c>
      <c r="D3445" s="2">
        <f>IF(A3445&lt;&gt;"", VLOOKUP(A3445, imdb_netflix_v5!A$2:H$7370, 4, FALSE), "")</f>
        <v>7.5</v>
      </c>
      <c r="E3445" s="2">
        <f>IF(A3445&lt;&gt;"", VLOOKUP(A3445, imdb_netflix_v5!A$2:H$7370, 5, FALSE), "")</f>
        <v>1994</v>
      </c>
      <c r="F3445" s="2" t="str">
        <f>IF(A3445&lt;&gt;"", VLOOKUP(A3445, imdb_netflix_v5!A$2:H$7370, 7, FALSE), "")</f>
        <v>NA</v>
      </c>
    </row>
    <row r="3446" ht="15.75" customHeight="1">
      <c r="A3446" s="1" t="str">
        <f>IFERROR(__xludf.DUMMYFUNCTION("""COMPUTED_VALUE"""),"the guns of navarone")</f>
        <v>the guns of navarone</v>
      </c>
      <c r="B3446" s="1" t="str">
        <f>IF(A3446&lt;&gt;"", VLOOKUP(A3446, imdb_netflix_v5!A$2:H$7370, 2, FALSE), "")</f>
        <v>Movie</v>
      </c>
      <c r="C3446" s="2" t="str">
        <f>IF(A3446&lt;&gt;"", VLOOKUP(A3446, imdb_netflix_v5!A$2:H$7370, 3, FALSE), "")</f>
        <v>Action, Adventure, Drama</v>
      </c>
      <c r="D3446" s="2">
        <f>IF(A3446&lt;&gt;"", VLOOKUP(A3446, imdb_netflix_v5!A$2:H$7370, 4, FALSE), "")</f>
        <v>7.5</v>
      </c>
      <c r="E3446" s="2">
        <f>IF(A3446&lt;&gt;"", VLOOKUP(A3446, imdb_netflix_v5!A$2:H$7370, 5, FALSE), "")</f>
        <v>1961</v>
      </c>
      <c r="F3446" s="2" t="str">
        <f>IF(A3446&lt;&gt;"", VLOOKUP(A3446, imdb_netflix_v5!A$2:H$7370, 7, FALSE), "")</f>
        <v>NA</v>
      </c>
    </row>
    <row r="3447" ht="15.75" customHeight="1">
      <c r="A3447" s="1" t="str">
        <f>IFERROR(__xludf.DUMMYFUNCTION("""COMPUTED_VALUE"""),"the flowers of war")</f>
        <v>the flowers of war</v>
      </c>
      <c r="B3447" s="1" t="str">
        <f>IF(A3447&lt;&gt;"", VLOOKUP(A3447, imdb_netflix_v5!A$2:H$7370, 2, FALSE), "")</f>
        <v>Movie</v>
      </c>
      <c r="C3447" s="2" t="str">
        <f>IF(A3447&lt;&gt;"", VLOOKUP(A3447, imdb_netflix_v5!A$2:H$7370, 3, FALSE), "")</f>
        <v>Drama, History, Romance</v>
      </c>
      <c r="D3447" s="2">
        <f>IF(A3447&lt;&gt;"", VLOOKUP(A3447, imdb_netflix_v5!A$2:H$7370, 4, FALSE), "")</f>
        <v>7.5</v>
      </c>
      <c r="E3447" s="2">
        <f>IF(A3447&lt;&gt;"", VLOOKUP(A3447, imdb_netflix_v5!A$2:H$7370, 5, FALSE), "")</f>
        <v>2011</v>
      </c>
      <c r="F3447" s="2" t="str">
        <f>IF(A3447&lt;&gt;"", VLOOKUP(A3447, imdb_netflix_v5!A$2:H$7370, 7, FALSE), "")</f>
        <v>NA</v>
      </c>
    </row>
    <row r="3448" ht="15.75" customHeight="1">
      <c r="A3448" s="1" t="str">
        <f>IFERROR(__xludf.DUMMYFUNCTION("""COMPUTED_VALUE"""),"show me love")</f>
        <v>show me love</v>
      </c>
      <c r="B3448" s="1" t="str">
        <f>IF(A3448&lt;&gt;"", VLOOKUP(A3448, imdb_netflix_v5!A$2:H$7370, 2, FALSE), "")</f>
        <v>Movie</v>
      </c>
      <c r="C3448" s="2" t="str">
        <f>IF(A3448&lt;&gt;"", VLOOKUP(A3448, imdb_netflix_v5!A$2:H$7370, 3, FALSE), "")</f>
        <v>Comedy, Drama, Romance</v>
      </c>
      <c r="D3448" s="2">
        <f>IF(A3448&lt;&gt;"", VLOOKUP(A3448, imdb_netflix_v5!A$2:H$7370, 4, FALSE), "")</f>
        <v>7.5</v>
      </c>
      <c r="E3448" s="2">
        <f>IF(A3448&lt;&gt;"", VLOOKUP(A3448, imdb_netflix_v5!A$2:H$7370, 5, FALSE), "")</f>
        <v>1998</v>
      </c>
      <c r="F3448" s="2" t="str">
        <f>IF(A3448&lt;&gt;"", VLOOKUP(A3448, imdb_netflix_v5!A$2:H$7370, 7, FALSE), "")</f>
        <v>NA</v>
      </c>
    </row>
    <row r="3449" ht="15.75" customHeight="1">
      <c r="A3449" s="1" t="str">
        <f>IFERROR(__xludf.DUMMYFUNCTION("""COMPUTED_VALUE"""),"the big blue")</f>
        <v>the big blue</v>
      </c>
      <c r="B3449" s="1" t="str">
        <f>IF(A3449&lt;&gt;"", VLOOKUP(A3449, imdb_netflix_v5!A$2:H$7370, 2, FALSE), "")</f>
        <v>Movie</v>
      </c>
      <c r="C3449" s="2" t="str">
        <f>IF(A3449&lt;&gt;"", VLOOKUP(A3449, imdb_netflix_v5!A$2:H$7370, 3, FALSE), "")</f>
        <v>Adventure, Drama, Sport</v>
      </c>
      <c r="D3449" s="2">
        <f>IF(A3449&lt;&gt;"", VLOOKUP(A3449, imdb_netflix_v5!A$2:H$7370, 4, FALSE), "")</f>
        <v>7.5</v>
      </c>
      <c r="E3449" s="2">
        <f>IF(A3449&lt;&gt;"", VLOOKUP(A3449, imdb_netflix_v5!A$2:H$7370, 5, FALSE), "")</f>
        <v>1988</v>
      </c>
      <c r="F3449" s="2" t="str">
        <f>IF(A3449&lt;&gt;"", VLOOKUP(A3449, imdb_netflix_v5!A$2:H$7370, 7, FALSE), "")</f>
        <v>NA</v>
      </c>
    </row>
    <row r="3450" ht="15.75" customHeight="1">
      <c r="A3450" s="1" t="str">
        <f>IFERROR(__xludf.DUMMYFUNCTION("""COMPUTED_VALUE"""),"the wind that shakes the barley")</f>
        <v>the wind that shakes the barley</v>
      </c>
      <c r="B3450" s="1" t="str">
        <f>IF(A3450&lt;&gt;"", VLOOKUP(A3450, imdb_netflix_v5!A$2:H$7370, 2, FALSE), "")</f>
        <v>Movie</v>
      </c>
      <c r="C3450" s="2" t="str">
        <f>IF(A3450&lt;&gt;"", VLOOKUP(A3450, imdb_netflix_v5!A$2:H$7370, 3, FALSE), "")</f>
        <v>Drama, War</v>
      </c>
      <c r="D3450" s="2">
        <f>IF(A3450&lt;&gt;"", VLOOKUP(A3450, imdb_netflix_v5!A$2:H$7370, 4, FALSE), "")</f>
        <v>7.5</v>
      </c>
      <c r="E3450" s="2">
        <f>IF(A3450&lt;&gt;"", VLOOKUP(A3450, imdb_netflix_v5!A$2:H$7370, 5, FALSE), "")</f>
        <v>2006</v>
      </c>
      <c r="F3450" s="2" t="str">
        <f>IF(A3450&lt;&gt;"", VLOOKUP(A3450, imdb_netflix_v5!A$2:H$7370, 7, FALSE), "")</f>
        <v>NA</v>
      </c>
    </row>
    <row r="3451" ht="15.75" customHeight="1">
      <c r="A3451" s="1" t="str">
        <f>IFERROR(__xludf.DUMMYFUNCTION("""COMPUTED_VALUE"""),"reign")</f>
        <v>reign</v>
      </c>
      <c r="B3451" s="1" t="str">
        <f>IF(A3451&lt;&gt;"", VLOOKUP(A3451, imdb_netflix_v5!A$2:H$7370, 2, FALSE), "")</f>
        <v>TV Show</v>
      </c>
      <c r="C3451" s="2" t="str">
        <f>IF(A3451&lt;&gt;"", VLOOKUP(A3451, imdb_netflix_v5!A$2:H$7370, 3, FALSE), "")</f>
        <v>Drama, History, Romance</v>
      </c>
      <c r="D3451" s="2">
        <f>IF(A3451&lt;&gt;"", VLOOKUP(A3451, imdb_netflix_v5!A$2:H$7370, 4, FALSE), "")</f>
        <v>7.5</v>
      </c>
      <c r="E3451" s="2">
        <f>IF(A3451&lt;&gt;"", VLOOKUP(A3451, imdb_netflix_v5!A$2:H$7370, 5, FALSE), "")</f>
        <v>2013</v>
      </c>
      <c r="F3451" s="2" t="str">
        <f>IF(A3451&lt;&gt;"", VLOOKUP(A3451, imdb_netflix_v5!A$2:H$7370, 7, FALSE), "")</f>
        <v>NA</v>
      </c>
    </row>
    <row r="3452" ht="15.75" customHeight="1">
      <c r="A3452" s="1" t="str">
        <f>IFERROR(__xludf.DUMMYFUNCTION("""COMPUTED_VALUE"""),"sword art online")</f>
        <v>sword art online</v>
      </c>
      <c r="B3452" s="1" t="str">
        <f>IF(A3452&lt;&gt;"", VLOOKUP(A3452, imdb_netflix_v5!A$2:H$7370, 2, FALSE), "")</f>
        <v>TV Show</v>
      </c>
      <c r="C3452" s="2" t="str">
        <f>IF(A3452&lt;&gt;"", VLOOKUP(A3452, imdb_netflix_v5!A$2:H$7370, 3, FALSE), "")</f>
        <v>Action, Adventure, Animation</v>
      </c>
      <c r="D3452" s="2">
        <f>IF(A3452&lt;&gt;"", VLOOKUP(A3452, imdb_netflix_v5!A$2:H$7370, 4, FALSE), "")</f>
        <v>7.5</v>
      </c>
      <c r="E3452" s="2">
        <f>IF(A3452&lt;&gt;"", VLOOKUP(A3452, imdb_netflix_v5!A$2:H$7370, 5, FALSE), "")</f>
        <v>2012</v>
      </c>
      <c r="F3452" s="2" t="str">
        <f>IF(A3452&lt;&gt;"", VLOOKUP(A3452, imdb_netflix_v5!A$2:H$7370, 7, FALSE), "")</f>
        <v>NA</v>
      </c>
    </row>
    <row r="3453" ht="15.75" customHeight="1">
      <c r="A3453" s="1" t="str">
        <f>IFERROR(__xludf.DUMMYFUNCTION("""COMPUTED_VALUE"""),"forbidden planet")</f>
        <v>forbidden planet</v>
      </c>
      <c r="B3453" s="1" t="str">
        <f>IF(A3453&lt;&gt;"", VLOOKUP(A3453, imdb_netflix_v5!A$2:H$7370, 2, FALSE), "")</f>
        <v>Movie</v>
      </c>
      <c r="C3453" s="2" t="str">
        <f>IF(A3453&lt;&gt;"", VLOOKUP(A3453, imdb_netflix_v5!A$2:H$7370, 3, FALSE), "")</f>
        <v>Adventure, Sci-Fi</v>
      </c>
      <c r="D3453" s="2">
        <f>IF(A3453&lt;&gt;"", VLOOKUP(A3453, imdb_netflix_v5!A$2:H$7370, 4, FALSE), "")</f>
        <v>7.5</v>
      </c>
      <c r="E3453" s="2">
        <f>IF(A3453&lt;&gt;"", VLOOKUP(A3453, imdb_netflix_v5!A$2:H$7370, 5, FALSE), "")</f>
        <v>1956</v>
      </c>
      <c r="F3453" s="2" t="str">
        <f>IF(A3453&lt;&gt;"", VLOOKUP(A3453, imdb_netflix_v5!A$2:H$7370, 7, FALSE), "")</f>
        <v>NA</v>
      </c>
    </row>
    <row r="3454" ht="15.75" customHeight="1">
      <c r="A3454" s="1" t="str">
        <f>IFERROR(__xludf.DUMMYFUNCTION("""COMPUTED_VALUE"""),"nimona")</f>
        <v>nimona</v>
      </c>
      <c r="B3454" s="1" t="str">
        <f>IF(A3454&lt;&gt;"", VLOOKUP(A3454, imdb_netflix_v5!A$2:H$7370, 2, FALSE), "")</f>
        <v>Movie</v>
      </c>
      <c r="C3454" s="2" t="str">
        <f>IF(A3454&lt;&gt;"", VLOOKUP(A3454, imdb_netflix_v5!A$2:H$7370, 3, FALSE), "")</f>
        <v>Action, Adventure, Animation</v>
      </c>
      <c r="D3454" s="2">
        <f>IF(A3454&lt;&gt;"", VLOOKUP(A3454, imdb_netflix_v5!A$2:H$7370, 4, FALSE), "")</f>
        <v>7.5</v>
      </c>
      <c r="E3454" s="2">
        <f>IF(A3454&lt;&gt;"", VLOOKUP(A3454, imdb_netflix_v5!A$2:H$7370, 5, FALSE), "")</f>
        <v>2023</v>
      </c>
      <c r="F3454" s="2">
        <f>IF(A3454&lt;&gt;"", VLOOKUP(A3454, imdb_netflix_v5!A$2:H$7370, 7, FALSE), "")</f>
        <v>5900000</v>
      </c>
    </row>
    <row r="3455" ht="15.75" customHeight="1">
      <c r="A3455" s="1" t="str">
        <f>IFERROR(__xludf.DUMMYFUNCTION("""COMPUTED_VALUE"""),"sophies choice")</f>
        <v>sophies choice</v>
      </c>
      <c r="B3455" s="1" t="str">
        <f>IF(A3455&lt;&gt;"", VLOOKUP(A3455, imdb_netflix_v5!A$2:H$7370, 2, FALSE), "")</f>
        <v>Movie</v>
      </c>
      <c r="C3455" s="2" t="str">
        <f>IF(A3455&lt;&gt;"", VLOOKUP(A3455, imdb_netflix_v5!A$2:H$7370, 3, FALSE), "")</f>
        <v>Drama, Romance</v>
      </c>
      <c r="D3455" s="2">
        <f>IF(A3455&lt;&gt;"", VLOOKUP(A3455, imdb_netflix_v5!A$2:H$7370, 4, FALSE), "")</f>
        <v>7.5</v>
      </c>
      <c r="E3455" s="2">
        <f>IF(A3455&lt;&gt;"", VLOOKUP(A3455, imdb_netflix_v5!A$2:H$7370, 5, FALSE), "")</f>
        <v>1982</v>
      </c>
      <c r="F3455" s="2" t="str">
        <f>IF(A3455&lt;&gt;"", VLOOKUP(A3455, imdb_netflix_v5!A$2:H$7370, 7, FALSE), "")</f>
        <v>NA</v>
      </c>
    </row>
    <row r="3456" ht="15.75" customHeight="1">
      <c r="A3456" s="1" t="str">
        <f>IFERROR(__xludf.DUMMYFUNCTION("""COMPUTED_VALUE"""),"fallen angels")</f>
        <v>fallen angels</v>
      </c>
      <c r="B3456" s="1" t="str">
        <f>IF(A3456&lt;&gt;"", VLOOKUP(A3456, imdb_netflix_v5!A$2:H$7370, 2, FALSE), "")</f>
        <v>Movie</v>
      </c>
      <c r="C3456" s="2" t="str">
        <f>IF(A3456&lt;&gt;"", VLOOKUP(A3456, imdb_netflix_v5!A$2:H$7370, 3, FALSE), "")</f>
        <v>Comedy, Crime, Drama</v>
      </c>
      <c r="D3456" s="2">
        <f>IF(A3456&lt;&gt;"", VLOOKUP(A3456, imdb_netflix_v5!A$2:H$7370, 4, FALSE), "")</f>
        <v>7.5</v>
      </c>
      <c r="E3456" s="2">
        <f>IF(A3456&lt;&gt;"", VLOOKUP(A3456, imdb_netflix_v5!A$2:H$7370, 5, FALSE), "")</f>
        <v>1995</v>
      </c>
      <c r="F3456" s="2" t="str">
        <f>IF(A3456&lt;&gt;"", VLOOKUP(A3456, imdb_netflix_v5!A$2:H$7370, 7, FALSE), "")</f>
        <v>NA</v>
      </c>
    </row>
    <row r="3457" ht="15.75" customHeight="1">
      <c r="A3457" s="1" t="str">
        <f>IFERROR(__xludf.DUMMYFUNCTION("""COMPUTED_VALUE"""),"castle rock")</f>
        <v>castle rock</v>
      </c>
      <c r="B3457" s="1" t="str">
        <f>IF(A3457&lt;&gt;"", VLOOKUP(A3457, imdb_netflix_v5!A$2:H$7370, 2, FALSE), "")</f>
        <v>TV Show</v>
      </c>
      <c r="C3457" s="2" t="str">
        <f>IF(A3457&lt;&gt;"", VLOOKUP(A3457, imdb_netflix_v5!A$2:H$7370, 3, FALSE), "")</f>
        <v>Drama, Fantasy, Horror</v>
      </c>
      <c r="D3457" s="2">
        <f>IF(A3457&lt;&gt;"", VLOOKUP(A3457, imdb_netflix_v5!A$2:H$7370, 4, FALSE), "")</f>
        <v>7.5</v>
      </c>
      <c r="E3457" s="2">
        <f>IF(A3457&lt;&gt;"", VLOOKUP(A3457, imdb_netflix_v5!A$2:H$7370, 5, FALSE), "")</f>
        <v>2018</v>
      </c>
      <c r="F3457" s="2" t="str">
        <f>IF(A3457&lt;&gt;"", VLOOKUP(A3457, imdb_netflix_v5!A$2:H$7370, 7, FALSE), "")</f>
        <v>NA</v>
      </c>
    </row>
    <row r="3458" ht="15.75" customHeight="1">
      <c r="A3458" s="1" t="str">
        <f>IFERROR(__xludf.DUMMYFUNCTION("""COMPUTED_VALUE"""),"a royal affair")</f>
        <v>a royal affair</v>
      </c>
      <c r="B3458" s="1" t="str">
        <f>IF(A3458&lt;&gt;"", VLOOKUP(A3458, imdb_netflix_v5!A$2:H$7370, 2, FALSE), "")</f>
        <v>Movie</v>
      </c>
      <c r="C3458" s="2" t="str">
        <f>IF(A3458&lt;&gt;"", VLOOKUP(A3458, imdb_netflix_v5!A$2:H$7370, 3, FALSE), "")</f>
        <v>Biography, Drama, History</v>
      </c>
      <c r="D3458" s="2">
        <f>IF(A3458&lt;&gt;"", VLOOKUP(A3458, imdb_netflix_v5!A$2:H$7370, 4, FALSE), "")</f>
        <v>7.5</v>
      </c>
      <c r="E3458" s="2">
        <f>IF(A3458&lt;&gt;"", VLOOKUP(A3458, imdb_netflix_v5!A$2:H$7370, 5, FALSE), "")</f>
        <v>2012</v>
      </c>
      <c r="F3458" s="2" t="str">
        <f>IF(A3458&lt;&gt;"", VLOOKUP(A3458, imdb_netflix_v5!A$2:H$7370, 7, FALSE), "")</f>
        <v>NA</v>
      </c>
    </row>
    <row r="3459" ht="15.75" customHeight="1">
      <c r="A3459" s="1" t="str">
        <f>IFERROR(__xludf.DUMMYFUNCTION("""COMPUTED_VALUE"""),"the imposter")</f>
        <v>the imposter</v>
      </c>
      <c r="B3459" s="1" t="str">
        <f>IF(A3459&lt;&gt;"", VLOOKUP(A3459, imdb_netflix_v5!A$2:H$7370, 2, FALSE), "")</f>
        <v>Movie</v>
      </c>
      <c r="C3459" s="2" t="str">
        <f>IF(A3459&lt;&gt;"", VLOOKUP(A3459, imdb_netflix_v5!A$2:H$7370, 3, FALSE), "")</f>
        <v>Biography, Crime, Documentary</v>
      </c>
      <c r="D3459" s="2">
        <f>IF(A3459&lt;&gt;"", VLOOKUP(A3459, imdb_netflix_v5!A$2:H$7370, 4, FALSE), "")</f>
        <v>7.5</v>
      </c>
      <c r="E3459" s="2">
        <f>IF(A3459&lt;&gt;"", VLOOKUP(A3459, imdb_netflix_v5!A$2:H$7370, 5, FALSE), "")</f>
        <v>2012</v>
      </c>
      <c r="F3459" s="2" t="str">
        <f>IF(A3459&lt;&gt;"", VLOOKUP(A3459, imdb_netflix_v5!A$2:H$7370, 7, FALSE), "")</f>
        <v>NA</v>
      </c>
    </row>
    <row r="3460" ht="15.75" customHeight="1">
      <c r="A3460" s="1" t="str">
        <f>IFERROR(__xludf.DUMMYFUNCTION("""COMPUTED_VALUE"""),"drunken master ii")</f>
        <v>drunken master ii</v>
      </c>
      <c r="B3460" s="1" t="str">
        <f>IF(A3460&lt;&gt;"", VLOOKUP(A3460, imdb_netflix_v5!A$2:H$7370, 2, FALSE), "")</f>
        <v>Movie</v>
      </c>
      <c r="C3460" s="2" t="str">
        <f>IF(A3460&lt;&gt;"", VLOOKUP(A3460, imdb_netflix_v5!A$2:H$7370, 3, FALSE), "")</f>
        <v>Action, Comedy</v>
      </c>
      <c r="D3460" s="2">
        <f>IF(A3460&lt;&gt;"", VLOOKUP(A3460, imdb_netflix_v5!A$2:H$7370, 4, FALSE), "")</f>
        <v>7.5</v>
      </c>
      <c r="E3460" s="2">
        <f>IF(A3460&lt;&gt;"", VLOOKUP(A3460, imdb_netflix_v5!A$2:H$7370, 5, FALSE), "")</f>
        <v>1994</v>
      </c>
      <c r="F3460" s="2" t="str">
        <f>IF(A3460&lt;&gt;"", VLOOKUP(A3460, imdb_netflix_v5!A$2:H$7370, 7, FALSE), "")</f>
        <v>NA</v>
      </c>
    </row>
    <row r="3461" ht="15.75" customHeight="1">
      <c r="A3461" s="1" t="str">
        <f>IFERROR(__xludf.DUMMYFUNCTION("""COMPUTED_VALUE"""),"withnail and i")</f>
        <v>withnail and i</v>
      </c>
      <c r="B3461" s="1" t="str">
        <f>IF(A3461&lt;&gt;"", VLOOKUP(A3461, imdb_netflix_v5!A$2:H$7370, 2, FALSE), "")</f>
        <v>Movie</v>
      </c>
      <c r="C3461" s="2" t="str">
        <f>IF(A3461&lt;&gt;"", VLOOKUP(A3461, imdb_netflix_v5!A$2:H$7370, 3, FALSE), "")</f>
        <v>Comedy, Drama</v>
      </c>
      <c r="D3461" s="2">
        <f>IF(A3461&lt;&gt;"", VLOOKUP(A3461, imdb_netflix_v5!A$2:H$7370, 4, FALSE), "")</f>
        <v>7.5</v>
      </c>
      <c r="E3461" s="2">
        <f>IF(A3461&lt;&gt;"", VLOOKUP(A3461, imdb_netflix_v5!A$2:H$7370, 5, FALSE), "")</f>
        <v>1987</v>
      </c>
      <c r="F3461" s="2" t="str">
        <f>IF(A3461&lt;&gt;"", VLOOKUP(A3461, imdb_netflix_v5!A$2:H$7370, 7, FALSE), "")</f>
        <v>NA</v>
      </c>
    </row>
    <row r="3462" ht="15.75" customHeight="1">
      <c r="A3462" s="1" t="str">
        <f>IFERROR(__xludf.DUMMYFUNCTION("""COMPUTED_VALUE"""),"a hard days night")</f>
        <v>a hard days night</v>
      </c>
      <c r="B3462" s="1" t="str">
        <f>IF(A3462&lt;&gt;"", VLOOKUP(A3462, imdb_netflix_v5!A$2:H$7370, 2, FALSE), "")</f>
        <v>Movie</v>
      </c>
      <c r="C3462" s="2" t="str">
        <f>IF(A3462&lt;&gt;"", VLOOKUP(A3462, imdb_netflix_v5!A$2:H$7370, 3, FALSE), "")</f>
        <v>Comedy, Musical</v>
      </c>
      <c r="D3462" s="2">
        <f>IF(A3462&lt;&gt;"", VLOOKUP(A3462, imdb_netflix_v5!A$2:H$7370, 4, FALSE), "")</f>
        <v>7.5</v>
      </c>
      <c r="E3462" s="2">
        <f>IF(A3462&lt;&gt;"", VLOOKUP(A3462, imdb_netflix_v5!A$2:H$7370, 5, FALSE), "")</f>
        <v>1964</v>
      </c>
      <c r="F3462" s="2" t="str">
        <f>IF(A3462&lt;&gt;"", VLOOKUP(A3462, imdb_netflix_v5!A$2:H$7370, 7, FALSE), "")</f>
        <v>NA</v>
      </c>
    </row>
    <row r="3463" ht="15.75" customHeight="1">
      <c r="A3463" s="1" t="str">
        <f>IFERROR(__xludf.DUMMYFUNCTION("""COMPUTED_VALUE"""),"the tenant")</f>
        <v>the tenant</v>
      </c>
      <c r="B3463" s="1" t="str">
        <f>IF(A3463&lt;&gt;"", VLOOKUP(A3463, imdb_netflix_v5!A$2:H$7370, 2, FALSE), "")</f>
        <v>Movie</v>
      </c>
      <c r="C3463" s="2" t="str">
        <f>IF(A3463&lt;&gt;"", VLOOKUP(A3463, imdb_netflix_v5!A$2:H$7370, 3, FALSE), "")</f>
        <v>Drama, Thriller</v>
      </c>
      <c r="D3463" s="2">
        <f>IF(A3463&lt;&gt;"", VLOOKUP(A3463, imdb_netflix_v5!A$2:H$7370, 4, FALSE), "")</f>
        <v>7.5</v>
      </c>
      <c r="E3463" s="2">
        <f>IF(A3463&lt;&gt;"", VLOOKUP(A3463, imdb_netflix_v5!A$2:H$7370, 5, FALSE), "")</f>
        <v>1976</v>
      </c>
      <c r="F3463" s="2" t="str">
        <f>IF(A3463&lt;&gt;"", VLOOKUP(A3463, imdb_netflix_v5!A$2:H$7370, 7, FALSE), "")</f>
        <v>NA</v>
      </c>
    </row>
    <row r="3464" ht="15.75" customHeight="1">
      <c r="A3464" s="1" t="str">
        <f>IFERROR(__xludf.DUMMYFUNCTION("""COMPUTED_VALUE"""),"all the light we cannot see")</f>
        <v>all the light we cannot see</v>
      </c>
      <c r="B3464" s="1" t="str">
        <f>IF(A3464&lt;&gt;"", VLOOKUP(A3464, imdb_netflix_v5!A$2:H$7370, 2, FALSE), "")</f>
        <v>TV Show</v>
      </c>
      <c r="C3464" s="2" t="str">
        <f>IF(A3464&lt;&gt;"", VLOOKUP(A3464, imdb_netflix_v5!A$2:H$7370, 3, FALSE), "")</f>
        <v>Drama, History, War</v>
      </c>
      <c r="D3464" s="2">
        <f>IF(A3464&lt;&gt;"", VLOOKUP(A3464, imdb_netflix_v5!A$2:H$7370, 4, FALSE), "")</f>
        <v>7.5</v>
      </c>
      <c r="E3464" s="2">
        <f>IF(A3464&lt;&gt;"", VLOOKUP(A3464, imdb_netflix_v5!A$2:H$7370, 5, FALSE), "")</f>
        <v>2023</v>
      </c>
      <c r="F3464" s="2">
        <f>IF(A3464&lt;&gt;"", VLOOKUP(A3464, imdb_netflix_v5!A$2:H$7370, 7, FALSE), "")</f>
        <v>7600000</v>
      </c>
    </row>
    <row r="3465" ht="15.75" customHeight="1">
      <c r="A3465" s="1" t="str">
        <f>IFERROR(__xludf.DUMMYFUNCTION("""COMPUTED_VALUE"""),"devdas")</f>
        <v>devdas</v>
      </c>
      <c r="B3465" s="1" t="str">
        <f>IF(A3465&lt;&gt;"", VLOOKUP(A3465, imdb_netflix_v5!A$2:H$7370, 2, FALSE), "")</f>
        <v>Movie</v>
      </c>
      <c r="C3465" s="2" t="str">
        <f>IF(A3465&lt;&gt;"", VLOOKUP(A3465, imdb_netflix_v5!A$2:H$7370, 3, FALSE), "")</f>
        <v>Drama, Musical, Romance</v>
      </c>
      <c r="D3465" s="2">
        <f>IF(A3465&lt;&gt;"", VLOOKUP(A3465, imdb_netflix_v5!A$2:H$7370, 4, FALSE), "")</f>
        <v>7.5</v>
      </c>
      <c r="E3465" s="2">
        <f>IF(A3465&lt;&gt;"", VLOOKUP(A3465, imdb_netflix_v5!A$2:H$7370, 5, FALSE), "")</f>
        <v>2002</v>
      </c>
      <c r="F3465" s="2" t="str">
        <f>IF(A3465&lt;&gt;"", VLOOKUP(A3465, imdb_netflix_v5!A$2:H$7370, 7, FALSE), "")</f>
        <v>NA</v>
      </c>
    </row>
    <row r="3466" ht="15.75" customHeight="1">
      <c r="A3466" s="1" t="str">
        <f>IFERROR(__xludf.DUMMYFUNCTION("""COMPUTED_VALUE"""),"women on the verge of a nervous breakdown")</f>
        <v>women on the verge of a nervous breakdown</v>
      </c>
      <c r="B3466" s="1" t="str">
        <f>IF(A3466&lt;&gt;"", VLOOKUP(A3466, imdb_netflix_v5!A$2:H$7370, 2, FALSE), "")</f>
        <v>Movie</v>
      </c>
      <c r="C3466" s="2" t="str">
        <f>IF(A3466&lt;&gt;"", VLOOKUP(A3466, imdb_netflix_v5!A$2:H$7370, 3, FALSE), "")</f>
        <v>Comedy, Drama</v>
      </c>
      <c r="D3466" s="2">
        <f>IF(A3466&lt;&gt;"", VLOOKUP(A3466, imdb_netflix_v5!A$2:H$7370, 4, FALSE), "")</f>
        <v>7.5</v>
      </c>
      <c r="E3466" s="2">
        <f>IF(A3466&lt;&gt;"", VLOOKUP(A3466, imdb_netflix_v5!A$2:H$7370, 5, FALSE), "")</f>
        <v>1988</v>
      </c>
      <c r="F3466" s="2" t="str">
        <f>IF(A3466&lt;&gt;"", VLOOKUP(A3466, imdb_netflix_v5!A$2:H$7370, 7, FALSE), "")</f>
        <v>NA</v>
      </c>
    </row>
    <row r="3467" ht="15.75" customHeight="1">
      <c r="A3467" s="1" t="str">
        <f>IFERROR(__xludf.DUMMYFUNCTION("""COMPUTED_VALUE"""),"the counterfeiters")</f>
        <v>the counterfeiters</v>
      </c>
      <c r="B3467" s="1" t="str">
        <f>IF(A3467&lt;&gt;"", VLOOKUP(A3467, imdb_netflix_v5!A$2:H$7370, 2, FALSE), "")</f>
        <v>Movie</v>
      </c>
      <c r="C3467" s="2" t="str">
        <f>IF(A3467&lt;&gt;"", VLOOKUP(A3467, imdb_netflix_v5!A$2:H$7370, 3, FALSE), "")</f>
        <v>Crime, Drama, History</v>
      </c>
      <c r="D3467" s="2">
        <f>IF(A3467&lt;&gt;"", VLOOKUP(A3467, imdb_netflix_v5!A$2:H$7370, 4, FALSE), "")</f>
        <v>7.5</v>
      </c>
      <c r="E3467" s="2">
        <f>IF(A3467&lt;&gt;"", VLOOKUP(A3467, imdb_netflix_v5!A$2:H$7370, 5, FALSE), "")</f>
        <v>2007</v>
      </c>
      <c r="F3467" s="2" t="str">
        <f>IF(A3467&lt;&gt;"", VLOOKUP(A3467, imdb_netflix_v5!A$2:H$7370, 7, FALSE), "")</f>
        <v>NA</v>
      </c>
    </row>
    <row r="3468" ht="15.75" customHeight="1">
      <c r="A3468" s="1" t="str">
        <f>IFERROR(__xludf.DUMMYFUNCTION("""COMPUTED_VALUE"""),"its a mad mad mad mad world")</f>
        <v>its a mad mad mad mad world</v>
      </c>
      <c r="B3468" s="1" t="str">
        <f>IF(A3468&lt;&gt;"", VLOOKUP(A3468, imdb_netflix_v5!A$2:H$7370, 2, FALSE), "")</f>
        <v>Movie</v>
      </c>
      <c r="C3468" s="2" t="str">
        <f>IF(A3468&lt;&gt;"", VLOOKUP(A3468, imdb_netflix_v5!A$2:H$7370, 3, FALSE), "")</f>
        <v>Action, Adventure, Comedy</v>
      </c>
      <c r="D3468" s="2">
        <f>IF(A3468&lt;&gt;"", VLOOKUP(A3468, imdb_netflix_v5!A$2:H$7370, 4, FALSE), "")</f>
        <v>7.5</v>
      </c>
      <c r="E3468" s="2">
        <f>IF(A3468&lt;&gt;"", VLOOKUP(A3468, imdb_netflix_v5!A$2:H$7370, 5, FALSE), "")</f>
        <v>1963</v>
      </c>
      <c r="F3468" s="2" t="str">
        <f>IF(A3468&lt;&gt;"", VLOOKUP(A3468, imdb_netflix_v5!A$2:H$7370, 7, FALSE), "")</f>
        <v>NA</v>
      </c>
    </row>
    <row r="3469" ht="15.75" customHeight="1">
      <c r="A3469" s="1" t="str">
        <f>IFERROR(__xludf.DUMMYFUNCTION("""COMPUTED_VALUE"""),"the secret of nimh")</f>
        <v>the secret of nimh</v>
      </c>
      <c r="B3469" s="1" t="str">
        <f>IF(A3469&lt;&gt;"", VLOOKUP(A3469, imdb_netflix_v5!A$2:H$7370, 2, FALSE), "")</f>
        <v>Movie</v>
      </c>
      <c r="C3469" s="2" t="str">
        <f>IF(A3469&lt;&gt;"", VLOOKUP(A3469, imdb_netflix_v5!A$2:H$7370, 3, FALSE), "")</f>
        <v>Adventure, Animation, Drama</v>
      </c>
      <c r="D3469" s="2">
        <f>IF(A3469&lt;&gt;"", VLOOKUP(A3469, imdb_netflix_v5!A$2:H$7370, 4, FALSE), "")</f>
        <v>7.5</v>
      </c>
      <c r="E3469" s="2">
        <f>IF(A3469&lt;&gt;"", VLOOKUP(A3469, imdb_netflix_v5!A$2:H$7370, 5, FALSE), "")</f>
        <v>1982</v>
      </c>
      <c r="F3469" s="2" t="str">
        <f>IF(A3469&lt;&gt;"", VLOOKUP(A3469, imdb_netflix_v5!A$2:H$7370, 7, FALSE), "")</f>
        <v>NA</v>
      </c>
    </row>
    <row r="3470" ht="15.75" customHeight="1">
      <c r="A3470" s="1" t="str">
        <f>IFERROR(__xludf.DUMMYFUNCTION("""COMPUTED_VALUE"""),"the damned united")</f>
        <v>the damned united</v>
      </c>
      <c r="B3470" s="1" t="str">
        <f>IF(A3470&lt;&gt;"", VLOOKUP(A3470, imdb_netflix_v5!A$2:H$7370, 2, FALSE), "")</f>
        <v>Movie</v>
      </c>
      <c r="C3470" s="2" t="str">
        <f>IF(A3470&lt;&gt;"", VLOOKUP(A3470, imdb_netflix_v5!A$2:H$7370, 3, FALSE), "")</f>
        <v>Biography, Drama, Sport</v>
      </c>
      <c r="D3470" s="2">
        <f>IF(A3470&lt;&gt;"", VLOOKUP(A3470, imdb_netflix_v5!A$2:H$7370, 4, FALSE), "")</f>
        <v>7.5</v>
      </c>
      <c r="E3470" s="2">
        <f>IF(A3470&lt;&gt;"", VLOOKUP(A3470, imdb_netflix_v5!A$2:H$7370, 5, FALSE), "")</f>
        <v>2009</v>
      </c>
      <c r="F3470" s="2" t="str">
        <f>IF(A3470&lt;&gt;"", VLOOKUP(A3470, imdb_netflix_v5!A$2:H$7370, 7, FALSE), "")</f>
        <v>NA</v>
      </c>
    </row>
    <row r="3471" ht="15.75" customHeight="1">
      <c r="A3471" s="1" t="str">
        <f>IFERROR(__xludf.DUMMYFUNCTION("""COMPUTED_VALUE"""),"gilmore girls a year in the life")</f>
        <v>gilmore girls a year in the life</v>
      </c>
      <c r="B3471" s="1" t="str">
        <f>IF(A3471&lt;&gt;"", VLOOKUP(A3471, imdb_netflix_v5!A$2:H$7370, 2, FALSE), "")</f>
        <v>TV Show</v>
      </c>
      <c r="C3471" s="2" t="str">
        <f>IF(A3471&lt;&gt;"", VLOOKUP(A3471, imdb_netflix_v5!A$2:H$7370, 3, FALSE), "")</f>
        <v>Comedy, Drama</v>
      </c>
      <c r="D3471" s="2">
        <f>IF(A3471&lt;&gt;"", VLOOKUP(A3471, imdb_netflix_v5!A$2:H$7370, 4, FALSE), "")</f>
        <v>7.5</v>
      </c>
      <c r="E3471" s="2">
        <f>IF(A3471&lt;&gt;"", VLOOKUP(A3471, imdb_netflix_v5!A$2:H$7370, 5, FALSE), "")</f>
        <v>2016</v>
      </c>
      <c r="F3471" s="2" t="str">
        <f>IF(A3471&lt;&gt;"", VLOOKUP(A3471, imdb_netflix_v5!A$2:H$7370, 7, FALSE), "")</f>
        <v>NA</v>
      </c>
    </row>
    <row r="3472" ht="15.75" customHeight="1">
      <c r="A3472" s="1" t="str">
        <f>IFERROR(__xludf.DUMMYFUNCTION("""COMPUTED_VALUE"""),"lust, caution")</f>
        <v>lust, caution</v>
      </c>
      <c r="B3472" s="1" t="str">
        <f>IF(A3472&lt;&gt;"", VLOOKUP(A3472, imdb_netflix_v5!A$2:H$7370, 2, FALSE), "")</f>
        <v>Movie</v>
      </c>
      <c r="C3472" s="2" t="str">
        <f>IF(A3472&lt;&gt;"", VLOOKUP(A3472, imdb_netflix_v5!A$2:H$7370, 3, FALSE), "")</f>
        <v>Drama, History, Romance</v>
      </c>
      <c r="D3472" s="2">
        <f>IF(A3472&lt;&gt;"", VLOOKUP(A3472, imdb_netflix_v5!A$2:H$7370, 4, FALSE), "")</f>
        <v>7.5</v>
      </c>
      <c r="E3472" s="2">
        <f>IF(A3472&lt;&gt;"", VLOOKUP(A3472, imdb_netflix_v5!A$2:H$7370, 5, FALSE), "")</f>
        <v>2007</v>
      </c>
      <c r="F3472" s="2" t="str">
        <f>IF(A3472&lt;&gt;"", VLOOKUP(A3472, imdb_netflix_v5!A$2:H$7370, 7, FALSE), "")</f>
        <v>NA</v>
      </c>
    </row>
    <row r="3473" ht="15.75" customHeight="1">
      <c r="A3473" s="1" t="str">
        <f>IFERROR(__xludf.DUMMYFUNCTION("""COMPUTED_VALUE"""),"awkward.")</f>
        <v>awkward.</v>
      </c>
      <c r="B3473" s="1" t="str">
        <f>IF(A3473&lt;&gt;"", VLOOKUP(A3473, imdb_netflix_v5!A$2:H$7370, 2, FALSE), "")</f>
        <v>TV Show</v>
      </c>
      <c r="C3473" s="2" t="str">
        <f>IF(A3473&lt;&gt;"", VLOOKUP(A3473, imdb_netflix_v5!A$2:H$7370, 3, FALSE), "")</f>
        <v>Comedy, Drama, Romance</v>
      </c>
      <c r="D3473" s="2">
        <f>IF(A3473&lt;&gt;"", VLOOKUP(A3473, imdb_netflix_v5!A$2:H$7370, 4, FALSE), "")</f>
        <v>7.5</v>
      </c>
      <c r="E3473" s="2">
        <f>IF(A3473&lt;&gt;"", VLOOKUP(A3473, imdb_netflix_v5!A$2:H$7370, 5, FALSE), "")</f>
        <v>2011</v>
      </c>
      <c r="F3473" s="2" t="str">
        <f>IF(A3473&lt;&gt;"", VLOOKUP(A3473, imdb_netflix_v5!A$2:H$7370, 7, FALSE), "")</f>
        <v>NA</v>
      </c>
    </row>
    <row r="3474" ht="15.75" customHeight="1">
      <c r="A3474" s="1" t="str">
        <f>IFERROR(__xludf.DUMMYFUNCTION("""COMPUTED_VALUE"""),"the time machine")</f>
        <v>the time machine</v>
      </c>
      <c r="B3474" s="1" t="str">
        <f>IF(A3474&lt;&gt;"", VLOOKUP(A3474, imdb_netflix_v5!A$2:H$7370, 2, FALSE), "")</f>
        <v>Movie</v>
      </c>
      <c r="C3474" s="2" t="str">
        <f>IF(A3474&lt;&gt;"", VLOOKUP(A3474, imdb_netflix_v5!A$2:H$7370, 3, FALSE), "")</f>
        <v>Adventure, Romance, Sci-Fi</v>
      </c>
      <c r="D3474" s="2">
        <f>IF(A3474&lt;&gt;"", VLOOKUP(A3474, imdb_netflix_v5!A$2:H$7370, 4, FALSE), "")</f>
        <v>7.5</v>
      </c>
      <c r="E3474" s="2">
        <f>IF(A3474&lt;&gt;"", VLOOKUP(A3474, imdb_netflix_v5!A$2:H$7370, 5, FALSE), "")</f>
        <v>1960</v>
      </c>
      <c r="F3474" s="2" t="str">
        <f>IF(A3474&lt;&gt;"", VLOOKUP(A3474, imdb_netflix_v5!A$2:H$7370, 7, FALSE), "")</f>
        <v>NA</v>
      </c>
    </row>
    <row r="3475" ht="15.75" customHeight="1">
      <c r="A3475" s="1" t="str">
        <f>IFERROR(__xludf.DUMMYFUNCTION("""COMPUTED_VALUE"""),"boiling point")</f>
        <v>boiling point</v>
      </c>
      <c r="B3475" s="1" t="str">
        <f>IF(A3475&lt;&gt;"", VLOOKUP(A3475, imdb_netflix_v5!A$2:H$7370, 2, FALSE), "")</f>
        <v>Movie</v>
      </c>
      <c r="C3475" s="2" t="str">
        <f>IF(A3475&lt;&gt;"", VLOOKUP(A3475, imdb_netflix_v5!A$2:H$7370, 3, FALSE), "")</f>
        <v>Drama, Thriller</v>
      </c>
      <c r="D3475" s="2">
        <f>IF(A3475&lt;&gt;"", VLOOKUP(A3475, imdb_netflix_v5!A$2:H$7370, 4, FALSE), "")</f>
        <v>7.5</v>
      </c>
      <c r="E3475" s="2">
        <f>IF(A3475&lt;&gt;"", VLOOKUP(A3475, imdb_netflix_v5!A$2:H$7370, 5, FALSE), "")</f>
        <v>2021</v>
      </c>
      <c r="F3475" s="2" t="str">
        <f>IF(A3475&lt;&gt;"", VLOOKUP(A3475, imdb_netflix_v5!A$2:H$7370, 7, FALSE), "")</f>
        <v>NA</v>
      </c>
    </row>
    <row r="3476" ht="15.75" customHeight="1">
      <c r="A3476" s="1" t="str">
        <f>IFERROR(__xludf.DUMMYFUNCTION("""COMPUTED_VALUE"""),"whale rider")</f>
        <v>whale rider</v>
      </c>
      <c r="B3476" s="1" t="str">
        <f>IF(A3476&lt;&gt;"", VLOOKUP(A3476, imdb_netflix_v5!A$2:H$7370, 2, FALSE), "")</f>
        <v>Movie</v>
      </c>
      <c r="C3476" s="2" t="str">
        <f>IF(A3476&lt;&gt;"", VLOOKUP(A3476, imdb_netflix_v5!A$2:H$7370, 3, FALSE), "")</f>
        <v>Drama, Family</v>
      </c>
      <c r="D3476" s="2">
        <f>IF(A3476&lt;&gt;"", VLOOKUP(A3476, imdb_netflix_v5!A$2:H$7370, 4, FALSE), "")</f>
        <v>7.5</v>
      </c>
      <c r="E3476" s="2">
        <f>IF(A3476&lt;&gt;"", VLOOKUP(A3476, imdb_netflix_v5!A$2:H$7370, 5, FALSE), "")</f>
        <v>2002</v>
      </c>
      <c r="F3476" s="2" t="str">
        <f>IF(A3476&lt;&gt;"", VLOOKUP(A3476, imdb_netflix_v5!A$2:H$7370, 7, FALSE), "")</f>
        <v>NA</v>
      </c>
    </row>
    <row r="3477" ht="15.75" customHeight="1">
      <c r="A3477" s="1" t="str">
        <f>IFERROR(__xludf.DUMMYFUNCTION("""COMPUTED_VALUE"""),"deep red")</f>
        <v>deep red</v>
      </c>
      <c r="B3477" s="1" t="str">
        <f>IF(A3477&lt;&gt;"", VLOOKUP(A3477, imdb_netflix_v5!A$2:H$7370, 2, FALSE), "")</f>
        <v>Movie</v>
      </c>
      <c r="C3477" s="2" t="str">
        <f>IF(A3477&lt;&gt;"", VLOOKUP(A3477, imdb_netflix_v5!A$2:H$7370, 3, FALSE), "")</f>
        <v>Horror, Mystery, Thriller</v>
      </c>
      <c r="D3477" s="2">
        <f>IF(A3477&lt;&gt;"", VLOOKUP(A3477, imdb_netflix_v5!A$2:H$7370, 4, FALSE), "")</f>
        <v>7.5</v>
      </c>
      <c r="E3477" s="2">
        <f>IF(A3477&lt;&gt;"", VLOOKUP(A3477, imdb_netflix_v5!A$2:H$7370, 5, FALSE), "")</f>
        <v>1975</v>
      </c>
      <c r="F3477" s="2" t="str">
        <f>IF(A3477&lt;&gt;"", VLOOKUP(A3477, imdb_netflix_v5!A$2:H$7370, 7, FALSE), "")</f>
        <v>NA</v>
      </c>
    </row>
    <row r="3478" ht="15.75" customHeight="1">
      <c r="A3478" s="1" t="str">
        <f>IFERROR(__xludf.DUMMYFUNCTION("""COMPUTED_VALUE"""),"omg 2")</f>
        <v>omg 2</v>
      </c>
      <c r="B3478" s="1" t="str">
        <f>IF(A3478&lt;&gt;"", VLOOKUP(A3478, imdb_netflix_v5!A$2:H$7370, 2, FALSE), "")</f>
        <v>Movie</v>
      </c>
      <c r="C3478" s="2" t="str">
        <f>IF(A3478&lt;&gt;"", VLOOKUP(A3478, imdb_netflix_v5!A$2:H$7370, 3, FALSE), "")</f>
        <v>Comedy, Drama</v>
      </c>
      <c r="D3478" s="2">
        <f>IF(A3478&lt;&gt;"", VLOOKUP(A3478, imdb_netflix_v5!A$2:H$7370, 4, FALSE), "")</f>
        <v>7.5</v>
      </c>
      <c r="E3478" s="2">
        <f>IF(A3478&lt;&gt;"", VLOOKUP(A3478, imdb_netflix_v5!A$2:H$7370, 5, FALSE), "")</f>
        <v>2023</v>
      </c>
      <c r="F3478" s="2">
        <f>IF(A3478&lt;&gt;"", VLOOKUP(A3478, imdb_netflix_v5!A$2:H$7370, 7, FALSE), "")</f>
        <v>3500000</v>
      </c>
    </row>
    <row r="3479" ht="15.75" customHeight="1">
      <c r="A3479" s="1" t="str">
        <f>IFERROR(__xludf.DUMMYFUNCTION("""COMPUTED_VALUE"""),"a bittersweet life")</f>
        <v>a bittersweet life</v>
      </c>
      <c r="B3479" s="1" t="str">
        <f>IF(A3479&lt;&gt;"", VLOOKUP(A3479, imdb_netflix_v5!A$2:H$7370, 2, FALSE), "")</f>
        <v>Movie</v>
      </c>
      <c r="C3479" s="2" t="str">
        <f>IF(A3479&lt;&gt;"", VLOOKUP(A3479, imdb_netflix_v5!A$2:H$7370, 3, FALSE), "")</f>
        <v>Action, Crime, Drama</v>
      </c>
      <c r="D3479" s="2">
        <f>IF(A3479&lt;&gt;"", VLOOKUP(A3479, imdb_netflix_v5!A$2:H$7370, 4, FALSE), "")</f>
        <v>7.5</v>
      </c>
      <c r="E3479" s="2">
        <f>IF(A3479&lt;&gt;"", VLOOKUP(A3479, imdb_netflix_v5!A$2:H$7370, 5, FALSE), "")</f>
        <v>2005</v>
      </c>
      <c r="F3479" s="2" t="str">
        <f>IF(A3479&lt;&gt;"", VLOOKUP(A3479, imdb_netflix_v5!A$2:H$7370, 7, FALSE), "")</f>
        <v>NA</v>
      </c>
    </row>
    <row r="3480" ht="15.75" customHeight="1">
      <c r="A3480" s="1" t="str">
        <f>IFERROR(__xludf.DUMMYFUNCTION("""COMPUTED_VALUE"""),"stree")</f>
        <v>stree</v>
      </c>
      <c r="B3480" s="1" t="str">
        <f>IF(A3480&lt;&gt;"", VLOOKUP(A3480, imdb_netflix_v5!A$2:H$7370, 2, FALSE), "")</f>
        <v>Movie</v>
      </c>
      <c r="C3480" s="2" t="str">
        <f>IF(A3480&lt;&gt;"", VLOOKUP(A3480, imdb_netflix_v5!A$2:H$7370, 3, FALSE), "")</f>
        <v>Comedy, Horror</v>
      </c>
      <c r="D3480" s="2">
        <f>IF(A3480&lt;&gt;"", VLOOKUP(A3480, imdb_netflix_v5!A$2:H$7370, 4, FALSE), "")</f>
        <v>7.5</v>
      </c>
      <c r="E3480" s="2">
        <f>IF(A3480&lt;&gt;"", VLOOKUP(A3480, imdb_netflix_v5!A$2:H$7370, 5, FALSE), "")</f>
        <v>2018</v>
      </c>
      <c r="F3480" s="2" t="str">
        <f>IF(A3480&lt;&gt;"", VLOOKUP(A3480, imdb_netflix_v5!A$2:H$7370, 7, FALSE), "")</f>
        <v>NA</v>
      </c>
    </row>
    <row r="3481" ht="15.75" customHeight="1">
      <c r="A3481" s="1" t="str">
        <f>IFERROR(__xludf.DUMMYFUNCTION("""COMPUTED_VALUE"""),"the ranch")</f>
        <v>the ranch</v>
      </c>
      <c r="B3481" s="1" t="str">
        <f>IF(A3481&lt;&gt;"", VLOOKUP(A3481, imdb_netflix_v5!A$2:H$7370, 2, FALSE), "")</f>
        <v>TV Show</v>
      </c>
      <c r="C3481" s="2" t="str">
        <f>IF(A3481&lt;&gt;"", VLOOKUP(A3481, imdb_netflix_v5!A$2:H$7370, 3, FALSE), "")</f>
        <v>Comedy, Drama, Western</v>
      </c>
      <c r="D3481" s="2">
        <f>IF(A3481&lt;&gt;"", VLOOKUP(A3481, imdb_netflix_v5!A$2:H$7370, 4, FALSE), "")</f>
        <v>7.5</v>
      </c>
      <c r="E3481" s="2">
        <f>IF(A3481&lt;&gt;"", VLOOKUP(A3481, imdb_netflix_v5!A$2:H$7370, 5, FALSE), "")</f>
        <v>2016</v>
      </c>
      <c r="F3481" s="2" t="str">
        <f>IF(A3481&lt;&gt;"", VLOOKUP(A3481, imdb_netflix_v5!A$2:H$7370, 7, FALSE), "")</f>
        <v>NA</v>
      </c>
    </row>
    <row r="3482" ht="15.75" customHeight="1">
      <c r="A3482" s="1" t="str">
        <f>IFERROR(__xludf.DUMMYFUNCTION("""COMPUTED_VALUE"""),"police story")</f>
        <v>police story</v>
      </c>
      <c r="B3482" s="1" t="str">
        <f>IF(A3482&lt;&gt;"", VLOOKUP(A3482, imdb_netflix_v5!A$2:H$7370, 2, FALSE), "")</f>
        <v>Movie</v>
      </c>
      <c r="C3482" s="2" t="str">
        <f>IF(A3482&lt;&gt;"", VLOOKUP(A3482, imdb_netflix_v5!A$2:H$7370, 3, FALSE), "")</f>
        <v>Action, Comedy, Crime</v>
      </c>
      <c r="D3482" s="2">
        <f>IF(A3482&lt;&gt;"", VLOOKUP(A3482, imdb_netflix_v5!A$2:H$7370, 4, FALSE), "")</f>
        <v>7.5</v>
      </c>
      <c r="E3482" s="2">
        <f>IF(A3482&lt;&gt;"", VLOOKUP(A3482, imdb_netflix_v5!A$2:H$7370, 5, FALSE), "")</f>
        <v>1985</v>
      </c>
      <c r="F3482" s="2" t="str">
        <f>IF(A3482&lt;&gt;"", VLOOKUP(A3482, imdb_netflix_v5!A$2:H$7370, 7, FALSE), "")</f>
        <v>NA</v>
      </c>
    </row>
    <row r="3483" ht="15.75" customHeight="1">
      <c r="A3483" s="1" t="str">
        <f>IFERROR(__xludf.DUMMYFUNCTION("""COMPUTED_VALUE"""),"shooter")</f>
        <v>shooter</v>
      </c>
      <c r="B3483" s="1" t="str">
        <f>IF(A3483&lt;&gt;"", VLOOKUP(A3483, imdb_netflix_v5!A$2:H$7370, 2, FALSE), "")</f>
        <v>TV Show</v>
      </c>
      <c r="C3483" s="2" t="str">
        <f>IF(A3483&lt;&gt;"", VLOOKUP(A3483, imdb_netflix_v5!A$2:H$7370, 3, FALSE), "")</f>
        <v>Action, Drama</v>
      </c>
      <c r="D3483" s="2">
        <f>IF(A3483&lt;&gt;"", VLOOKUP(A3483, imdb_netflix_v5!A$2:H$7370, 4, FALSE), "")</f>
        <v>7.5</v>
      </c>
      <c r="E3483" s="2">
        <f>IF(A3483&lt;&gt;"", VLOOKUP(A3483, imdb_netflix_v5!A$2:H$7370, 5, FALSE), "")</f>
        <v>2016</v>
      </c>
      <c r="F3483" s="2">
        <f>IF(A3483&lt;&gt;"", VLOOKUP(A3483, imdb_netflix_v5!A$2:H$7370, 7, FALSE), "")</f>
        <v>4700000</v>
      </c>
    </row>
    <row r="3484" ht="15.75" customHeight="1">
      <c r="A3484" s="1" t="str">
        <f>IFERROR(__xludf.DUMMYFUNCTION("""COMPUTED_VALUE"""),"the a-team")</f>
        <v>the a-team</v>
      </c>
      <c r="B3484" s="1" t="str">
        <f>IF(A3484&lt;&gt;"", VLOOKUP(A3484, imdb_netflix_v5!A$2:H$7370, 2, FALSE), "")</f>
        <v>TV Show</v>
      </c>
      <c r="C3484" s="2" t="str">
        <f>IF(A3484&lt;&gt;"", VLOOKUP(A3484, imdb_netflix_v5!A$2:H$7370, 3, FALSE), "")</f>
        <v>Action, Adventure, Crime</v>
      </c>
      <c r="D3484" s="2">
        <f>IF(A3484&lt;&gt;"", VLOOKUP(A3484, imdb_netflix_v5!A$2:H$7370, 4, FALSE), "")</f>
        <v>7.5</v>
      </c>
      <c r="E3484" s="2">
        <f>IF(A3484&lt;&gt;"", VLOOKUP(A3484, imdb_netflix_v5!A$2:H$7370, 5, FALSE), "")</f>
        <v>1983</v>
      </c>
      <c r="F3484" s="2" t="str">
        <f>IF(A3484&lt;&gt;"", VLOOKUP(A3484, imdb_netflix_v5!A$2:H$7370, 7, FALSE), "")</f>
        <v>NA</v>
      </c>
    </row>
    <row r="3485" ht="15.75" customHeight="1">
      <c r="A3485" s="1" t="str">
        <f>IFERROR(__xludf.DUMMYFUNCTION("""COMPUTED_VALUE"""),"the cook, the thief, his wife &amp; her lover")</f>
        <v>the cook, the thief, his wife &amp; her lover</v>
      </c>
      <c r="B3485" s="1" t="str">
        <f>IF(A3485&lt;&gt;"", VLOOKUP(A3485, imdb_netflix_v5!A$2:H$7370, 2, FALSE), "")</f>
        <v>Movie</v>
      </c>
      <c r="C3485" s="2" t="str">
        <f>IF(A3485&lt;&gt;"", VLOOKUP(A3485, imdb_netflix_v5!A$2:H$7370, 3, FALSE), "")</f>
        <v>Crime, Drama</v>
      </c>
      <c r="D3485" s="2">
        <f>IF(A3485&lt;&gt;"", VLOOKUP(A3485, imdb_netflix_v5!A$2:H$7370, 4, FALSE), "")</f>
        <v>7.5</v>
      </c>
      <c r="E3485" s="2">
        <f>IF(A3485&lt;&gt;"", VLOOKUP(A3485, imdb_netflix_v5!A$2:H$7370, 5, FALSE), "")</f>
        <v>1989</v>
      </c>
      <c r="F3485" s="2" t="str">
        <f>IF(A3485&lt;&gt;"", VLOOKUP(A3485, imdb_netflix_v5!A$2:H$7370, 7, FALSE), "")</f>
        <v>NA</v>
      </c>
    </row>
    <row r="3486" ht="15.75" customHeight="1">
      <c r="A3486" s="1" t="str">
        <f>IFERROR(__xludf.DUMMYFUNCTION("""COMPUTED_VALUE"""),"haven")</f>
        <v>haven</v>
      </c>
      <c r="B3486" s="1" t="str">
        <f>IF(A3486&lt;&gt;"", VLOOKUP(A3486, imdb_netflix_v5!A$2:H$7370, 2, FALSE), "")</f>
        <v>TV Show</v>
      </c>
      <c r="C3486" s="2" t="str">
        <f>IF(A3486&lt;&gt;"", VLOOKUP(A3486, imdb_netflix_v5!A$2:H$7370, 3, FALSE), "")</f>
        <v>Crime, Drama, Fantasy</v>
      </c>
      <c r="D3486" s="2">
        <f>IF(A3486&lt;&gt;"", VLOOKUP(A3486, imdb_netflix_v5!A$2:H$7370, 4, FALSE), "")</f>
        <v>7.5</v>
      </c>
      <c r="E3486" s="2">
        <f>IF(A3486&lt;&gt;"", VLOOKUP(A3486, imdb_netflix_v5!A$2:H$7370, 5, FALSE), "")</f>
        <v>2010</v>
      </c>
      <c r="F3486" s="2" t="str">
        <f>IF(A3486&lt;&gt;"", VLOOKUP(A3486, imdb_netflix_v5!A$2:H$7370, 7, FALSE), "")</f>
        <v>NA</v>
      </c>
    </row>
    <row r="3487" ht="15.75" customHeight="1">
      <c r="A3487" s="1" t="str">
        <f>IFERROR(__xludf.DUMMYFUNCTION("""COMPUTED_VALUE"""),"the flintstones")</f>
        <v>the flintstones</v>
      </c>
      <c r="B3487" s="1" t="str">
        <f>IF(A3487&lt;&gt;"", VLOOKUP(A3487, imdb_netflix_v5!A$2:H$7370, 2, FALSE), "")</f>
        <v>TV Show</v>
      </c>
      <c r="C3487" s="2" t="str">
        <f>IF(A3487&lt;&gt;"", VLOOKUP(A3487, imdb_netflix_v5!A$2:H$7370, 3, FALSE), "")</f>
        <v>Adventure, Animation, Comedy</v>
      </c>
      <c r="D3487" s="2">
        <f>IF(A3487&lt;&gt;"", VLOOKUP(A3487, imdb_netflix_v5!A$2:H$7370, 4, FALSE), "")</f>
        <v>7.5</v>
      </c>
      <c r="E3487" s="2">
        <f>IF(A3487&lt;&gt;"", VLOOKUP(A3487, imdb_netflix_v5!A$2:H$7370, 5, FALSE), "")</f>
        <v>1960</v>
      </c>
      <c r="F3487" s="2" t="str">
        <f>IF(A3487&lt;&gt;"", VLOOKUP(A3487, imdb_netflix_v5!A$2:H$7370, 7, FALSE), "")</f>
        <v>NA</v>
      </c>
    </row>
    <row r="3488" ht="15.75" customHeight="1">
      <c r="A3488" s="1" t="str">
        <f>IFERROR(__xludf.DUMMYFUNCTION("""COMPUTED_VALUE"""),"godzilla")</f>
        <v>godzilla</v>
      </c>
      <c r="B3488" s="1" t="str">
        <f>IF(A3488&lt;&gt;"", VLOOKUP(A3488, imdb_netflix_v5!A$2:H$7370, 2, FALSE), "")</f>
        <v>Movie</v>
      </c>
      <c r="C3488" s="2" t="str">
        <f>IF(A3488&lt;&gt;"", VLOOKUP(A3488, imdb_netflix_v5!A$2:H$7370, 3, FALSE), "")</f>
        <v>Horror, Sci-Fi</v>
      </c>
      <c r="D3488" s="2">
        <f>IF(A3488&lt;&gt;"", VLOOKUP(A3488, imdb_netflix_v5!A$2:H$7370, 4, FALSE), "")</f>
        <v>7.5</v>
      </c>
      <c r="E3488" s="2">
        <f>IF(A3488&lt;&gt;"", VLOOKUP(A3488, imdb_netflix_v5!A$2:H$7370, 5, FALSE), "")</f>
        <v>1954</v>
      </c>
      <c r="F3488" s="2" t="str">
        <f>IF(A3488&lt;&gt;"", VLOOKUP(A3488, imdb_netflix_v5!A$2:H$7370, 7, FALSE), "")</f>
        <v>NA</v>
      </c>
    </row>
    <row r="3489" ht="15.75" customHeight="1">
      <c r="A3489" s="1" t="str">
        <f>IFERROR(__xludf.DUMMYFUNCTION("""COMPUTED_VALUE"""),"hair")</f>
        <v>hair</v>
      </c>
      <c r="B3489" s="1" t="str">
        <f>IF(A3489&lt;&gt;"", VLOOKUP(A3489, imdb_netflix_v5!A$2:H$7370, 2, FALSE), "")</f>
        <v>Movie</v>
      </c>
      <c r="C3489" s="2" t="str">
        <f>IF(A3489&lt;&gt;"", VLOOKUP(A3489, imdb_netflix_v5!A$2:H$7370, 3, FALSE), "")</f>
        <v>Comedy, Drama, Musical</v>
      </c>
      <c r="D3489" s="2">
        <f>IF(A3489&lt;&gt;"", VLOOKUP(A3489, imdb_netflix_v5!A$2:H$7370, 4, FALSE), "")</f>
        <v>7.5</v>
      </c>
      <c r="E3489" s="2">
        <f>IF(A3489&lt;&gt;"", VLOOKUP(A3489, imdb_netflix_v5!A$2:H$7370, 5, FALSE), "")</f>
        <v>1979</v>
      </c>
      <c r="F3489" s="2" t="str">
        <f>IF(A3489&lt;&gt;"", VLOOKUP(A3489, imdb_netflix_v5!A$2:H$7370, 7, FALSE), "")</f>
        <v>NA</v>
      </c>
    </row>
    <row r="3490" ht="15.75" customHeight="1">
      <c r="A3490" s="1" t="str">
        <f>IFERROR(__xludf.DUMMYFUNCTION("""COMPUTED_VALUE"""),"hollywood")</f>
        <v>hollywood</v>
      </c>
      <c r="B3490" s="1" t="str">
        <f>IF(A3490&lt;&gt;"", VLOOKUP(A3490, imdb_netflix_v5!A$2:H$7370, 2, FALSE), "")</f>
        <v>TV Show</v>
      </c>
      <c r="C3490" s="2" t="str">
        <f>IF(A3490&lt;&gt;"", VLOOKUP(A3490, imdb_netflix_v5!A$2:H$7370, 3, FALSE), "")</f>
        <v>Drama, History</v>
      </c>
      <c r="D3490" s="2">
        <f>IF(A3490&lt;&gt;"", VLOOKUP(A3490, imdb_netflix_v5!A$2:H$7370, 4, FALSE), "")</f>
        <v>7.5</v>
      </c>
      <c r="E3490" s="2">
        <f>IF(A3490&lt;&gt;"", VLOOKUP(A3490, imdb_netflix_v5!A$2:H$7370, 5, FALSE), "")</f>
        <v>2020</v>
      </c>
      <c r="F3490" s="2" t="str">
        <f>IF(A3490&lt;&gt;"", VLOOKUP(A3490, imdb_netflix_v5!A$2:H$7370, 7, FALSE), "")</f>
        <v>NA</v>
      </c>
    </row>
    <row r="3491" ht="15.75" customHeight="1">
      <c r="A3491" s="1" t="str">
        <f>IFERROR(__xludf.DUMMYFUNCTION("""COMPUTED_VALUE"""),"the hate u give")</f>
        <v>the hate u give</v>
      </c>
      <c r="B3491" s="1" t="str">
        <f>IF(A3491&lt;&gt;"", VLOOKUP(A3491, imdb_netflix_v5!A$2:H$7370, 2, FALSE), "")</f>
        <v>Movie</v>
      </c>
      <c r="C3491" s="2" t="str">
        <f>IF(A3491&lt;&gt;"", VLOOKUP(A3491, imdb_netflix_v5!A$2:H$7370, 3, FALSE), "")</f>
        <v>Crime, Drama</v>
      </c>
      <c r="D3491" s="2">
        <f>IF(A3491&lt;&gt;"", VLOOKUP(A3491, imdb_netflix_v5!A$2:H$7370, 4, FALSE), "")</f>
        <v>7.5</v>
      </c>
      <c r="E3491" s="2">
        <f>IF(A3491&lt;&gt;"", VLOOKUP(A3491, imdb_netflix_v5!A$2:H$7370, 5, FALSE), "")</f>
        <v>2018</v>
      </c>
      <c r="F3491" s="2" t="str">
        <f>IF(A3491&lt;&gt;"", VLOOKUP(A3491, imdb_netflix_v5!A$2:H$7370, 7, FALSE), "")</f>
        <v>NA</v>
      </c>
    </row>
    <row r="3492" ht="15.75" customHeight="1">
      <c r="A3492" s="1">
        <f>IFERROR(__xludf.DUMMYFUNCTION("""COMPUTED_VALUE"""),83.0)</f>
        <v>83</v>
      </c>
      <c r="B3492" s="1" t="str">
        <f>IF(A3492&lt;&gt;"", VLOOKUP(A3492, imdb_netflix_v5!A$2:H$7370, 2, FALSE), "")</f>
        <v>Movie</v>
      </c>
      <c r="C3492" s="2" t="str">
        <f>IF(A3492&lt;&gt;"", VLOOKUP(A3492, imdb_netflix_v5!A$2:H$7370, 3, FALSE), "")</f>
        <v>Biography, Drama, History</v>
      </c>
      <c r="D3492" s="2">
        <f>IF(A3492&lt;&gt;"", VLOOKUP(A3492, imdb_netflix_v5!A$2:H$7370, 4, FALSE), "")</f>
        <v>7.5</v>
      </c>
      <c r="E3492" s="2">
        <f>IF(A3492&lt;&gt;"", VLOOKUP(A3492, imdb_netflix_v5!A$2:H$7370, 5, FALSE), "")</f>
        <v>2021</v>
      </c>
      <c r="F3492" s="2">
        <f>IF(A3492&lt;&gt;"", VLOOKUP(A3492, imdb_netflix_v5!A$2:H$7370, 7, FALSE), "")</f>
        <v>3120000</v>
      </c>
    </row>
    <row r="3493" ht="15.75" customHeight="1">
      <c r="A3493" s="1" t="str">
        <f>IFERROR(__xludf.DUMMYFUNCTION("""COMPUTED_VALUE"""),"love &amp; death")</f>
        <v>love &amp; death</v>
      </c>
      <c r="B3493" s="1" t="str">
        <f>IF(A3493&lt;&gt;"", VLOOKUP(A3493, imdb_netflix_v5!A$2:H$7370, 2, FALSE), "")</f>
        <v>TV Show</v>
      </c>
      <c r="C3493" s="2" t="str">
        <f>IF(A3493&lt;&gt;"", VLOOKUP(A3493, imdb_netflix_v5!A$2:H$7370, 3, FALSE), "")</f>
        <v>Biography, Crime, Drama</v>
      </c>
      <c r="D3493" s="2">
        <f>IF(A3493&lt;&gt;"", VLOOKUP(A3493, imdb_netflix_v5!A$2:H$7370, 4, FALSE), "")</f>
        <v>7.5</v>
      </c>
      <c r="E3493" s="2">
        <f>IF(A3493&lt;&gt;"", VLOOKUP(A3493, imdb_netflix_v5!A$2:H$7370, 5, FALSE), "")</f>
        <v>2023</v>
      </c>
      <c r="F3493" s="2" t="str">
        <f>IF(A3493&lt;&gt;"", VLOOKUP(A3493, imdb_netflix_v5!A$2:H$7370, 7, FALSE), "")</f>
        <v>NA</v>
      </c>
    </row>
    <row r="3494" ht="15.75" customHeight="1">
      <c r="A3494" s="1" t="str">
        <f>IFERROR(__xludf.DUMMYFUNCTION("""COMPUTED_VALUE"""),"the many adventures of winnie the pooh")</f>
        <v>the many adventures of winnie the pooh</v>
      </c>
      <c r="B3494" s="1" t="str">
        <f>IF(A3494&lt;&gt;"", VLOOKUP(A3494, imdb_netflix_v5!A$2:H$7370, 2, FALSE), "")</f>
        <v>Movie</v>
      </c>
      <c r="C3494" s="2" t="str">
        <f>IF(A3494&lt;&gt;"", VLOOKUP(A3494, imdb_netflix_v5!A$2:H$7370, 3, FALSE), "")</f>
        <v>Animation, Comedy, Family</v>
      </c>
      <c r="D3494" s="2">
        <f>IF(A3494&lt;&gt;"", VLOOKUP(A3494, imdb_netflix_v5!A$2:H$7370, 4, FALSE), "")</f>
        <v>7.5</v>
      </c>
      <c r="E3494" s="2">
        <f>IF(A3494&lt;&gt;"", VLOOKUP(A3494, imdb_netflix_v5!A$2:H$7370, 5, FALSE), "")</f>
        <v>1977</v>
      </c>
      <c r="F3494" s="2" t="str">
        <f>IF(A3494&lt;&gt;"", VLOOKUP(A3494, imdb_netflix_v5!A$2:H$7370, 7, FALSE), "")</f>
        <v>NA</v>
      </c>
    </row>
    <row r="3495" ht="15.75" customHeight="1">
      <c r="A3495" s="1" t="str">
        <f>IFERROR(__xludf.DUMMYFUNCTION("""COMPUTED_VALUE"""),"the red turtle")</f>
        <v>the red turtle</v>
      </c>
      <c r="B3495" s="1" t="str">
        <f>IF(A3495&lt;&gt;"", VLOOKUP(A3495, imdb_netflix_v5!A$2:H$7370, 2, FALSE), "")</f>
        <v>Movie</v>
      </c>
      <c r="C3495" s="2" t="str">
        <f>IF(A3495&lt;&gt;"", VLOOKUP(A3495, imdb_netflix_v5!A$2:H$7370, 3, FALSE), "")</f>
        <v>Animation, Drama, Family</v>
      </c>
      <c r="D3495" s="2">
        <f>IF(A3495&lt;&gt;"", VLOOKUP(A3495, imdb_netflix_v5!A$2:H$7370, 4, FALSE), "")</f>
        <v>7.5</v>
      </c>
      <c r="E3495" s="2">
        <f>IF(A3495&lt;&gt;"", VLOOKUP(A3495, imdb_netflix_v5!A$2:H$7370, 5, FALSE), "")</f>
        <v>2016</v>
      </c>
      <c r="F3495" s="2" t="str">
        <f>IF(A3495&lt;&gt;"", VLOOKUP(A3495, imdb_netflix_v5!A$2:H$7370, 7, FALSE), "")</f>
        <v>NA</v>
      </c>
    </row>
    <row r="3496" ht="15.75" customHeight="1">
      <c r="A3496" s="1" t="str">
        <f>IFERROR(__xludf.DUMMYFUNCTION("""COMPUTED_VALUE"""),"the long goodbye")</f>
        <v>the long goodbye</v>
      </c>
      <c r="B3496" s="1" t="str">
        <f>IF(A3496&lt;&gt;"", VLOOKUP(A3496, imdb_netflix_v5!A$2:H$7370, 2, FALSE), "")</f>
        <v>Movie</v>
      </c>
      <c r="C3496" s="2" t="str">
        <f>IF(A3496&lt;&gt;"", VLOOKUP(A3496, imdb_netflix_v5!A$2:H$7370, 3, FALSE), "")</f>
        <v>Comedy, Crime, Drama</v>
      </c>
      <c r="D3496" s="2">
        <f>IF(A3496&lt;&gt;"", VLOOKUP(A3496, imdb_netflix_v5!A$2:H$7370, 4, FALSE), "")</f>
        <v>7.5</v>
      </c>
      <c r="E3496" s="2">
        <f>IF(A3496&lt;&gt;"", VLOOKUP(A3496, imdb_netflix_v5!A$2:H$7370, 5, FALSE), "")</f>
        <v>1973</v>
      </c>
      <c r="F3496" s="2" t="str">
        <f>IF(A3496&lt;&gt;"", VLOOKUP(A3496, imdb_netflix_v5!A$2:H$7370, 7, FALSE), "")</f>
        <v>NA</v>
      </c>
    </row>
    <row r="3497" ht="15.75" customHeight="1">
      <c r="A3497" s="1" t="str">
        <f>IFERROR(__xludf.DUMMYFUNCTION("""COMPUTED_VALUE"""),"mersal")</f>
        <v>mersal</v>
      </c>
      <c r="B3497" s="1" t="str">
        <f>IF(A3497&lt;&gt;"", VLOOKUP(A3497, imdb_netflix_v5!A$2:H$7370, 2, FALSE), "")</f>
        <v>Movie</v>
      </c>
      <c r="C3497" s="2" t="str">
        <f>IF(A3497&lt;&gt;"", VLOOKUP(A3497, imdb_netflix_v5!A$2:H$7370, 3, FALSE), "")</f>
        <v>Action, Crime, Thriller</v>
      </c>
      <c r="D3497" s="2">
        <f>IF(A3497&lt;&gt;"", VLOOKUP(A3497, imdb_netflix_v5!A$2:H$7370, 4, FALSE), "")</f>
        <v>7.5</v>
      </c>
      <c r="E3497" s="2">
        <f>IF(A3497&lt;&gt;"", VLOOKUP(A3497, imdb_netflix_v5!A$2:H$7370, 5, FALSE), "")</f>
        <v>2017</v>
      </c>
      <c r="F3497" s="2" t="str">
        <f>IF(A3497&lt;&gt;"", VLOOKUP(A3497, imdb_netflix_v5!A$2:H$7370, 7, FALSE), "")</f>
        <v>NA</v>
      </c>
    </row>
    <row r="3498" ht="15.75" customHeight="1">
      <c r="A3498" s="1" t="str">
        <f>IFERROR(__xludf.DUMMYFUNCTION("""COMPUTED_VALUE"""),"the secret of kells")</f>
        <v>the secret of kells</v>
      </c>
      <c r="B3498" s="1" t="str">
        <f>IF(A3498&lt;&gt;"", VLOOKUP(A3498, imdb_netflix_v5!A$2:H$7370, 2, FALSE), "")</f>
        <v>Movie</v>
      </c>
      <c r="C3498" s="2" t="str">
        <f>IF(A3498&lt;&gt;"", VLOOKUP(A3498, imdb_netflix_v5!A$2:H$7370, 3, FALSE), "")</f>
        <v>Adventure, Animation, Family</v>
      </c>
      <c r="D3498" s="2">
        <f>IF(A3498&lt;&gt;"", VLOOKUP(A3498, imdb_netflix_v5!A$2:H$7370, 4, FALSE), "")</f>
        <v>7.5</v>
      </c>
      <c r="E3498" s="2">
        <f>IF(A3498&lt;&gt;"", VLOOKUP(A3498, imdb_netflix_v5!A$2:H$7370, 5, FALSE), "")</f>
        <v>2009</v>
      </c>
      <c r="F3498" s="2" t="str">
        <f>IF(A3498&lt;&gt;"", VLOOKUP(A3498, imdb_netflix_v5!A$2:H$7370, 7, FALSE), "")</f>
        <v>NA</v>
      </c>
    </row>
    <row r="3499" ht="15.75" customHeight="1">
      <c r="A3499" s="1" t="str">
        <f>IFERROR(__xludf.DUMMYFUNCTION("""COMPUTED_VALUE"""),"murder in mahim")</f>
        <v>murder in mahim</v>
      </c>
      <c r="B3499" s="1" t="str">
        <f>IF(A3499&lt;&gt;"", VLOOKUP(A3499, imdb_netflix_v5!A$2:H$7370, 2, FALSE), "")</f>
        <v>TV Show</v>
      </c>
      <c r="C3499" s="2" t="str">
        <f>IF(A3499&lt;&gt;"", VLOOKUP(A3499, imdb_netflix_v5!A$2:H$7370, 3, FALSE), "")</f>
        <v>Mystery</v>
      </c>
      <c r="D3499" s="2">
        <f>IF(A3499&lt;&gt;"", VLOOKUP(A3499, imdb_netflix_v5!A$2:H$7370, 4, FALSE), "")</f>
        <v>7.5</v>
      </c>
      <c r="E3499" s="2">
        <f>IF(A3499&lt;&gt;"", VLOOKUP(A3499, imdb_netflix_v5!A$2:H$7370, 5, FALSE), "")</f>
        <v>2024</v>
      </c>
      <c r="F3499" s="2" t="str">
        <f>IF(A3499&lt;&gt;"", VLOOKUP(A3499, imdb_netflix_v5!A$2:H$7370, 7, FALSE), "")</f>
        <v>NA</v>
      </c>
    </row>
    <row r="3500" ht="15.75" customHeight="1">
      <c r="A3500" s="1" t="str">
        <f>IFERROR(__xludf.DUMMYFUNCTION("""COMPUTED_VALUE"""),"little big man")</f>
        <v>little big man</v>
      </c>
      <c r="B3500" s="1" t="str">
        <f>IF(A3500&lt;&gt;"", VLOOKUP(A3500, imdb_netflix_v5!A$2:H$7370, 2, FALSE), "")</f>
        <v>Movie</v>
      </c>
      <c r="C3500" s="2" t="str">
        <f>IF(A3500&lt;&gt;"", VLOOKUP(A3500, imdb_netflix_v5!A$2:H$7370, 3, FALSE), "")</f>
        <v>Adventure, Comedy, Drama</v>
      </c>
      <c r="D3500" s="2">
        <f>IF(A3500&lt;&gt;"", VLOOKUP(A3500, imdb_netflix_v5!A$2:H$7370, 4, FALSE), "")</f>
        <v>7.5</v>
      </c>
      <c r="E3500" s="2">
        <f>IF(A3500&lt;&gt;"", VLOOKUP(A3500, imdb_netflix_v5!A$2:H$7370, 5, FALSE), "")</f>
        <v>1970</v>
      </c>
      <c r="F3500" s="2" t="str">
        <f>IF(A3500&lt;&gt;"", VLOOKUP(A3500, imdb_netflix_v5!A$2:H$7370, 7, FALSE), "")</f>
        <v>NA</v>
      </c>
    </row>
    <row r="3501" ht="15.75" customHeight="1">
      <c r="A3501" s="1" t="str">
        <f>IFERROR(__xludf.DUMMYFUNCTION("""COMPUTED_VALUE"""),"the dropout")</f>
        <v>the dropout</v>
      </c>
      <c r="B3501" s="1" t="str">
        <f>IF(A3501&lt;&gt;"", VLOOKUP(A3501, imdb_netflix_v5!A$2:H$7370, 2, FALSE), "")</f>
        <v>TV Show</v>
      </c>
      <c r="C3501" s="2" t="str">
        <f>IF(A3501&lt;&gt;"", VLOOKUP(A3501, imdb_netflix_v5!A$2:H$7370, 3, FALSE), "")</f>
        <v>Biography, Drama</v>
      </c>
      <c r="D3501" s="2">
        <f>IF(A3501&lt;&gt;"", VLOOKUP(A3501, imdb_netflix_v5!A$2:H$7370, 4, FALSE), "")</f>
        <v>7.5</v>
      </c>
      <c r="E3501" s="2">
        <f>IF(A3501&lt;&gt;"", VLOOKUP(A3501, imdb_netflix_v5!A$2:H$7370, 5, FALSE), "")</f>
        <v>2022</v>
      </c>
      <c r="F3501" s="2" t="str">
        <f>IF(A3501&lt;&gt;"", VLOOKUP(A3501, imdb_netflix_v5!A$2:H$7370, 7, FALSE), "")</f>
        <v>NA</v>
      </c>
    </row>
    <row r="3502" ht="15.75" customHeight="1">
      <c r="A3502" s="1" t="str">
        <f>IFERROR(__xludf.DUMMYFUNCTION("""COMPUTED_VALUE"""),"stalingrad")</f>
        <v>stalingrad</v>
      </c>
      <c r="B3502" s="1" t="str">
        <f>IF(A3502&lt;&gt;"", VLOOKUP(A3502, imdb_netflix_v5!A$2:H$7370, 2, FALSE), "")</f>
        <v>Movie</v>
      </c>
      <c r="C3502" s="2" t="str">
        <f>IF(A3502&lt;&gt;"", VLOOKUP(A3502, imdb_netflix_v5!A$2:H$7370, 3, FALSE), "")</f>
        <v>Drama, War</v>
      </c>
      <c r="D3502" s="2">
        <f>IF(A3502&lt;&gt;"", VLOOKUP(A3502, imdb_netflix_v5!A$2:H$7370, 4, FALSE), "")</f>
        <v>7.5</v>
      </c>
      <c r="E3502" s="2">
        <f>IF(A3502&lt;&gt;"", VLOOKUP(A3502, imdb_netflix_v5!A$2:H$7370, 5, FALSE), "")</f>
        <v>1993</v>
      </c>
      <c r="F3502" s="2" t="str">
        <f>IF(A3502&lt;&gt;"", VLOOKUP(A3502, imdb_netflix_v5!A$2:H$7370, 7, FALSE), "")</f>
        <v>NA</v>
      </c>
    </row>
    <row r="3503" ht="15.75" customHeight="1">
      <c r="A3503" s="1" t="str">
        <f>IFERROR(__xludf.DUMMYFUNCTION("""COMPUTED_VALUE"""),"last man standing")</f>
        <v>last man standing</v>
      </c>
      <c r="B3503" s="1" t="str">
        <f>IF(A3503&lt;&gt;"", VLOOKUP(A3503, imdb_netflix_v5!A$2:H$7370, 2, FALSE), "")</f>
        <v>TV Show</v>
      </c>
      <c r="C3503" s="2" t="str">
        <f>IF(A3503&lt;&gt;"", VLOOKUP(A3503, imdb_netflix_v5!A$2:H$7370, 3, FALSE), "")</f>
        <v>Comedy</v>
      </c>
      <c r="D3503" s="2">
        <f>IF(A3503&lt;&gt;"", VLOOKUP(A3503, imdb_netflix_v5!A$2:H$7370, 4, FALSE), "")</f>
        <v>7.5</v>
      </c>
      <c r="E3503" s="2">
        <f>IF(A3503&lt;&gt;"", VLOOKUP(A3503, imdb_netflix_v5!A$2:H$7370, 5, FALSE), "")</f>
        <v>2011</v>
      </c>
      <c r="F3503" s="2" t="str">
        <f>IF(A3503&lt;&gt;"", VLOOKUP(A3503, imdb_netflix_v5!A$2:H$7370, 7, FALSE), "")</f>
        <v>NA</v>
      </c>
    </row>
    <row r="3504" ht="15.75" customHeight="1">
      <c r="A3504" s="1" t="str">
        <f>IFERROR(__xludf.DUMMYFUNCTION("""COMPUTED_VALUE"""),"tora! tora! tora!")</f>
        <v>tora! tora! tora!</v>
      </c>
      <c r="B3504" s="1" t="str">
        <f>IF(A3504&lt;&gt;"", VLOOKUP(A3504, imdb_netflix_v5!A$2:H$7370, 2, FALSE), "")</f>
        <v>Movie</v>
      </c>
      <c r="C3504" s="2" t="str">
        <f>IF(A3504&lt;&gt;"", VLOOKUP(A3504, imdb_netflix_v5!A$2:H$7370, 3, FALSE), "")</f>
        <v>Action, Drama, History</v>
      </c>
      <c r="D3504" s="2">
        <f>IF(A3504&lt;&gt;"", VLOOKUP(A3504, imdb_netflix_v5!A$2:H$7370, 4, FALSE), "")</f>
        <v>7.5</v>
      </c>
      <c r="E3504" s="2">
        <f>IF(A3504&lt;&gt;"", VLOOKUP(A3504, imdb_netflix_v5!A$2:H$7370, 5, FALSE), "")</f>
        <v>1970</v>
      </c>
      <c r="F3504" s="2" t="str">
        <f>IF(A3504&lt;&gt;"", VLOOKUP(A3504, imdb_netflix_v5!A$2:H$7370, 7, FALSE), "")</f>
        <v>NA</v>
      </c>
    </row>
    <row r="3505" ht="15.75" customHeight="1">
      <c r="A3505" s="1" t="str">
        <f>IFERROR(__xludf.DUMMYFUNCTION("""COMPUTED_VALUE"""),"interstate 60")</f>
        <v>interstate 60</v>
      </c>
      <c r="B3505" s="1" t="str">
        <f>IF(A3505&lt;&gt;"", VLOOKUP(A3505, imdb_netflix_v5!A$2:H$7370, 2, FALSE), "")</f>
        <v>Movie</v>
      </c>
      <c r="C3505" s="2" t="str">
        <f>IF(A3505&lt;&gt;"", VLOOKUP(A3505, imdb_netflix_v5!A$2:H$7370, 3, FALSE), "")</f>
        <v>Adventure, Comedy, Drama</v>
      </c>
      <c r="D3505" s="2">
        <f>IF(A3505&lt;&gt;"", VLOOKUP(A3505, imdb_netflix_v5!A$2:H$7370, 4, FALSE), "")</f>
        <v>7.5</v>
      </c>
      <c r="E3505" s="2">
        <f>IF(A3505&lt;&gt;"", VLOOKUP(A3505, imdb_netflix_v5!A$2:H$7370, 5, FALSE), "")</f>
        <v>2002</v>
      </c>
      <c r="F3505" s="2" t="str">
        <f>IF(A3505&lt;&gt;"", VLOOKUP(A3505, imdb_netflix_v5!A$2:H$7370, 7, FALSE), "")</f>
        <v>NA</v>
      </c>
    </row>
    <row r="3506" ht="15.75" customHeight="1">
      <c r="A3506" s="1" t="str">
        <f>IFERROR(__xludf.DUMMYFUNCTION("""COMPUTED_VALUE"""),"under the banner of heaven")</f>
        <v>under the banner of heaven</v>
      </c>
      <c r="B3506" s="1" t="str">
        <f>IF(A3506&lt;&gt;"", VLOOKUP(A3506, imdb_netflix_v5!A$2:H$7370, 2, FALSE), "")</f>
        <v>TV Show</v>
      </c>
      <c r="C3506" s="2" t="str">
        <f>IF(A3506&lt;&gt;"", VLOOKUP(A3506, imdb_netflix_v5!A$2:H$7370, 3, FALSE), "")</f>
        <v>Crime, Drama, Mystery</v>
      </c>
      <c r="D3506" s="2">
        <f>IF(A3506&lt;&gt;"", VLOOKUP(A3506, imdb_netflix_v5!A$2:H$7370, 4, FALSE), "")</f>
        <v>7.5</v>
      </c>
      <c r="E3506" s="2">
        <f>IF(A3506&lt;&gt;"", VLOOKUP(A3506, imdb_netflix_v5!A$2:H$7370, 5, FALSE), "")</f>
        <v>2022</v>
      </c>
      <c r="F3506" s="2" t="str">
        <f>IF(A3506&lt;&gt;"", VLOOKUP(A3506, imdb_netflix_v5!A$2:H$7370, 7, FALSE), "")</f>
        <v>NA</v>
      </c>
    </row>
    <row r="3507" ht="15.75" customHeight="1">
      <c r="A3507" s="1" t="str">
        <f>IFERROR(__xludf.DUMMYFUNCTION("""COMPUTED_VALUE"""),"i lost my body")</f>
        <v>i lost my body</v>
      </c>
      <c r="B3507" s="1" t="str">
        <f>IF(A3507&lt;&gt;"", VLOOKUP(A3507, imdb_netflix_v5!A$2:H$7370, 2, FALSE), "")</f>
        <v>Movie</v>
      </c>
      <c r="C3507" s="2" t="str">
        <f>IF(A3507&lt;&gt;"", VLOOKUP(A3507, imdb_netflix_v5!A$2:H$7370, 3, FALSE), "")</f>
        <v>Animation, Drama, Fantasy</v>
      </c>
      <c r="D3507" s="2">
        <f>IF(A3507&lt;&gt;"", VLOOKUP(A3507, imdb_netflix_v5!A$2:H$7370, 4, FALSE), "")</f>
        <v>7.5</v>
      </c>
      <c r="E3507" s="2">
        <f>IF(A3507&lt;&gt;"", VLOOKUP(A3507, imdb_netflix_v5!A$2:H$7370, 5, FALSE), "")</f>
        <v>2019</v>
      </c>
      <c r="F3507" s="2" t="str">
        <f>IF(A3507&lt;&gt;"", VLOOKUP(A3507, imdb_netflix_v5!A$2:H$7370, 7, FALSE), "")</f>
        <v>NA</v>
      </c>
    </row>
    <row r="3508" ht="15.75" customHeight="1">
      <c r="A3508" s="1" t="str">
        <f>IFERROR(__xludf.DUMMYFUNCTION("""COMPUTED_VALUE"""),"tanhaji the unsung warrior")</f>
        <v>tanhaji the unsung warrior</v>
      </c>
      <c r="B3508" s="1" t="str">
        <f>IF(A3508&lt;&gt;"", VLOOKUP(A3508, imdb_netflix_v5!A$2:H$7370, 2, FALSE), "")</f>
        <v>Movie</v>
      </c>
      <c r="C3508" s="2" t="str">
        <f>IF(A3508&lt;&gt;"", VLOOKUP(A3508, imdb_netflix_v5!A$2:H$7370, 3, FALSE), "")</f>
        <v>Action, Biography, Drama</v>
      </c>
      <c r="D3508" s="2">
        <f>IF(A3508&lt;&gt;"", VLOOKUP(A3508, imdb_netflix_v5!A$2:H$7370, 4, FALSE), "")</f>
        <v>7.5</v>
      </c>
      <c r="E3508" s="2">
        <f>IF(A3508&lt;&gt;"", VLOOKUP(A3508, imdb_netflix_v5!A$2:H$7370, 5, FALSE), "")</f>
        <v>2020</v>
      </c>
      <c r="F3508" s="2" t="str">
        <f>IF(A3508&lt;&gt;"", VLOOKUP(A3508, imdb_netflix_v5!A$2:H$7370, 7, FALSE), "")</f>
        <v>NA</v>
      </c>
    </row>
    <row r="3509" ht="15.75" customHeight="1">
      <c r="A3509" s="1" t="str">
        <f>IFERROR(__xludf.DUMMYFUNCTION("""COMPUTED_VALUE"""),"mesrine killer instinct")</f>
        <v>mesrine killer instinct</v>
      </c>
      <c r="B3509" s="1" t="str">
        <f>IF(A3509&lt;&gt;"", VLOOKUP(A3509, imdb_netflix_v5!A$2:H$7370, 2, FALSE), "")</f>
        <v>Movie</v>
      </c>
      <c r="C3509" s="2" t="str">
        <f>IF(A3509&lt;&gt;"", VLOOKUP(A3509, imdb_netflix_v5!A$2:H$7370, 3, FALSE), "")</f>
        <v>Action, Biography, Crime</v>
      </c>
      <c r="D3509" s="2">
        <f>IF(A3509&lt;&gt;"", VLOOKUP(A3509, imdb_netflix_v5!A$2:H$7370, 4, FALSE), "")</f>
        <v>7.5</v>
      </c>
      <c r="E3509" s="2">
        <f>IF(A3509&lt;&gt;"", VLOOKUP(A3509, imdb_netflix_v5!A$2:H$7370, 5, FALSE), "")</f>
        <v>2008</v>
      </c>
      <c r="F3509" s="2" t="str">
        <f>IF(A3509&lt;&gt;"", VLOOKUP(A3509, imdb_netflix_v5!A$2:H$7370, 7, FALSE), "")</f>
        <v>NA</v>
      </c>
    </row>
    <row r="3510" ht="15.75" customHeight="1">
      <c r="A3510" s="1" t="str">
        <f>IFERROR(__xludf.DUMMYFUNCTION("""COMPUTED_VALUE"""),"the mindy project")</f>
        <v>the mindy project</v>
      </c>
      <c r="B3510" s="1" t="str">
        <f>IF(A3510&lt;&gt;"", VLOOKUP(A3510, imdb_netflix_v5!A$2:H$7370, 2, FALSE), "")</f>
        <v>TV Show</v>
      </c>
      <c r="C3510" s="2" t="str">
        <f>IF(A3510&lt;&gt;"", VLOOKUP(A3510, imdb_netflix_v5!A$2:H$7370, 3, FALSE), "")</f>
        <v>Comedy</v>
      </c>
      <c r="D3510" s="2">
        <f>IF(A3510&lt;&gt;"", VLOOKUP(A3510, imdb_netflix_v5!A$2:H$7370, 4, FALSE), "")</f>
        <v>7.5</v>
      </c>
      <c r="E3510" s="2">
        <f>IF(A3510&lt;&gt;"", VLOOKUP(A3510, imdb_netflix_v5!A$2:H$7370, 5, FALSE), "")</f>
        <v>2012</v>
      </c>
      <c r="F3510" s="2" t="str">
        <f>IF(A3510&lt;&gt;"", VLOOKUP(A3510, imdb_netflix_v5!A$2:H$7370, 7, FALSE), "")</f>
        <v>NA</v>
      </c>
    </row>
    <row r="3511" ht="15.75" customHeight="1">
      <c r="A3511" s="1" t="str">
        <f>IFERROR(__xludf.DUMMYFUNCTION("""COMPUTED_VALUE"""),"jodhaa akbar")</f>
        <v>jodhaa akbar</v>
      </c>
      <c r="B3511" s="1" t="str">
        <f>IF(A3511&lt;&gt;"", VLOOKUP(A3511, imdb_netflix_v5!A$2:H$7370, 2, FALSE), "")</f>
        <v>Movie</v>
      </c>
      <c r="C3511" s="2" t="str">
        <f>IF(A3511&lt;&gt;"", VLOOKUP(A3511, imdb_netflix_v5!A$2:H$7370, 3, FALSE), "")</f>
        <v>Action, Drama, History</v>
      </c>
      <c r="D3511" s="2">
        <f>IF(A3511&lt;&gt;"", VLOOKUP(A3511, imdb_netflix_v5!A$2:H$7370, 4, FALSE), "")</f>
        <v>7.5</v>
      </c>
      <c r="E3511" s="2">
        <f>IF(A3511&lt;&gt;"", VLOOKUP(A3511, imdb_netflix_v5!A$2:H$7370, 5, FALSE), "")</f>
        <v>2008</v>
      </c>
      <c r="F3511" s="2" t="str">
        <f>IF(A3511&lt;&gt;"", VLOOKUP(A3511, imdb_netflix_v5!A$2:H$7370, 7, FALSE), "")</f>
        <v>NA</v>
      </c>
    </row>
    <row r="3512" ht="15.75" customHeight="1">
      <c r="A3512" s="1" t="str">
        <f>IFERROR(__xludf.DUMMYFUNCTION("""COMPUTED_VALUE"""),"beavis and butt-head")</f>
        <v>beavis and butt-head</v>
      </c>
      <c r="B3512" s="1" t="str">
        <f>IF(A3512&lt;&gt;"", VLOOKUP(A3512, imdb_netflix_v5!A$2:H$7370, 2, FALSE), "")</f>
        <v>TV Show</v>
      </c>
      <c r="C3512" s="2" t="str">
        <f>IF(A3512&lt;&gt;"", VLOOKUP(A3512, imdb_netflix_v5!A$2:H$7370, 3, FALSE), "")</f>
        <v>Animation, Comedy, Music</v>
      </c>
      <c r="D3512" s="2">
        <f>IF(A3512&lt;&gt;"", VLOOKUP(A3512, imdb_netflix_v5!A$2:H$7370, 4, FALSE), "")</f>
        <v>7.5</v>
      </c>
      <c r="E3512" s="2">
        <f>IF(A3512&lt;&gt;"", VLOOKUP(A3512, imdb_netflix_v5!A$2:H$7370, 5, FALSE), "")</f>
        <v>1993</v>
      </c>
      <c r="F3512" s="2" t="str">
        <f>IF(A3512&lt;&gt;"", VLOOKUP(A3512, imdb_netflix_v5!A$2:H$7370, 7, FALSE), "")</f>
        <v>NA</v>
      </c>
    </row>
    <row r="3513" ht="15.75" customHeight="1">
      <c r="A3513" s="1" t="str">
        <f>IFERROR(__xludf.DUMMYFUNCTION("""COMPUTED_VALUE"""),"bhool bhulaiyaa")</f>
        <v>bhool bhulaiyaa</v>
      </c>
      <c r="B3513" s="1" t="str">
        <f>IF(A3513&lt;&gt;"", VLOOKUP(A3513, imdb_netflix_v5!A$2:H$7370, 2, FALSE), "")</f>
        <v>Movie</v>
      </c>
      <c r="C3513" s="2" t="str">
        <f>IF(A3513&lt;&gt;"", VLOOKUP(A3513, imdb_netflix_v5!A$2:H$7370, 3, FALSE), "")</f>
        <v>Comedy, Horror, Mystery</v>
      </c>
      <c r="D3513" s="2">
        <f>IF(A3513&lt;&gt;"", VLOOKUP(A3513, imdb_netflix_v5!A$2:H$7370, 4, FALSE), "")</f>
        <v>7.5</v>
      </c>
      <c r="E3513" s="2">
        <f>IF(A3513&lt;&gt;"", VLOOKUP(A3513, imdb_netflix_v5!A$2:H$7370, 5, FALSE), "")</f>
        <v>2007</v>
      </c>
      <c r="F3513" s="2" t="str">
        <f>IF(A3513&lt;&gt;"", VLOOKUP(A3513, imdb_netflix_v5!A$2:H$7370, 7, FALSE), "")</f>
        <v>NA</v>
      </c>
    </row>
    <row r="3514" ht="15.75" customHeight="1">
      <c r="A3514" s="1" t="str">
        <f>IFERROR(__xludf.DUMMYFUNCTION("""COMPUTED_VALUE"""),"the lady from shanghai")</f>
        <v>the lady from shanghai</v>
      </c>
      <c r="B3514" s="1" t="str">
        <f>IF(A3514&lt;&gt;"", VLOOKUP(A3514, imdb_netflix_v5!A$2:H$7370, 2, FALSE), "")</f>
        <v>Movie</v>
      </c>
      <c r="C3514" s="2" t="str">
        <f>IF(A3514&lt;&gt;"", VLOOKUP(A3514, imdb_netflix_v5!A$2:H$7370, 3, FALSE), "")</f>
        <v>Crime, Drama, Film-Noir</v>
      </c>
      <c r="D3514" s="2">
        <f>IF(A3514&lt;&gt;"", VLOOKUP(A3514, imdb_netflix_v5!A$2:H$7370, 4, FALSE), "")</f>
        <v>7.5</v>
      </c>
      <c r="E3514" s="2">
        <f>IF(A3514&lt;&gt;"", VLOOKUP(A3514, imdb_netflix_v5!A$2:H$7370, 5, FALSE), "")</f>
        <v>1947</v>
      </c>
      <c r="F3514" s="2" t="str">
        <f>IF(A3514&lt;&gt;"", VLOOKUP(A3514, imdb_netflix_v5!A$2:H$7370, 7, FALSE), "")</f>
        <v>NA</v>
      </c>
    </row>
    <row r="3515" ht="15.75" customHeight="1">
      <c r="A3515" s="1" t="str">
        <f>IFERROR(__xludf.DUMMYFUNCTION("""COMPUTED_VALUE"""),"sin nombre")</f>
        <v>sin nombre</v>
      </c>
      <c r="B3515" s="1" t="str">
        <f>IF(A3515&lt;&gt;"", VLOOKUP(A3515, imdb_netflix_v5!A$2:H$7370, 2, FALSE), "")</f>
        <v>Movie</v>
      </c>
      <c r="C3515" s="2" t="str">
        <f>IF(A3515&lt;&gt;"", VLOOKUP(A3515, imdb_netflix_v5!A$2:H$7370, 3, FALSE), "")</f>
        <v>Adventure, Crime, Drama</v>
      </c>
      <c r="D3515" s="2">
        <f>IF(A3515&lt;&gt;"", VLOOKUP(A3515, imdb_netflix_v5!A$2:H$7370, 4, FALSE), "")</f>
        <v>7.5</v>
      </c>
      <c r="E3515" s="2">
        <f>IF(A3515&lt;&gt;"", VLOOKUP(A3515, imdb_netflix_v5!A$2:H$7370, 5, FALSE), "")</f>
        <v>2009</v>
      </c>
      <c r="F3515" s="2">
        <f>IF(A3515&lt;&gt;"", VLOOKUP(A3515, imdb_netflix_v5!A$2:H$7370, 7, FALSE), "")</f>
        <v>1830000</v>
      </c>
    </row>
    <row r="3516" ht="15.75" customHeight="1">
      <c r="A3516" s="1" t="str">
        <f>IFERROR(__xludf.DUMMYFUNCTION("""COMPUTED_VALUE"""),"tyrannosaur")</f>
        <v>tyrannosaur</v>
      </c>
      <c r="B3516" s="1" t="str">
        <f>IF(A3516&lt;&gt;"", VLOOKUP(A3516, imdb_netflix_v5!A$2:H$7370, 2, FALSE), "")</f>
        <v>Movie</v>
      </c>
      <c r="C3516" s="2" t="str">
        <f>IF(A3516&lt;&gt;"", VLOOKUP(A3516, imdb_netflix_v5!A$2:H$7370, 3, FALSE), "")</f>
        <v>Drama</v>
      </c>
      <c r="D3516" s="2">
        <f>IF(A3516&lt;&gt;"", VLOOKUP(A3516, imdb_netflix_v5!A$2:H$7370, 4, FALSE), "")</f>
        <v>7.5</v>
      </c>
      <c r="E3516" s="2">
        <f>IF(A3516&lt;&gt;"", VLOOKUP(A3516, imdb_netflix_v5!A$2:H$7370, 5, FALSE), "")</f>
        <v>2011</v>
      </c>
      <c r="F3516" s="2" t="str">
        <f>IF(A3516&lt;&gt;"", VLOOKUP(A3516, imdb_netflix_v5!A$2:H$7370, 7, FALSE), "")</f>
        <v>NA</v>
      </c>
    </row>
    <row r="3517" ht="15.75" customHeight="1">
      <c r="A3517" s="1" t="str">
        <f>IFERROR(__xludf.DUMMYFUNCTION("""COMPUTED_VALUE"""),"instructions not included")</f>
        <v>instructions not included</v>
      </c>
      <c r="B3517" s="1" t="str">
        <f>IF(A3517&lt;&gt;"", VLOOKUP(A3517, imdb_netflix_v5!A$2:H$7370, 2, FALSE), "")</f>
        <v>Movie</v>
      </c>
      <c r="C3517" s="2" t="str">
        <f>IF(A3517&lt;&gt;"", VLOOKUP(A3517, imdb_netflix_v5!A$2:H$7370, 3, FALSE), "")</f>
        <v>Comedy, Drama</v>
      </c>
      <c r="D3517" s="2">
        <f>IF(A3517&lt;&gt;"", VLOOKUP(A3517, imdb_netflix_v5!A$2:H$7370, 4, FALSE), "")</f>
        <v>7.5</v>
      </c>
      <c r="E3517" s="2">
        <f>IF(A3517&lt;&gt;"", VLOOKUP(A3517, imdb_netflix_v5!A$2:H$7370, 5, FALSE), "")</f>
        <v>2013</v>
      </c>
      <c r="F3517" s="2" t="str">
        <f>IF(A3517&lt;&gt;"", VLOOKUP(A3517, imdb_netflix_v5!A$2:H$7370, 7, FALSE), "")</f>
        <v>NA</v>
      </c>
    </row>
    <row r="3518" ht="15.75" customHeight="1">
      <c r="A3518" s="1" t="str">
        <f>IFERROR(__xludf.DUMMYFUNCTION("""COMPUTED_VALUE"""),"waves")</f>
        <v>waves</v>
      </c>
      <c r="B3518" s="1" t="str">
        <f>IF(A3518&lt;&gt;"", VLOOKUP(A3518, imdb_netflix_v5!A$2:H$7370, 2, FALSE), "")</f>
        <v>Movie</v>
      </c>
      <c r="C3518" s="2" t="str">
        <f>IF(A3518&lt;&gt;"", VLOOKUP(A3518, imdb_netflix_v5!A$2:H$7370, 3, FALSE), "")</f>
        <v>Drama, Romance, Sport</v>
      </c>
      <c r="D3518" s="2">
        <f>IF(A3518&lt;&gt;"", VLOOKUP(A3518, imdb_netflix_v5!A$2:H$7370, 4, FALSE), "")</f>
        <v>7.5</v>
      </c>
      <c r="E3518" s="2">
        <f>IF(A3518&lt;&gt;"", VLOOKUP(A3518, imdb_netflix_v5!A$2:H$7370, 5, FALSE), "")</f>
        <v>2019</v>
      </c>
      <c r="F3518" s="2" t="str">
        <f>IF(A3518&lt;&gt;"", VLOOKUP(A3518, imdb_netflix_v5!A$2:H$7370, 7, FALSE), "")</f>
        <v>NA</v>
      </c>
    </row>
    <row r="3519" ht="15.75" customHeight="1">
      <c r="A3519" s="1" t="str">
        <f>IFERROR(__xludf.DUMMYFUNCTION("""COMPUTED_VALUE"""),"cobain montage of heck")</f>
        <v>cobain montage of heck</v>
      </c>
      <c r="B3519" s="1" t="str">
        <f>IF(A3519&lt;&gt;"", VLOOKUP(A3519, imdb_netflix_v5!A$2:H$7370, 2, FALSE), "")</f>
        <v>Movie</v>
      </c>
      <c r="C3519" s="2" t="str">
        <f>IF(A3519&lt;&gt;"", VLOOKUP(A3519, imdb_netflix_v5!A$2:H$7370, 3, FALSE), "")</f>
        <v>Animation, Biography, Documentary</v>
      </c>
      <c r="D3519" s="2">
        <f>IF(A3519&lt;&gt;"", VLOOKUP(A3519, imdb_netflix_v5!A$2:H$7370, 4, FALSE), "")</f>
        <v>7.5</v>
      </c>
      <c r="E3519" s="2">
        <f>IF(A3519&lt;&gt;"", VLOOKUP(A3519, imdb_netflix_v5!A$2:H$7370, 5, FALSE), "")</f>
        <v>2015</v>
      </c>
      <c r="F3519" s="2" t="str">
        <f>IF(A3519&lt;&gt;"", VLOOKUP(A3519, imdb_netflix_v5!A$2:H$7370, 7, FALSE), "")</f>
        <v>NA</v>
      </c>
    </row>
    <row r="3520" ht="15.75" customHeight="1">
      <c r="A3520" s="1" t="str">
        <f>IFERROR(__xludf.DUMMYFUNCTION("""COMPUTED_VALUE"""),"henry v")</f>
        <v>henry v</v>
      </c>
      <c r="B3520" s="1" t="str">
        <f>IF(A3520&lt;&gt;"", VLOOKUP(A3520, imdb_netflix_v5!A$2:H$7370, 2, FALSE), "")</f>
        <v>Movie</v>
      </c>
      <c r="C3520" s="2" t="str">
        <f>IF(A3520&lt;&gt;"", VLOOKUP(A3520, imdb_netflix_v5!A$2:H$7370, 3, FALSE), "")</f>
        <v>Biography, Drama, History</v>
      </c>
      <c r="D3520" s="2">
        <f>IF(A3520&lt;&gt;"", VLOOKUP(A3520, imdb_netflix_v5!A$2:H$7370, 4, FALSE), "")</f>
        <v>7.5</v>
      </c>
      <c r="E3520" s="2">
        <f>IF(A3520&lt;&gt;"", VLOOKUP(A3520, imdb_netflix_v5!A$2:H$7370, 5, FALSE), "")</f>
        <v>1989</v>
      </c>
      <c r="F3520" s="2" t="str">
        <f>IF(A3520&lt;&gt;"", VLOOKUP(A3520, imdb_netflix_v5!A$2:H$7370, 7, FALSE), "")</f>
        <v>NA</v>
      </c>
    </row>
    <row r="3521" ht="15.75" customHeight="1">
      <c r="A3521" s="1" t="str">
        <f>IFERROR(__xludf.DUMMYFUNCTION("""COMPUTED_VALUE"""),"dil se..")</f>
        <v>dil se..</v>
      </c>
      <c r="B3521" s="1" t="str">
        <f>IF(A3521&lt;&gt;"", VLOOKUP(A3521, imdb_netflix_v5!A$2:H$7370, 2, FALSE), "")</f>
        <v>Movie</v>
      </c>
      <c r="C3521" s="2" t="str">
        <f>IF(A3521&lt;&gt;"", VLOOKUP(A3521, imdb_netflix_v5!A$2:H$7370, 3, FALSE), "")</f>
        <v>Drama, Romance</v>
      </c>
      <c r="D3521" s="2">
        <f>IF(A3521&lt;&gt;"", VLOOKUP(A3521, imdb_netflix_v5!A$2:H$7370, 4, FALSE), "")</f>
        <v>7.5</v>
      </c>
      <c r="E3521" s="2">
        <f>IF(A3521&lt;&gt;"", VLOOKUP(A3521, imdb_netflix_v5!A$2:H$7370, 5, FALSE), "")</f>
        <v>1998</v>
      </c>
      <c r="F3521" s="2" t="str">
        <f>IF(A3521&lt;&gt;"", VLOOKUP(A3521, imdb_netflix_v5!A$2:H$7370, 7, FALSE), "")</f>
        <v>NA</v>
      </c>
    </row>
    <row r="3522" ht="15.75" customHeight="1">
      <c r="A3522" s="1" t="str">
        <f>IFERROR(__xludf.DUMMYFUNCTION("""COMPUTED_VALUE"""),"you can count on me")</f>
        <v>you can count on me</v>
      </c>
      <c r="B3522" s="1" t="str">
        <f>IF(A3522&lt;&gt;"", VLOOKUP(A3522, imdb_netflix_v5!A$2:H$7370, 2, FALSE), "")</f>
        <v>Movie</v>
      </c>
      <c r="C3522" s="2" t="str">
        <f>IF(A3522&lt;&gt;"", VLOOKUP(A3522, imdb_netflix_v5!A$2:H$7370, 3, FALSE), "")</f>
        <v>Drama</v>
      </c>
      <c r="D3522" s="2">
        <f>IF(A3522&lt;&gt;"", VLOOKUP(A3522, imdb_netflix_v5!A$2:H$7370, 4, FALSE), "")</f>
        <v>7.5</v>
      </c>
      <c r="E3522" s="2">
        <f>IF(A3522&lt;&gt;"", VLOOKUP(A3522, imdb_netflix_v5!A$2:H$7370, 5, FALSE), "")</f>
        <v>2000</v>
      </c>
      <c r="F3522" s="2" t="str">
        <f>IF(A3522&lt;&gt;"", VLOOKUP(A3522, imdb_netflix_v5!A$2:H$7370, 7, FALSE), "")</f>
        <v>NA</v>
      </c>
    </row>
    <row r="3523" ht="15.75" customHeight="1">
      <c r="A3523" s="1" t="str">
        <f>IFERROR(__xludf.DUMMYFUNCTION("""COMPUTED_VALUE"""),"monty pythons and now for something completely different")</f>
        <v>monty pythons and now for something completely different</v>
      </c>
      <c r="B3523" s="1" t="str">
        <f>IF(A3523&lt;&gt;"", VLOOKUP(A3523, imdb_netflix_v5!A$2:H$7370, 2, FALSE), "")</f>
        <v>Movie</v>
      </c>
      <c r="C3523" s="2" t="str">
        <f>IF(A3523&lt;&gt;"", VLOOKUP(A3523, imdb_netflix_v5!A$2:H$7370, 3, FALSE), "")</f>
        <v>Comedy</v>
      </c>
      <c r="D3523" s="2">
        <f>IF(A3523&lt;&gt;"", VLOOKUP(A3523, imdb_netflix_v5!A$2:H$7370, 4, FALSE), "")</f>
        <v>7.5</v>
      </c>
      <c r="E3523" s="2">
        <f>IF(A3523&lt;&gt;"", VLOOKUP(A3523, imdb_netflix_v5!A$2:H$7370, 5, FALSE), "")</f>
        <v>1971</v>
      </c>
      <c r="F3523" s="2" t="str">
        <f>IF(A3523&lt;&gt;"", VLOOKUP(A3523, imdb_netflix_v5!A$2:H$7370, 7, FALSE), "")</f>
        <v>NA</v>
      </c>
    </row>
    <row r="3524" ht="15.75" customHeight="1">
      <c r="A3524" s="1" t="str">
        <f>IFERROR(__xludf.DUMMYFUNCTION("""COMPUTED_VALUE"""),"husbands and wives")</f>
        <v>husbands and wives</v>
      </c>
      <c r="B3524" s="1" t="str">
        <f>IF(A3524&lt;&gt;"", VLOOKUP(A3524, imdb_netflix_v5!A$2:H$7370, 2, FALSE), "")</f>
        <v>Movie</v>
      </c>
      <c r="C3524" s="2" t="str">
        <f>IF(A3524&lt;&gt;"", VLOOKUP(A3524, imdb_netflix_v5!A$2:H$7370, 3, FALSE), "")</f>
        <v>Comedy, Drama, Romance</v>
      </c>
      <c r="D3524" s="2">
        <f>IF(A3524&lt;&gt;"", VLOOKUP(A3524, imdb_netflix_v5!A$2:H$7370, 4, FALSE), "")</f>
        <v>7.5</v>
      </c>
      <c r="E3524" s="2">
        <f>IF(A3524&lt;&gt;"", VLOOKUP(A3524, imdb_netflix_v5!A$2:H$7370, 5, FALSE), "")</f>
        <v>1992</v>
      </c>
      <c r="F3524" s="2" t="str">
        <f>IF(A3524&lt;&gt;"", VLOOKUP(A3524, imdb_netflix_v5!A$2:H$7370, 7, FALSE), "")</f>
        <v>NA</v>
      </c>
    </row>
    <row r="3525" ht="15.75" customHeight="1">
      <c r="A3525" s="1" t="str">
        <f>IFERROR(__xludf.DUMMYFUNCTION("""COMPUTED_VALUE"""),"evil genius the true story of americas most diabolical bank heist")</f>
        <v>evil genius the true story of americas most diabolical bank heist</v>
      </c>
      <c r="B3525" s="1" t="str">
        <f>IF(A3525&lt;&gt;"", VLOOKUP(A3525, imdb_netflix_v5!A$2:H$7370, 2, FALSE), "")</f>
        <v>TV Show</v>
      </c>
      <c r="C3525" s="2" t="str">
        <f>IF(A3525&lt;&gt;"", VLOOKUP(A3525, imdb_netflix_v5!A$2:H$7370, 3, FALSE), "")</f>
        <v>Crime, Documentary</v>
      </c>
      <c r="D3525" s="2">
        <f>IF(A3525&lt;&gt;"", VLOOKUP(A3525, imdb_netflix_v5!A$2:H$7370, 4, FALSE), "")</f>
        <v>7.5</v>
      </c>
      <c r="E3525" s="2">
        <f>IF(A3525&lt;&gt;"", VLOOKUP(A3525, imdb_netflix_v5!A$2:H$7370, 5, FALSE), "")</f>
        <v>2018</v>
      </c>
      <c r="F3525" s="2" t="str">
        <f>IF(A3525&lt;&gt;"", VLOOKUP(A3525, imdb_netflix_v5!A$2:H$7370, 7, FALSE), "")</f>
        <v>NA</v>
      </c>
    </row>
    <row r="3526" ht="15.75" customHeight="1">
      <c r="A3526" s="1" t="str">
        <f>IFERROR(__xludf.DUMMYFUNCTION("""COMPUTED_VALUE"""),"night stalker the hunt for a serial killer")</f>
        <v>night stalker the hunt for a serial killer</v>
      </c>
      <c r="B3526" s="1" t="str">
        <f>IF(A3526&lt;&gt;"", VLOOKUP(A3526, imdb_netflix_v5!A$2:H$7370, 2, FALSE), "")</f>
        <v>TV Show</v>
      </c>
      <c r="C3526" s="2" t="str">
        <f>IF(A3526&lt;&gt;"", VLOOKUP(A3526, imdb_netflix_v5!A$2:H$7370, 3, FALSE), "")</f>
        <v>Crime, Documentary, Mystery</v>
      </c>
      <c r="D3526" s="2">
        <f>IF(A3526&lt;&gt;"", VLOOKUP(A3526, imdb_netflix_v5!A$2:H$7370, 4, FALSE), "")</f>
        <v>7.5</v>
      </c>
      <c r="E3526" s="2">
        <f>IF(A3526&lt;&gt;"", VLOOKUP(A3526, imdb_netflix_v5!A$2:H$7370, 5, FALSE), "")</f>
        <v>2021</v>
      </c>
      <c r="F3526" s="2" t="str">
        <f>IF(A3526&lt;&gt;"", VLOOKUP(A3526, imdb_netflix_v5!A$2:H$7370, 7, FALSE), "")</f>
        <v>NA</v>
      </c>
    </row>
    <row r="3527" ht="15.75" customHeight="1">
      <c r="A3527" s="1" t="str">
        <f>IFERROR(__xludf.DUMMYFUNCTION("""COMPUTED_VALUE"""),"mystery train")</f>
        <v>mystery train</v>
      </c>
      <c r="B3527" s="1" t="str">
        <f>IF(A3527&lt;&gt;"", VLOOKUP(A3527, imdb_netflix_v5!A$2:H$7370, 2, FALSE), "")</f>
        <v>Movie</v>
      </c>
      <c r="C3527" s="2" t="str">
        <f>IF(A3527&lt;&gt;"", VLOOKUP(A3527, imdb_netflix_v5!A$2:H$7370, 3, FALSE), "")</f>
        <v>Comedy, Crime, Drama</v>
      </c>
      <c r="D3527" s="2">
        <f>IF(A3527&lt;&gt;"", VLOOKUP(A3527, imdb_netflix_v5!A$2:H$7370, 4, FALSE), "")</f>
        <v>7.5</v>
      </c>
      <c r="E3527" s="2">
        <f>IF(A3527&lt;&gt;"", VLOOKUP(A3527, imdb_netflix_v5!A$2:H$7370, 5, FALSE), "")</f>
        <v>1989</v>
      </c>
      <c r="F3527" s="2" t="str">
        <f>IF(A3527&lt;&gt;"", VLOOKUP(A3527, imdb_netflix_v5!A$2:H$7370, 7, FALSE), "")</f>
        <v>NA</v>
      </c>
    </row>
    <row r="3528" ht="15.75" customHeight="1">
      <c r="A3528" s="1" t="str">
        <f>IFERROR(__xludf.DUMMYFUNCTION("""COMPUTED_VALUE"""),"el dorado")</f>
        <v>el dorado</v>
      </c>
      <c r="B3528" s="1" t="str">
        <f>IF(A3528&lt;&gt;"", VLOOKUP(A3528, imdb_netflix_v5!A$2:H$7370, 2, FALSE), "")</f>
        <v>Movie</v>
      </c>
      <c r="C3528" s="2" t="str">
        <f>IF(A3528&lt;&gt;"", VLOOKUP(A3528, imdb_netflix_v5!A$2:H$7370, 3, FALSE), "")</f>
        <v>Drama, Romance, Western</v>
      </c>
      <c r="D3528" s="2">
        <f>IF(A3528&lt;&gt;"", VLOOKUP(A3528, imdb_netflix_v5!A$2:H$7370, 4, FALSE), "")</f>
        <v>7.5</v>
      </c>
      <c r="E3528" s="2">
        <f>IF(A3528&lt;&gt;"", VLOOKUP(A3528, imdb_netflix_v5!A$2:H$7370, 5, FALSE), "")</f>
        <v>1966</v>
      </c>
      <c r="F3528" s="2" t="str">
        <f>IF(A3528&lt;&gt;"", VLOOKUP(A3528, imdb_netflix_v5!A$2:H$7370, 7, FALSE), "")</f>
        <v>NA</v>
      </c>
    </row>
    <row r="3529" ht="15.75" customHeight="1">
      <c r="A3529" s="1" t="str">
        <f>IFERROR(__xludf.DUMMYFUNCTION("""COMPUTED_VALUE"""),"christiane f.")</f>
        <v>christiane f.</v>
      </c>
      <c r="B3529" s="1" t="str">
        <f>IF(A3529&lt;&gt;"", VLOOKUP(A3529, imdb_netflix_v5!A$2:H$7370, 2, FALSE), "")</f>
        <v>Movie</v>
      </c>
      <c r="C3529" s="2" t="str">
        <f>IF(A3529&lt;&gt;"", VLOOKUP(A3529, imdb_netflix_v5!A$2:H$7370, 3, FALSE), "")</f>
        <v>Biography, Drama</v>
      </c>
      <c r="D3529" s="2">
        <f>IF(A3529&lt;&gt;"", VLOOKUP(A3529, imdb_netflix_v5!A$2:H$7370, 4, FALSE), "")</f>
        <v>7.5</v>
      </c>
      <c r="E3529" s="2">
        <f>IF(A3529&lt;&gt;"", VLOOKUP(A3529, imdb_netflix_v5!A$2:H$7370, 5, FALSE), "")</f>
        <v>1981</v>
      </c>
      <c r="F3529" s="2" t="str">
        <f>IF(A3529&lt;&gt;"", VLOOKUP(A3529, imdb_netflix_v5!A$2:H$7370, 7, FALSE), "")</f>
        <v>NA</v>
      </c>
    </row>
    <row r="3530" ht="15.75" customHeight="1">
      <c r="A3530" s="1" t="str">
        <f>IFERROR(__xludf.DUMMYFUNCTION("""COMPUTED_VALUE"""),"roswell")</f>
        <v>roswell</v>
      </c>
      <c r="B3530" s="1" t="str">
        <f>IF(A3530&lt;&gt;"", VLOOKUP(A3530, imdb_netflix_v5!A$2:H$7370, 2, FALSE), "")</f>
        <v>TV Show</v>
      </c>
      <c r="C3530" s="2" t="str">
        <f>IF(A3530&lt;&gt;"", VLOOKUP(A3530, imdb_netflix_v5!A$2:H$7370, 3, FALSE), "")</f>
        <v>Drama, Mystery, Romance</v>
      </c>
      <c r="D3530" s="2">
        <f>IF(A3530&lt;&gt;"", VLOOKUP(A3530, imdb_netflix_v5!A$2:H$7370, 4, FALSE), "")</f>
        <v>7.5</v>
      </c>
      <c r="E3530" s="2">
        <f>IF(A3530&lt;&gt;"", VLOOKUP(A3530, imdb_netflix_v5!A$2:H$7370, 5, FALSE), "")</f>
        <v>1999</v>
      </c>
      <c r="F3530" s="2" t="str">
        <f>IF(A3530&lt;&gt;"", VLOOKUP(A3530, imdb_netflix_v5!A$2:H$7370, 7, FALSE), "")</f>
        <v>NA</v>
      </c>
    </row>
    <row r="3531" ht="15.75" customHeight="1">
      <c r="A3531" s="1" t="str">
        <f>IFERROR(__xludf.DUMMYFUNCTION("""COMPUTED_VALUE"""),"a hero")</f>
        <v>a hero</v>
      </c>
      <c r="B3531" s="1" t="str">
        <f>IF(A3531&lt;&gt;"", VLOOKUP(A3531, imdb_netflix_v5!A$2:H$7370, 2, FALSE), "")</f>
        <v>Movie</v>
      </c>
      <c r="C3531" s="2" t="str">
        <f>IF(A3531&lt;&gt;"", VLOOKUP(A3531, imdb_netflix_v5!A$2:H$7370, 3, FALSE), "")</f>
        <v>Drama</v>
      </c>
      <c r="D3531" s="2">
        <f>IF(A3531&lt;&gt;"", VLOOKUP(A3531, imdb_netflix_v5!A$2:H$7370, 4, FALSE), "")</f>
        <v>7.5</v>
      </c>
      <c r="E3531" s="2">
        <f>IF(A3531&lt;&gt;"", VLOOKUP(A3531, imdb_netflix_v5!A$2:H$7370, 5, FALSE), "")</f>
        <v>2021</v>
      </c>
      <c r="F3531" s="2" t="str">
        <f>IF(A3531&lt;&gt;"", VLOOKUP(A3531, imdb_netflix_v5!A$2:H$7370, 7, FALSE), "")</f>
        <v>NA</v>
      </c>
    </row>
    <row r="3532" ht="15.75" customHeight="1">
      <c r="A3532" s="1" t="str">
        <f>IFERROR(__xludf.DUMMYFUNCTION("""COMPUTED_VALUE"""),"them")</f>
        <v>them</v>
      </c>
      <c r="B3532" s="1" t="str">
        <f>IF(A3532&lt;&gt;"", VLOOKUP(A3532, imdb_netflix_v5!A$2:H$7370, 2, FALSE), "")</f>
        <v>TV Show</v>
      </c>
      <c r="C3532" s="2" t="str">
        <f>IF(A3532&lt;&gt;"", VLOOKUP(A3532, imdb_netflix_v5!A$2:H$7370, 3, FALSE), "")</f>
        <v>Drama, Horror, Thriller</v>
      </c>
      <c r="D3532" s="2">
        <f>IF(A3532&lt;&gt;"", VLOOKUP(A3532, imdb_netflix_v5!A$2:H$7370, 4, FALSE), "")</f>
        <v>7.5</v>
      </c>
      <c r="E3532" s="2">
        <f>IF(A3532&lt;&gt;"", VLOOKUP(A3532, imdb_netflix_v5!A$2:H$7370, 5, FALSE), "")</f>
        <v>2021</v>
      </c>
      <c r="F3532" s="2" t="str">
        <f>IF(A3532&lt;&gt;"", VLOOKUP(A3532, imdb_netflix_v5!A$2:H$7370, 7, FALSE), "")</f>
        <v>NA</v>
      </c>
    </row>
    <row r="3533" ht="15.75" customHeight="1">
      <c r="A3533" s="1" t="str">
        <f>IFERROR(__xludf.DUMMYFUNCTION("""COMPUTED_VALUE"""),"how to steal a million")</f>
        <v>how to steal a million</v>
      </c>
      <c r="B3533" s="1" t="str">
        <f>IF(A3533&lt;&gt;"", VLOOKUP(A3533, imdb_netflix_v5!A$2:H$7370, 2, FALSE), "")</f>
        <v>Movie</v>
      </c>
      <c r="C3533" s="2" t="str">
        <f>IF(A3533&lt;&gt;"", VLOOKUP(A3533, imdb_netflix_v5!A$2:H$7370, 3, FALSE), "")</f>
        <v>Comedy, Crime, Romance</v>
      </c>
      <c r="D3533" s="2">
        <f>IF(A3533&lt;&gt;"", VLOOKUP(A3533, imdb_netflix_v5!A$2:H$7370, 4, FALSE), "")</f>
        <v>7.5</v>
      </c>
      <c r="E3533" s="2">
        <f>IF(A3533&lt;&gt;"", VLOOKUP(A3533, imdb_netflix_v5!A$2:H$7370, 5, FALSE), "")</f>
        <v>1966</v>
      </c>
      <c r="F3533" s="2" t="str">
        <f>IF(A3533&lt;&gt;"", VLOOKUP(A3533, imdb_netflix_v5!A$2:H$7370, 7, FALSE), "")</f>
        <v>NA</v>
      </c>
    </row>
    <row r="3534" ht="15.75" customHeight="1">
      <c r="A3534" s="1" t="str">
        <f>IFERROR(__xludf.DUMMYFUNCTION("""COMPUTED_VALUE"""),"on body and soul")</f>
        <v>on body and soul</v>
      </c>
      <c r="B3534" s="1" t="str">
        <f>IF(A3534&lt;&gt;"", VLOOKUP(A3534, imdb_netflix_v5!A$2:H$7370, 2, FALSE), "")</f>
        <v>Movie</v>
      </c>
      <c r="C3534" s="2" t="str">
        <f>IF(A3534&lt;&gt;"", VLOOKUP(A3534, imdb_netflix_v5!A$2:H$7370, 3, FALSE), "")</f>
        <v>Drama, Fantasy, Mystery</v>
      </c>
      <c r="D3534" s="2">
        <f>IF(A3534&lt;&gt;"", VLOOKUP(A3534, imdb_netflix_v5!A$2:H$7370, 4, FALSE), "")</f>
        <v>7.5</v>
      </c>
      <c r="E3534" s="2">
        <f>IF(A3534&lt;&gt;"", VLOOKUP(A3534, imdb_netflix_v5!A$2:H$7370, 5, FALSE), "")</f>
        <v>2017</v>
      </c>
      <c r="F3534" s="2" t="str">
        <f>IF(A3534&lt;&gt;"", VLOOKUP(A3534, imdb_netflix_v5!A$2:H$7370, 7, FALSE), "")</f>
        <v>NA</v>
      </c>
    </row>
    <row r="3535" ht="15.75" customHeight="1">
      <c r="A3535" s="1" t="str">
        <f>IFERROR(__xludf.DUMMYFUNCTION("""COMPUTED_VALUE"""),"the barbarian invasions")</f>
        <v>the barbarian invasions</v>
      </c>
      <c r="B3535" s="1" t="str">
        <f>IF(A3535&lt;&gt;"", VLOOKUP(A3535, imdb_netflix_v5!A$2:H$7370, 2, FALSE), "")</f>
        <v>Movie</v>
      </c>
      <c r="C3535" s="2" t="str">
        <f>IF(A3535&lt;&gt;"", VLOOKUP(A3535, imdb_netflix_v5!A$2:H$7370, 3, FALSE), "")</f>
        <v>Comedy, Crime, Drama</v>
      </c>
      <c r="D3535" s="2">
        <f>IF(A3535&lt;&gt;"", VLOOKUP(A3535, imdb_netflix_v5!A$2:H$7370, 4, FALSE), "")</f>
        <v>7.5</v>
      </c>
      <c r="E3535" s="2">
        <f>IF(A3535&lt;&gt;"", VLOOKUP(A3535, imdb_netflix_v5!A$2:H$7370, 5, FALSE), "")</f>
        <v>2003</v>
      </c>
      <c r="F3535" s="2" t="str">
        <f>IF(A3535&lt;&gt;"", VLOOKUP(A3535, imdb_netflix_v5!A$2:H$7370, 7, FALSE), "")</f>
        <v>NA</v>
      </c>
    </row>
    <row r="3536" ht="15.75" customHeight="1">
      <c r="A3536" s="1" t="str">
        <f>IFERROR(__xludf.DUMMYFUNCTION("""COMPUTED_VALUE"""),"ben 10")</f>
        <v>ben 10</v>
      </c>
      <c r="B3536" s="1" t="str">
        <f>IF(A3536&lt;&gt;"", VLOOKUP(A3536, imdb_netflix_v5!A$2:H$7370, 2, FALSE), "")</f>
        <v>TV Show</v>
      </c>
      <c r="C3536" s="2" t="str">
        <f>IF(A3536&lt;&gt;"", VLOOKUP(A3536, imdb_netflix_v5!A$2:H$7370, 3, FALSE), "")</f>
        <v>Action, Adventure, Animation</v>
      </c>
      <c r="D3536" s="2">
        <f>IF(A3536&lt;&gt;"", VLOOKUP(A3536, imdb_netflix_v5!A$2:H$7370, 4, FALSE), "")</f>
        <v>7.5</v>
      </c>
      <c r="E3536" s="2">
        <f>IF(A3536&lt;&gt;"", VLOOKUP(A3536, imdb_netflix_v5!A$2:H$7370, 5, FALSE), "")</f>
        <v>2005</v>
      </c>
      <c r="F3536" s="2" t="str">
        <f>IF(A3536&lt;&gt;"", VLOOKUP(A3536, imdb_netflix_v5!A$2:H$7370, 7, FALSE), "")</f>
        <v>NA</v>
      </c>
    </row>
    <row r="3537" ht="15.75" customHeight="1">
      <c r="A3537" s="1" t="str">
        <f>IFERROR(__xludf.DUMMYFUNCTION("""COMPUTED_VALUE"""),"boy")</f>
        <v>boy</v>
      </c>
      <c r="B3537" s="1" t="str">
        <f>IF(A3537&lt;&gt;"", VLOOKUP(A3537, imdb_netflix_v5!A$2:H$7370, 2, FALSE), "")</f>
        <v>Movie</v>
      </c>
      <c r="C3537" s="2" t="str">
        <f>IF(A3537&lt;&gt;"", VLOOKUP(A3537, imdb_netflix_v5!A$2:H$7370, 3, FALSE), "")</f>
        <v>Comedy, Drama</v>
      </c>
      <c r="D3537" s="2">
        <f>IF(A3537&lt;&gt;"", VLOOKUP(A3537, imdb_netflix_v5!A$2:H$7370, 4, FALSE), "")</f>
        <v>7.5</v>
      </c>
      <c r="E3537" s="2">
        <f>IF(A3537&lt;&gt;"", VLOOKUP(A3537, imdb_netflix_v5!A$2:H$7370, 5, FALSE), "")</f>
        <v>2010</v>
      </c>
      <c r="F3537" s="2" t="str">
        <f>IF(A3537&lt;&gt;"", VLOOKUP(A3537, imdb_netflix_v5!A$2:H$7370, 7, FALSE), "")</f>
        <v>NA</v>
      </c>
    </row>
    <row r="3538" ht="15.75" customHeight="1">
      <c r="A3538" s="1" t="str">
        <f>IFERROR(__xludf.DUMMYFUNCTION("""COMPUTED_VALUE"""),"to strike")</f>
        <v>to strike</v>
      </c>
      <c r="B3538" s="1" t="str">
        <f>IF(A3538&lt;&gt;"", VLOOKUP(A3538, imdb_netflix_v5!A$2:H$7370, 2, FALSE), "")</f>
        <v>Movie</v>
      </c>
      <c r="C3538" s="2" t="str">
        <f>IF(A3538&lt;&gt;"", VLOOKUP(A3538, imdb_netflix_v5!A$2:H$7370, 3, FALSE), "")</f>
        <v>Action, Crime, Drama</v>
      </c>
      <c r="D3538" s="2">
        <f>IF(A3538&lt;&gt;"", VLOOKUP(A3538, imdb_netflix_v5!A$2:H$7370, 4, FALSE), "")</f>
        <v>7.5</v>
      </c>
      <c r="E3538" s="2">
        <f>IF(A3538&lt;&gt;"", VLOOKUP(A3538, imdb_netflix_v5!A$2:H$7370, 5, FALSE), "")</f>
        <v>2013</v>
      </c>
      <c r="F3538" s="2" t="str">
        <f>IF(A3538&lt;&gt;"", VLOOKUP(A3538, imdb_netflix_v5!A$2:H$7370, 7, FALSE), "")</f>
        <v>NA</v>
      </c>
    </row>
    <row r="3539" ht="15.75" customHeight="1">
      <c r="A3539" s="1" t="str">
        <f>IFERROR(__xludf.DUMMYFUNCTION("""COMPUTED_VALUE"""),"magnum, p.i.")</f>
        <v>magnum, p.i.</v>
      </c>
      <c r="B3539" s="1" t="str">
        <f>IF(A3539&lt;&gt;"", VLOOKUP(A3539, imdb_netflix_v5!A$2:H$7370, 2, FALSE), "")</f>
        <v>TV Show</v>
      </c>
      <c r="C3539" s="2" t="str">
        <f>IF(A3539&lt;&gt;"", VLOOKUP(A3539, imdb_netflix_v5!A$2:H$7370, 3, FALSE), "")</f>
        <v>Action, Adventure, Crime</v>
      </c>
      <c r="D3539" s="2">
        <f>IF(A3539&lt;&gt;"", VLOOKUP(A3539, imdb_netflix_v5!A$2:H$7370, 4, FALSE), "")</f>
        <v>7.5</v>
      </c>
      <c r="E3539" s="2">
        <f>IF(A3539&lt;&gt;"", VLOOKUP(A3539, imdb_netflix_v5!A$2:H$7370, 5, FALSE), "")</f>
        <v>1980</v>
      </c>
      <c r="F3539" s="2" t="str">
        <f>IF(A3539&lt;&gt;"", VLOOKUP(A3539, imdb_netflix_v5!A$2:H$7370, 7, FALSE), "")</f>
        <v>NA</v>
      </c>
    </row>
    <row r="3540" ht="15.75" customHeight="1">
      <c r="A3540" s="1" t="str">
        <f>IFERROR(__xludf.DUMMYFUNCTION("""COMPUTED_VALUE"""),"one life")</f>
        <v>one life</v>
      </c>
      <c r="B3540" s="1" t="str">
        <f>IF(A3540&lt;&gt;"", VLOOKUP(A3540, imdb_netflix_v5!A$2:H$7370, 2, FALSE), "")</f>
        <v>Movie</v>
      </c>
      <c r="C3540" s="2" t="str">
        <f>IF(A3540&lt;&gt;"", VLOOKUP(A3540, imdb_netflix_v5!A$2:H$7370, 3, FALSE), "")</f>
        <v>Biography, Drama, History</v>
      </c>
      <c r="D3540" s="2">
        <f>IF(A3540&lt;&gt;"", VLOOKUP(A3540, imdb_netflix_v5!A$2:H$7370, 4, FALSE), "")</f>
        <v>7.5</v>
      </c>
      <c r="E3540" s="2">
        <f>IF(A3540&lt;&gt;"", VLOOKUP(A3540, imdb_netflix_v5!A$2:H$7370, 5, FALSE), "")</f>
        <v>2023</v>
      </c>
      <c r="F3540" s="2" t="str">
        <f>IF(A3540&lt;&gt;"", VLOOKUP(A3540, imdb_netflix_v5!A$2:H$7370, 7, FALSE), "")</f>
        <v>NA</v>
      </c>
    </row>
    <row r="3541" ht="15.75" customHeight="1">
      <c r="A3541" s="1" t="str">
        <f>IFERROR(__xludf.DUMMYFUNCTION("""COMPUTED_VALUE"""),"the walking dead daryl dixon")</f>
        <v>the walking dead daryl dixon</v>
      </c>
      <c r="B3541" s="1" t="str">
        <f>IF(A3541&lt;&gt;"", VLOOKUP(A3541, imdb_netflix_v5!A$2:H$7370, 2, FALSE), "")</f>
        <v>TV Show</v>
      </c>
      <c r="C3541" s="2" t="str">
        <f>IF(A3541&lt;&gt;"", VLOOKUP(A3541, imdb_netflix_v5!A$2:H$7370, 3, FALSE), "")</f>
        <v>Drama, Horror</v>
      </c>
      <c r="D3541" s="2">
        <f>IF(A3541&lt;&gt;"", VLOOKUP(A3541, imdb_netflix_v5!A$2:H$7370, 4, FALSE), "")</f>
        <v>7.5</v>
      </c>
      <c r="E3541" s="2">
        <f>IF(A3541&lt;&gt;"", VLOOKUP(A3541, imdb_netflix_v5!A$2:H$7370, 5, FALSE), "")</f>
        <v>2023</v>
      </c>
      <c r="F3541" s="2" t="str">
        <f>IF(A3541&lt;&gt;"", VLOOKUP(A3541, imdb_netflix_v5!A$2:H$7370, 7, FALSE), "")</f>
        <v>NA</v>
      </c>
    </row>
    <row r="3542" ht="15.75" customHeight="1">
      <c r="A3542" s="1" t="str">
        <f>IFERROR(__xludf.DUMMYFUNCTION("""COMPUTED_VALUE"""),"the last detail")</f>
        <v>the last detail</v>
      </c>
      <c r="B3542" s="1" t="str">
        <f>IF(A3542&lt;&gt;"", VLOOKUP(A3542, imdb_netflix_v5!A$2:H$7370, 2, FALSE), "")</f>
        <v>Movie</v>
      </c>
      <c r="C3542" s="2" t="str">
        <f>IF(A3542&lt;&gt;"", VLOOKUP(A3542, imdb_netflix_v5!A$2:H$7370, 3, FALSE), "")</f>
        <v>Comedy, Drama</v>
      </c>
      <c r="D3542" s="2">
        <f>IF(A3542&lt;&gt;"", VLOOKUP(A3542, imdb_netflix_v5!A$2:H$7370, 4, FALSE), "")</f>
        <v>7.5</v>
      </c>
      <c r="E3542" s="2">
        <f>IF(A3542&lt;&gt;"", VLOOKUP(A3542, imdb_netflix_v5!A$2:H$7370, 5, FALSE), "")</f>
        <v>1973</v>
      </c>
      <c r="F3542" s="2" t="str">
        <f>IF(A3542&lt;&gt;"", VLOOKUP(A3542, imdb_netflix_v5!A$2:H$7370, 7, FALSE), "")</f>
        <v>NA</v>
      </c>
    </row>
    <row r="3543" ht="15.75" customHeight="1">
      <c r="A3543" s="1" t="str">
        <f>IFERROR(__xludf.DUMMYFUNCTION("""COMPUTED_VALUE"""),"evangelion 1.0 you are (not) alone")</f>
        <v>evangelion 1.0 you are (not) alone</v>
      </c>
      <c r="B3543" s="1" t="str">
        <f>IF(A3543&lt;&gt;"", VLOOKUP(A3543, imdb_netflix_v5!A$2:H$7370, 2, FALSE), "")</f>
        <v>Movie</v>
      </c>
      <c r="C3543" s="2" t="str">
        <f>IF(A3543&lt;&gt;"", VLOOKUP(A3543, imdb_netflix_v5!A$2:H$7370, 3, FALSE), "")</f>
        <v>Action, Animation, Drama</v>
      </c>
      <c r="D3543" s="2">
        <f>IF(A3543&lt;&gt;"", VLOOKUP(A3543, imdb_netflix_v5!A$2:H$7370, 4, FALSE), "")</f>
        <v>7.5</v>
      </c>
      <c r="E3543" s="2">
        <f>IF(A3543&lt;&gt;"", VLOOKUP(A3543, imdb_netflix_v5!A$2:H$7370, 5, FALSE), "")</f>
        <v>2007</v>
      </c>
      <c r="F3543" s="2" t="str">
        <f>IF(A3543&lt;&gt;"", VLOOKUP(A3543, imdb_netflix_v5!A$2:H$7370, 7, FALSE), "")</f>
        <v>NA</v>
      </c>
    </row>
    <row r="3544" ht="15.75" customHeight="1">
      <c r="A3544" s="1" t="str">
        <f>IFERROR(__xludf.DUMMYFUNCTION("""COMPUTED_VALUE"""),"meet me in st. louis")</f>
        <v>meet me in st. louis</v>
      </c>
      <c r="B3544" s="1" t="str">
        <f>IF(A3544&lt;&gt;"", VLOOKUP(A3544, imdb_netflix_v5!A$2:H$7370, 2, FALSE), "")</f>
        <v>Movie</v>
      </c>
      <c r="C3544" s="2" t="str">
        <f>IF(A3544&lt;&gt;"", VLOOKUP(A3544, imdb_netflix_v5!A$2:H$7370, 3, FALSE), "")</f>
        <v>Comedy, Drama, Family</v>
      </c>
      <c r="D3544" s="2">
        <f>IF(A3544&lt;&gt;"", VLOOKUP(A3544, imdb_netflix_v5!A$2:H$7370, 4, FALSE), "")</f>
        <v>7.5</v>
      </c>
      <c r="E3544" s="2">
        <f>IF(A3544&lt;&gt;"", VLOOKUP(A3544, imdb_netflix_v5!A$2:H$7370, 5, FALSE), "")</f>
        <v>1944</v>
      </c>
      <c r="F3544" s="2" t="str">
        <f>IF(A3544&lt;&gt;"", VLOOKUP(A3544, imdb_netflix_v5!A$2:H$7370, 7, FALSE), "")</f>
        <v>NA</v>
      </c>
    </row>
    <row r="3545" ht="15.75" customHeight="1">
      <c r="A3545" s="1" t="str">
        <f>IFERROR(__xludf.DUMMYFUNCTION("""COMPUTED_VALUE"""),"remember")</f>
        <v>remember</v>
      </c>
      <c r="B3545" s="1" t="str">
        <f>IF(A3545&lt;&gt;"", VLOOKUP(A3545, imdb_netflix_v5!A$2:H$7370, 2, FALSE), "")</f>
        <v>Movie</v>
      </c>
      <c r="C3545" s="2" t="str">
        <f>IF(A3545&lt;&gt;"", VLOOKUP(A3545, imdb_netflix_v5!A$2:H$7370, 3, FALSE), "")</f>
        <v>Drama, Mystery, Thriller</v>
      </c>
      <c r="D3545" s="2">
        <f>IF(A3545&lt;&gt;"", VLOOKUP(A3545, imdb_netflix_v5!A$2:H$7370, 4, FALSE), "")</f>
        <v>7.5</v>
      </c>
      <c r="E3545" s="2">
        <f>IF(A3545&lt;&gt;"", VLOOKUP(A3545, imdb_netflix_v5!A$2:H$7370, 5, FALSE), "")</f>
        <v>2015</v>
      </c>
      <c r="F3545" s="2" t="str">
        <f>IF(A3545&lt;&gt;"", VLOOKUP(A3545, imdb_netflix_v5!A$2:H$7370, 7, FALSE), "")</f>
        <v>NA</v>
      </c>
    </row>
    <row r="3546" ht="15.75" customHeight="1">
      <c r="A3546" s="1" t="str">
        <f>IFERROR(__xludf.DUMMYFUNCTION("""COMPUTED_VALUE"""),"survivor")</f>
        <v>survivor</v>
      </c>
      <c r="B3546" s="1" t="str">
        <f>IF(A3546&lt;&gt;"", VLOOKUP(A3546, imdb_netflix_v5!A$2:H$7370, 2, FALSE), "")</f>
        <v>TV Show</v>
      </c>
      <c r="C3546" s="2" t="str">
        <f>IF(A3546&lt;&gt;"", VLOOKUP(A3546, imdb_netflix_v5!A$2:H$7370, 3, FALSE), "")</f>
        <v>Adventure, Game-Show, Reality-TV</v>
      </c>
      <c r="D3546" s="2">
        <f>IF(A3546&lt;&gt;"", VLOOKUP(A3546, imdb_netflix_v5!A$2:H$7370, 4, FALSE), "")</f>
        <v>7.5</v>
      </c>
      <c r="E3546" s="2">
        <f>IF(A3546&lt;&gt;"", VLOOKUP(A3546, imdb_netflix_v5!A$2:H$7370, 5, FALSE), "")</f>
        <v>2000</v>
      </c>
      <c r="F3546" s="2" t="str">
        <f>IF(A3546&lt;&gt;"", VLOOKUP(A3546, imdb_netflix_v5!A$2:H$7370, 7, FALSE), "")</f>
        <v>NA</v>
      </c>
    </row>
    <row r="3547" ht="15.75" customHeight="1">
      <c r="A3547" s="1" t="str">
        <f>IFERROR(__xludf.DUMMYFUNCTION("""COMPUTED_VALUE"""),"little house on the prairie")</f>
        <v>little house on the prairie</v>
      </c>
      <c r="B3547" s="1" t="str">
        <f>IF(A3547&lt;&gt;"", VLOOKUP(A3547, imdb_netflix_v5!A$2:H$7370, 2, FALSE), "")</f>
        <v>TV Show</v>
      </c>
      <c r="C3547" s="2" t="str">
        <f>IF(A3547&lt;&gt;"", VLOOKUP(A3547, imdb_netflix_v5!A$2:H$7370, 3, FALSE), "")</f>
        <v>Drama, Family, Romance</v>
      </c>
      <c r="D3547" s="2">
        <f>IF(A3547&lt;&gt;"", VLOOKUP(A3547, imdb_netflix_v5!A$2:H$7370, 4, FALSE), "")</f>
        <v>7.5</v>
      </c>
      <c r="E3547" s="2">
        <f>IF(A3547&lt;&gt;"", VLOOKUP(A3547, imdb_netflix_v5!A$2:H$7370, 5, FALSE), "")</f>
        <v>1974</v>
      </c>
      <c r="F3547" s="2" t="str">
        <f>IF(A3547&lt;&gt;"", VLOOKUP(A3547, imdb_netflix_v5!A$2:H$7370, 7, FALSE), "")</f>
        <v>NA</v>
      </c>
    </row>
    <row r="3548" ht="15.75" customHeight="1">
      <c r="A3548" s="1" t="str">
        <f>IFERROR(__xludf.DUMMYFUNCTION("""COMPUTED_VALUE"""),"witches of east end")</f>
        <v>witches of east end</v>
      </c>
      <c r="B3548" s="1" t="str">
        <f>IF(A3548&lt;&gt;"", VLOOKUP(A3548, imdb_netflix_v5!A$2:H$7370, 2, FALSE), "")</f>
        <v>TV Show</v>
      </c>
      <c r="C3548" s="2" t="str">
        <f>IF(A3548&lt;&gt;"", VLOOKUP(A3548, imdb_netflix_v5!A$2:H$7370, 3, FALSE), "")</f>
        <v>Drama, Fantasy, Horror</v>
      </c>
      <c r="D3548" s="2">
        <f>IF(A3548&lt;&gt;"", VLOOKUP(A3548, imdb_netflix_v5!A$2:H$7370, 4, FALSE), "")</f>
        <v>7.5</v>
      </c>
      <c r="E3548" s="2">
        <f>IF(A3548&lt;&gt;"", VLOOKUP(A3548, imdb_netflix_v5!A$2:H$7370, 5, FALSE), "")</f>
        <v>2013</v>
      </c>
      <c r="F3548" s="2" t="str">
        <f>IF(A3548&lt;&gt;"", VLOOKUP(A3548, imdb_netflix_v5!A$2:H$7370, 7, FALSE), "")</f>
        <v>NA</v>
      </c>
    </row>
    <row r="3549" ht="15.75" customHeight="1">
      <c r="A3549" s="1" t="str">
        <f>IFERROR(__xludf.DUMMYFUNCTION("""COMPUTED_VALUE"""),"roger &amp; me")</f>
        <v>roger &amp; me</v>
      </c>
      <c r="B3549" s="1" t="str">
        <f>IF(A3549&lt;&gt;"", VLOOKUP(A3549, imdb_netflix_v5!A$2:H$7370, 2, FALSE), "")</f>
        <v>Movie</v>
      </c>
      <c r="C3549" s="2" t="str">
        <f>IF(A3549&lt;&gt;"", VLOOKUP(A3549, imdb_netflix_v5!A$2:H$7370, 3, FALSE), "")</f>
        <v>Documentary</v>
      </c>
      <c r="D3549" s="2">
        <f>IF(A3549&lt;&gt;"", VLOOKUP(A3549, imdb_netflix_v5!A$2:H$7370, 4, FALSE), "")</f>
        <v>7.5</v>
      </c>
      <c r="E3549" s="2">
        <f>IF(A3549&lt;&gt;"", VLOOKUP(A3549, imdb_netflix_v5!A$2:H$7370, 5, FALSE), "")</f>
        <v>1989</v>
      </c>
      <c r="F3549" s="2" t="str">
        <f>IF(A3549&lt;&gt;"", VLOOKUP(A3549, imdb_netflix_v5!A$2:H$7370, 7, FALSE), "")</f>
        <v>NA</v>
      </c>
    </row>
    <row r="3550" ht="15.75" customHeight="1">
      <c r="A3550" s="1" t="str">
        <f>IFERROR(__xludf.DUMMYFUNCTION("""COMPUTED_VALUE"""),"cure")</f>
        <v>cure</v>
      </c>
      <c r="B3550" s="1" t="str">
        <f>IF(A3550&lt;&gt;"", VLOOKUP(A3550, imdb_netflix_v5!A$2:H$7370, 2, FALSE), "")</f>
        <v>Movie</v>
      </c>
      <c r="C3550" s="2" t="str">
        <f>IF(A3550&lt;&gt;"", VLOOKUP(A3550, imdb_netflix_v5!A$2:H$7370, 3, FALSE), "")</f>
        <v>Crime, Horror, Mystery</v>
      </c>
      <c r="D3550" s="2">
        <f>IF(A3550&lt;&gt;"", VLOOKUP(A3550, imdb_netflix_v5!A$2:H$7370, 4, FALSE), "")</f>
        <v>7.5</v>
      </c>
      <c r="E3550" s="2">
        <f>IF(A3550&lt;&gt;"", VLOOKUP(A3550, imdb_netflix_v5!A$2:H$7370, 5, FALSE), "")</f>
        <v>1997</v>
      </c>
      <c r="F3550" s="2" t="str">
        <f>IF(A3550&lt;&gt;"", VLOOKUP(A3550, imdb_netflix_v5!A$2:H$7370, 7, FALSE), "")</f>
        <v>NA</v>
      </c>
    </row>
    <row r="3551" ht="15.75" customHeight="1">
      <c r="A3551" s="1" t="str">
        <f>IFERROR(__xludf.DUMMYFUNCTION("""COMPUTED_VALUE"""),"new world")</f>
        <v>new world</v>
      </c>
      <c r="B3551" s="1" t="str">
        <f>IF(A3551&lt;&gt;"", VLOOKUP(A3551, imdb_netflix_v5!A$2:H$7370, 2, FALSE), "")</f>
        <v>Movie</v>
      </c>
      <c r="C3551" s="2" t="str">
        <f>IF(A3551&lt;&gt;"", VLOOKUP(A3551, imdb_netflix_v5!A$2:H$7370, 3, FALSE), "")</f>
        <v>Action, Crime, Drama</v>
      </c>
      <c r="D3551" s="2">
        <f>IF(A3551&lt;&gt;"", VLOOKUP(A3551, imdb_netflix_v5!A$2:H$7370, 4, FALSE), "")</f>
        <v>7.5</v>
      </c>
      <c r="E3551" s="2">
        <f>IF(A3551&lt;&gt;"", VLOOKUP(A3551, imdb_netflix_v5!A$2:H$7370, 5, FALSE), "")</f>
        <v>2013</v>
      </c>
      <c r="F3551" s="2" t="str">
        <f>IF(A3551&lt;&gt;"", VLOOKUP(A3551, imdb_netflix_v5!A$2:H$7370, 7, FALSE), "")</f>
        <v>NA</v>
      </c>
    </row>
    <row r="3552" ht="15.75" customHeight="1">
      <c r="A3552" s="1" t="str">
        <f>IFERROR(__xludf.DUMMYFUNCTION("""COMPUTED_VALUE"""),"the passenger")</f>
        <v>the passenger</v>
      </c>
      <c r="B3552" s="1" t="str">
        <f>IF(A3552&lt;&gt;"", VLOOKUP(A3552, imdb_netflix_v5!A$2:H$7370, 2, FALSE), "")</f>
        <v>Movie</v>
      </c>
      <c r="C3552" s="2" t="str">
        <f>IF(A3552&lt;&gt;"", VLOOKUP(A3552, imdb_netflix_v5!A$2:H$7370, 3, FALSE), "")</f>
        <v>Drama, Thriller</v>
      </c>
      <c r="D3552" s="2">
        <f>IF(A3552&lt;&gt;"", VLOOKUP(A3552, imdb_netflix_v5!A$2:H$7370, 4, FALSE), "")</f>
        <v>7.5</v>
      </c>
      <c r="E3552" s="2">
        <f>IF(A3552&lt;&gt;"", VLOOKUP(A3552, imdb_netflix_v5!A$2:H$7370, 5, FALSE), "")</f>
        <v>1975</v>
      </c>
      <c r="F3552" s="2" t="str">
        <f>IF(A3552&lt;&gt;"", VLOOKUP(A3552, imdb_netflix_v5!A$2:H$7370, 7, FALSE), "")</f>
        <v>NA</v>
      </c>
    </row>
    <row r="3553" ht="15.75" customHeight="1">
      <c r="A3553" s="1" t="str">
        <f>IFERROR(__xludf.DUMMYFUNCTION("""COMPUTED_VALUE"""),"the brothers sun")</f>
        <v>the brothers sun</v>
      </c>
      <c r="B3553" s="1" t="str">
        <f>IF(A3553&lt;&gt;"", VLOOKUP(A3553, imdb_netflix_v5!A$2:H$7370, 2, FALSE), "")</f>
        <v>TV Show</v>
      </c>
      <c r="C3553" s="2" t="str">
        <f>IF(A3553&lt;&gt;"", VLOOKUP(A3553, imdb_netflix_v5!A$2:H$7370, 3, FALSE), "")</f>
        <v>Action, Comedy, Drama</v>
      </c>
      <c r="D3553" s="2">
        <f>IF(A3553&lt;&gt;"", VLOOKUP(A3553, imdb_netflix_v5!A$2:H$7370, 4, FALSE), "")</f>
        <v>7.5</v>
      </c>
      <c r="E3553" s="2">
        <f>IF(A3553&lt;&gt;"", VLOOKUP(A3553, imdb_netflix_v5!A$2:H$7370, 5, FALSE), "")</f>
        <v>2024</v>
      </c>
      <c r="F3553" s="2" t="str">
        <f>IF(A3553&lt;&gt;"", VLOOKUP(A3553, imdb_netflix_v5!A$2:H$7370, 7, FALSE), "")</f>
        <v>NA</v>
      </c>
    </row>
    <row r="3554" ht="15.75" customHeight="1">
      <c r="A3554" s="1" t="str">
        <f>IFERROR(__xludf.DUMMYFUNCTION("""COMPUTED_VALUE"""),"seeking true love")</f>
        <v>seeking true love</v>
      </c>
      <c r="B3554" s="1" t="str">
        <f>IF(A3554&lt;&gt;"", VLOOKUP(A3554, imdb_netflix_v5!A$2:H$7370, 2, FALSE), "")</f>
        <v>Movie</v>
      </c>
      <c r="C3554" s="2" t="str">
        <f>IF(A3554&lt;&gt;"", VLOOKUP(A3554, imdb_netflix_v5!A$2:H$7370, 3, FALSE), "")</f>
        <v>Comedy, Romance</v>
      </c>
      <c r="D3554" s="2">
        <f>IF(A3554&lt;&gt;"", VLOOKUP(A3554, imdb_netflix_v5!A$2:H$7370, 4, FALSE), "")</f>
        <v>7.5</v>
      </c>
      <c r="E3554" s="2">
        <f>IF(A3554&lt;&gt;"", VLOOKUP(A3554, imdb_netflix_v5!A$2:H$7370, 5, FALSE), "")</f>
        <v>2017</v>
      </c>
      <c r="F3554" s="2" t="str">
        <f>IF(A3554&lt;&gt;"", VLOOKUP(A3554, imdb_netflix_v5!A$2:H$7370, 7, FALSE), "")</f>
        <v>NA</v>
      </c>
    </row>
    <row r="3555" ht="15.75" customHeight="1">
      <c r="A3555" s="1" t="str">
        <f>IFERROR(__xludf.DUMMYFUNCTION("""COMPUTED_VALUE"""),"cyrano de bergerac")</f>
        <v>cyrano de bergerac</v>
      </c>
      <c r="B3555" s="1" t="str">
        <f>IF(A3555&lt;&gt;"", VLOOKUP(A3555, imdb_netflix_v5!A$2:H$7370, 2, FALSE), "")</f>
        <v>Movie</v>
      </c>
      <c r="C3555" s="2" t="str">
        <f>IF(A3555&lt;&gt;"", VLOOKUP(A3555, imdb_netflix_v5!A$2:H$7370, 3, FALSE), "")</f>
        <v>Comedy, Drama, History</v>
      </c>
      <c r="D3555" s="2">
        <f>IF(A3555&lt;&gt;"", VLOOKUP(A3555, imdb_netflix_v5!A$2:H$7370, 4, FALSE), "")</f>
        <v>7.5</v>
      </c>
      <c r="E3555" s="2">
        <f>IF(A3555&lt;&gt;"", VLOOKUP(A3555, imdb_netflix_v5!A$2:H$7370, 5, FALSE), "")</f>
        <v>1990</v>
      </c>
      <c r="F3555" s="2" t="str">
        <f>IF(A3555&lt;&gt;"", VLOOKUP(A3555, imdb_netflix_v5!A$2:H$7370, 7, FALSE), "")</f>
        <v>NA</v>
      </c>
    </row>
    <row r="3556" ht="15.75" customHeight="1">
      <c r="A3556" s="1" t="str">
        <f>IFERROR(__xludf.DUMMYFUNCTION("""COMPUTED_VALUE"""),"brothers &amp; sisters")</f>
        <v>brothers &amp; sisters</v>
      </c>
      <c r="B3556" s="1" t="str">
        <f>IF(A3556&lt;&gt;"", VLOOKUP(A3556, imdb_netflix_v5!A$2:H$7370, 2, FALSE), "")</f>
        <v>TV Show</v>
      </c>
      <c r="C3556" s="2" t="str">
        <f>IF(A3556&lt;&gt;"", VLOOKUP(A3556, imdb_netflix_v5!A$2:H$7370, 3, FALSE), "")</f>
        <v>Drama</v>
      </c>
      <c r="D3556" s="2">
        <f>IF(A3556&lt;&gt;"", VLOOKUP(A3556, imdb_netflix_v5!A$2:H$7370, 4, FALSE), "")</f>
        <v>7.5</v>
      </c>
      <c r="E3556" s="2">
        <f>IF(A3556&lt;&gt;"", VLOOKUP(A3556, imdb_netflix_v5!A$2:H$7370, 5, FALSE), "")</f>
        <v>2006</v>
      </c>
      <c r="F3556" s="2" t="str">
        <f>IF(A3556&lt;&gt;"", VLOOKUP(A3556, imdb_netflix_v5!A$2:H$7370, 7, FALSE), "")</f>
        <v>NA</v>
      </c>
    </row>
    <row r="3557" ht="15.75" customHeight="1">
      <c r="A3557" s="1" t="str">
        <f>IFERROR(__xludf.DUMMYFUNCTION("""COMPUTED_VALUE"""),"where to invade next")</f>
        <v>where to invade next</v>
      </c>
      <c r="B3557" s="1" t="str">
        <f>IF(A3557&lt;&gt;"", VLOOKUP(A3557, imdb_netflix_v5!A$2:H$7370, 2, FALSE), "")</f>
        <v>Movie</v>
      </c>
      <c r="C3557" s="2" t="str">
        <f>IF(A3557&lt;&gt;"", VLOOKUP(A3557, imdb_netflix_v5!A$2:H$7370, 3, FALSE), "")</f>
        <v>Comedy, Documentary</v>
      </c>
      <c r="D3557" s="2">
        <f>IF(A3557&lt;&gt;"", VLOOKUP(A3557, imdb_netflix_v5!A$2:H$7370, 4, FALSE), "")</f>
        <v>7.5</v>
      </c>
      <c r="E3557" s="2">
        <f>IF(A3557&lt;&gt;"", VLOOKUP(A3557, imdb_netflix_v5!A$2:H$7370, 5, FALSE), "")</f>
        <v>2015</v>
      </c>
      <c r="F3557" s="2" t="str">
        <f>IF(A3557&lt;&gt;"", VLOOKUP(A3557, imdb_netflix_v5!A$2:H$7370, 7, FALSE), "")</f>
        <v>NA</v>
      </c>
    </row>
    <row r="3558" ht="15.75" customHeight="1">
      <c r="A3558" s="1" t="str">
        <f>IFERROR(__xludf.DUMMYFUNCTION("""COMPUTED_VALUE"""),"chup")</f>
        <v>chup</v>
      </c>
      <c r="B3558" s="1" t="str">
        <f>IF(A3558&lt;&gt;"", VLOOKUP(A3558, imdb_netflix_v5!A$2:H$7370, 2, FALSE), "")</f>
        <v>Movie</v>
      </c>
      <c r="C3558" s="2" t="str">
        <f>IF(A3558&lt;&gt;"", VLOOKUP(A3558, imdb_netflix_v5!A$2:H$7370, 3, FALSE), "")</f>
        <v>Drama, Horror, Mystery</v>
      </c>
      <c r="D3558" s="2">
        <f>IF(A3558&lt;&gt;"", VLOOKUP(A3558, imdb_netflix_v5!A$2:H$7370, 4, FALSE), "")</f>
        <v>7.5</v>
      </c>
      <c r="E3558" s="2">
        <f>IF(A3558&lt;&gt;"", VLOOKUP(A3558, imdb_netflix_v5!A$2:H$7370, 5, FALSE), "")</f>
        <v>2022</v>
      </c>
      <c r="F3558" s="2" t="str">
        <f>IF(A3558&lt;&gt;"", VLOOKUP(A3558, imdb_netflix_v5!A$2:H$7370, 7, FALSE), "")</f>
        <v>NA</v>
      </c>
    </row>
    <row r="3559" ht="15.75" customHeight="1">
      <c r="A3559" s="1" t="str">
        <f>IFERROR(__xludf.DUMMYFUNCTION("""COMPUTED_VALUE"""),"red cliff ii")</f>
        <v>red cliff ii</v>
      </c>
      <c r="B3559" s="1" t="str">
        <f>IF(A3559&lt;&gt;"", VLOOKUP(A3559, imdb_netflix_v5!A$2:H$7370, 2, FALSE), "")</f>
        <v>Movie</v>
      </c>
      <c r="C3559" s="2" t="str">
        <f>IF(A3559&lt;&gt;"", VLOOKUP(A3559, imdb_netflix_v5!A$2:H$7370, 3, FALSE), "")</f>
        <v>Action, Adventure, Drama</v>
      </c>
      <c r="D3559" s="2">
        <f>IF(A3559&lt;&gt;"", VLOOKUP(A3559, imdb_netflix_v5!A$2:H$7370, 4, FALSE), "")</f>
        <v>7.5</v>
      </c>
      <c r="E3559" s="2">
        <f>IF(A3559&lt;&gt;"", VLOOKUP(A3559, imdb_netflix_v5!A$2:H$7370, 5, FALSE), "")</f>
        <v>2009</v>
      </c>
      <c r="F3559" s="2" t="str">
        <f>IF(A3559&lt;&gt;"", VLOOKUP(A3559, imdb_netflix_v5!A$2:H$7370, 7, FALSE), "")</f>
        <v>NA</v>
      </c>
    </row>
    <row r="3560" ht="15.75" customHeight="1">
      <c r="A3560" s="1" t="str">
        <f>IFERROR(__xludf.DUMMYFUNCTION("""COMPUTED_VALUE"""),"mayans m.c.")</f>
        <v>mayans m.c.</v>
      </c>
      <c r="B3560" s="1" t="str">
        <f>IF(A3560&lt;&gt;"", VLOOKUP(A3560, imdb_netflix_v5!A$2:H$7370, 2, FALSE), "")</f>
        <v>TV Show</v>
      </c>
      <c r="C3560" s="2" t="str">
        <f>IF(A3560&lt;&gt;"", VLOOKUP(A3560, imdb_netflix_v5!A$2:H$7370, 3, FALSE), "")</f>
        <v>Crime, Drama, Thriller</v>
      </c>
      <c r="D3560" s="2">
        <f>IF(A3560&lt;&gt;"", VLOOKUP(A3560, imdb_netflix_v5!A$2:H$7370, 4, FALSE), "")</f>
        <v>7.5</v>
      </c>
      <c r="E3560" s="2">
        <f>IF(A3560&lt;&gt;"", VLOOKUP(A3560, imdb_netflix_v5!A$2:H$7370, 5, FALSE), "")</f>
        <v>2018</v>
      </c>
      <c r="F3560" s="2" t="str">
        <f>IF(A3560&lt;&gt;"", VLOOKUP(A3560, imdb_netflix_v5!A$2:H$7370, 7, FALSE), "")</f>
        <v>NA</v>
      </c>
    </row>
    <row r="3561" ht="15.75" customHeight="1">
      <c r="A3561" s="1" t="str">
        <f>IFERROR(__xludf.DUMMYFUNCTION("""COMPUTED_VALUE"""),"fist of legend")</f>
        <v>fist of legend</v>
      </c>
      <c r="B3561" s="1" t="str">
        <f>IF(A3561&lt;&gt;"", VLOOKUP(A3561, imdb_netflix_v5!A$2:H$7370, 2, FALSE), "")</f>
        <v>Movie</v>
      </c>
      <c r="C3561" s="2" t="str">
        <f>IF(A3561&lt;&gt;"", VLOOKUP(A3561, imdb_netflix_v5!A$2:H$7370, 3, FALSE), "")</f>
        <v>Action, Drama</v>
      </c>
      <c r="D3561" s="2">
        <f>IF(A3561&lt;&gt;"", VLOOKUP(A3561, imdb_netflix_v5!A$2:H$7370, 4, FALSE), "")</f>
        <v>7.5</v>
      </c>
      <c r="E3561" s="2">
        <f>IF(A3561&lt;&gt;"", VLOOKUP(A3561, imdb_netflix_v5!A$2:H$7370, 5, FALSE), "")</f>
        <v>1994</v>
      </c>
      <c r="F3561" s="2" t="str">
        <f>IF(A3561&lt;&gt;"", VLOOKUP(A3561, imdb_netflix_v5!A$2:H$7370, 7, FALSE), "")</f>
        <v>NA</v>
      </c>
    </row>
    <row r="3562" ht="15.75" customHeight="1">
      <c r="A3562" s="1" t="str">
        <f>IFERROR(__xludf.DUMMYFUNCTION("""COMPUTED_VALUE"""),"the ren &amp; stimpy show")</f>
        <v>the ren &amp; stimpy show</v>
      </c>
      <c r="B3562" s="1" t="str">
        <f>IF(A3562&lt;&gt;"", VLOOKUP(A3562, imdb_netflix_v5!A$2:H$7370, 2, FALSE), "")</f>
        <v>TV Show</v>
      </c>
      <c r="C3562" s="2" t="str">
        <f>IF(A3562&lt;&gt;"", VLOOKUP(A3562, imdb_netflix_v5!A$2:H$7370, 3, FALSE), "")</f>
        <v>Adventure, Animation, Comedy</v>
      </c>
      <c r="D3562" s="2">
        <f>IF(A3562&lt;&gt;"", VLOOKUP(A3562, imdb_netflix_v5!A$2:H$7370, 4, FALSE), "")</f>
        <v>7.5</v>
      </c>
      <c r="E3562" s="2">
        <f>IF(A3562&lt;&gt;"", VLOOKUP(A3562, imdb_netflix_v5!A$2:H$7370, 5, FALSE), "")</f>
        <v>1991</v>
      </c>
      <c r="F3562" s="2" t="str">
        <f>IF(A3562&lt;&gt;"", VLOOKUP(A3562, imdb_netflix_v5!A$2:H$7370, 7, FALSE), "")</f>
        <v>NA</v>
      </c>
    </row>
    <row r="3563" ht="15.75" customHeight="1">
      <c r="A3563" s="1" t="str">
        <f>IFERROR(__xludf.DUMMYFUNCTION("""COMPUTED_VALUE"""),"the politician")</f>
        <v>the politician</v>
      </c>
      <c r="B3563" s="1" t="str">
        <f>IF(A3563&lt;&gt;"", VLOOKUP(A3563, imdb_netflix_v5!A$2:H$7370, 2, FALSE), "")</f>
        <v>TV Show</v>
      </c>
      <c r="C3563" s="2" t="str">
        <f>IF(A3563&lt;&gt;"", VLOOKUP(A3563, imdb_netflix_v5!A$2:H$7370, 3, FALSE), "")</f>
        <v>Comedy, Drama</v>
      </c>
      <c r="D3563" s="2">
        <f>IF(A3563&lt;&gt;"", VLOOKUP(A3563, imdb_netflix_v5!A$2:H$7370, 4, FALSE), "")</f>
        <v>7.5</v>
      </c>
      <c r="E3563" s="2">
        <f>IF(A3563&lt;&gt;"", VLOOKUP(A3563, imdb_netflix_v5!A$2:H$7370, 5, FALSE), "")</f>
        <v>2019</v>
      </c>
      <c r="F3563" s="2" t="str">
        <f>IF(A3563&lt;&gt;"", VLOOKUP(A3563, imdb_netflix_v5!A$2:H$7370, 7, FALSE), "")</f>
        <v>NA</v>
      </c>
    </row>
    <row r="3564" ht="15.75" customHeight="1">
      <c r="A3564" s="1" t="str">
        <f>IFERROR(__xludf.DUMMYFUNCTION("""COMPUTED_VALUE"""),"flickering lights")</f>
        <v>flickering lights</v>
      </c>
      <c r="B3564" s="1" t="str">
        <f>IF(A3564&lt;&gt;"", VLOOKUP(A3564, imdb_netflix_v5!A$2:H$7370, 2, FALSE), "")</f>
        <v>Movie</v>
      </c>
      <c r="C3564" s="2" t="str">
        <f>IF(A3564&lt;&gt;"", VLOOKUP(A3564, imdb_netflix_v5!A$2:H$7370, 3, FALSE), "")</f>
        <v>Action, Comedy, Crime</v>
      </c>
      <c r="D3564" s="2">
        <f>IF(A3564&lt;&gt;"", VLOOKUP(A3564, imdb_netflix_v5!A$2:H$7370, 4, FALSE), "")</f>
        <v>7.5</v>
      </c>
      <c r="E3564" s="2">
        <f>IF(A3564&lt;&gt;"", VLOOKUP(A3564, imdb_netflix_v5!A$2:H$7370, 5, FALSE), "")</f>
        <v>2000</v>
      </c>
      <c r="F3564" s="2" t="str">
        <f>IF(A3564&lt;&gt;"", VLOOKUP(A3564, imdb_netflix_v5!A$2:H$7370, 7, FALSE), "")</f>
        <v>NA</v>
      </c>
    </row>
    <row r="3565" ht="15.75" customHeight="1">
      <c r="A3565" s="1" t="str">
        <f>IFERROR(__xludf.DUMMYFUNCTION("""COMPUTED_VALUE"""),"blood of zeus")</f>
        <v>blood of zeus</v>
      </c>
      <c r="B3565" s="1" t="str">
        <f>IF(A3565&lt;&gt;"", VLOOKUP(A3565, imdb_netflix_v5!A$2:H$7370, 2, FALSE), "")</f>
        <v>TV Show</v>
      </c>
      <c r="C3565" s="2" t="str">
        <f>IF(A3565&lt;&gt;"", VLOOKUP(A3565, imdb_netflix_v5!A$2:H$7370, 3, FALSE), "")</f>
        <v>Action, Adventure, Animation</v>
      </c>
      <c r="D3565" s="2">
        <f>IF(A3565&lt;&gt;"", VLOOKUP(A3565, imdb_netflix_v5!A$2:H$7370, 4, FALSE), "")</f>
        <v>7.5</v>
      </c>
      <c r="E3565" s="2">
        <f>IF(A3565&lt;&gt;"", VLOOKUP(A3565, imdb_netflix_v5!A$2:H$7370, 5, FALSE), "")</f>
        <v>2020</v>
      </c>
      <c r="F3565" s="2" t="str">
        <f>IF(A3565&lt;&gt;"", VLOOKUP(A3565, imdb_netflix_v5!A$2:H$7370, 7, FALSE), "")</f>
        <v>NA</v>
      </c>
    </row>
    <row r="3566" ht="15.75" customHeight="1">
      <c r="A3566" s="1" t="str">
        <f>IFERROR(__xludf.DUMMYFUNCTION("""COMPUTED_VALUE"""),"the mountain")</f>
        <v>the mountain</v>
      </c>
      <c r="B3566" s="1" t="str">
        <f>IF(A3566&lt;&gt;"", VLOOKUP(A3566, imdb_netflix_v5!A$2:H$7370, 2, FALSE), "")</f>
        <v>Movie</v>
      </c>
      <c r="C3566" s="2" t="str">
        <f>IF(A3566&lt;&gt;"", VLOOKUP(A3566, imdb_netflix_v5!A$2:H$7370, 3, FALSE), "")</f>
        <v>Adventure, Drama, Thriller</v>
      </c>
      <c r="D3566" s="2">
        <f>IF(A3566&lt;&gt;"", VLOOKUP(A3566, imdb_netflix_v5!A$2:H$7370, 4, FALSE), "")</f>
        <v>7.5</v>
      </c>
      <c r="E3566" s="2">
        <f>IF(A3566&lt;&gt;"", VLOOKUP(A3566, imdb_netflix_v5!A$2:H$7370, 5, FALSE), "")</f>
        <v>2012</v>
      </c>
      <c r="F3566" s="2" t="str">
        <f>IF(A3566&lt;&gt;"", VLOOKUP(A3566, imdb_netflix_v5!A$2:H$7370, 7, FALSE), "")</f>
        <v>NA</v>
      </c>
    </row>
    <row r="3567" ht="15.75" customHeight="1">
      <c r="A3567" s="1" t="str">
        <f>IFERROR(__xludf.DUMMYFUNCTION("""COMPUTED_VALUE"""),"santa sangre")</f>
        <v>santa sangre</v>
      </c>
      <c r="B3567" s="1" t="str">
        <f>IF(A3567&lt;&gt;"", VLOOKUP(A3567, imdb_netflix_v5!A$2:H$7370, 2, FALSE), "")</f>
        <v>Movie</v>
      </c>
      <c r="C3567" s="2" t="str">
        <f>IF(A3567&lt;&gt;"", VLOOKUP(A3567, imdb_netflix_v5!A$2:H$7370, 3, FALSE), "")</f>
        <v>Drama, Horror, Thriller</v>
      </c>
      <c r="D3567" s="2">
        <f>IF(A3567&lt;&gt;"", VLOOKUP(A3567, imdb_netflix_v5!A$2:H$7370, 4, FALSE), "")</f>
        <v>7.5</v>
      </c>
      <c r="E3567" s="2">
        <f>IF(A3567&lt;&gt;"", VLOOKUP(A3567, imdb_netflix_v5!A$2:H$7370, 5, FALSE), "")</f>
        <v>1989</v>
      </c>
      <c r="F3567" s="2" t="str">
        <f>IF(A3567&lt;&gt;"", VLOOKUP(A3567, imdb_netflix_v5!A$2:H$7370, 7, FALSE), "")</f>
        <v>NA</v>
      </c>
    </row>
    <row r="3568" ht="15.75" customHeight="1">
      <c r="A3568" s="1" t="str">
        <f>IFERROR(__xludf.DUMMYFUNCTION("""COMPUTED_VALUE"""),"dash &amp; lily")</f>
        <v>dash &amp; lily</v>
      </c>
      <c r="B3568" s="1" t="str">
        <f>IF(A3568&lt;&gt;"", VLOOKUP(A3568, imdb_netflix_v5!A$2:H$7370, 2, FALSE), "")</f>
        <v>TV Show</v>
      </c>
      <c r="C3568" s="2" t="str">
        <f>IF(A3568&lt;&gt;"", VLOOKUP(A3568, imdb_netflix_v5!A$2:H$7370, 3, FALSE), "")</f>
        <v>Comedy, Drama, Romance</v>
      </c>
      <c r="D3568" s="2">
        <f>IF(A3568&lt;&gt;"", VLOOKUP(A3568, imdb_netflix_v5!A$2:H$7370, 4, FALSE), "")</f>
        <v>7.5</v>
      </c>
      <c r="E3568" s="2">
        <f>IF(A3568&lt;&gt;"", VLOOKUP(A3568, imdb_netflix_v5!A$2:H$7370, 5, FALSE), "")</f>
        <v>2020</v>
      </c>
      <c r="F3568" s="2" t="str">
        <f>IF(A3568&lt;&gt;"", VLOOKUP(A3568, imdb_netflix_v5!A$2:H$7370, 7, FALSE), "")</f>
        <v>NA</v>
      </c>
    </row>
    <row r="3569" ht="15.75" customHeight="1">
      <c r="A3569" s="1" t="str">
        <f>IFERROR(__xludf.DUMMYFUNCTION("""COMPUTED_VALUE"""),"sonatine")</f>
        <v>sonatine</v>
      </c>
      <c r="B3569" s="1" t="str">
        <f>IF(A3569&lt;&gt;"", VLOOKUP(A3569, imdb_netflix_v5!A$2:H$7370, 2, FALSE), "")</f>
        <v>Movie</v>
      </c>
      <c r="C3569" s="2" t="str">
        <f>IF(A3569&lt;&gt;"", VLOOKUP(A3569, imdb_netflix_v5!A$2:H$7370, 3, FALSE), "")</f>
        <v>Action, Comedy, Crime</v>
      </c>
      <c r="D3569" s="2">
        <f>IF(A3569&lt;&gt;"", VLOOKUP(A3569, imdb_netflix_v5!A$2:H$7370, 4, FALSE), "")</f>
        <v>7.5</v>
      </c>
      <c r="E3569" s="2">
        <f>IF(A3569&lt;&gt;"", VLOOKUP(A3569, imdb_netflix_v5!A$2:H$7370, 5, FALSE), "")</f>
        <v>1993</v>
      </c>
      <c r="F3569" s="2" t="str">
        <f>IF(A3569&lt;&gt;"", VLOOKUP(A3569, imdb_netflix_v5!A$2:H$7370, 7, FALSE), "")</f>
        <v>NA</v>
      </c>
    </row>
    <row r="3570" ht="15.75" customHeight="1">
      <c r="A3570" s="1" t="str">
        <f>IFERROR(__xludf.DUMMYFUNCTION("""COMPUTED_VALUE"""),"europa")</f>
        <v>europa</v>
      </c>
      <c r="B3570" s="1" t="str">
        <f>IF(A3570&lt;&gt;"", VLOOKUP(A3570, imdb_netflix_v5!A$2:H$7370, 2, FALSE), "")</f>
        <v>Movie</v>
      </c>
      <c r="C3570" s="2" t="str">
        <f>IF(A3570&lt;&gt;"", VLOOKUP(A3570, imdb_netflix_v5!A$2:H$7370, 3, FALSE), "")</f>
        <v>Crime, Drama, Thriller</v>
      </c>
      <c r="D3570" s="2">
        <f>IF(A3570&lt;&gt;"", VLOOKUP(A3570, imdb_netflix_v5!A$2:H$7370, 4, FALSE), "")</f>
        <v>7.5</v>
      </c>
      <c r="E3570" s="2">
        <f>IF(A3570&lt;&gt;"", VLOOKUP(A3570, imdb_netflix_v5!A$2:H$7370, 5, FALSE), "")</f>
        <v>1991</v>
      </c>
      <c r="F3570" s="2" t="str">
        <f>IF(A3570&lt;&gt;"", VLOOKUP(A3570, imdb_netflix_v5!A$2:H$7370, 7, FALSE), "")</f>
        <v>NA</v>
      </c>
    </row>
    <row r="3571" ht="15.75" customHeight="1">
      <c r="A3571" s="1" t="str">
        <f>IFERROR(__xludf.DUMMYFUNCTION("""COMPUTED_VALUE"""),"distant")</f>
        <v>distant</v>
      </c>
      <c r="B3571" s="1" t="str">
        <f>IF(A3571&lt;&gt;"", VLOOKUP(A3571, imdb_netflix_v5!A$2:H$7370, 2, FALSE), "")</f>
        <v>Movie</v>
      </c>
      <c r="C3571" s="2" t="str">
        <f>IF(A3571&lt;&gt;"", VLOOKUP(A3571, imdb_netflix_v5!A$2:H$7370, 3, FALSE), "")</f>
        <v>Drama</v>
      </c>
      <c r="D3571" s="2">
        <f>IF(A3571&lt;&gt;"", VLOOKUP(A3571, imdb_netflix_v5!A$2:H$7370, 4, FALSE), "")</f>
        <v>7.5</v>
      </c>
      <c r="E3571" s="2">
        <f>IF(A3571&lt;&gt;"", VLOOKUP(A3571, imdb_netflix_v5!A$2:H$7370, 5, FALSE), "")</f>
        <v>2002</v>
      </c>
      <c r="F3571" s="2" t="str">
        <f>IF(A3571&lt;&gt;"", VLOOKUP(A3571, imdb_netflix_v5!A$2:H$7370, 7, FALSE), "")</f>
        <v>NA</v>
      </c>
    </row>
    <row r="3572" ht="15.75" customHeight="1">
      <c r="A3572" s="1" t="str">
        <f>IFERROR(__xludf.DUMMYFUNCTION("""COMPUTED_VALUE"""),"away from her")</f>
        <v>away from her</v>
      </c>
      <c r="B3572" s="1" t="str">
        <f>IF(A3572&lt;&gt;"", VLOOKUP(A3572, imdb_netflix_v5!A$2:H$7370, 2, FALSE), "")</f>
        <v>Movie</v>
      </c>
      <c r="C3572" s="2" t="str">
        <f>IF(A3572&lt;&gt;"", VLOOKUP(A3572, imdb_netflix_v5!A$2:H$7370, 3, FALSE), "")</f>
        <v>Drama</v>
      </c>
      <c r="D3572" s="2">
        <f>IF(A3572&lt;&gt;"", VLOOKUP(A3572, imdb_netflix_v5!A$2:H$7370, 4, FALSE), "")</f>
        <v>7.5</v>
      </c>
      <c r="E3572" s="2">
        <f>IF(A3572&lt;&gt;"", VLOOKUP(A3572, imdb_netflix_v5!A$2:H$7370, 5, FALSE), "")</f>
        <v>2006</v>
      </c>
      <c r="F3572" s="2" t="str">
        <f>IF(A3572&lt;&gt;"", VLOOKUP(A3572, imdb_netflix_v5!A$2:H$7370, 7, FALSE), "")</f>
        <v>NA</v>
      </c>
    </row>
    <row r="3573" ht="15.75" customHeight="1">
      <c r="A3573" s="1" t="str">
        <f>IFERROR(__xludf.DUMMYFUNCTION("""COMPUTED_VALUE"""),"hour of the wolf")</f>
        <v>hour of the wolf</v>
      </c>
      <c r="B3573" s="1" t="str">
        <f>IF(A3573&lt;&gt;"", VLOOKUP(A3573, imdb_netflix_v5!A$2:H$7370, 2, FALSE), "")</f>
        <v>Movie</v>
      </c>
      <c r="C3573" s="2" t="str">
        <f>IF(A3573&lt;&gt;"", VLOOKUP(A3573, imdb_netflix_v5!A$2:H$7370, 3, FALSE), "")</f>
        <v>Drama, Horror, Mystery</v>
      </c>
      <c r="D3573" s="2">
        <f>IF(A3573&lt;&gt;"", VLOOKUP(A3573, imdb_netflix_v5!A$2:H$7370, 4, FALSE), "")</f>
        <v>7.5</v>
      </c>
      <c r="E3573" s="2">
        <f>IF(A3573&lt;&gt;"", VLOOKUP(A3573, imdb_netflix_v5!A$2:H$7370, 5, FALSE), "")</f>
        <v>1968</v>
      </c>
      <c r="F3573" s="2" t="str">
        <f>IF(A3573&lt;&gt;"", VLOOKUP(A3573, imdb_netflix_v5!A$2:H$7370, 7, FALSE), "")</f>
        <v>NA</v>
      </c>
    </row>
    <row r="3574" ht="15.75" customHeight="1">
      <c r="A3574" s="1" t="str">
        <f>IFERROR(__xludf.DUMMYFUNCTION("""COMPUTED_VALUE"""),"perception")</f>
        <v>perception</v>
      </c>
      <c r="B3574" s="1" t="str">
        <f>IF(A3574&lt;&gt;"", VLOOKUP(A3574, imdb_netflix_v5!A$2:H$7370, 2, FALSE), "")</f>
        <v>TV Show</v>
      </c>
      <c r="C3574" s="2" t="str">
        <f>IF(A3574&lt;&gt;"", VLOOKUP(A3574, imdb_netflix_v5!A$2:H$7370, 3, FALSE), "")</f>
        <v>Crime, Drama, Mystery</v>
      </c>
      <c r="D3574" s="2">
        <f>IF(A3574&lt;&gt;"", VLOOKUP(A3574, imdb_netflix_v5!A$2:H$7370, 4, FALSE), "")</f>
        <v>7.5</v>
      </c>
      <c r="E3574" s="2">
        <f>IF(A3574&lt;&gt;"", VLOOKUP(A3574, imdb_netflix_v5!A$2:H$7370, 5, FALSE), "")</f>
        <v>2012</v>
      </c>
      <c r="F3574" s="2" t="str">
        <f>IF(A3574&lt;&gt;"", VLOOKUP(A3574, imdb_netflix_v5!A$2:H$7370, 7, FALSE), "")</f>
        <v>NA</v>
      </c>
    </row>
    <row r="3575" ht="15.75" customHeight="1">
      <c r="A3575" s="1" t="str">
        <f>IFERROR(__xludf.DUMMYFUNCTION("""COMPUTED_VALUE"""),"free fall")</f>
        <v>free fall</v>
      </c>
      <c r="B3575" s="1" t="str">
        <f>IF(A3575&lt;&gt;"", VLOOKUP(A3575, imdb_netflix_v5!A$2:H$7370, 2, FALSE), "")</f>
        <v>Movie</v>
      </c>
      <c r="C3575" s="2" t="str">
        <f>IF(A3575&lt;&gt;"", VLOOKUP(A3575, imdb_netflix_v5!A$2:H$7370, 3, FALSE), "")</f>
        <v>Drama, Romance</v>
      </c>
      <c r="D3575" s="2">
        <f>IF(A3575&lt;&gt;"", VLOOKUP(A3575, imdb_netflix_v5!A$2:H$7370, 4, FALSE), "")</f>
        <v>7.5</v>
      </c>
      <c r="E3575" s="2">
        <f>IF(A3575&lt;&gt;"", VLOOKUP(A3575, imdb_netflix_v5!A$2:H$7370, 5, FALSE), "")</f>
        <v>2013</v>
      </c>
      <c r="F3575" s="2" t="str">
        <f>IF(A3575&lt;&gt;"", VLOOKUP(A3575, imdb_netflix_v5!A$2:H$7370, 7, FALSE), "")</f>
        <v>NA</v>
      </c>
    </row>
    <row r="3576" ht="15.75" customHeight="1">
      <c r="A3576" s="1" t="str">
        <f>IFERROR(__xludf.DUMMYFUNCTION("""COMPUTED_VALUE"""),"the penguins of madagascar")</f>
        <v>the penguins of madagascar</v>
      </c>
      <c r="B3576" s="1" t="str">
        <f>IF(A3576&lt;&gt;"", VLOOKUP(A3576, imdb_netflix_v5!A$2:H$7370, 2, FALSE), "")</f>
        <v>TV Show</v>
      </c>
      <c r="C3576" s="2" t="str">
        <f>IF(A3576&lt;&gt;"", VLOOKUP(A3576, imdb_netflix_v5!A$2:H$7370, 3, FALSE), "")</f>
        <v>Action, Adventure, Animation</v>
      </c>
      <c r="D3576" s="2">
        <f>IF(A3576&lt;&gt;"", VLOOKUP(A3576, imdb_netflix_v5!A$2:H$7370, 4, FALSE), "")</f>
        <v>7.5</v>
      </c>
      <c r="E3576" s="2">
        <f>IF(A3576&lt;&gt;"", VLOOKUP(A3576, imdb_netflix_v5!A$2:H$7370, 5, FALSE), "")</f>
        <v>2008</v>
      </c>
      <c r="F3576" s="2" t="str">
        <f>IF(A3576&lt;&gt;"", VLOOKUP(A3576, imdb_netflix_v5!A$2:H$7370, 7, FALSE), "")</f>
        <v>NA</v>
      </c>
    </row>
    <row r="3577" ht="15.75" customHeight="1">
      <c r="A3577" s="1" t="str">
        <f>IFERROR(__xludf.DUMMYFUNCTION("""COMPUTED_VALUE"""),"hum aapke hain koun..!")</f>
        <v>hum aapke hain koun..!</v>
      </c>
      <c r="B3577" s="1" t="str">
        <f>IF(A3577&lt;&gt;"", VLOOKUP(A3577, imdb_netflix_v5!A$2:H$7370, 2, FALSE), "")</f>
        <v>Movie</v>
      </c>
      <c r="C3577" s="2" t="str">
        <f>IF(A3577&lt;&gt;"", VLOOKUP(A3577, imdb_netflix_v5!A$2:H$7370, 3, FALSE), "")</f>
        <v>Comedy, Drama, Musical</v>
      </c>
      <c r="D3577" s="2">
        <f>IF(A3577&lt;&gt;"", VLOOKUP(A3577, imdb_netflix_v5!A$2:H$7370, 4, FALSE), "")</f>
        <v>7.5</v>
      </c>
      <c r="E3577" s="2">
        <f>IF(A3577&lt;&gt;"", VLOOKUP(A3577, imdb_netflix_v5!A$2:H$7370, 5, FALSE), "")</f>
        <v>1994</v>
      </c>
      <c r="F3577" s="2" t="str">
        <f>IF(A3577&lt;&gt;"", VLOOKUP(A3577, imdb_netflix_v5!A$2:H$7370, 7, FALSE), "")</f>
        <v>NA</v>
      </c>
    </row>
    <row r="3578" ht="15.75" customHeight="1">
      <c r="A3578" s="1" t="str">
        <f>IFERROR(__xludf.DUMMYFUNCTION("""COMPUTED_VALUE"""),"the flight of the phoenix")</f>
        <v>the flight of the phoenix</v>
      </c>
      <c r="B3578" s="1" t="str">
        <f>IF(A3578&lt;&gt;"", VLOOKUP(A3578, imdb_netflix_v5!A$2:H$7370, 2, FALSE), "")</f>
        <v>Movie</v>
      </c>
      <c r="C3578" s="2" t="str">
        <f>IF(A3578&lt;&gt;"", VLOOKUP(A3578, imdb_netflix_v5!A$2:H$7370, 3, FALSE), "")</f>
        <v>Adventure, Drama</v>
      </c>
      <c r="D3578" s="2">
        <f>IF(A3578&lt;&gt;"", VLOOKUP(A3578, imdb_netflix_v5!A$2:H$7370, 4, FALSE), "")</f>
        <v>7.5</v>
      </c>
      <c r="E3578" s="2">
        <f>IF(A3578&lt;&gt;"", VLOOKUP(A3578, imdb_netflix_v5!A$2:H$7370, 5, FALSE), "")</f>
        <v>1965</v>
      </c>
      <c r="F3578" s="2" t="str">
        <f>IF(A3578&lt;&gt;"", VLOOKUP(A3578, imdb_netflix_v5!A$2:H$7370, 7, FALSE), "")</f>
        <v>NA</v>
      </c>
    </row>
    <row r="3579" ht="15.75" customHeight="1">
      <c r="A3579" s="1" t="str">
        <f>IFERROR(__xludf.DUMMYFUNCTION("""COMPUTED_VALUE"""),"dark passage")</f>
        <v>dark passage</v>
      </c>
      <c r="B3579" s="1" t="str">
        <f>IF(A3579&lt;&gt;"", VLOOKUP(A3579, imdb_netflix_v5!A$2:H$7370, 2, FALSE), "")</f>
        <v>Movie</v>
      </c>
      <c r="C3579" s="2" t="str">
        <f>IF(A3579&lt;&gt;"", VLOOKUP(A3579, imdb_netflix_v5!A$2:H$7370, 3, FALSE), "")</f>
        <v>Film-Noir, Thriller</v>
      </c>
      <c r="D3579" s="2">
        <f>IF(A3579&lt;&gt;"", VLOOKUP(A3579, imdb_netflix_v5!A$2:H$7370, 4, FALSE), "")</f>
        <v>7.5</v>
      </c>
      <c r="E3579" s="2">
        <f>IF(A3579&lt;&gt;"", VLOOKUP(A3579, imdb_netflix_v5!A$2:H$7370, 5, FALSE), "")</f>
        <v>1947</v>
      </c>
      <c r="F3579" s="2" t="str">
        <f>IF(A3579&lt;&gt;"", VLOOKUP(A3579, imdb_netflix_v5!A$2:H$7370, 7, FALSE), "")</f>
        <v>NA</v>
      </c>
    </row>
    <row r="3580" ht="15.75" customHeight="1">
      <c r="A3580" s="1" t="str">
        <f>IFERROR(__xludf.DUMMYFUNCTION("""COMPUTED_VALUE"""),"rocket singh salesman of the year")</f>
        <v>rocket singh salesman of the year</v>
      </c>
      <c r="B3580" s="1" t="str">
        <f>IF(A3580&lt;&gt;"", VLOOKUP(A3580, imdb_netflix_v5!A$2:H$7370, 2, FALSE), "")</f>
        <v>Movie</v>
      </c>
      <c r="C3580" s="2" t="str">
        <f>IF(A3580&lt;&gt;"", VLOOKUP(A3580, imdb_netflix_v5!A$2:H$7370, 3, FALSE), "")</f>
        <v>Comedy, Drama</v>
      </c>
      <c r="D3580" s="2">
        <f>IF(A3580&lt;&gt;"", VLOOKUP(A3580, imdb_netflix_v5!A$2:H$7370, 4, FALSE), "")</f>
        <v>7.5</v>
      </c>
      <c r="E3580" s="2">
        <f>IF(A3580&lt;&gt;"", VLOOKUP(A3580, imdb_netflix_v5!A$2:H$7370, 5, FALSE), "")</f>
        <v>2009</v>
      </c>
      <c r="F3580" s="2" t="str">
        <f>IF(A3580&lt;&gt;"", VLOOKUP(A3580, imdb_netflix_v5!A$2:H$7370, 7, FALSE), "")</f>
        <v>NA</v>
      </c>
    </row>
    <row r="3581" ht="15.75" customHeight="1">
      <c r="A3581" s="1" t="str">
        <f>IFERROR(__xludf.DUMMYFUNCTION("""COMPUTED_VALUE"""),"kiss me deadly")</f>
        <v>kiss me deadly</v>
      </c>
      <c r="B3581" s="1" t="str">
        <f>IF(A3581&lt;&gt;"", VLOOKUP(A3581, imdb_netflix_v5!A$2:H$7370, 2, FALSE), "")</f>
        <v>Movie</v>
      </c>
      <c r="C3581" s="2" t="str">
        <f>IF(A3581&lt;&gt;"", VLOOKUP(A3581, imdb_netflix_v5!A$2:H$7370, 3, FALSE), "")</f>
        <v>Crime, Film-Noir, Mystery</v>
      </c>
      <c r="D3581" s="2">
        <f>IF(A3581&lt;&gt;"", VLOOKUP(A3581, imdb_netflix_v5!A$2:H$7370, 4, FALSE), "")</f>
        <v>7.5</v>
      </c>
      <c r="E3581" s="2">
        <f>IF(A3581&lt;&gt;"", VLOOKUP(A3581, imdb_netflix_v5!A$2:H$7370, 5, FALSE), "")</f>
        <v>1955</v>
      </c>
      <c r="F3581" s="2" t="str">
        <f>IF(A3581&lt;&gt;"", VLOOKUP(A3581, imdb_netflix_v5!A$2:H$7370, 7, FALSE), "")</f>
        <v>NA</v>
      </c>
    </row>
    <row r="3582" ht="15.75" customHeight="1">
      <c r="A3582" s="1" t="str">
        <f>IFERROR(__xludf.DUMMYFUNCTION("""COMPUTED_VALUE"""),"dinosaurs")</f>
        <v>dinosaurs</v>
      </c>
      <c r="B3582" s="1" t="str">
        <f>IF(A3582&lt;&gt;"", VLOOKUP(A3582, imdb_netflix_v5!A$2:H$7370, 2, FALSE), "")</f>
        <v>TV Show</v>
      </c>
      <c r="C3582" s="2" t="str">
        <f>IF(A3582&lt;&gt;"", VLOOKUP(A3582, imdb_netflix_v5!A$2:H$7370, 3, FALSE), "")</f>
        <v>Comedy, Family, Fantasy</v>
      </c>
      <c r="D3582" s="2">
        <f>IF(A3582&lt;&gt;"", VLOOKUP(A3582, imdb_netflix_v5!A$2:H$7370, 4, FALSE), "")</f>
        <v>7.5</v>
      </c>
      <c r="E3582" s="2">
        <f>IF(A3582&lt;&gt;"", VLOOKUP(A3582, imdb_netflix_v5!A$2:H$7370, 5, FALSE), "")</f>
        <v>1991</v>
      </c>
      <c r="F3582" s="2" t="str">
        <f>IF(A3582&lt;&gt;"", VLOOKUP(A3582, imdb_netflix_v5!A$2:H$7370, 7, FALSE), "")</f>
        <v>NA</v>
      </c>
    </row>
    <row r="3583" ht="15.75" customHeight="1">
      <c r="A3583" s="1" t="str">
        <f>IFERROR(__xludf.DUMMYFUNCTION("""COMPUTED_VALUE"""),"memories")</f>
        <v>memories</v>
      </c>
      <c r="B3583" s="1" t="str">
        <f>IF(A3583&lt;&gt;"", VLOOKUP(A3583, imdb_netflix_v5!A$2:H$7370, 2, FALSE), "")</f>
        <v>Movie</v>
      </c>
      <c r="C3583" s="2" t="str">
        <f>IF(A3583&lt;&gt;"", VLOOKUP(A3583, imdb_netflix_v5!A$2:H$7370, 3, FALSE), "")</f>
        <v>Animation, Drama, Horror</v>
      </c>
      <c r="D3583" s="2">
        <f>IF(A3583&lt;&gt;"", VLOOKUP(A3583, imdb_netflix_v5!A$2:H$7370, 4, FALSE), "")</f>
        <v>7.5</v>
      </c>
      <c r="E3583" s="2">
        <f>IF(A3583&lt;&gt;"", VLOOKUP(A3583, imdb_netflix_v5!A$2:H$7370, 5, FALSE), "")</f>
        <v>1995</v>
      </c>
      <c r="F3583" s="2" t="str">
        <f>IF(A3583&lt;&gt;"", VLOOKUP(A3583, imdb_netflix_v5!A$2:H$7370, 7, FALSE), "")</f>
        <v>NA</v>
      </c>
    </row>
    <row r="3584" ht="15.75" customHeight="1">
      <c r="A3584" s="1" t="str">
        <f>IFERROR(__xludf.DUMMYFUNCTION("""COMPUTED_VALUE"""),"sivaji")</f>
        <v>sivaji</v>
      </c>
      <c r="B3584" s="1" t="str">
        <f>IF(A3584&lt;&gt;"", VLOOKUP(A3584, imdb_netflix_v5!A$2:H$7370, 2, FALSE), "")</f>
        <v>Movie</v>
      </c>
      <c r="C3584" s="2" t="str">
        <f>IF(A3584&lt;&gt;"", VLOOKUP(A3584, imdb_netflix_v5!A$2:H$7370, 3, FALSE), "")</f>
        <v>Action, Crime, Drama</v>
      </c>
      <c r="D3584" s="2">
        <f>IF(A3584&lt;&gt;"", VLOOKUP(A3584, imdb_netflix_v5!A$2:H$7370, 4, FALSE), "")</f>
        <v>7.5</v>
      </c>
      <c r="E3584" s="2">
        <f>IF(A3584&lt;&gt;"", VLOOKUP(A3584, imdb_netflix_v5!A$2:H$7370, 5, FALSE), "")</f>
        <v>2007</v>
      </c>
      <c r="F3584" s="2" t="str">
        <f>IF(A3584&lt;&gt;"", VLOOKUP(A3584, imdb_netflix_v5!A$2:H$7370, 7, FALSE), "")</f>
        <v>NA</v>
      </c>
    </row>
    <row r="3585" ht="15.75" customHeight="1">
      <c r="A3585" s="1" t="str">
        <f>IFERROR(__xludf.DUMMYFUNCTION("""COMPUTED_VALUE"""),"the namesake")</f>
        <v>the namesake</v>
      </c>
      <c r="B3585" s="1" t="str">
        <f>IF(A3585&lt;&gt;"", VLOOKUP(A3585, imdb_netflix_v5!A$2:H$7370, 2, FALSE), "")</f>
        <v>Movie</v>
      </c>
      <c r="C3585" s="2" t="str">
        <f>IF(A3585&lt;&gt;"", VLOOKUP(A3585, imdb_netflix_v5!A$2:H$7370, 3, FALSE), "")</f>
        <v>Drama</v>
      </c>
      <c r="D3585" s="2">
        <f>IF(A3585&lt;&gt;"", VLOOKUP(A3585, imdb_netflix_v5!A$2:H$7370, 4, FALSE), "")</f>
        <v>7.5</v>
      </c>
      <c r="E3585" s="2">
        <f>IF(A3585&lt;&gt;"", VLOOKUP(A3585, imdb_netflix_v5!A$2:H$7370, 5, FALSE), "")</f>
        <v>2006</v>
      </c>
      <c r="F3585" s="2" t="str">
        <f>IF(A3585&lt;&gt;"", VLOOKUP(A3585, imdb_netflix_v5!A$2:H$7370, 7, FALSE), "")</f>
        <v>NA</v>
      </c>
    </row>
    <row r="3586" ht="15.75" customHeight="1">
      <c r="A3586" s="1" t="str">
        <f>IFERROR(__xludf.DUMMYFUNCTION("""COMPUTED_VALUE"""),"jolly llb")</f>
        <v>jolly llb</v>
      </c>
      <c r="B3586" s="1" t="str">
        <f>IF(A3586&lt;&gt;"", VLOOKUP(A3586, imdb_netflix_v5!A$2:H$7370, 2, FALSE), "")</f>
        <v>Movie</v>
      </c>
      <c r="C3586" s="2" t="str">
        <f>IF(A3586&lt;&gt;"", VLOOKUP(A3586, imdb_netflix_v5!A$2:H$7370, 3, FALSE), "")</f>
        <v>Comedy, Crime, Drama</v>
      </c>
      <c r="D3586" s="2">
        <f>IF(A3586&lt;&gt;"", VLOOKUP(A3586, imdb_netflix_v5!A$2:H$7370, 4, FALSE), "")</f>
        <v>7.5</v>
      </c>
      <c r="E3586" s="2">
        <f>IF(A3586&lt;&gt;"", VLOOKUP(A3586, imdb_netflix_v5!A$2:H$7370, 5, FALSE), "")</f>
        <v>2013</v>
      </c>
      <c r="F3586" s="2" t="str">
        <f>IF(A3586&lt;&gt;"", VLOOKUP(A3586, imdb_netflix_v5!A$2:H$7370, 7, FALSE), "")</f>
        <v>NA</v>
      </c>
    </row>
    <row r="3587" ht="15.75" customHeight="1">
      <c r="A3587" s="1" t="str">
        <f>IFERROR(__xludf.DUMMYFUNCTION("""COMPUTED_VALUE"""),"american nightmare")</f>
        <v>american nightmare</v>
      </c>
      <c r="B3587" s="1" t="str">
        <f>IF(A3587&lt;&gt;"", VLOOKUP(A3587, imdb_netflix_v5!A$2:H$7370, 2, FALSE), "")</f>
        <v>TV Show</v>
      </c>
      <c r="C3587" s="2" t="str">
        <f>IF(A3587&lt;&gt;"", VLOOKUP(A3587, imdb_netflix_v5!A$2:H$7370, 3, FALSE), "")</f>
        <v>Crime, Documentary, Mystery</v>
      </c>
      <c r="D3587" s="2">
        <f>IF(A3587&lt;&gt;"", VLOOKUP(A3587, imdb_netflix_v5!A$2:H$7370, 4, FALSE), "")</f>
        <v>7.5</v>
      </c>
      <c r="E3587" s="2">
        <f>IF(A3587&lt;&gt;"", VLOOKUP(A3587, imdb_netflix_v5!A$2:H$7370, 5, FALSE), "")</f>
        <v>2024</v>
      </c>
      <c r="F3587" s="2" t="str">
        <f>IF(A3587&lt;&gt;"", VLOOKUP(A3587, imdb_netflix_v5!A$2:H$7370, 7, FALSE), "")</f>
        <v>NA</v>
      </c>
    </row>
    <row r="3588" ht="15.75" customHeight="1">
      <c r="A3588" s="1" t="str">
        <f>IFERROR(__xludf.DUMMYFUNCTION("""COMPUTED_VALUE"""),"wadjda")</f>
        <v>wadjda</v>
      </c>
      <c r="B3588" s="1" t="str">
        <f>IF(A3588&lt;&gt;"", VLOOKUP(A3588, imdb_netflix_v5!A$2:H$7370, 2, FALSE), "")</f>
        <v>Movie</v>
      </c>
      <c r="C3588" s="2" t="str">
        <f>IF(A3588&lt;&gt;"", VLOOKUP(A3588, imdb_netflix_v5!A$2:H$7370, 3, FALSE), "")</f>
        <v>Comedy, Drama</v>
      </c>
      <c r="D3588" s="2">
        <f>IF(A3588&lt;&gt;"", VLOOKUP(A3588, imdb_netflix_v5!A$2:H$7370, 4, FALSE), "")</f>
        <v>7.5</v>
      </c>
      <c r="E3588" s="2">
        <f>IF(A3588&lt;&gt;"", VLOOKUP(A3588, imdb_netflix_v5!A$2:H$7370, 5, FALSE), "")</f>
        <v>2012</v>
      </c>
      <c r="F3588" s="2" t="str">
        <f>IF(A3588&lt;&gt;"", VLOOKUP(A3588, imdb_netflix_v5!A$2:H$7370, 7, FALSE), "")</f>
        <v>NA</v>
      </c>
    </row>
    <row r="3589" ht="15.75" customHeight="1">
      <c r="A3589" s="1" t="str">
        <f>IFERROR(__xludf.DUMMYFUNCTION("""COMPUTED_VALUE"""),"happy as lazzaro")</f>
        <v>happy as lazzaro</v>
      </c>
      <c r="B3589" s="1" t="str">
        <f>IF(A3589&lt;&gt;"", VLOOKUP(A3589, imdb_netflix_v5!A$2:H$7370, 2, FALSE), "")</f>
        <v>Movie</v>
      </c>
      <c r="C3589" s="2" t="str">
        <f>IF(A3589&lt;&gt;"", VLOOKUP(A3589, imdb_netflix_v5!A$2:H$7370, 3, FALSE), "")</f>
        <v>Drama, Fantasy, Mystery</v>
      </c>
      <c r="D3589" s="2">
        <f>IF(A3589&lt;&gt;"", VLOOKUP(A3589, imdb_netflix_v5!A$2:H$7370, 4, FALSE), "")</f>
        <v>7.5</v>
      </c>
      <c r="E3589" s="2">
        <f>IF(A3589&lt;&gt;"", VLOOKUP(A3589, imdb_netflix_v5!A$2:H$7370, 5, FALSE), "")</f>
        <v>2018</v>
      </c>
      <c r="F3589" s="2" t="str">
        <f>IF(A3589&lt;&gt;"", VLOOKUP(A3589, imdb_netflix_v5!A$2:H$7370, 7, FALSE), "")</f>
        <v>NA</v>
      </c>
    </row>
    <row r="3590" ht="15.75" customHeight="1">
      <c r="A3590" s="1" t="str">
        <f>IFERROR(__xludf.DUMMYFUNCTION("""COMPUTED_VALUE"""),"tickled")</f>
        <v>tickled</v>
      </c>
      <c r="B3590" s="1" t="str">
        <f>IF(A3590&lt;&gt;"", VLOOKUP(A3590, imdb_netflix_v5!A$2:H$7370, 2, FALSE), "")</f>
        <v>Movie</v>
      </c>
      <c r="C3590" s="2" t="str">
        <f>IF(A3590&lt;&gt;"", VLOOKUP(A3590, imdb_netflix_v5!A$2:H$7370, 3, FALSE), "")</f>
        <v>Crime, Documentary, Mystery</v>
      </c>
      <c r="D3590" s="2">
        <f>IF(A3590&lt;&gt;"", VLOOKUP(A3590, imdb_netflix_v5!A$2:H$7370, 4, FALSE), "")</f>
        <v>7.5</v>
      </c>
      <c r="E3590" s="2">
        <f>IF(A3590&lt;&gt;"", VLOOKUP(A3590, imdb_netflix_v5!A$2:H$7370, 5, FALSE), "")</f>
        <v>2016</v>
      </c>
      <c r="F3590" s="2" t="str">
        <f>IF(A3590&lt;&gt;"", VLOOKUP(A3590, imdb_netflix_v5!A$2:H$7370, 7, FALSE), "")</f>
        <v>NA</v>
      </c>
    </row>
    <row r="3591" ht="15.75" customHeight="1">
      <c r="A3591" s="1" t="str">
        <f>IFERROR(__xludf.DUMMYFUNCTION("""COMPUTED_VALUE"""),"the beasts")</f>
        <v>the beasts</v>
      </c>
      <c r="B3591" s="1" t="str">
        <f>IF(A3591&lt;&gt;"", VLOOKUP(A3591, imdb_netflix_v5!A$2:H$7370, 2, FALSE), "")</f>
        <v>Movie</v>
      </c>
      <c r="C3591" s="2" t="str">
        <f>IF(A3591&lt;&gt;"", VLOOKUP(A3591, imdb_netflix_v5!A$2:H$7370, 3, FALSE), "")</f>
        <v>Drama, Thriller</v>
      </c>
      <c r="D3591" s="2">
        <f>IF(A3591&lt;&gt;"", VLOOKUP(A3591, imdb_netflix_v5!A$2:H$7370, 4, FALSE), "")</f>
        <v>7.5</v>
      </c>
      <c r="E3591" s="2">
        <f>IF(A3591&lt;&gt;"", VLOOKUP(A3591, imdb_netflix_v5!A$2:H$7370, 5, FALSE), "")</f>
        <v>2022</v>
      </c>
      <c r="F3591" s="2" t="str">
        <f>IF(A3591&lt;&gt;"", VLOOKUP(A3591, imdb_netflix_v5!A$2:H$7370, 7, FALSE), "")</f>
        <v>NA</v>
      </c>
    </row>
    <row r="3592" ht="15.75" customHeight="1">
      <c r="A3592" s="1" t="str">
        <f>IFERROR(__xludf.DUMMYFUNCTION("""COMPUTED_VALUE"""),"my big fat bride")</f>
        <v>my big fat bride</v>
      </c>
      <c r="B3592" s="1" t="str">
        <f>IF(A3592&lt;&gt;"", VLOOKUP(A3592, imdb_netflix_v5!A$2:H$7370, 2, FALSE), "")</f>
        <v>Movie</v>
      </c>
      <c r="C3592" s="2" t="str">
        <f>IF(A3592&lt;&gt;"", VLOOKUP(A3592, imdb_netflix_v5!A$2:H$7370, 3, FALSE), "")</f>
        <v>Comedy, Drama, Romance</v>
      </c>
      <c r="D3592" s="2">
        <f>IF(A3592&lt;&gt;"", VLOOKUP(A3592, imdb_netflix_v5!A$2:H$7370, 4, FALSE), "")</f>
        <v>7.5</v>
      </c>
      <c r="E3592" s="2">
        <f>IF(A3592&lt;&gt;"", VLOOKUP(A3592, imdb_netflix_v5!A$2:H$7370, 5, FALSE), "")</f>
        <v>2015</v>
      </c>
      <c r="F3592" s="2" t="str">
        <f>IF(A3592&lt;&gt;"", VLOOKUP(A3592, imdb_netflix_v5!A$2:H$7370, 7, FALSE), "")</f>
        <v>NA</v>
      </c>
    </row>
    <row r="3593" ht="15.75" customHeight="1">
      <c r="A3593" s="1" t="str">
        <f>IFERROR(__xludf.DUMMYFUNCTION("""COMPUTED_VALUE"""),"monsieur lazhar")</f>
        <v>monsieur lazhar</v>
      </c>
      <c r="B3593" s="1" t="str">
        <f>IF(A3593&lt;&gt;"", VLOOKUP(A3593, imdb_netflix_v5!A$2:H$7370, 2, FALSE), "")</f>
        <v>Movie</v>
      </c>
      <c r="C3593" s="2" t="str">
        <f>IF(A3593&lt;&gt;"", VLOOKUP(A3593, imdb_netflix_v5!A$2:H$7370, 3, FALSE), "")</f>
        <v>Comedy, Drama</v>
      </c>
      <c r="D3593" s="2">
        <f>IF(A3593&lt;&gt;"", VLOOKUP(A3593, imdb_netflix_v5!A$2:H$7370, 4, FALSE), "")</f>
        <v>7.5</v>
      </c>
      <c r="E3593" s="2">
        <f>IF(A3593&lt;&gt;"", VLOOKUP(A3593, imdb_netflix_v5!A$2:H$7370, 5, FALSE), "")</f>
        <v>2011</v>
      </c>
      <c r="F3593" s="2" t="str">
        <f>IF(A3593&lt;&gt;"", VLOOKUP(A3593, imdb_netflix_v5!A$2:H$7370, 7, FALSE), "")</f>
        <v>NA</v>
      </c>
    </row>
    <row r="3594" ht="15.75" customHeight="1">
      <c r="A3594" s="1" t="str">
        <f>IFERROR(__xludf.DUMMYFUNCTION("""COMPUTED_VALUE"""),"drop dead diva")</f>
        <v>drop dead diva</v>
      </c>
      <c r="B3594" s="1" t="str">
        <f>IF(A3594&lt;&gt;"", VLOOKUP(A3594, imdb_netflix_v5!A$2:H$7370, 2, FALSE), "")</f>
        <v>TV Show</v>
      </c>
      <c r="C3594" s="2" t="str">
        <f>IF(A3594&lt;&gt;"", VLOOKUP(A3594, imdb_netflix_v5!A$2:H$7370, 3, FALSE), "")</f>
        <v>Comedy, Drama</v>
      </c>
      <c r="D3594" s="2">
        <f>IF(A3594&lt;&gt;"", VLOOKUP(A3594, imdb_netflix_v5!A$2:H$7370, 4, FALSE), "")</f>
        <v>7.5</v>
      </c>
      <c r="E3594" s="2">
        <f>IF(A3594&lt;&gt;"", VLOOKUP(A3594, imdb_netflix_v5!A$2:H$7370, 5, FALSE), "")</f>
        <v>2009</v>
      </c>
      <c r="F3594" s="2" t="str">
        <f>IF(A3594&lt;&gt;"", VLOOKUP(A3594, imdb_netflix_v5!A$2:H$7370, 7, FALSE), "")</f>
        <v>NA</v>
      </c>
    </row>
    <row r="3595" ht="15.75" customHeight="1">
      <c r="A3595" s="1" t="str">
        <f>IFERROR(__xludf.DUMMYFUNCTION("""COMPUTED_VALUE"""),"disclaimer")</f>
        <v>disclaimer</v>
      </c>
      <c r="B3595" s="1" t="str">
        <f>IF(A3595&lt;&gt;"", VLOOKUP(A3595, imdb_netflix_v5!A$2:H$7370, 2, FALSE), "")</f>
        <v>TV Show</v>
      </c>
      <c r="C3595" s="2" t="str">
        <f>IF(A3595&lt;&gt;"", VLOOKUP(A3595, imdb_netflix_v5!A$2:H$7370, 3, FALSE), "")</f>
        <v>Drama, Mystery, Thriller</v>
      </c>
      <c r="D3595" s="2">
        <f>IF(A3595&lt;&gt;"", VLOOKUP(A3595, imdb_netflix_v5!A$2:H$7370, 4, FALSE), "")</f>
        <v>7.5</v>
      </c>
      <c r="E3595" s="2">
        <f>IF(A3595&lt;&gt;"", VLOOKUP(A3595, imdb_netflix_v5!A$2:H$7370, 5, FALSE), "")</f>
        <v>2024</v>
      </c>
      <c r="F3595" s="2" t="str">
        <f>IF(A3595&lt;&gt;"", VLOOKUP(A3595, imdb_netflix_v5!A$2:H$7370, 7, FALSE), "")</f>
        <v>NA</v>
      </c>
    </row>
    <row r="3596" ht="15.75" customHeight="1">
      <c r="A3596" s="1" t="str">
        <f>IFERROR(__xludf.DUMMYFUNCTION("""COMPUTED_VALUE"""),"coal miners daughter")</f>
        <v>coal miners daughter</v>
      </c>
      <c r="B3596" s="1" t="str">
        <f>IF(A3596&lt;&gt;"", VLOOKUP(A3596, imdb_netflix_v5!A$2:H$7370, 2, FALSE), "")</f>
        <v>Movie</v>
      </c>
      <c r="C3596" s="2" t="str">
        <f>IF(A3596&lt;&gt;"", VLOOKUP(A3596, imdb_netflix_v5!A$2:H$7370, 3, FALSE), "")</f>
        <v>Biography, Drama, Music</v>
      </c>
      <c r="D3596" s="2">
        <f>IF(A3596&lt;&gt;"", VLOOKUP(A3596, imdb_netflix_v5!A$2:H$7370, 4, FALSE), "")</f>
        <v>7.5</v>
      </c>
      <c r="E3596" s="2">
        <f>IF(A3596&lt;&gt;"", VLOOKUP(A3596, imdb_netflix_v5!A$2:H$7370, 5, FALSE), "")</f>
        <v>1980</v>
      </c>
      <c r="F3596" s="2" t="str">
        <f>IF(A3596&lt;&gt;"", VLOOKUP(A3596, imdb_netflix_v5!A$2:H$7370, 7, FALSE), "")</f>
        <v>NA</v>
      </c>
    </row>
    <row r="3597" ht="15.75" customHeight="1">
      <c r="A3597" s="1" t="str">
        <f>IFERROR(__xludf.DUMMYFUNCTION("""COMPUTED_VALUE"""),"go on")</f>
        <v>go on</v>
      </c>
      <c r="B3597" s="1" t="str">
        <f>IF(A3597&lt;&gt;"", VLOOKUP(A3597, imdb_netflix_v5!A$2:H$7370, 2, FALSE), "")</f>
        <v>TV Show</v>
      </c>
      <c r="C3597" s="2" t="str">
        <f>IF(A3597&lt;&gt;"", VLOOKUP(A3597, imdb_netflix_v5!A$2:H$7370, 3, FALSE), "")</f>
        <v>Comedy</v>
      </c>
      <c r="D3597" s="2">
        <f>IF(A3597&lt;&gt;"", VLOOKUP(A3597, imdb_netflix_v5!A$2:H$7370, 4, FALSE), "")</f>
        <v>7.5</v>
      </c>
      <c r="E3597" s="2">
        <f>IF(A3597&lt;&gt;"", VLOOKUP(A3597, imdb_netflix_v5!A$2:H$7370, 5, FALSE), "")</f>
        <v>2012</v>
      </c>
      <c r="F3597" s="2" t="str">
        <f>IF(A3597&lt;&gt;"", VLOOKUP(A3597, imdb_netflix_v5!A$2:H$7370, 7, FALSE), "")</f>
        <v>NA</v>
      </c>
    </row>
    <row r="3598" ht="15.75" customHeight="1">
      <c r="A3598" s="1" t="str">
        <f>IFERROR(__xludf.DUMMYFUNCTION("""COMPUTED_VALUE"""),"songs from the second floor")</f>
        <v>songs from the second floor</v>
      </c>
      <c r="B3598" s="1" t="str">
        <f>IF(A3598&lt;&gt;"", VLOOKUP(A3598, imdb_netflix_v5!A$2:H$7370, 2, FALSE), "")</f>
        <v>Movie</v>
      </c>
      <c r="C3598" s="2" t="str">
        <f>IF(A3598&lt;&gt;"", VLOOKUP(A3598, imdb_netflix_v5!A$2:H$7370, 3, FALSE), "")</f>
        <v>Comedy, Drama</v>
      </c>
      <c r="D3598" s="2">
        <f>IF(A3598&lt;&gt;"", VLOOKUP(A3598, imdb_netflix_v5!A$2:H$7370, 4, FALSE), "")</f>
        <v>7.5</v>
      </c>
      <c r="E3598" s="2">
        <f>IF(A3598&lt;&gt;"", VLOOKUP(A3598, imdb_netflix_v5!A$2:H$7370, 5, FALSE), "")</f>
        <v>2000</v>
      </c>
      <c r="F3598" s="2" t="str">
        <f>IF(A3598&lt;&gt;"", VLOOKUP(A3598, imdb_netflix_v5!A$2:H$7370, 7, FALSE), "")</f>
        <v>NA</v>
      </c>
    </row>
    <row r="3599" ht="15.75" customHeight="1">
      <c r="A3599" s="1" t="str">
        <f>IFERROR(__xludf.DUMMYFUNCTION("""COMPUTED_VALUE"""),"the phantom of the opera")</f>
        <v>the phantom of the opera</v>
      </c>
      <c r="B3599" s="1" t="str">
        <f>IF(A3599&lt;&gt;"", VLOOKUP(A3599, imdb_netflix_v5!A$2:H$7370, 2, FALSE), "")</f>
        <v>Movie</v>
      </c>
      <c r="C3599" s="2" t="str">
        <f>IF(A3599&lt;&gt;"", VLOOKUP(A3599, imdb_netflix_v5!A$2:H$7370, 3, FALSE), "")</f>
        <v>Horror</v>
      </c>
      <c r="D3599" s="2">
        <f>IF(A3599&lt;&gt;"", VLOOKUP(A3599, imdb_netflix_v5!A$2:H$7370, 4, FALSE), "")</f>
        <v>7.5</v>
      </c>
      <c r="E3599" s="2">
        <f>IF(A3599&lt;&gt;"", VLOOKUP(A3599, imdb_netflix_v5!A$2:H$7370, 5, FALSE), "")</f>
        <v>1925</v>
      </c>
      <c r="F3599" s="2" t="str">
        <f>IF(A3599&lt;&gt;"", VLOOKUP(A3599, imdb_netflix_v5!A$2:H$7370, 7, FALSE), "")</f>
        <v>NA</v>
      </c>
    </row>
    <row r="3600" ht="15.75" customHeight="1">
      <c r="A3600" s="1" t="str">
        <f>IFERROR(__xludf.DUMMYFUNCTION("""COMPUTED_VALUE"""),"living in oblivion")</f>
        <v>living in oblivion</v>
      </c>
      <c r="B3600" s="1" t="str">
        <f>IF(A3600&lt;&gt;"", VLOOKUP(A3600, imdb_netflix_v5!A$2:H$7370, 2, FALSE), "")</f>
        <v>Movie</v>
      </c>
      <c r="C3600" s="2" t="str">
        <f>IF(A3600&lt;&gt;"", VLOOKUP(A3600, imdb_netflix_v5!A$2:H$7370, 3, FALSE), "")</f>
        <v>Comedy, Drama</v>
      </c>
      <c r="D3600" s="2">
        <f>IF(A3600&lt;&gt;"", VLOOKUP(A3600, imdb_netflix_v5!A$2:H$7370, 4, FALSE), "")</f>
        <v>7.5</v>
      </c>
      <c r="E3600" s="2">
        <f>IF(A3600&lt;&gt;"", VLOOKUP(A3600, imdb_netflix_v5!A$2:H$7370, 5, FALSE), "")</f>
        <v>1995</v>
      </c>
      <c r="F3600" s="2" t="str">
        <f>IF(A3600&lt;&gt;"", VLOOKUP(A3600, imdb_netflix_v5!A$2:H$7370, 7, FALSE), "")</f>
        <v>NA</v>
      </c>
    </row>
    <row r="3601" ht="15.75" customHeight="1">
      <c r="A3601" s="1" t="str">
        <f>IFERROR(__xludf.DUMMYFUNCTION("""COMPUTED_VALUE"""),"metallica some kind of monster")</f>
        <v>metallica some kind of monster</v>
      </c>
      <c r="B3601" s="1" t="str">
        <f>IF(A3601&lt;&gt;"", VLOOKUP(A3601, imdb_netflix_v5!A$2:H$7370, 2, FALSE), "")</f>
        <v>Movie</v>
      </c>
      <c r="C3601" s="2" t="str">
        <f>IF(A3601&lt;&gt;"", VLOOKUP(A3601, imdb_netflix_v5!A$2:H$7370, 3, FALSE), "")</f>
        <v>Documentary, Music</v>
      </c>
      <c r="D3601" s="2">
        <f>IF(A3601&lt;&gt;"", VLOOKUP(A3601, imdb_netflix_v5!A$2:H$7370, 4, FALSE), "")</f>
        <v>7.5</v>
      </c>
      <c r="E3601" s="2">
        <f>IF(A3601&lt;&gt;"", VLOOKUP(A3601, imdb_netflix_v5!A$2:H$7370, 5, FALSE), "")</f>
        <v>2004</v>
      </c>
      <c r="F3601" s="2" t="str">
        <f>IF(A3601&lt;&gt;"", VLOOKUP(A3601, imdb_netflix_v5!A$2:H$7370, 7, FALSE), "")</f>
        <v>NA</v>
      </c>
    </row>
    <row r="3602" ht="15.75" customHeight="1">
      <c r="A3602" s="1" t="str">
        <f>IFERROR(__xludf.DUMMYFUNCTION("""COMPUTED_VALUE"""),"he-man and the masters of the universe")</f>
        <v>he-man and the masters of the universe</v>
      </c>
      <c r="B3602" s="1" t="str">
        <f>IF(A3602&lt;&gt;"", VLOOKUP(A3602, imdb_netflix_v5!A$2:H$7370, 2, FALSE), "")</f>
        <v>TV Show</v>
      </c>
      <c r="C3602" s="2" t="str">
        <f>IF(A3602&lt;&gt;"", VLOOKUP(A3602, imdb_netflix_v5!A$2:H$7370, 3, FALSE), "")</f>
        <v>Action, Adventure, Animation</v>
      </c>
      <c r="D3602" s="2">
        <f>IF(A3602&lt;&gt;"", VLOOKUP(A3602, imdb_netflix_v5!A$2:H$7370, 4, FALSE), "")</f>
        <v>7.5</v>
      </c>
      <c r="E3602" s="2">
        <f>IF(A3602&lt;&gt;"", VLOOKUP(A3602, imdb_netflix_v5!A$2:H$7370, 5, FALSE), "")</f>
        <v>1983</v>
      </c>
      <c r="F3602" s="2" t="str">
        <f>IF(A3602&lt;&gt;"", VLOOKUP(A3602, imdb_netflix_v5!A$2:H$7370, 7, FALSE), "")</f>
        <v>NA</v>
      </c>
    </row>
    <row r="3603" ht="15.75" customHeight="1">
      <c r="A3603" s="1" t="str">
        <f>IFERROR(__xludf.DUMMYFUNCTION("""COMPUTED_VALUE"""),"wuthering heights")</f>
        <v>wuthering heights</v>
      </c>
      <c r="B3603" s="1" t="str">
        <f>IF(A3603&lt;&gt;"", VLOOKUP(A3603, imdb_netflix_v5!A$2:H$7370, 2, FALSE), "")</f>
        <v>Movie</v>
      </c>
      <c r="C3603" s="2" t="str">
        <f>IF(A3603&lt;&gt;"", VLOOKUP(A3603, imdb_netflix_v5!A$2:H$7370, 3, FALSE), "")</f>
        <v>Drama, Romance</v>
      </c>
      <c r="D3603" s="2">
        <f>IF(A3603&lt;&gt;"", VLOOKUP(A3603, imdb_netflix_v5!A$2:H$7370, 4, FALSE), "")</f>
        <v>7.5</v>
      </c>
      <c r="E3603" s="2">
        <f>IF(A3603&lt;&gt;"", VLOOKUP(A3603, imdb_netflix_v5!A$2:H$7370, 5, FALSE), "")</f>
        <v>1939</v>
      </c>
      <c r="F3603" s="2" t="str">
        <f>IF(A3603&lt;&gt;"", VLOOKUP(A3603, imdb_netflix_v5!A$2:H$7370, 7, FALSE), "")</f>
        <v>NA</v>
      </c>
    </row>
    <row r="3604" ht="15.75" customHeight="1">
      <c r="A3604" s="1" t="str">
        <f>IFERROR(__xludf.DUMMYFUNCTION("""COMPUTED_VALUE"""),"high sierra")</f>
        <v>high sierra</v>
      </c>
      <c r="B3604" s="1" t="str">
        <f>IF(A3604&lt;&gt;"", VLOOKUP(A3604, imdb_netflix_v5!A$2:H$7370, 2, FALSE), "")</f>
        <v>Movie</v>
      </c>
      <c r="C3604" s="2" t="str">
        <f>IF(A3604&lt;&gt;"", VLOOKUP(A3604, imdb_netflix_v5!A$2:H$7370, 3, FALSE), "")</f>
        <v>Action, Adventure, Drama</v>
      </c>
      <c r="D3604" s="2">
        <f>IF(A3604&lt;&gt;"", VLOOKUP(A3604, imdb_netflix_v5!A$2:H$7370, 4, FALSE), "")</f>
        <v>7.5</v>
      </c>
      <c r="E3604" s="2">
        <f>IF(A3604&lt;&gt;"", VLOOKUP(A3604, imdb_netflix_v5!A$2:H$7370, 5, FALSE), "")</f>
        <v>1940</v>
      </c>
      <c r="F3604" s="2" t="str">
        <f>IF(A3604&lt;&gt;"", VLOOKUP(A3604, imdb_netflix_v5!A$2:H$7370, 7, FALSE), "")</f>
        <v>NA</v>
      </c>
    </row>
    <row r="3605" ht="15.75" customHeight="1">
      <c r="A3605" s="1" t="str">
        <f>IFERROR(__xludf.DUMMYFUNCTION("""COMPUTED_VALUE"""),"golmaal fun unlimited")</f>
        <v>golmaal fun unlimited</v>
      </c>
      <c r="B3605" s="1" t="str">
        <f>IF(A3605&lt;&gt;"", VLOOKUP(A3605, imdb_netflix_v5!A$2:H$7370, 2, FALSE), "")</f>
        <v>Movie</v>
      </c>
      <c r="C3605" s="2" t="str">
        <f>IF(A3605&lt;&gt;"", VLOOKUP(A3605, imdb_netflix_v5!A$2:H$7370, 3, FALSE), "")</f>
        <v>Action, Comedy, Drama</v>
      </c>
      <c r="D3605" s="2">
        <f>IF(A3605&lt;&gt;"", VLOOKUP(A3605, imdb_netflix_v5!A$2:H$7370, 4, FALSE), "")</f>
        <v>7.5</v>
      </c>
      <c r="E3605" s="2">
        <f>IF(A3605&lt;&gt;"", VLOOKUP(A3605, imdb_netflix_v5!A$2:H$7370, 5, FALSE), "")</f>
        <v>2006</v>
      </c>
      <c r="F3605" s="2" t="str">
        <f>IF(A3605&lt;&gt;"", VLOOKUP(A3605, imdb_netflix_v5!A$2:H$7370, 7, FALSE), "")</f>
        <v>NA</v>
      </c>
    </row>
    <row r="3606" ht="15.75" customHeight="1">
      <c r="A3606" s="1" t="str">
        <f>IFERROR(__xludf.DUMMYFUNCTION("""COMPUTED_VALUE"""),"deadly class")</f>
        <v>deadly class</v>
      </c>
      <c r="B3606" s="1" t="str">
        <f>IF(A3606&lt;&gt;"", VLOOKUP(A3606, imdb_netflix_v5!A$2:H$7370, 2, FALSE), "")</f>
        <v>TV Show</v>
      </c>
      <c r="C3606" s="2" t="str">
        <f>IF(A3606&lt;&gt;"", VLOOKUP(A3606, imdb_netflix_v5!A$2:H$7370, 3, FALSE), "")</f>
        <v>Action, Adventure, Comedy</v>
      </c>
      <c r="D3606" s="2">
        <f>IF(A3606&lt;&gt;"", VLOOKUP(A3606, imdb_netflix_v5!A$2:H$7370, 4, FALSE), "")</f>
        <v>7.5</v>
      </c>
      <c r="E3606" s="2">
        <f>IF(A3606&lt;&gt;"", VLOOKUP(A3606, imdb_netflix_v5!A$2:H$7370, 5, FALSE), "")</f>
        <v>2018</v>
      </c>
      <c r="F3606" s="2" t="str">
        <f>IF(A3606&lt;&gt;"", VLOOKUP(A3606, imdb_netflix_v5!A$2:H$7370, 7, FALSE), "")</f>
        <v>NA</v>
      </c>
    </row>
    <row r="3607" ht="15.75" customHeight="1">
      <c r="A3607" s="1" t="str">
        <f>IFERROR(__xludf.DUMMYFUNCTION("""COMPUTED_VALUE"""),"dead boy detectives")</f>
        <v>dead boy detectives</v>
      </c>
      <c r="B3607" s="1" t="str">
        <f>IF(A3607&lt;&gt;"", VLOOKUP(A3607, imdb_netflix_v5!A$2:H$7370, 2, FALSE), "")</f>
        <v>TV Show</v>
      </c>
      <c r="C3607" s="2" t="str">
        <f>IF(A3607&lt;&gt;"", VLOOKUP(A3607, imdb_netflix_v5!A$2:H$7370, 3, FALSE), "")</f>
        <v>Action, Adventure, Comedy</v>
      </c>
      <c r="D3607" s="2">
        <f>IF(A3607&lt;&gt;"", VLOOKUP(A3607, imdb_netflix_v5!A$2:H$7370, 4, FALSE), "")</f>
        <v>7.5</v>
      </c>
      <c r="E3607" s="2">
        <f>IF(A3607&lt;&gt;"", VLOOKUP(A3607, imdb_netflix_v5!A$2:H$7370, 5, FALSE), "")</f>
        <v>2024</v>
      </c>
      <c r="F3607" s="2" t="str">
        <f>IF(A3607&lt;&gt;"", VLOOKUP(A3607, imdb_netflix_v5!A$2:H$7370, 7, FALSE), "")</f>
        <v>NA</v>
      </c>
    </row>
    <row r="3608" ht="15.75" customHeight="1">
      <c r="A3608" s="1" t="str">
        <f>IFERROR(__xludf.DUMMYFUNCTION("""COMPUTED_VALUE"""),"another")</f>
        <v>another</v>
      </c>
      <c r="B3608" s="1" t="str">
        <f>IF(A3608&lt;&gt;"", VLOOKUP(A3608, imdb_netflix_v5!A$2:H$7370, 2, FALSE), "")</f>
        <v>TV Show</v>
      </c>
      <c r="C3608" s="2" t="str">
        <f>IF(A3608&lt;&gt;"", VLOOKUP(A3608, imdb_netflix_v5!A$2:H$7370, 3, FALSE), "")</f>
        <v>Animation, Drama, Fantasy</v>
      </c>
      <c r="D3608" s="2">
        <f>IF(A3608&lt;&gt;"", VLOOKUP(A3608, imdb_netflix_v5!A$2:H$7370, 4, FALSE), "")</f>
        <v>7.5</v>
      </c>
      <c r="E3608" s="2">
        <f>IF(A3608&lt;&gt;"", VLOOKUP(A3608, imdb_netflix_v5!A$2:H$7370, 5, FALSE), "")</f>
        <v>2012</v>
      </c>
      <c r="F3608" s="2" t="str">
        <f>IF(A3608&lt;&gt;"", VLOOKUP(A3608, imdb_netflix_v5!A$2:H$7370, 7, FALSE), "")</f>
        <v>NA</v>
      </c>
    </row>
    <row r="3609" ht="15.75" customHeight="1">
      <c r="A3609" s="1" t="str">
        <f>IFERROR(__xludf.DUMMYFUNCTION("""COMPUTED_VALUE"""),"dhamaal")</f>
        <v>dhamaal</v>
      </c>
      <c r="B3609" s="1" t="str">
        <f>IF(A3609&lt;&gt;"", VLOOKUP(A3609, imdb_netflix_v5!A$2:H$7370, 2, FALSE), "")</f>
        <v>Movie</v>
      </c>
      <c r="C3609" s="2" t="str">
        <f>IF(A3609&lt;&gt;"", VLOOKUP(A3609, imdb_netflix_v5!A$2:H$7370, 3, FALSE), "")</f>
        <v>Action, Adventure, Comedy</v>
      </c>
      <c r="D3609" s="2">
        <f>IF(A3609&lt;&gt;"", VLOOKUP(A3609, imdb_netflix_v5!A$2:H$7370, 4, FALSE), "")</f>
        <v>7.5</v>
      </c>
      <c r="E3609" s="2">
        <f>IF(A3609&lt;&gt;"", VLOOKUP(A3609, imdb_netflix_v5!A$2:H$7370, 5, FALSE), "")</f>
        <v>2007</v>
      </c>
      <c r="F3609" s="2" t="str">
        <f>IF(A3609&lt;&gt;"", VLOOKUP(A3609, imdb_netflix_v5!A$2:H$7370, 7, FALSE), "")</f>
        <v>NA</v>
      </c>
    </row>
    <row r="3610" ht="15.75" customHeight="1">
      <c r="A3610" s="1" t="str">
        <f>IFERROR(__xludf.DUMMYFUNCTION("""COMPUTED_VALUE"""),"the spy who came in from the cold")</f>
        <v>the spy who came in from the cold</v>
      </c>
      <c r="B3610" s="1" t="str">
        <f>IF(A3610&lt;&gt;"", VLOOKUP(A3610, imdb_netflix_v5!A$2:H$7370, 2, FALSE), "")</f>
        <v>Movie</v>
      </c>
      <c r="C3610" s="2" t="str">
        <f>IF(A3610&lt;&gt;"", VLOOKUP(A3610, imdb_netflix_v5!A$2:H$7370, 3, FALSE), "")</f>
        <v>Drama, Thriller</v>
      </c>
      <c r="D3610" s="2">
        <f>IF(A3610&lt;&gt;"", VLOOKUP(A3610, imdb_netflix_v5!A$2:H$7370, 4, FALSE), "")</f>
        <v>7.5</v>
      </c>
      <c r="E3610" s="2">
        <f>IF(A3610&lt;&gt;"", VLOOKUP(A3610, imdb_netflix_v5!A$2:H$7370, 5, FALSE), "")</f>
        <v>1965</v>
      </c>
      <c r="F3610" s="2" t="str">
        <f>IF(A3610&lt;&gt;"", VLOOKUP(A3610, imdb_netflix_v5!A$2:H$7370, 7, FALSE), "")</f>
        <v>NA</v>
      </c>
    </row>
    <row r="3611" ht="15.75" customHeight="1">
      <c r="A3611" s="1" t="str">
        <f>IFERROR(__xludf.DUMMYFUNCTION("""COMPUTED_VALUE"""),"miss lovely")</f>
        <v>miss lovely</v>
      </c>
      <c r="B3611" s="1" t="str">
        <f>IF(A3611&lt;&gt;"", VLOOKUP(A3611, imdb_netflix_v5!A$2:H$7370, 2, FALSE), "")</f>
        <v>Movie</v>
      </c>
      <c r="C3611" s="2" t="str">
        <f>IF(A3611&lt;&gt;"", VLOOKUP(A3611, imdb_netflix_v5!A$2:H$7370, 3, FALSE), "")</f>
        <v>Crime, Drama, Romance</v>
      </c>
      <c r="D3611" s="2">
        <f>IF(A3611&lt;&gt;"", VLOOKUP(A3611, imdb_netflix_v5!A$2:H$7370, 4, FALSE), "")</f>
        <v>7.5</v>
      </c>
      <c r="E3611" s="2">
        <f>IF(A3611&lt;&gt;"", VLOOKUP(A3611, imdb_netflix_v5!A$2:H$7370, 5, FALSE), "")</f>
        <v>2012</v>
      </c>
      <c r="F3611" s="2" t="str">
        <f>IF(A3611&lt;&gt;"", VLOOKUP(A3611, imdb_netflix_v5!A$2:H$7370, 7, FALSE), "")</f>
        <v>NA</v>
      </c>
    </row>
    <row r="3612" ht="15.75" customHeight="1">
      <c r="A3612" s="1" t="str">
        <f>IFERROR(__xludf.DUMMYFUNCTION("""COMPUTED_VALUE"""),"the consequences of love")</f>
        <v>the consequences of love</v>
      </c>
      <c r="B3612" s="1" t="str">
        <f>IF(A3612&lt;&gt;"", VLOOKUP(A3612, imdb_netflix_v5!A$2:H$7370, 2, FALSE), "")</f>
        <v>Movie</v>
      </c>
      <c r="C3612" s="2" t="str">
        <f>IF(A3612&lt;&gt;"", VLOOKUP(A3612, imdb_netflix_v5!A$2:H$7370, 3, FALSE), "")</f>
        <v>Crime, Drama, Romance</v>
      </c>
      <c r="D3612" s="2">
        <f>IF(A3612&lt;&gt;"", VLOOKUP(A3612, imdb_netflix_v5!A$2:H$7370, 4, FALSE), "")</f>
        <v>7.5</v>
      </c>
      <c r="E3612" s="2">
        <f>IF(A3612&lt;&gt;"", VLOOKUP(A3612, imdb_netflix_v5!A$2:H$7370, 5, FALSE), "")</f>
        <v>2004</v>
      </c>
      <c r="F3612" s="2" t="str">
        <f>IF(A3612&lt;&gt;"", VLOOKUP(A3612, imdb_netflix_v5!A$2:H$7370, 7, FALSE), "")</f>
        <v>NA</v>
      </c>
    </row>
    <row r="3613" ht="15.75" customHeight="1">
      <c r="A3613" s="1" t="str">
        <f>IFERROR(__xludf.DUMMYFUNCTION("""COMPUTED_VALUE"""),"rurouni kenshin part ii kyoto inferno")</f>
        <v>rurouni kenshin part ii kyoto inferno</v>
      </c>
      <c r="B3613" s="1" t="str">
        <f>IF(A3613&lt;&gt;"", VLOOKUP(A3613, imdb_netflix_v5!A$2:H$7370, 2, FALSE), "")</f>
        <v>Movie</v>
      </c>
      <c r="C3613" s="2" t="str">
        <f>IF(A3613&lt;&gt;"", VLOOKUP(A3613, imdb_netflix_v5!A$2:H$7370, 3, FALSE), "")</f>
        <v>Action, Adventure, Drama</v>
      </c>
      <c r="D3613" s="2">
        <f>IF(A3613&lt;&gt;"", VLOOKUP(A3613, imdb_netflix_v5!A$2:H$7370, 4, FALSE), "")</f>
        <v>7.5</v>
      </c>
      <c r="E3613" s="2">
        <f>IF(A3613&lt;&gt;"", VLOOKUP(A3613, imdb_netflix_v5!A$2:H$7370, 5, FALSE), "")</f>
        <v>2014</v>
      </c>
      <c r="F3613" s="2" t="str">
        <f>IF(A3613&lt;&gt;"", VLOOKUP(A3613, imdb_netflix_v5!A$2:H$7370, 7, FALSE), "")</f>
        <v>NA</v>
      </c>
    </row>
    <row r="3614" ht="15.75" customHeight="1">
      <c r="A3614" s="1" t="str">
        <f>IFERROR(__xludf.DUMMYFUNCTION("""COMPUTED_VALUE"""),"lootcase")</f>
        <v>lootcase</v>
      </c>
      <c r="B3614" s="1" t="str">
        <f>IF(A3614&lt;&gt;"", VLOOKUP(A3614, imdb_netflix_v5!A$2:H$7370, 2, FALSE), "")</f>
        <v>Movie</v>
      </c>
      <c r="C3614" s="2" t="str">
        <f>IF(A3614&lt;&gt;"", VLOOKUP(A3614, imdb_netflix_v5!A$2:H$7370, 3, FALSE), "")</f>
        <v>Comedy, Crime</v>
      </c>
      <c r="D3614" s="2">
        <f>IF(A3614&lt;&gt;"", VLOOKUP(A3614, imdb_netflix_v5!A$2:H$7370, 4, FALSE), "")</f>
        <v>7.5</v>
      </c>
      <c r="E3614" s="2">
        <f>IF(A3614&lt;&gt;"", VLOOKUP(A3614, imdb_netflix_v5!A$2:H$7370, 5, FALSE), "")</f>
        <v>2020</v>
      </c>
      <c r="F3614" s="2" t="str">
        <f>IF(A3614&lt;&gt;"", VLOOKUP(A3614, imdb_netflix_v5!A$2:H$7370, 7, FALSE), "")</f>
        <v>NA</v>
      </c>
    </row>
    <row r="3615" ht="15.75" customHeight="1">
      <c r="A3615" s="1" t="str">
        <f>IFERROR(__xludf.DUMMYFUNCTION("""COMPUTED_VALUE"""),"the concert")</f>
        <v>the concert</v>
      </c>
      <c r="B3615" s="1" t="str">
        <f>IF(A3615&lt;&gt;"", VLOOKUP(A3615, imdb_netflix_v5!A$2:H$7370, 2, FALSE), "")</f>
        <v>Movie</v>
      </c>
      <c r="C3615" s="2" t="str">
        <f>IF(A3615&lt;&gt;"", VLOOKUP(A3615, imdb_netflix_v5!A$2:H$7370, 3, FALSE), "")</f>
        <v>Comedy, Drama, Music</v>
      </c>
      <c r="D3615" s="2">
        <f>IF(A3615&lt;&gt;"", VLOOKUP(A3615, imdb_netflix_v5!A$2:H$7370, 4, FALSE), "")</f>
        <v>7.5</v>
      </c>
      <c r="E3615" s="2">
        <f>IF(A3615&lt;&gt;"", VLOOKUP(A3615, imdb_netflix_v5!A$2:H$7370, 5, FALSE), "")</f>
        <v>2009</v>
      </c>
      <c r="F3615" s="2" t="str">
        <f>IF(A3615&lt;&gt;"", VLOOKUP(A3615, imdb_netflix_v5!A$2:H$7370, 7, FALSE), "")</f>
        <v>NA</v>
      </c>
    </row>
    <row r="3616" ht="15.75" customHeight="1">
      <c r="A3616" s="1" t="str">
        <f>IFERROR(__xludf.DUMMYFUNCTION("""COMPUTED_VALUE"""),"as it is in heaven")</f>
        <v>as it is in heaven</v>
      </c>
      <c r="B3616" s="1" t="str">
        <f>IF(A3616&lt;&gt;"", VLOOKUP(A3616, imdb_netflix_v5!A$2:H$7370, 2, FALSE), "")</f>
        <v>Movie</v>
      </c>
      <c r="C3616" s="2" t="str">
        <f>IF(A3616&lt;&gt;"", VLOOKUP(A3616, imdb_netflix_v5!A$2:H$7370, 3, FALSE), "")</f>
        <v>Comedy, Drama, Music</v>
      </c>
      <c r="D3616" s="2">
        <f>IF(A3616&lt;&gt;"", VLOOKUP(A3616, imdb_netflix_v5!A$2:H$7370, 4, FALSE), "")</f>
        <v>7.5</v>
      </c>
      <c r="E3616" s="2">
        <f>IF(A3616&lt;&gt;"", VLOOKUP(A3616, imdb_netflix_v5!A$2:H$7370, 5, FALSE), "")</f>
        <v>2004</v>
      </c>
      <c r="F3616" s="2" t="str">
        <f>IF(A3616&lt;&gt;"", VLOOKUP(A3616, imdb_netflix_v5!A$2:H$7370, 7, FALSE), "")</f>
        <v>NA</v>
      </c>
    </row>
    <row r="3617" ht="15.75" customHeight="1">
      <c r="A3617" s="1" t="str">
        <f>IFERROR(__xludf.DUMMYFUNCTION("""COMPUTED_VALUE"""),"alex rider")</f>
        <v>alex rider</v>
      </c>
      <c r="B3617" s="1" t="str">
        <f>IF(A3617&lt;&gt;"", VLOOKUP(A3617, imdb_netflix_v5!A$2:H$7370, 2, FALSE), "")</f>
        <v>TV Show</v>
      </c>
      <c r="C3617" s="2" t="str">
        <f>IF(A3617&lt;&gt;"", VLOOKUP(A3617, imdb_netflix_v5!A$2:H$7370, 3, FALSE), "")</f>
        <v>Action, Adventure, Drama</v>
      </c>
      <c r="D3617" s="2">
        <f>IF(A3617&lt;&gt;"", VLOOKUP(A3617, imdb_netflix_v5!A$2:H$7370, 4, FALSE), "")</f>
        <v>7.5</v>
      </c>
      <c r="E3617" s="2">
        <f>IF(A3617&lt;&gt;"", VLOOKUP(A3617, imdb_netflix_v5!A$2:H$7370, 5, FALSE), "")</f>
        <v>2020</v>
      </c>
      <c r="F3617" s="2" t="str">
        <f>IF(A3617&lt;&gt;"", VLOOKUP(A3617, imdb_netflix_v5!A$2:H$7370, 7, FALSE), "")</f>
        <v>NA</v>
      </c>
    </row>
    <row r="3618" ht="15.75" customHeight="1">
      <c r="A3618" s="1" t="str">
        <f>IFERROR(__xludf.DUMMYFUNCTION("""COMPUTED_VALUE"""),"sarahs key")</f>
        <v>sarahs key</v>
      </c>
      <c r="B3618" s="1" t="str">
        <f>IF(A3618&lt;&gt;"", VLOOKUP(A3618, imdb_netflix_v5!A$2:H$7370, 2, FALSE), "")</f>
        <v>Movie</v>
      </c>
      <c r="C3618" s="2" t="str">
        <f>IF(A3618&lt;&gt;"", VLOOKUP(A3618, imdb_netflix_v5!A$2:H$7370, 3, FALSE), "")</f>
        <v>Drama, War</v>
      </c>
      <c r="D3618" s="2">
        <f>IF(A3618&lt;&gt;"", VLOOKUP(A3618, imdb_netflix_v5!A$2:H$7370, 4, FALSE), "")</f>
        <v>7.5</v>
      </c>
      <c r="E3618" s="2">
        <f>IF(A3618&lt;&gt;"", VLOOKUP(A3618, imdb_netflix_v5!A$2:H$7370, 5, FALSE), "")</f>
        <v>2010</v>
      </c>
      <c r="F3618" s="2" t="str">
        <f>IF(A3618&lt;&gt;"", VLOOKUP(A3618, imdb_netflix_v5!A$2:H$7370, 7, FALSE), "")</f>
        <v>NA</v>
      </c>
    </row>
    <row r="3619" ht="15.75" customHeight="1">
      <c r="A3619" s="1" t="str">
        <f>IFERROR(__xludf.DUMMYFUNCTION("""COMPUTED_VALUE"""),"redline")</f>
        <v>redline</v>
      </c>
      <c r="B3619" s="1" t="str">
        <f>IF(A3619&lt;&gt;"", VLOOKUP(A3619, imdb_netflix_v5!A$2:H$7370, 2, FALSE), "")</f>
        <v>Movie</v>
      </c>
      <c r="C3619" s="2" t="str">
        <f>IF(A3619&lt;&gt;"", VLOOKUP(A3619, imdb_netflix_v5!A$2:H$7370, 3, FALSE), "")</f>
        <v>Action, Animation, Sci-Fi</v>
      </c>
      <c r="D3619" s="2">
        <f>IF(A3619&lt;&gt;"", VLOOKUP(A3619, imdb_netflix_v5!A$2:H$7370, 4, FALSE), "")</f>
        <v>7.5</v>
      </c>
      <c r="E3619" s="2">
        <f>IF(A3619&lt;&gt;"", VLOOKUP(A3619, imdb_netflix_v5!A$2:H$7370, 5, FALSE), "")</f>
        <v>2009</v>
      </c>
      <c r="F3619" s="2" t="str">
        <f>IF(A3619&lt;&gt;"", VLOOKUP(A3619, imdb_netflix_v5!A$2:H$7370, 7, FALSE), "")</f>
        <v>NA</v>
      </c>
    </row>
    <row r="3620" ht="15.75" customHeight="1">
      <c r="A3620" s="1" t="str">
        <f>IFERROR(__xludf.DUMMYFUNCTION("""COMPUTED_VALUE"""),"shaadi mein zaroor aana")</f>
        <v>shaadi mein zaroor aana</v>
      </c>
      <c r="B3620" s="1" t="str">
        <f>IF(A3620&lt;&gt;"", VLOOKUP(A3620, imdb_netflix_v5!A$2:H$7370, 2, FALSE), "")</f>
        <v>Movie</v>
      </c>
      <c r="C3620" s="2" t="str">
        <f>IF(A3620&lt;&gt;"", VLOOKUP(A3620, imdb_netflix_v5!A$2:H$7370, 3, FALSE), "")</f>
        <v>Comedy, Drama, Romance</v>
      </c>
      <c r="D3620" s="2">
        <f>IF(A3620&lt;&gt;"", VLOOKUP(A3620, imdb_netflix_v5!A$2:H$7370, 4, FALSE), "")</f>
        <v>7.5</v>
      </c>
      <c r="E3620" s="2">
        <f>IF(A3620&lt;&gt;"", VLOOKUP(A3620, imdb_netflix_v5!A$2:H$7370, 5, FALSE), "")</f>
        <v>2017</v>
      </c>
      <c r="F3620" s="2" t="str">
        <f>IF(A3620&lt;&gt;"", VLOOKUP(A3620, imdb_netflix_v5!A$2:H$7370, 7, FALSE), "")</f>
        <v>NA</v>
      </c>
    </row>
    <row r="3621" ht="15.75" customHeight="1">
      <c r="A3621" s="1" t="str">
        <f>IFERROR(__xludf.DUMMYFUNCTION("""COMPUTED_VALUE"""),"lenny")</f>
        <v>lenny</v>
      </c>
      <c r="B3621" s="1" t="str">
        <f>IF(A3621&lt;&gt;"", VLOOKUP(A3621, imdb_netflix_v5!A$2:H$7370, 2, FALSE), "")</f>
        <v>Movie</v>
      </c>
      <c r="C3621" s="2" t="str">
        <f>IF(A3621&lt;&gt;"", VLOOKUP(A3621, imdb_netflix_v5!A$2:H$7370, 3, FALSE), "")</f>
        <v>Biography, Drama</v>
      </c>
      <c r="D3621" s="2">
        <f>IF(A3621&lt;&gt;"", VLOOKUP(A3621, imdb_netflix_v5!A$2:H$7370, 4, FALSE), "")</f>
        <v>7.5</v>
      </c>
      <c r="E3621" s="2">
        <f>IF(A3621&lt;&gt;"", VLOOKUP(A3621, imdb_netflix_v5!A$2:H$7370, 5, FALSE), "")</f>
        <v>1974</v>
      </c>
      <c r="F3621" s="2" t="str">
        <f>IF(A3621&lt;&gt;"", VLOOKUP(A3621, imdb_netflix_v5!A$2:H$7370, 7, FALSE), "")</f>
        <v>NA</v>
      </c>
    </row>
    <row r="3622" ht="15.75" customHeight="1">
      <c r="A3622" s="1" t="str">
        <f>IFERROR(__xludf.DUMMYFUNCTION("""COMPUTED_VALUE"""),"tokyo ghoul root a")</f>
        <v>tokyo ghoul root a</v>
      </c>
      <c r="B3622" s="1" t="str">
        <f>IF(A3622&lt;&gt;"", VLOOKUP(A3622, imdb_netflix_v5!A$2:H$7370, 2, FALSE), "")</f>
        <v>TV Show</v>
      </c>
      <c r="C3622" s="2" t="str">
        <f>IF(A3622&lt;&gt;"", VLOOKUP(A3622, imdb_netflix_v5!A$2:H$7370, 3, FALSE), "")</f>
        <v>Action, Animation, Drama</v>
      </c>
      <c r="D3622" s="2">
        <f>IF(A3622&lt;&gt;"", VLOOKUP(A3622, imdb_netflix_v5!A$2:H$7370, 4, FALSE), "")</f>
        <v>7.5</v>
      </c>
      <c r="E3622" s="2">
        <f>IF(A3622&lt;&gt;"", VLOOKUP(A3622, imdb_netflix_v5!A$2:H$7370, 5, FALSE), "")</f>
        <v>2015</v>
      </c>
      <c r="F3622" s="2" t="str">
        <f>IF(A3622&lt;&gt;"", VLOOKUP(A3622, imdb_netflix_v5!A$2:H$7370, 7, FALSE), "")</f>
        <v>NA</v>
      </c>
    </row>
    <row r="3623" ht="15.75" customHeight="1">
      <c r="A3623" s="1" t="str">
        <f>IFERROR(__xludf.DUMMYFUNCTION("""COMPUTED_VALUE"""),"frantz")</f>
        <v>frantz</v>
      </c>
      <c r="B3623" s="1" t="str">
        <f>IF(A3623&lt;&gt;"", VLOOKUP(A3623, imdb_netflix_v5!A$2:H$7370, 2, FALSE), "")</f>
        <v>Movie</v>
      </c>
      <c r="C3623" s="2" t="str">
        <f>IF(A3623&lt;&gt;"", VLOOKUP(A3623, imdb_netflix_v5!A$2:H$7370, 3, FALSE), "")</f>
        <v>Drama, History, Romance</v>
      </c>
      <c r="D3623" s="2">
        <f>IF(A3623&lt;&gt;"", VLOOKUP(A3623, imdb_netflix_v5!A$2:H$7370, 4, FALSE), "")</f>
        <v>7.5</v>
      </c>
      <c r="E3623" s="2">
        <f>IF(A3623&lt;&gt;"", VLOOKUP(A3623, imdb_netflix_v5!A$2:H$7370, 5, FALSE), "")</f>
        <v>2016</v>
      </c>
      <c r="F3623" s="2" t="str">
        <f>IF(A3623&lt;&gt;"", VLOOKUP(A3623, imdb_netflix_v5!A$2:H$7370, 7, FALSE), "")</f>
        <v>NA</v>
      </c>
    </row>
    <row r="3624" ht="15.75" customHeight="1">
      <c r="A3624" s="1" t="str">
        <f>IFERROR(__xludf.DUMMYFUNCTION("""COMPUTED_VALUE"""),"suddenly, last summer")</f>
        <v>suddenly, last summer</v>
      </c>
      <c r="B3624" s="1" t="str">
        <f>IF(A3624&lt;&gt;"", VLOOKUP(A3624, imdb_netflix_v5!A$2:H$7370, 2, FALSE), "")</f>
        <v>Movie</v>
      </c>
      <c r="C3624" s="2" t="str">
        <f>IF(A3624&lt;&gt;"", VLOOKUP(A3624, imdb_netflix_v5!A$2:H$7370, 3, FALSE), "")</f>
        <v>Drama, Mystery, Thriller</v>
      </c>
      <c r="D3624" s="2">
        <f>IF(A3624&lt;&gt;"", VLOOKUP(A3624, imdb_netflix_v5!A$2:H$7370, 4, FALSE), "")</f>
        <v>7.5</v>
      </c>
      <c r="E3624" s="2">
        <f>IF(A3624&lt;&gt;"", VLOOKUP(A3624, imdb_netflix_v5!A$2:H$7370, 5, FALSE), "")</f>
        <v>1959</v>
      </c>
      <c r="F3624" s="2" t="str">
        <f>IF(A3624&lt;&gt;"", VLOOKUP(A3624, imdb_netflix_v5!A$2:H$7370, 7, FALSE), "")</f>
        <v>NA</v>
      </c>
    </row>
    <row r="3625" ht="15.75" customHeight="1">
      <c r="A3625" s="1" t="str">
        <f>IFERROR(__xludf.DUMMYFUNCTION("""COMPUTED_VALUE"""),"threes company")</f>
        <v>threes company</v>
      </c>
      <c r="B3625" s="1" t="str">
        <f>IF(A3625&lt;&gt;"", VLOOKUP(A3625, imdb_netflix_v5!A$2:H$7370, 2, FALSE), "")</f>
        <v>TV Show</v>
      </c>
      <c r="C3625" s="2" t="str">
        <f>IF(A3625&lt;&gt;"", VLOOKUP(A3625, imdb_netflix_v5!A$2:H$7370, 3, FALSE), "")</f>
        <v>Comedy</v>
      </c>
      <c r="D3625" s="2">
        <f>IF(A3625&lt;&gt;"", VLOOKUP(A3625, imdb_netflix_v5!A$2:H$7370, 4, FALSE), "")</f>
        <v>7.5</v>
      </c>
      <c r="E3625" s="2">
        <f>IF(A3625&lt;&gt;"", VLOOKUP(A3625, imdb_netflix_v5!A$2:H$7370, 5, FALSE), "")</f>
        <v>1976</v>
      </c>
      <c r="F3625" s="2" t="str">
        <f>IF(A3625&lt;&gt;"", VLOOKUP(A3625, imdb_netflix_v5!A$2:H$7370, 7, FALSE), "")</f>
        <v>NA</v>
      </c>
    </row>
    <row r="3626" ht="15.75" customHeight="1">
      <c r="A3626" s="1" t="str">
        <f>IFERROR(__xludf.DUMMYFUNCTION("""COMPUTED_VALUE"""),"europa europa")</f>
        <v>europa europa</v>
      </c>
      <c r="B3626" s="1" t="str">
        <f>IF(A3626&lt;&gt;"", VLOOKUP(A3626, imdb_netflix_v5!A$2:H$7370, 2, FALSE), "")</f>
        <v>Movie</v>
      </c>
      <c r="C3626" s="2" t="str">
        <f>IF(A3626&lt;&gt;"", VLOOKUP(A3626, imdb_netflix_v5!A$2:H$7370, 3, FALSE), "")</f>
        <v>Drama, History, War</v>
      </c>
      <c r="D3626" s="2">
        <f>IF(A3626&lt;&gt;"", VLOOKUP(A3626, imdb_netflix_v5!A$2:H$7370, 4, FALSE), "")</f>
        <v>7.5</v>
      </c>
      <c r="E3626" s="2">
        <f>IF(A3626&lt;&gt;"", VLOOKUP(A3626, imdb_netflix_v5!A$2:H$7370, 5, FALSE), "")</f>
        <v>1990</v>
      </c>
      <c r="F3626" s="2" t="str">
        <f>IF(A3626&lt;&gt;"", VLOOKUP(A3626, imdb_netflix_v5!A$2:H$7370, 7, FALSE), "")</f>
        <v>NA</v>
      </c>
    </row>
    <row r="3627" ht="15.75" customHeight="1">
      <c r="A3627" s="1" t="str">
        <f>IFERROR(__xludf.DUMMYFUNCTION("""COMPUTED_VALUE"""),"dolls")</f>
        <v>dolls</v>
      </c>
      <c r="B3627" s="1" t="str">
        <f>IF(A3627&lt;&gt;"", VLOOKUP(A3627, imdb_netflix_v5!A$2:H$7370, 2, FALSE), "")</f>
        <v>Movie</v>
      </c>
      <c r="C3627" s="2" t="str">
        <f>IF(A3627&lt;&gt;"", VLOOKUP(A3627, imdb_netflix_v5!A$2:H$7370, 3, FALSE), "")</f>
        <v>Drama, Romance</v>
      </c>
      <c r="D3627" s="2">
        <f>IF(A3627&lt;&gt;"", VLOOKUP(A3627, imdb_netflix_v5!A$2:H$7370, 4, FALSE), "")</f>
        <v>7.5</v>
      </c>
      <c r="E3627" s="2">
        <f>IF(A3627&lt;&gt;"", VLOOKUP(A3627, imdb_netflix_v5!A$2:H$7370, 5, FALSE), "")</f>
        <v>2002</v>
      </c>
      <c r="F3627" s="2" t="str">
        <f>IF(A3627&lt;&gt;"", VLOOKUP(A3627, imdb_netflix_v5!A$2:H$7370, 7, FALSE), "")</f>
        <v>NA</v>
      </c>
    </row>
    <row r="3628" ht="15.75" customHeight="1">
      <c r="A3628" s="1" t="str">
        <f>IFERROR(__xludf.DUMMYFUNCTION("""COMPUTED_VALUE"""),"iron monkey")</f>
        <v>iron monkey</v>
      </c>
      <c r="B3628" s="1" t="str">
        <f>IF(A3628&lt;&gt;"", VLOOKUP(A3628, imdb_netflix_v5!A$2:H$7370, 2, FALSE), "")</f>
        <v>Movie</v>
      </c>
      <c r="C3628" s="2" t="str">
        <f>IF(A3628&lt;&gt;"", VLOOKUP(A3628, imdb_netflix_v5!A$2:H$7370, 3, FALSE), "")</f>
        <v>Action, Crime, Drama</v>
      </c>
      <c r="D3628" s="2">
        <f>IF(A3628&lt;&gt;"", VLOOKUP(A3628, imdb_netflix_v5!A$2:H$7370, 4, FALSE), "")</f>
        <v>7.5</v>
      </c>
      <c r="E3628" s="2">
        <f>IF(A3628&lt;&gt;"", VLOOKUP(A3628, imdb_netflix_v5!A$2:H$7370, 5, FALSE), "")</f>
        <v>1993</v>
      </c>
      <c r="F3628" s="2" t="str">
        <f>IF(A3628&lt;&gt;"", VLOOKUP(A3628, imdb_netflix_v5!A$2:H$7370, 7, FALSE), "")</f>
        <v>NA</v>
      </c>
    </row>
    <row r="3629" ht="15.75" customHeight="1">
      <c r="A3629" s="1" t="str">
        <f>IFERROR(__xludf.DUMMYFUNCTION("""COMPUTED_VALUE"""),"our little sister")</f>
        <v>our little sister</v>
      </c>
      <c r="B3629" s="1" t="str">
        <f>IF(A3629&lt;&gt;"", VLOOKUP(A3629, imdb_netflix_v5!A$2:H$7370, 2, FALSE), "")</f>
        <v>Movie</v>
      </c>
      <c r="C3629" s="2" t="str">
        <f>IF(A3629&lt;&gt;"", VLOOKUP(A3629, imdb_netflix_v5!A$2:H$7370, 3, FALSE), "")</f>
        <v>Drama, Family</v>
      </c>
      <c r="D3629" s="2">
        <f>IF(A3629&lt;&gt;"", VLOOKUP(A3629, imdb_netflix_v5!A$2:H$7370, 4, FALSE), "")</f>
        <v>7.5</v>
      </c>
      <c r="E3629" s="2">
        <f>IF(A3629&lt;&gt;"", VLOOKUP(A3629, imdb_netflix_v5!A$2:H$7370, 5, FALSE), "")</f>
        <v>2015</v>
      </c>
      <c r="F3629" s="2" t="str">
        <f>IF(A3629&lt;&gt;"", VLOOKUP(A3629, imdb_netflix_v5!A$2:H$7370, 7, FALSE), "")</f>
        <v>NA</v>
      </c>
    </row>
    <row r="3630" ht="15.75" customHeight="1">
      <c r="A3630" s="1" t="str">
        <f>IFERROR(__xludf.DUMMYFUNCTION("""COMPUTED_VALUE"""),"halston")</f>
        <v>halston</v>
      </c>
      <c r="B3630" s="1" t="str">
        <f>IF(A3630&lt;&gt;"", VLOOKUP(A3630, imdb_netflix_v5!A$2:H$7370, 2, FALSE), "")</f>
        <v>TV Show</v>
      </c>
      <c r="C3630" s="2" t="str">
        <f>IF(A3630&lt;&gt;"", VLOOKUP(A3630, imdb_netflix_v5!A$2:H$7370, 3, FALSE), "")</f>
        <v>Biography, Drama</v>
      </c>
      <c r="D3630" s="2">
        <f>IF(A3630&lt;&gt;"", VLOOKUP(A3630, imdb_netflix_v5!A$2:H$7370, 4, FALSE), "")</f>
        <v>7.5</v>
      </c>
      <c r="E3630" s="2">
        <f>IF(A3630&lt;&gt;"", VLOOKUP(A3630, imdb_netflix_v5!A$2:H$7370, 5, FALSE), "")</f>
        <v>2021</v>
      </c>
      <c r="F3630" s="2" t="str">
        <f>IF(A3630&lt;&gt;"", VLOOKUP(A3630, imdb_netflix_v5!A$2:H$7370, 7, FALSE), "")</f>
        <v>NA</v>
      </c>
    </row>
    <row r="3631" ht="15.75" customHeight="1">
      <c r="A3631" s="1" t="str">
        <f>IFERROR(__xludf.DUMMYFUNCTION("""COMPUTED_VALUE"""),"the pretender")</f>
        <v>the pretender</v>
      </c>
      <c r="B3631" s="1" t="str">
        <f>IF(A3631&lt;&gt;"", VLOOKUP(A3631, imdb_netflix_v5!A$2:H$7370, 2, FALSE), "")</f>
        <v>TV Show</v>
      </c>
      <c r="C3631" s="2" t="str">
        <f>IF(A3631&lt;&gt;"", VLOOKUP(A3631, imdb_netflix_v5!A$2:H$7370, 3, FALSE), "")</f>
        <v>Action, Drama, Mystery</v>
      </c>
      <c r="D3631" s="2">
        <f>IF(A3631&lt;&gt;"", VLOOKUP(A3631, imdb_netflix_v5!A$2:H$7370, 4, FALSE), "")</f>
        <v>7.5</v>
      </c>
      <c r="E3631" s="2">
        <f>IF(A3631&lt;&gt;"", VLOOKUP(A3631, imdb_netflix_v5!A$2:H$7370, 5, FALSE), "")</f>
        <v>1996</v>
      </c>
      <c r="F3631" s="2" t="str">
        <f>IF(A3631&lt;&gt;"", VLOOKUP(A3631, imdb_netflix_v5!A$2:H$7370, 7, FALSE), "")</f>
        <v>NA</v>
      </c>
    </row>
    <row r="3632" ht="15.75" customHeight="1">
      <c r="A3632" s="1" t="str">
        <f>IFERROR(__xludf.DUMMYFUNCTION("""COMPUTED_VALUE"""),"love life")</f>
        <v>love life</v>
      </c>
      <c r="B3632" s="1" t="str">
        <f>IF(A3632&lt;&gt;"", VLOOKUP(A3632, imdb_netflix_v5!A$2:H$7370, 2, FALSE), "")</f>
        <v>TV Show</v>
      </c>
      <c r="C3632" s="2" t="str">
        <f>IF(A3632&lt;&gt;"", VLOOKUP(A3632, imdb_netflix_v5!A$2:H$7370, 3, FALSE), "")</f>
        <v>Comedy, Romance</v>
      </c>
      <c r="D3632" s="2">
        <f>IF(A3632&lt;&gt;"", VLOOKUP(A3632, imdb_netflix_v5!A$2:H$7370, 4, FALSE), "")</f>
        <v>7.5</v>
      </c>
      <c r="E3632" s="2">
        <f>IF(A3632&lt;&gt;"", VLOOKUP(A3632, imdb_netflix_v5!A$2:H$7370, 5, FALSE), "")</f>
        <v>2020</v>
      </c>
      <c r="F3632" s="2" t="str">
        <f>IF(A3632&lt;&gt;"", VLOOKUP(A3632, imdb_netflix_v5!A$2:H$7370, 7, FALSE), "")</f>
        <v>NA</v>
      </c>
    </row>
    <row r="3633" ht="15.75" customHeight="1">
      <c r="A3633" s="1" t="str">
        <f>IFERROR(__xludf.DUMMYFUNCTION("""COMPUTED_VALUE"""),"taxi to the dark side")</f>
        <v>taxi to the dark side</v>
      </c>
      <c r="B3633" s="1" t="str">
        <f>IF(A3633&lt;&gt;"", VLOOKUP(A3633, imdb_netflix_v5!A$2:H$7370, 2, FALSE), "")</f>
        <v>Movie</v>
      </c>
      <c r="C3633" s="2" t="str">
        <f>IF(A3633&lt;&gt;"", VLOOKUP(A3633, imdb_netflix_v5!A$2:H$7370, 3, FALSE), "")</f>
        <v>Crime, Documentary, History</v>
      </c>
      <c r="D3633" s="2">
        <f>IF(A3633&lt;&gt;"", VLOOKUP(A3633, imdb_netflix_v5!A$2:H$7370, 4, FALSE), "")</f>
        <v>7.5</v>
      </c>
      <c r="E3633" s="2">
        <f>IF(A3633&lt;&gt;"", VLOOKUP(A3633, imdb_netflix_v5!A$2:H$7370, 5, FALSE), "")</f>
        <v>2007</v>
      </c>
      <c r="F3633" s="2" t="str">
        <f>IF(A3633&lt;&gt;"", VLOOKUP(A3633, imdb_netflix_v5!A$2:H$7370, 7, FALSE), "")</f>
        <v>NA</v>
      </c>
    </row>
    <row r="3634" ht="15.75" customHeight="1">
      <c r="A3634" s="1" t="str">
        <f>IFERROR(__xludf.DUMMYFUNCTION("""COMPUTED_VALUE"""),"the sand pebbles")</f>
        <v>the sand pebbles</v>
      </c>
      <c r="B3634" s="1" t="str">
        <f>IF(A3634&lt;&gt;"", VLOOKUP(A3634, imdb_netflix_v5!A$2:H$7370, 2, FALSE), "")</f>
        <v>Movie</v>
      </c>
      <c r="C3634" s="2" t="str">
        <f>IF(A3634&lt;&gt;"", VLOOKUP(A3634, imdb_netflix_v5!A$2:H$7370, 3, FALSE), "")</f>
        <v>Adventure, Drama, Romance</v>
      </c>
      <c r="D3634" s="2">
        <f>IF(A3634&lt;&gt;"", VLOOKUP(A3634, imdb_netflix_v5!A$2:H$7370, 4, FALSE), "")</f>
        <v>7.5</v>
      </c>
      <c r="E3634" s="2">
        <f>IF(A3634&lt;&gt;"", VLOOKUP(A3634, imdb_netflix_v5!A$2:H$7370, 5, FALSE), "")</f>
        <v>1966</v>
      </c>
      <c r="F3634" s="2" t="str">
        <f>IF(A3634&lt;&gt;"", VLOOKUP(A3634, imdb_netflix_v5!A$2:H$7370, 7, FALSE), "")</f>
        <v>NA</v>
      </c>
    </row>
    <row r="3635" ht="15.75" customHeight="1">
      <c r="A3635" s="1" t="str">
        <f>IFERROR(__xludf.DUMMYFUNCTION("""COMPUTED_VALUE"""),"lifes too short")</f>
        <v>lifes too short</v>
      </c>
      <c r="B3635" s="1" t="str">
        <f>IF(A3635&lt;&gt;"", VLOOKUP(A3635, imdb_netflix_v5!A$2:H$7370, 2, FALSE), "")</f>
        <v>TV Show</v>
      </c>
      <c r="C3635" s="2" t="str">
        <f>IF(A3635&lt;&gt;"", VLOOKUP(A3635, imdb_netflix_v5!A$2:H$7370, 3, FALSE), "")</f>
        <v>Comedy</v>
      </c>
      <c r="D3635" s="2">
        <f>IF(A3635&lt;&gt;"", VLOOKUP(A3635, imdb_netflix_v5!A$2:H$7370, 4, FALSE), "")</f>
        <v>7.5</v>
      </c>
      <c r="E3635" s="2">
        <f>IF(A3635&lt;&gt;"", VLOOKUP(A3635, imdb_netflix_v5!A$2:H$7370, 5, FALSE), "")</f>
        <v>2011</v>
      </c>
      <c r="F3635" s="2" t="str">
        <f>IF(A3635&lt;&gt;"", VLOOKUP(A3635, imdb_netflix_v5!A$2:H$7370, 7, FALSE), "")</f>
        <v>NA</v>
      </c>
    </row>
    <row r="3636" ht="15.75" customHeight="1">
      <c r="A3636" s="1" t="str">
        <f>IFERROR(__xludf.DUMMYFUNCTION("""COMPUTED_VALUE"""),"cable girls")</f>
        <v>cable girls</v>
      </c>
      <c r="B3636" s="1" t="str">
        <f>IF(A3636&lt;&gt;"", VLOOKUP(A3636, imdb_netflix_v5!A$2:H$7370, 2, FALSE), "")</f>
        <v>TV Show</v>
      </c>
      <c r="C3636" s="2" t="str">
        <f>IF(A3636&lt;&gt;"", VLOOKUP(A3636, imdb_netflix_v5!A$2:H$7370, 3, FALSE), "")</f>
        <v>Drama, History</v>
      </c>
      <c r="D3636" s="2">
        <f>IF(A3636&lt;&gt;"", VLOOKUP(A3636, imdb_netflix_v5!A$2:H$7370, 4, FALSE), "")</f>
        <v>7.5</v>
      </c>
      <c r="E3636" s="2">
        <f>IF(A3636&lt;&gt;"", VLOOKUP(A3636, imdb_netflix_v5!A$2:H$7370, 5, FALSE), "")</f>
        <v>2017</v>
      </c>
      <c r="F3636" s="2" t="str">
        <f>IF(A3636&lt;&gt;"", VLOOKUP(A3636, imdb_netflix_v5!A$2:H$7370, 7, FALSE), "")</f>
        <v>NA</v>
      </c>
    </row>
    <row r="3637" ht="15.75" customHeight="1">
      <c r="A3637" s="1" t="str">
        <f>IFERROR(__xludf.DUMMYFUNCTION("""COMPUTED_VALUE"""),"summer with monika")</f>
        <v>summer with monika</v>
      </c>
      <c r="B3637" s="1" t="str">
        <f>IF(A3637&lt;&gt;"", VLOOKUP(A3637, imdb_netflix_v5!A$2:H$7370, 2, FALSE), "")</f>
        <v>Movie</v>
      </c>
      <c r="C3637" s="2" t="str">
        <f>IF(A3637&lt;&gt;"", VLOOKUP(A3637, imdb_netflix_v5!A$2:H$7370, 3, FALSE), "")</f>
        <v>Drama, Romance</v>
      </c>
      <c r="D3637" s="2">
        <f>IF(A3637&lt;&gt;"", VLOOKUP(A3637, imdb_netflix_v5!A$2:H$7370, 4, FALSE), "")</f>
        <v>7.5</v>
      </c>
      <c r="E3637" s="2">
        <f>IF(A3637&lt;&gt;"", VLOOKUP(A3637, imdb_netflix_v5!A$2:H$7370, 5, FALSE), "")</f>
        <v>1953</v>
      </c>
      <c r="F3637" s="2" t="str">
        <f>IF(A3637&lt;&gt;"", VLOOKUP(A3637, imdb_netflix_v5!A$2:H$7370, 7, FALSE), "")</f>
        <v>NA</v>
      </c>
    </row>
    <row r="3638" ht="15.75" customHeight="1">
      <c r="A3638" s="1" t="str">
        <f>IFERROR(__xludf.DUMMYFUNCTION("""COMPUTED_VALUE"""),"miraculous tales of ladybug &amp; cat noir")</f>
        <v>miraculous tales of ladybug &amp; cat noir</v>
      </c>
      <c r="B3638" s="1" t="str">
        <f>IF(A3638&lt;&gt;"", VLOOKUP(A3638, imdb_netflix_v5!A$2:H$7370, 2, FALSE), "")</f>
        <v>TV Show</v>
      </c>
      <c r="C3638" s="2" t="str">
        <f>IF(A3638&lt;&gt;"", VLOOKUP(A3638, imdb_netflix_v5!A$2:H$7370, 3, FALSE), "")</f>
        <v>Action, Adventure, Animation</v>
      </c>
      <c r="D3638" s="2">
        <f>IF(A3638&lt;&gt;"", VLOOKUP(A3638, imdb_netflix_v5!A$2:H$7370, 4, FALSE), "")</f>
        <v>7.5</v>
      </c>
      <c r="E3638" s="2">
        <f>IF(A3638&lt;&gt;"", VLOOKUP(A3638, imdb_netflix_v5!A$2:H$7370, 5, FALSE), "")</f>
        <v>2015</v>
      </c>
      <c r="F3638" s="2" t="str">
        <f>IF(A3638&lt;&gt;"", VLOOKUP(A3638, imdb_netflix_v5!A$2:H$7370, 7, FALSE), "")</f>
        <v>NA</v>
      </c>
    </row>
    <row r="3639" ht="15.75" customHeight="1">
      <c r="A3639" s="1" t="str">
        <f>IFERROR(__xludf.DUMMYFUNCTION("""COMPUTED_VALUE"""),"hush...hush, sweet charlotte")</f>
        <v>hush...hush, sweet charlotte</v>
      </c>
      <c r="B3639" s="1" t="str">
        <f>IF(A3639&lt;&gt;"", VLOOKUP(A3639, imdb_netflix_v5!A$2:H$7370, 2, FALSE), "")</f>
        <v>Movie</v>
      </c>
      <c r="C3639" s="2" t="str">
        <f>IF(A3639&lt;&gt;"", VLOOKUP(A3639, imdb_netflix_v5!A$2:H$7370, 3, FALSE), "")</f>
        <v>Crime, Drama, Mystery</v>
      </c>
      <c r="D3639" s="2">
        <f>IF(A3639&lt;&gt;"", VLOOKUP(A3639, imdb_netflix_v5!A$2:H$7370, 4, FALSE), "")</f>
        <v>7.5</v>
      </c>
      <c r="E3639" s="2">
        <f>IF(A3639&lt;&gt;"", VLOOKUP(A3639, imdb_netflix_v5!A$2:H$7370, 5, FALSE), "")</f>
        <v>1964</v>
      </c>
      <c r="F3639" s="2" t="str">
        <f>IF(A3639&lt;&gt;"", VLOOKUP(A3639, imdb_netflix_v5!A$2:H$7370, 7, FALSE), "")</f>
        <v>NA</v>
      </c>
    </row>
    <row r="3640" ht="15.75" customHeight="1">
      <c r="A3640" s="1" t="str">
        <f>IFERROR(__xludf.DUMMYFUNCTION("""COMPUTED_VALUE"""),"sidewalls")</f>
        <v>sidewalls</v>
      </c>
      <c r="B3640" s="1" t="str">
        <f>IF(A3640&lt;&gt;"", VLOOKUP(A3640, imdb_netflix_v5!A$2:H$7370, 2, FALSE), "")</f>
        <v>Movie</v>
      </c>
      <c r="C3640" s="2" t="str">
        <f>IF(A3640&lt;&gt;"", VLOOKUP(A3640, imdb_netflix_v5!A$2:H$7370, 3, FALSE), "")</f>
        <v>Comedy, Drama</v>
      </c>
      <c r="D3640" s="2">
        <f>IF(A3640&lt;&gt;"", VLOOKUP(A3640, imdb_netflix_v5!A$2:H$7370, 4, FALSE), "")</f>
        <v>7.5</v>
      </c>
      <c r="E3640" s="2">
        <f>IF(A3640&lt;&gt;"", VLOOKUP(A3640, imdb_netflix_v5!A$2:H$7370, 5, FALSE), "")</f>
        <v>2011</v>
      </c>
      <c r="F3640" s="2" t="str">
        <f>IF(A3640&lt;&gt;"", VLOOKUP(A3640, imdb_netflix_v5!A$2:H$7370, 7, FALSE), "")</f>
        <v>NA</v>
      </c>
    </row>
    <row r="3641" ht="15.75" customHeight="1">
      <c r="A3641" s="1" t="str">
        <f>IFERROR(__xludf.DUMMYFUNCTION("""COMPUTED_VALUE"""),"revanche")</f>
        <v>revanche</v>
      </c>
      <c r="B3641" s="1" t="str">
        <f>IF(A3641&lt;&gt;"", VLOOKUP(A3641, imdb_netflix_v5!A$2:H$7370, 2, FALSE), "")</f>
        <v>Movie</v>
      </c>
      <c r="C3641" s="2" t="str">
        <f>IF(A3641&lt;&gt;"", VLOOKUP(A3641, imdb_netflix_v5!A$2:H$7370, 3, FALSE), "")</f>
        <v>Crime, Drama, Romance</v>
      </c>
      <c r="D3641" s="2">
        <f>IF(A3641&lt;&gt;"", VLOOKUP(A3641, imdb_netflix_v5!A$2:H$7370, 4, FALSE), "")</f>
        <v>7.5</v>
      </c>
      <c r="E3641" s="2">
        <f>IF(A3641&lt;&gt;"", VLOOKUP(A3641, imdb_netflix_v5!A$2:H$7370, 5, FALSE), "")</f>
        <v>2008</v>
      </c>
      <c r="F3641" s="2" t="str">
        <f>IF(A3641&lt;&gt;"", VLOOKUP(A3641, imdb_netflix_v5!A$2:H$7370, 7, FALSE), "")</f>
        <v>NA</v>
      </c>
    </row>
    <row r="3642" ht="15.75" customHeight="1">
      <c r="A3642" s="1" t="str">
        <f>IFERROR(__xludf.DUMMYFUNCTION("""COMPUTED_VALUE"""),"the white princess")</f>
        <v>the white princess</v>
      </c>
      <c r="B3642" s="1" t="str">
        <f>IF(A3642&lt;&gt;"", VLOOKUP(A3642, imdb_netflix_v5!A$2:H$7370, 2, FALSE), "")</f>
        <v>TV Show</v>
      </c>
      <c r="C3642" s="2" t="str">
        <f>IF(A3642&lt;&gt;"", VLOOKUP(A3642, imdb_netflix_v5!A$2:H$7370, 3, FALSE), "")</f>
        <v>Drama, History, Romance</v>
      </c>
      <c r="D3642" s="2">
        <f>IF(A3642&lt;&gt;"", VLOOKUP(A3642, imdb_netflix_v5!A$2:H$7370, 4, FALSE), "")</f>
        <v>7.5</v>
      </c>
      <c r="E3642" s="2">
        <f>IF(A3642&lt;&gt;"", VLOOKUP(A3642, imdb_netflix_v5!A$2:H$7370, 5, FALSE), "")</f>
        <v>2017</v>
      </c>
      <c r="F3642" s="2" t="str">
        <f>IF(A3642&lt;&gt;"", VLOOKUP(A3642, imdb_netflix_v5!A$2:H$7370, 7, FALSE), "")</f>
        <v>NA</v>
      </c>
    </row>
    <row r="3643" ht="15.75" customHeight="1">
      <c r="A3643" s="1" t="str">
        <f>IFERROR(__xludf.DUMMYFUNCTION("""COMPUTED_VALUE"""),"talespin")</f>
        <v>talespin</v>
      </c>
      <c r="B3643" s="1" t="str">
        <f>IF(A3643&lt;&gt;"", VLOOKUP(A3643, imdb_netflix_v5!A$2:H$7370, 2, FALSE), "")</f>
        <v>TV Show</v>
      </c>
      <c r="C3643" s="2" t="str">
        <f>IF(A3643&lt;&gt;"", VLOOKUP(A3643, imdb_netflix_v5!A$2:H$7370, 3, FALSE), "")</f>
        <v>Action, Adventure, Animation</v>
      </c>
      <c r="D3643" s="2">
        <f>IF(A3643&lt;&gt;"", VLOOKUP(A3643, imdb_netflix_v5!A$2:H$7370, 4, FALSE), "")</f>
        <v>7.5</v>
      </c>
      <c r="E3643" s="2">
        <f>IF(A3643&lt;&gt;"", VLOOKUP(A3643, imdb_netflix_v5!A$2:H$7370, 5, FALSE), "")</f>
        <v>1990</v>
      </c>
      <c r="F3643" s="2" t="str">
        <f>IF(A3643&lt;&gt;"", VLOOKUP(A3643, imdb_netflix_v5!A$2:H$7370, 7, FALSE), "")</f>
        <v>NA</v>
      </c>
    </row>
    <row r="3644" ht="15.75" customHeight="1">
      <c r="A3644" s="1" t="str">
        <f>IFERROR(__xludf.DUMMYFUNCTION("""COMPUTED_VALUE"""),"whisper if i forget")</f>
        <v>whisper if i forget</v>
      </c>
      <c r="B3644" s="1" t="str">
        <f>IF(A3644&lt;&gt;"", VLOOKUP(A3644, imdb_netflix_v5!A$2:H$7370, 2, FALSE), "")</f>
        <v>Movie</v>
      </c>
      <c r="C3644" s="2" t="str">
        <f>IF(A3644&lt;&gt;"", VLOOKUP(A3644, imdb_netflix_v5!A$2:H$7370, 3, FALSE), "")</f>
        <v>Drama, Music, Romance</v>
      </c>
      <c r="D3644" s="2">
        <f>IF(A3644&lt;&gt;"", VLOOKUP(A3644, imdb_netflix_v5!A$2:H$7370, 4, FALSE), "")</f>
        <v>7.5</v>
      </c>
      <c r="E3644" s="2">
        <f>IF(A3644&lt;&gt;"", VLOOKUP(A3644, imdb_netflix_v5!A$2:H$7370, 5, FALSE), "")</f>
        <v>2014</v>
      </c>
      <c r="F3644" s="2" t="str">
        <f>IF(A3644&lt;&gt;"", VLOOKUP(A3644, imdb_netflix_v5!A$2:H$7370, 7, FALSE), "")</f>
        <v>NA</v>
      </c>
    </row>
    <row r="3645" ht="15.75" customHeight="1">
      <c r="A3645" s="1" t="str">
        <f>IFERROR(__xludf.DUMMYFUNCTION("""COMPUTED_VALUE"""),"grounded for life")</f>
        <v>grounded for life</v>
      </c>
      <c r="B3645" s="1" t="str">
        <f>IF(A3645&lt;&gt;"", VLOOKUP(A3645, imdb_netflix_v5!A$2:H$7370, 2, FALSE), "")</f>
        <v>TV Show</v>
      </c>
      <c r="C3645" s="2" t="str">
        <f>IF(A3645&lt;&gt;"", VLOOKUP(A3645, imdb_netflix_v5!A$2:H$7370, 3, FALSE), "")</f>
        <v>Comedy</v>
      </c>
      <c r="D3645" s="2">
        <f>IF(A3645&lt;&gt;"", VLOOKUP(A3645, imdb_netflix_v5!A$2:H$7370, 4, FALSE), "")</f>
        <v>7.5</v>
      </c>
      <c r="E3645" s="2">
        <f>IF(A3645&lt;&gt;"", VLOOKUP(A3645, imdb_netflix_v5!A$2:H$7370, 5, FALSE), "")</f>
        <v>2001</v>
      </c>
      <c r="F3645" s="2" t="str">
        <f>IF(A3645&lt;&gt;"", VLOOKUP(A3645, imdb_netflix_v5!A$2:H$7370, 7, FALSE), "")</f>
        <v>NA</v>
      </c>
    </row>
    <row r="3646" ht="15.75" customHeight="1">
      <c r="A3646" s="1" t="str">
        <f>IFERROR(__xludf.DUMMYFUNCTION("""COMPUTED_VALUE"""),"kleo")</f>
        <v>kleo</v>
      </c>
      <c r="B3646" s="1" t="str">
        <f>IF(A3646&lt;&gt;"", VLOOKUP(A3646, imdb_netflix_v5!A$2:H$7370, 2, FALSE), "")</f>
        <v>TV Show</v>
      </c>
      <c r="C3646" s="2" t="str">
        <f>IF(A3646&lt;&gt;"", VLOOKUP(A3646, imdb_netflix_v5!A$2:H$7370, 3, FALSE), "")</f>
        <v>Action, Crime, Drama</v>
      </c>
      <c r="D3646" s="2">
        <f>IF(A3646&lt;&gt;"", VLOOKUP(A3646, imdb_netflix_v5!A$2:H$7370, 4, FALSE), "")</f>
        <v>7.5</v>
      </c>
      <c r="E3646" s="2">
        <f>IF(A3646&lt;&gt;"", VLOOKUP(A3646, imdb_netflix_v5!A$2:H$7370, 5, FALSE), "")</f>
        <v>2022</v>
      </c>
      <c r="F3646" s="2">
        <f>IF(A3646&lt;&gt;"", VLOOKUP(A3646, imdb_netflix_v5!A$2:H$7370, 7, FALSE), "")</f>
        <v>12760000</v>
      </c>
    </row>
    <row r="3647" ht="15.75" customHeight="1">
      <c r="A3647" s="1" t="str">
        <f>IFERROR(__xludf.DUMMYFUNCTION("""COMPUTED_VALUE"""),"elling")</f>
        <v>elling</v>
      </c>
      <c r="B3647" s="1" t="str">
        <f>IF(A3647&lt;&gt;"", VLOOKUP(A3647, imdb_netflix_v5!A$2:H$7370, 2, FALSE), "")</f>
        <v>Movie</v>
      </c>
      <c r="C3647" s="2" t="str">
        <f>IF(A3647&lt;&gt;"", VLOOKUP(A3647, imdb_netflix_v5!A$2:H$7370, 3, FALSE), "")</f>
        <v>Comedy, Drama</v>
      </c>
      <c r="D3647" s="2">
        <f>IF(A3647&lt;&gt;"", VLOOKUP(A3647, imdb_netflix_v5!A$2:H$7370, 4, FALSE), "")</f>
        <v>7.5</v>
      </c>
      <c r="E3647" s="2">
        <f>IF(A3647&lt;&gt;"", VLOOKUP(A3647, imdb_netflix_v5!A$2:H$7370, 5, FALSE), "")</f>
        <v>2001</v>
      </c>
      <c r="F3647" s="2" t="str">
        <f>IF(A3647&lt;&gt;"", VLOOKUP(A3647, imdb_netflix_v5!A$2:H$7370, 7, FALSE), "")</f>
        <v>NA</v>
      </c>
    </row>
    <row r="3648" ht="15.75" customHeight="1">
      <c r="A3648" s="1" t="str">
        <f>IFERROR(__xludf.DUMMYFUNCTION("""COMPUTED_VALUE"""),"the lavender hill mob")</f>
        <v>the lavender hill mob</v>
      </c>
      <c r="B3648" s="1" t="str">
        <f>IF(A3648&lt;&gt;"", VLOOKUP(A3648, imdb_netflix_v5!A$2:H$7370, 2, FALSE), "")</f>
        <v>Movie</v>
      </c>
      <c r="C3648" s="2" t="str">
        <f>IF(A3648&lt;&gt;"", VLOOKUP(A3648, imdb_netflix_v5!A$2:H$7370, 3, FALSE), "")</f>
        <v>Comedy, Crime</v>
      </c>
      <c r="D3648" s="2">
        <f>IF(A3648&lt;&gt;"", VLOOKUP(A3648, imdb_netflix_v5!A$2:H$7370, 4, FALSE), "")</f>
        <v>7.5</v>
      </c>
      <c r="E3648" s="2">
        <f>IF(A3648&lt;&gt;"", VLOOKUP(A3648, imdb_netflix_v5!A$2:H$7370, 5, FALSE), "")</f>
        <v>1951</v>
      </c>
      <c r="F3648" s="2" t="str">
        <f>IF(A3648&lt;&gt;"", VLOOKUP(A3648, imdb_netflix_v5!A$2:H$7370, 7, FALSE), "")</f>
        <v>NA</v>
      </c>
    </row>
    <row r="3649" ht="15.75" customHeight="1">
      <c r="A3649" s="1" t="str">
        <f>IFERROR(__xludf.DUMMYFUNCTION("""COMPUTED_VALUE"""),"sunshine")</f>
        <v>sunshine</v>
      </c>
      <c r="B3649" s="1" t="str">
        <f>IF(A3649&lt;&gt;"", VLOOKUP(A3649, imdb_netflix_v5!A$2:H$7370, 2, FALSE), "")</f>
        <v>Movie</v>
      </c>
      <c r="C3649" s="2" t="str">
        <f>IF(A3649&lt;&gt;"", VLOOKUP(A3649, imdb_netflix_v5!A$2:H$7370, 3, FALSE), "")</f>
        <v>Drama, History, Romance</v>
      </c>
      <c r="D3649" s="2">
        <f>IF(A3649&lt;&gt;"", VLOOKUP(A3649, imdb_netflix_v5!A$2:H$7370, 4, FALSE), "")</f>
        <v>7.5</v>
      </c>
      <c r="E3649" s="2">
        <f>IF(A3649&lt;&gt;"", VLOOKUP(A3649, imdb_netflix_v5!A$2:H$7370, 5, FALSE), "")</f>
        <v>1999</v>
      </c>
      <c r="F3649" s="2" t="str">
        <f>IF(A3649&lt;&gt;"", VLOOKUP(A3649, imdb_netflix_v5!A$2:H$7370, 7, FALSE), "")</f>
        <v>NA</v>
      </c>
    </row>
    <row r="3650" ht="15.75" customHeight="1">
      <c r="A3650" s="1" t="str">
        <f>IFERROR(__xludf.DUMMYFUNCTION("""COMPUTED_VALUE"""),"the naked city")</f>
        <v>the naked city</v>
      </c>
      <c r="B3650" s="1" t="str">
        <f>IF(A3650&lt;&gt;"", VLOOKUP(A3650, imdb_netflix_v5!A$2:H$7370, 2, FALSE), "")</f>
        <v>Movie</v>
      </c>
      <c r="C3650" s="2" t="str">
        <f>IF(A3650&lt;&gt;"", VLOOKUP(A3650, imdb_netflix_v5!A$2:H$7370, 3, FALSE), "")</f>
        <v>Crime, Drama, Film-Noir</v>
      </c>
      <c r="D3650" s="2">
        <f>IF(A3650&lt;&gt;"", VLOOKUP(A3650, imdb_netflix_v5!A$2:H$7370, 4, FALSE), "")</f>
        <v>7.5</v>
      </c>
      <c r="E3650" s="2">
        <f>IF(A3650&lt;&gt;"", VLOOKUP(A3650, imdb_netflix_v5!A$2:H$7370, 5, FALSE), "")</f>
        <v>1948</v>
      </c>
      <c r="F3650" s="2" t="str">
        <f>IF(A3650&lt;&gt;"", VLOOKUP(A3650, imdb_netflix_v5!A$2:H$7370, 7, FALSE), "")</f>
        <v>NA</v>
      </c>
    </row>
    <row r="3651" ht="15.75" customHeight="1">
      <c r="A3651" s="1" t="str">
        <f>IFERROR(__xludf.DUMMYFUNCTION("""COMPUTED_VALUE"""),"in the dark")</f>
        <v>in the dark</v>
      </c>
      <c r="B3651" s="1" t="str">
        <f>IF(A3651&lt;&gt;"", VLOOKUP(A3651, imdb_netflix_v5!A$2:H$7370, 2, FALSE), "")</f>
        <v>TV Show</v>
      </c>
      <c r="C3651" s="2" t="str">
        <f>IF(A3651&lt;&gt;"", VLOOKUP(A3651, imdb_netflix_v5!A$2:H$7370, 3, FALSE), "")</f>
        <v>Action, Crime, Mystery</v>
      </c>
      <c r="D3651" s="2">
        <f>IF(A3651&lt;&gt;"", VLOOKUP(A3651, imdb_netflix_v5!A$2:H$7370, 4, FALSE), "")</f>
        <v>7.5</v>
      </c>
      <c r="E3651" s="2">
        <f>IF(A3651&lt;&gt;"", VLOOKUP(A3651, imdb_netflix_v5!A$2:H$7370, 5, FALSE), "")</f>
        <v>2019</v>
      </c>
      <c r="F3651" s="2" t="str">
        <f>IF(A3651&lt;&gt;"", VLOOKUP(A3651, imdb_netflix_v5!A$2:H$7370, 7, FALSE), "")</f>
        <v>NA</v>
      </c>
    </row>
    <row r="3652" ht="15.75" customHeight="1">
      <c r="A3652" s="1" t="str">
        <f>IFERROR(__xludf.DUMMYFUNCTION("""COMPUTED_VALUE"""),"omar")</f>
        <v>omar</v>
      </c>
      <c r="B3652" s="1" t="str">
        <f>IF(A3652&lt;&gt;"", VLOOKUP(A3652, imdb_netflix_v5!A$2:H$7370, 2, FALSE), "")</f>
        <v>Movie</v>
      </c>
      <c r="C3652" s="2" t="str">
        <f>IF(A3652&lt;&gt;"", VLOOKUP(A3652, imdb_netflix_v5!A$2:H$7370, 3, FALSE), "")</f>
        <v>Crime, Drama, Romance</v>
      </c>
      <c r="D3652" s="2">
        <f>IF(A3652&lt;&gt;"", VLOOKUP(A3652, imdb_netflix_v5!A$2:H$7370, 4, FALSE), "")</f>
        <v>7.5</v>
      </c>
      <c r="E3652" s="2">
        <f>IF(A3652&lt;&gt;"", VLOOKUP(A3652, imdb_netflix_v5!A$2:H$7370, 5, FALSE), "")</f>
        <v>2013</v>
      </c>
      <c r="F3652" s="2" t="str">
        <f>IF(A3652&lt;&gt;"", VLOOKUP(A3652, imdb_netflix_v5!A$2:H$7370, 7, FALSE), "")</f>
        <v>NA</v>
      </c>
    </row>
    <row r="3653" ht="15.75" customHeight="1">
      <c r="A3653" s="1" t="str">
        <f>IFERROR(__xludf.DUMMYFUNCTION("""COMPUTED_VALUE"""),"grey gardens")</f>
        <v>grey gardens</v>
      </c>
      <c r="B3653" s="1" t="str">
        <f>IF(A3653&lt;&gt;"", VLOOKUP(A3653, imdb_netflix_v5!A$2:H$7370, 2, FALSE), "")</f>
        <v>Movie</v>
      </c>
      <c r="C3653" s="2" t="str">
        <f>IF(A3653&lt;&gt;"", VLOOKUP(A3653, imdb_netflix_v5!A$2:H$7370, 3, FALSE), "")</f>
        <v>Comedy, Documentary, Drama</v>
      </c>
      <c r="D3653" s="2">
        <f>IF(A3653&lt;&gt;"", VLOOKUP(A3653, imdb_netflix_v5!A$2:H$7370, 4, FALSE), "")</f>
        <v>7.5</v>
      </c>
      <c r="E3653" s="2">
        <f>IF(A3653&lt;&gt;"", VLOOKUP(A3653, imdb_netflix_v5!A$2:H$7370, 5, FALSE), "")</f>
        <v>1975</v>
      </c>
      <c r="F3653" s="2" t="str">
        <f>IF(A3653&lt;&gt;"", VLOOKUP(A3653, imdb_netflix_v5!A$2:H$7370, 7, FALSE), "")</f>
        <v>NA</v>
      </c>
    </row>
    <row r="3654" ht="15.75" customHeight="1">
      <c r="A3654" s="1" t="str">
        <f>IFERROR(__xludf.DUMMYFUNCTION("""COMPUTED_VALUE"""),"life unexpected")</f>
        <v>life unexpected</v>
      </c>
      <c r="B3654" s="1" t="str">
        <f>IF(A3654&lt;&gt;"", VLOOKUP(A3654, imdb_netflix_v5!A$2:H$7370, 2, FALSE), "")</f>
        <v>TV Show</v>
      </c>
      <c r="C3654" s="2" t="str">
        <f>IF(A3654&lt;&gt;"", VLOOKUP(A3654, imdb_netflix_v5!A$2:H$7370, 3, FALSE), "")</f>
        <v>Drama</v>
      </c>
      <c r="D3654" s="2">
        <f>IF(A3654&lt;&gt;"", VLOOKUP(A3654, imdb_netflix_v5!A$2:H$7370, 4, FALSE), "")</f>
        <v>7.5</v>
      </c>
      <c r="E3654" s="2">
        <f>IF(A3654&lt;&gt;"", VLOOKUP(A3654, imdb_netflix_v5!A$2:H$7370, 5, FALSE), "")</f>
        <v>2010</v>
      </c>
      <c r="F3654" s="2" t="str">
        <f>IF(A3654&lt;&gt;"", VLOOKUP(A3654, imdb_netflix_v5!A$2:H$7370, 7, FALSE), "")</f>
        <v>NA</v>
      </c>
    </row>
    <row r="3655" ht="15.75" customHeight="1">
      <c r="A3655" s="1" t="str">
        <f>IFERROR(__xludf.DUMMYFUNCTION("""COMPUTED_VALUE"""),"ben 10 alien force")</f>
        <v>ben 10 alien force</v>
      </c>
      <c r="B3655" s="1" t="str">
        <f>IF(A3655&lt;&gt;"", VLOOKUP(A3655, imdb_netflix_v5!A$2:H$7370, 2, FALSE), "")</f>
        <v>TV Show</v>
      </c>
      <c r="C3655" s="2" t="str">
        <f>IF(A3655&lt;&gt;"", VLOOKUP(A3655, imdb_netflix_v5!A$2:H$7370, 3, FALSE), "")</f>
        <v>Action, Adventure, Animation</v>
      </c>
      <c r="D3655" s="2">
        <f>IF(A3655&lt;&gt;"", VLOOKUP(A3655, imdb_netflix_v5!A$2:H$7370, 4, FALSE), "")</f>
        <v>7.5</v>
      </c>
      <c r="E3655" s="2">
        <f>IF(A3655&lt;&gt;"", VLOOKUP(A3655, imdb_netflix_v5!A$2:H$7370, 5, FALSE), "")</f>
        <v>2008</v>
      </c>
      <c r="F3655" s="2" t="str">
        <f>IF(A3655&lt;&gt;"", VLOOKUP(A3655, imdb_netflix_v5!A$2:H$7370, 7, FALSE), "")</f>
        <v>NA</v>
      </c>
    </row>
    <row r="3656" ht="15.75" customHeight="1">
      <c r="A3656" s="1" t="str">
        <f>IFERROR(__xludf.DUMMYFUNCTION("""COMPUTED_VALUE"""),"mondays in the sun")</f>
        <v>mondays in the sun</v>
      </c>
      <c r="B3656" s="1" t="str">
        <f>IF(A3656&lt;&gt;"", VLOOKUP(A3656, imdb_netflix_v5!A$2:H$7370, 2, FALSE), "")</f>
        <v>Movie</v>
      </c>
      <c r="C3656" s="2" t="str">
        <f>IF(A3656&lt;&gt;"", VLOOKUP(A3656, imdb_netflix_v5!A$2:H$7370, 3, FALSE), "")</f>
        <v>Comedy, Drama</v>
      </c>
      <c r="D3656" s="2">
        <f>IF(A3656&lt;&gt;"", VLOOKUP(A3656, imdb_netflix_v5!A$2:H$7370, 4, FALSE), "")</f>
        <v>7.5</v>
      </c>
      <c r="E3656" s="2">
        <f>IF(A3656&lt;&gt;"", VLOOKUP(A3656, imdb_netflix_v5!A$2:H$7370, 5, FALSE), "")</f>
        <v>2002</v>
      </c>
      <c r="F3656" s="2" t="str">
        <f>IF(A3656&lt;&gt;"", VLOOKUP(A3656, imdb_netflix_v5!A$2:H$7370, 7, FALSE), "")</f>
        <v>NA</v>
      </c>
    </row>
    <row r="3657" ht="15.75" customHeight="1">
      <c r="A3657" s="1" t="str">
        <f>IFERROR(__xludf.DUMMYFUNCTION("""COMPUTED_VALUE"""),"everwood")</f>
        <v>everwood</v>
      </c>
      <c r="B3657" s="1" t="str">
        <f>IF(A3657&lt;&gt;"", VLOOKUP(A3657, imdb_netflix_v5!A$2:H$7370, 2, FALSE), "")</f>
        <v>TV Show</v>
      </c>
      <c r="C3657" s="2" t="str">
        <f>IF(A3657&lt;&gt;"", VLOOKUP(A3657, imdb_netflix_v5!A$2:H$7370, 3, FALSE), "")</f>
        <v>Drama</v>
      </c>
      <c r="D3657" s="2">
        <f>IF(A3657&lt;&gt;"", VLOOKUP(A3657, imdb_netflix_v5!A$2:H$7370, 4, FALSE), "")</f>
        <v>7.5</v>
      </c>
      <c r="E3657" s="2">
        <f>IF(A3657&lt;&gt;"", VLOOKUP(A3657, imdb_netflix_v5!A$2:H$7370, 5, FALSE), "")</f>
        <v>2002</v>
      </c>
      <c r="F3657" s="2" t="str">
        <f>IF(A3657&lt;&gt;"", VLOOKUP(A3657, imdb_netflix_v5!A$2:H$7370, 7, FALSE), "")</f>
        <v>NA</v>
      </c>
    </row>
    <row r="3658" ht="15.75" customHeight="1">
      <c r="A3658" s="1" t="str">
        <f>IFERROR(__xludf.DUMMYFUNCTION("""COMPUTED_VALUE"""),"stolen kisses")</f>
        <v>stolen kisses</v>
      </c>
      <c r="B3658" s="1" t="str">
        <f>IF(A3658&lt;&gt;"", VLOOKUP(A3658, imdb_netflix_v5!A$2:H$7370, 2, FALSE), "")</f>
        <v>Movie</v>
      </c>
      <c r="C3658" s="2" t="str">
        <f>IF(A3658&lt;&gt;"", VLOOKUP(A3658, imdb_netflix_v5!A$2:H$7370, 3, FALSE), "")</f>
        <v>Comedy, Drama, Romance</v>
      </c>
      <c r="D3658" s="2">
        <f>IF(A3658&lt;&gt;"", VLOOKUP(A3658, imdb_netflix_v5!A$2:H$7370, 4, FALSE), "")</f>
        <v>7.5</v>
      </c>
      <c r="E3658" s="2">
        <f>IF(A3658&lt;&gt;"", VLOOKUP(A3658, imdb_netflix_v5!A$2:H$7370, 5, FALSE), "")</f>
        <v>1968</v>
      </c>
      <c r="F3658" s="2" t="str">
        <f>IF(A3658&lt;&gt;"", VLOOKUP(A3658, imdb_netflix_v5!A$2:H$7370, 7, FALSE), "")</f>
        <v>NA</v>
      </c>
    </row>
    <row r="3659" ht="15.75" customHeight="1">
      <c r="A3659" s="1" t="str">
        <f>IFERROR(__xludf.DUMMYFUNCTION("""COMPUTED_VALUE"""),"the devil next door")</f>
        <v>the devil next door</v>
      </c>
      <c r="B3659" s="1" t="str">
        <f>IF(A3659&lt;&gt;"", VLOOKUP(A3659, imdb_netflix_v5!A$2:H$7370, 2, FALSE), "")</f>
        <v>TV Show</v>
      </c>
      <c r="C3659" s="2" t="str">
        <f>IF(A3659&lt;&gt;"", VLOOKUP(A3659, imdb_netflix_v5!A$2:H$7370, 3, FALSE), "")</f>
        <v>Crime, Documentary, History</v>
      </c>
      <c r="D3659" s="2">
        <f>IF(A3659&lt;&gt;"", VLOOKUP(A3659, imdb_netflix_v5!A$2:H$7370, 4, FALSE), "")</f>
        <v>7.5</v>
      </c>
      <c r="E3659" s="2">
        <f>IF(A3659&lt;&gt;"", VLOOKUP(A3659, imdb_netflix_v5!A$2:H$7370, 5, FALSE), "")</f>
        <v>2019</v>
      </c>
      <c r="F3659" s="2" t="str">
        <f>IF(A3659&lt;&gt;"", VLOOKUP(A3659, imdb_netflix_v5!A$2:H$7370, 7, FALSE), "")</f>
        <v>NA</v>
      </c>
    </row>
    <row r="3660" ht="15.75" customHeight="1">
      <c r="A3660" s="1" t="str">
        <f>IFERROR(__xludf.DUMMYFUNCTION("""COMPUTED_VALUE"""),"the bastard son &amp; the devil himself")</f>
        <v>the bastard son &amp; the devil himself</v>
      </c>
      <c r="B3660" s="1" t="str">
        <f>IF(A3660&lt;&gt;"", VLOOKUP(A3660, imdb_netflix_v5!A$2:H$7370, 2, FALSE), "")</f>
        <v>TV Show</v>
      </c>
      <c r="C3660" s="2" t="str">
        <f>IF(A3660&lt;&gt;"", VLOOKUP(A3660, imdb_netflix_v5!A$2:H$7370, 3, FALSE), "")</f>
        <v>Action, Adventure, Drama</v>
      </c>
      <c r="D3660" s="2">
        <f>IF(A3660&lt;&gt;"", VLOOKUP(A3660, imdb_netflix_v5!A$2:H$7370, 4, FALSE), "")</f>
        <v>7.5</v>
      </c>
      <c r="E3660" s="2">
        <f>IF(A3660&lt;&gt;"", VLOOKUP(A3660, imdb_netflix_v5!A$2:H$7370, 5, FALSE), "")</f>
        <v>2022</v>
      </c>
      <c r="F3660" s="2" t="str">
        <f>IF(A3660&lt;&gt;"", VLOOKUP(A3660, imdb_netflix_v5!A$2:H$7370, 7, FALSE), "")</f>
        <v>NA</v>
      </c>
    </row>
    <row r="3661" ht="15.75" customHeight="1">
      <c r="A3661" s="1" t="str">
        <f>IFERROR(__xludf.DUMMYFUNCTION("""COMPUTED_VALUE"""),"fresh")</f>
        <v>fresh</v>
      </c>
      <c r="B3661" s="1" t="str">
        <f>IF(A3661&lt;&gt;"", VLOOKUP(A3661, imdb_netflix_v5!A$2:H$7370, 2, FALSE), "")</f>
        <v>Movie</v>
      </c>
      <c r="C3661" s="2" t="str">
        <f>IF(A3661&lt;&gt;"", VLOOKUP(A3661, imdb_netflix_v5!A$2:H$7370, 3, FALSE), "")</f>
        <v>Crime, Drama, Thriller</v>
      </c>
      <c r="D3661" s="2">
        <f>IF(A3661&lt;&gt;"", VLOOKUP(A3661, imdb_netflix_v5!A$2:H$7370, 4, FALSE), "")</f>
        <v>7.5</v>
      </c>
      <c r="E3661" s="2">
        <f>IF(A3661&lt;&gt;"", VLOOKUP(A3661, imdb_netflix_v5!A$2:H$7370, 5, FALSE), "")</f>
        <v>1994</v>
      </c>
      <c r="F3661" s="2" t="str">
        <f>IF(A3661&lt;&gt;"", VLOOKUP(A3661, imdb_netflix_v5!A$2:H$7370, 7, FALSE), "")</f>
        <v>NA</v>
      </c>
    </row>
    <row r="3662" ht="15.75" customHeight="1">
      <c r="A3662" s="1" t="str">
        <f>IFERROR(__xludf.DUMMYFUNCTION("""COMPUTED_VALUE"""),"the petrified forest")</f>
        <v>the petrified forest</v>
      </c>
      <c r="B3662" s="1" t="str">
        <f>IF(A3662&lt;&gt;"", VLOOKUP(A3662, imdb_netflix_v5!A$2:H$7370, 2, FALSE), "")</f>
        <v>Movie</v>
      </c>
      <c r="C3662" s="2" t="str">
        <f>IF(A3662&lt;&gt;"", VLOOKUP(A3662, imdb_netflix_v5!A$2:H$7370, 3, FALSE), "")</f>
        <v>Drama, Thriller</v>
      </c>
      <c r="D3662" s="2">
        <f>IF(A3662&lt;&gt;"", VLOOKUP(A3662, imdb_netflix_v5!A$2:H$7370, 4, FALSE), "")</f>
        <v>7.5</v>
      </c>
      <c r="E3662" s="2">
        <f>IF(A3662&lt;&gt;"", VLOOKUP(A3662, imdb_netflix_v5!A$2:H$7370, 5, FALSE), "")</f>
        <v>1936</v>
      </c>
      <c r="F3662" s="2" t="str">
        <f>IF(A3662&lt;&gt;"", VLOOKUP(A3662, imdb_netflix_v5!A$2:H$7370, 7, FALSE), "")</f>
        <v>NA</v>
      </c>
    </row>
    <row r="3663" ht="15.75" customHeight="1">
      <c r="A3663" s="1" t="str">
        <f>IFERROR(__xludf.DUMMYFUNCTION("""COMPUTED_VALUE"""),"maxton hall the world between us")</f>
        <v>maxton hall the world between us</v>
      </c>
      <c r="B3663" s="1" t="str">
        <f>IF(A3663&lt;&gt;"", VLOOKUP(A3663, imdb_netflix_v5!A$2:H$7370, 2, FALSE), "")</f>
        <v>TV Show</v>
      </c>
      <c r="C3663" s="2" t="str">
        <f>IF(A3663&lt;&gt;"", VLOOKUP(A3663, imdb_netflix_v5!A$2:H$7370, 3, FALSE), "")</f>
        <v>Drama, Romance</v>
      </c>
      <c r="D3663" s="2">
        <f>IF(A3663&lt;&gt;"", VLOOKUP(A3663, imdb_netflix_v5!A$2:H$7370, 4, FALSE), "")</f>
        <v>7.5</v>
      </c>
      <c r="E3663" s="2">
        <f>IF(A3663&lt;&gt;"", VLOOKUP(A3663, imdb_netflix_v5!A$2:H$7370, 5, FALSE), "")</f>
        <v>2024</v>
      </c>
      <c r="F3663" s="2" t="str">
        <f>IF(A3663&lt;&gt;"", VLOOKUP(A3663, imdb_netflix_v5!A$2:H$7370, 7, FALSE), "")</f>
        <v>NA</v>
      </c>
    </row>
    <row r="3664" ht="15.75" customHeight="1">
      <c r="A3664" s="1" t="str">
        <f>IFERROR(__xludf.DUMMYFUNCTION("""COMPUTED_VALUE"""),"murder, my sweet")</f>
        <v>murder, my sweet</v>
      </c>
      <c r="B3664" s="1" t="str">
        <f>IF(A3664&lt;&gt;"", VLOOKUP(A3664, imdb_netflix_v5!A$2:H$7370, 2, FALSE), "")</f>
        <v>Movie</v>
      </c>
      <c r="C3664" s="2" t="str">
        <f>IF(A3664&lt;&gt;"", VLOOKUP(A3664, imdb_netflix_v5!A$2:H$7370, 3, FALSE), "")</f>
        <v>Crime, Drama, Film-Noir</v>
      </c>
      <c r="D3664" s="2">
        <f>IF(A3664&lt;&gt;"", VLOOKUP(A3664, imdb_netflix_v5!A$2:H$7370, 4, FALSE), "")</f>
        <v>7.5</v>
      </c>
      <c r="E3664" s="2">
        <f>IF(A3664&lt;&gt;"", VLOOKUP(A3664, imdb_netflix_v5!A$2:H$7370, 5, FALSE), "")</f>
        <v>1944</v>
      </c>
      <c r="F3664" s="2" t="str">
        <f>IF(A3664&lt;&gt;"", VLOOKUP(A3664, imdb_netflix_v5!A$2:H$7370, 7, FALSE), "")</f>
        <v>NA</v>
      </c>
    </row>
    <row r="3665" ht="15.75" customHeight="1">
      <c r="A3665" s="1" t="str">
        <f>IFERROR(__xludf.DUMMYFUNCTION("""COMPUTED_VALUE"""),"jeanne dielman, 23, quai du commerce, 1080 bruxelles")</f>
        <v>jeanne dielman, 23, quai du commerce, 1080 bruxelles</v>
      </c>
      <c r="B3665" s="1" t="str">
        <f>IF(A3665&lt;&gt;"", VLOOKUP(A3665, imdb_netflix_v5!A$2:H$7370, 2, FALSE), "")</f>
        <v>Movie</v>
      </c>
      <c r="C3665" s="2" t="str">
        <f>IF(A3665&lt;&gt;"", VLOOKUP(A3665, imdb_netflix_v5!A$2:H$7370, 3, FALSE), "")</f>
        <v>Drama</v>
      </c>
      <c r="D3665" s="2">
        <f>IF(A3665&lt;&gt;"", VLOOKUP(A3665, imdb_netflix_v5!A$2:H$7370, 4, FALSE), "")</f>
        <v>7.5</v>
      </c>
      <c r="E3665" s="2">
        <f>IF(A3665&lt;&gt;"", VLOOKUP(A3665, imdb_netflix_v5!A$2:H$7370, 5, FALSE), "")</f>
        <v>1975</v>
      </c>
      <c r="F3665" s="2" t="str">
        <f>IF(A3665&lt;&gt;"", VLOOKUP(A3665, imdb_netflix_v5!A$2:H$7370, 7, FALSE), "")</f>
        <v>NA</v>
      </c>
    </row>
    <row r="3666" ht="15.75" customHeight="1">
      <c r="A3666" s="1" t="str">
        <f>IFERROR(__xludf.DUMMYFUNCTION("""COMPUTED_VALUE"""),"rurouni kenshin the legend ends")</f>
        <v>rurouni kenshin the legend ends</v>
      </c>
      <c r="B3666" s="1" t="str">
        <f>IF(A3666&lt;&gt;"", VLOOKUP(A3666, imdb_netflix_v5!A$2:H$7370, 2, FALSE), "")</f>
        <v>Movie</v>
      </c>
      <c r="C3666" s="2" t="str">
        <f>IF(A3666&lt;&gt;"", VLOOKUP(A3666, imdb_netflix_v5!A$2:H$7370, 3, FALSE), "")</f>
        <v>Action, Adventure, Drama</v>
      </c>
      <c r="D3666" s="2">
        <f>IF(A3666&lt;&gt;"", VLOOKUP(A3666, imdb_netflix_v5!A$2:H$7370, 4, FALSE), "")</f>
        <v>7.5</v>
      </c>
      <c r="E3666" s="2">
        <f>IF(A3666&lt;&gt;"", VLOOKUP(A3666, imdb_netflix_v5!A$2:H$7370, 5, FALSE), "")</f>
        <v>2014</v>
      </c>
      <c r="F3666" s="2" t="str">
        <f>IF(A3666&lt;&gt;"", VLOOKUP(A3666, imdb_netflix_v5!A$2:H$7370, 7, FALSE), "")</f>
        <v>NA</v>
      </c>
    </row>
    <row r="3667" ht="15.75" customHeight="1">
      <c r="A3667" s="1" t="str">
        <f>IFERROR(__xludf.DUMMYFUNCTION("""COMPUTED_VALUE"""),"wings")</f>
        <v>wings</v>
      </c>
      <c r="B3667" s="1" t="str">
        <f>IF(A3667&lt;&gt;"", VLOOKUP(A3667, imdb_netflix_v5!A$2:H$7370, 2, FALSE), "")</f>
        <v>Movie</v>
      </c>
      <c r="C3667" s="2" t="str">
        <f>IF(A3667&lt;&gt;"", VLOOKUP(A3667, imdb_netflix_v5!A$2:H$7370, 3, FALSE), "")</f>
        <v>Action, Drama, Romance</v>
      </c>
      <c r="D3667" s="2">
        <f>IF(A3667&lt;&gt;"", VLOOKUP(A3667, imdb_netflix_v5!A$2:H$7370, 4, FALSE), "")</f>
        <v>7.5</v>
      </c>
      <c r="E3667" s="2">
        <f>IF(A3667&lt;&gt;"", VLOOKUP(A3667, imdb_netflix_v5!A$2:H$7370, 5, FALSE), "")</f>
        <v>1927</v>
      </c>
      <c r="F3667" s="2" t="str">
        <f>IF(A3667&lt;&gt;"", VLOOKUP(A3667, imdb_netflix_v5!A$2:H$7370, 7, FALSE), "")</f>
        <v>NA</v>
      </c>
    </row>
    <row r="3668" ht="15.75" customHeight="1">
      <c r="A3668" s="1" t="str">
        <f>IFERROR(__xludf.DUMMYFUNCTION("""COMPUTED_VALUE"""),"the letter")</f>
        <v>the letter</v>
      </c>
      <c r="B3668" s="1" t="str">
        <f>IF(A3668&lt;&gt;"", VLOOKUP(A3668, imdb_netflix_v5!A$2:H$7370, 2, FALSE), "")</f>
        <v>Movie</v>
      </c>
      <c r="C3668" s="2" t="str">
        <f>IF(A3668&lt;&gt;"", VLOOKUP(A3668, imdb_netflix_v5!A$2:H$7370, 3, FALSE), "")</f>
        <v>Crime, Drama, Film-Noir</v>
      </c>
      <c r="D3668" s="2">
        <f>IF(A3668&lt;&gt;"", VLOOKUP(A3668, imdb_netflix_v5!A$2:H$7370, 4, FALSE), "")</f>
        <v>7.5</v>
      </c>
      <c r="E3668" s="2">
        <f>IF(A3668&lt;&gt;"", VLOOKUP(A3668, imdb_netflix_v5!A$2:H$7370, 5, FALSE), "")</f>
        <v>1940</v>
      </c>
      <c r="F3668" s="2" t="str">
        <f>IF(A3668&lt;&gt;"", VLOOKUP(A3668, imdb_netflix_v5!A$2:H$7370, 7, FALSE), "")</f>
        <v>NA</v>
      </c>
    </row>
    <row r="3669" ht="15.75" customHeight="1">
      <c r="A3669" s="1" t="str">
        <f>IFERROR(__xludf.DUMMYFUNCTION("""COMPUTED_VALUE"""),"the ghazi attack")</f>
        <v>the ghazi attack</v>
      </c>
      <c r="B3669" s="1" t="str">
        <f>IF(A3669&lt;&gt;"", VLOOKUP(A3669, imdb_netflix_v5!A$2:H$7370, 2, FALSE), "")</f>
        <v>Movie</v>
      </c>
      <c r="C3669" s="2" t="str">
        <f>IF(A3669&lt;&gt;"", VLOOKUP(A3669, imdb_netflix_v5!A$2:H$7370, 3, FALSE), "")</f>
        <v>Action, Drama, Thriller</v>
      </c>
      <c r="D3669" s="2">
        <f>IF(A3669&lt;&gt;"", VLOOKUP(A3669, imdb_netflix_v5!A$2:H$7370, 4, FALSE), "")</f>
        <v>7.5</v>
      </c>
      <c r="E3669" s="2">
        <f>IF(A3669&lt;&gt;"", VLOOKUP(A3669, imdb_netflix_v5!A$2:H$7370, 5, FALSE), "")</f>
        <v>2017</v>
      </c>
      <c r="F3669" s="2" t="str">
        <f>IF(A3669&lt;&gt;"", VLOOKUP(A3669, imdb_netflix_v5!A$2:H$7370, 7, FALSE), "")</f>
        <v>NA</v>
      </c>
    </row>
    <row r="3670" ht="15.75" customHeight="1">
      <c r="A3670" s="1" t="str">
        <f>IFERROR(__xludf.DUMMYFUNCTION("""COMPUTED_VALUE"""),"swing time")</f>
        <v>swing time</v>
      </c>
      <c r="B3670" s="1" t="str">
        <f>IF(A3670&lt;&gt;"", VLOOKUP(A3670, imdb_netflix_v5!A$2:H$7370, 2, FALSE), "")</f>
        <v>Movie</v>
      </c>
      <c r="C3670" s="2" t="str">
        <f>IF(A3670&lt;&gt;"", VLOOKUP(A3670, imdb_netflix_v5!A$2:H$7370, 3, FALSE), "")</f>
        <v>Comedy, Musical, Romance</v>
      </c>
      <c r="D3670" s="2">
        <f>IF(A3670&lt;&gt;"", VLOOKUP(A3670, imdb_netflix_v5!A$2:H$7370, 4, FALSE), "")</f>
        <v>7.5</v>
      </c>
      <c r="E3670" s="2">
        <f>IF(A3670&lt;&gt;"", VLOOKUP(A3670, imdb_netflix_v5!A$2:H$7370, 5, FALSE), "")</f>
        <v>1936</v>
      </c>
      <c r="F3670" s="2" t="str">
        <f>IF(A3670&lt;&gt;"", VLOOKUP(A3670, imdb_netflix_v5!A$2:H$7370, 7, FALSE), "")</f>
        <v>NA</v>
      </c>
    </row>
    <row r="3671" ht="15.75" customHeight="1">
      <c r="A3671" s="1" t="str">
        <f>IFERROR(__xludf.DUMMYFUNCTION("""COMPUTED_VALUE"""),"the picture of dorian gray")</f>
        <v>the picture of dorian gray</v>
      </c>
      <c r="B3671" s="1" t="str">
        <f>IF(A3671&lt;&gt;"", VLOOKUP(A3671, imdb_netflix_v5!A$2:H$7370, 2, FALSE), "")</f>
        <v>Movie</v>
      </c>
      <c r="C3671" s="2" t="str">
        <f>IF(A3671&lt;&gt;"", VLOOKUP(A3671, imdb_netflix_v5!A$2:H$7370, 3, FALSE), "")</f>
        <v>Drama, Fantasy, Horror</v>
      </c>
      <c r="D3671" s="2">
        <f>IF(A3671&lt;&gt;"", VLOOKUP(A3671, imdb_netflix_v5!A$2:H$7370, 4, FALSE), "")</f>
        <v>7.5</v>
      </c>
      <c r="E3671" s="2">
        <f>IF(A3671&lt;&gt;"", VLOOKUP(A3671, imdb_netflix_v5!A$2:H$7370, 5, FALSE), "")</f>
        <v>1945</v>
      </c>
      <c r="F3671" s="2" t="str">
        <f>IF(A3671&lt;&gt;"", VLOOKUP(A3671, imdb_netflix_v5!A$2:H$7370, 7, FALSE), "")</f>
        <v>NA</v>
      </c>
    </row>
    <row r="3672" ht="15.75" customHeight="1">
      <c r="A3672" s="1" t="str">
        <f>IFERROR(__xludf.DUMMYFUNCTION("""COMPUTED_VALUE"""),"sexmission")</f>
        <v>sexmission</v>
      </c>
      <c r="B3672" s="1" t="str">
        <f>IF(A3672&lt;&gt;"", VLOOKUP(A3672, imdb_netflix_v5!A$2:H$7370, 2, FALSE), "")</f>
        <v>Movie</v>
      </c>
      <c r="C3672" s="2" t="str">
        <f>IF(A3672&lt;&gt;"", VLOOKUP(A3672, imdb_netflix_v5!A$2:H$7370, 3, FALSE), "")</f>
        <v>Adventure, Comedy, Sci-Fi</v>
      </c>
      <c r="D3672" s="2">
        <f>IF(A3672&lt;&gt;"", VLOOKUP(A3672, imdb_netflix_v5!A$2:H$7370, 4, FALSE), "")</f>
        <v>7.5</v>
      </c>
      <c r="E3672" s="2">
        <f>IF(A3672&lt;&gt;"", VLOOKUP(A3672, imdb_netflix_v5!A$2:H$7370, 5, FALSE), "")</f>
        <v>1984</v>
      </c>
      <c r="F3672" s="2" t="str">
        <f>IF(A3672&lt;&gt;"", VLOOKUP(A3672, imdb_netflix_v5!A$2:H$7370, 7, FALSE), "")</f>
        <v>NA</v>
      </c>
    </row>
    <row r="3673" ht="15.75" customHeight="1">
      <c r="A3673" s="1" t="str">
        <f>IFERROR(__xludf.DUMMYFUNCTION("""COMPUTED_VALUE"""),"tekkonkinkreet")</f>
        <v>tekkonkinkreet</v>
      </c>
      <c r="B3673" s="1" t="str">
        <f>IF(A3673&lt;&gt;"", VLOOKUP(A3673, imdb_netflix_v5!A$2:H$7370, 2, FALSE), "")</f>
        <v>Movie</v>
      </c>
      <c r="C3673" s="2" t="str">
        <f>IF(A3673&lt;&gt;"", VLOOKUP(A3673, imdb_netflix_v5!A$2:H$7370, 3, FALSE), "")</f>
        <v>Action, Adventure, Animation</v>
      </c>
      <c r="D3673" s="2">
        <f>IF(A3673&lt;&gt;"", VLOOKUP(A3673, imdb_netflix_v5!A$2:H$7370, 4, FALSE), "")</f>
        <v>7.5</v>
      </c>
      <c r="E3673" s="2">
        <f>IF(A3673&lt;&gt;"", VLOOKUP(A3673, imdb_netflix_v5!A$2:H$7370, 5, FALSE), "")</f>
        <v>2006</v>
      </c>
      <c r="F3673" s="2" t="str">
        <f>IF(A3673&lt;&gt;"", VLOOKUP(A3673, imdb_netflix_v5!A$2:H$7370, 7, FALSE), "")</f>
        <v>NA</v>
      </c>
    </row>
    <row r="3674" ht="15.75" customHeight="1">
      <c r="A3674" s="1" t="str">
        <f>IFERROR(__xludf.DUMMYFUNCTION("""COMPUTED_VALUE"""),"get real")</f>
        <v>get real</v>
      </c>
      <c r="B3674" s="1" t="str">
        <f>IF(A3674&lt;&gt;"", VLOOKUP(A3674, imdb_netflix_v5!A$2:H$7370, 2, FALSE), "")</f>
        <v>Movie</v>
      </c>
      <c r="C3674" s="2" t="str">
        <f>IF(A3674&lt;&gt;"", VLOOKUP(A3674, imdb_netflix_v5!A$2:H$7370, 3, FALSE), "")</f>
        <v>Comedy, Drama, Romance</v>
      </c>
      <c r="D3674" s="2">
        <f>IF(A3674&lt;&gt;"", VLOOKUP(A3674, imdb_netflix_v5!A$2:H$7370, 4, FALSE), "")</f>
        <v>7.5</v>
      </c>
      <c r="E3674" s="2">
        <f>IF(A3674&lt;&gt;"", VLOOKUP(A3674, imdb_netflix_v5!A$2:H$7370, 5, FALSE), "")</f>
        <v>1998</v>
      </c>
      <c r="F3674" s="2" t="str">
        <f>IF(A3674&lt;&gt;"", VLOOKUP(A3674, imdb_netflix_v5!A$2:H$7370, 7, FALSE), "")</f>
        <v>NA</v>
      </c>
    </row>
    <row r="3675" ht="15.75" customHeight="1">
      <c r="A3675" s="1" t="str">
        <f>IFERROR(__xludf.DUMMYFUNCTION("""COMPUTED_VALUE"""),"a day at the races")</f>
        <v>a day at the races</v>
      </c>
      <c r="B3675" s="1" t="str">
        <f>IF(A3675&lt;&gt;"", VLOOKUP(A3675, imdb_netflix_v5!A$2:H$7370, 2, FALSE), "")</f>
        <v>Movie</v>
      </c>
      <c r="C3675" s="2" t="str">
        <f>IF(A3675&lt;&gt;"", VLOOKUP(A3675, imdb_netflix_v5!A$2:H$7370, 3, FALSE), "")</f>
        <v>Comedy, Family, Musical</v>
      </c>
      <c r="D3675" s="2">
        <f>IF(A3675&lt;&gt;"", VLOOKUP(A3675, imdb_netflix_v5!A$2:H$7370, 4, FALSE), "")</f>
        <v>7.5</v>
      </c>
      <c r="E3675" s="2">
        <f>IF(A3675&lt;&gt;"", VLOOKUP(A3675, imdb_netflix_v5!A$2:H$7370, 5, FALSE), "")</f>
        <v>1937</v>
      </c>
      <c r="F3675" s="2" t="str">
        <f>IF(A3675&lt;&gt;"", VLOOKUP(A3675, imdb_netflix_v5!A$2:H$7370, 7, FALSE), "")</f>
        <v>NA</v>
      </c>
    </row>
    <row r="3676" ht="15.75" customHeight="1">
      <c r="A3676" s="1" t="str">
        <f>IFERROR(__xludf.DUMMYFUNCTION("""COMPUTED_VALUE"""),"berserk the golden age arc i - the egg of the king")</f>
        <v>berserk the golden age arc i - the egg of the king</v>
      </c>
      <c r="B3676" s="1" t="str">
        <f>IF(A3676&lt;&gt;"", VLOOKUP(A3676, imdb_netflix_v5!A$2:H$7370, 2, FALSE), "")</f>
        <v>Movie</v>
      </c>
      <c r="C3676" s="2" t="str">
        <f>IF(A3676&lt;&gt;"", VLOOKUP(A3676, imdb_netflix_v5!A$2:H$7370, 3, FALSE), "")</f>
        <v>Action, Adventure, Animation</v>
      </c>
      <c r="D3676" s="2">
        <f>IF(A3676&lt;&gt;"", VLOOKUP(A3676, imdb_netflix_v5!A$2:H$7370, 4, FALSE), "")</f>
        <v>7.5</v>
      </c>
      <c r="E3676" s="2">
        <f>IF(A3676&lt;&gt;"", VLOOKUP(A3676, imdb_netflix_v5!A$2:H$7370, 5, FALSE), "")</f>
        <v>2012</v>
      </c>
      <c r="F3676" s="2" t="str">
        <f>IF(A3676&lt;&gt;"", VLOOKUP(A3676, imdb_netflix_v5!A$2:H$7370, 7, FALSE), "")</f>
        <v>NA</v>
      </c>
    </row>
    <row r="3677" ht="15.75" customHeight="1">
      <c r="A3677" s="1" t="str">
        <f>IFERROR(__xludf.DUMMYFUNCTION("""COMPUTED_VALUE"""),"kitchen nightmares")</f>
        <v>kitchen nightmares</v>
      </c>
      <c r="B3677" s="1" t="str">
        <f>IF(A3677&lt;&gt;"", VLOOKUP(A3677, imdb_netflix_v5!A$2:H$7370, 2, FALSE), "")</f>
        <v>TV Show</v>
      </c>
      <c r="C3677" s="2" t="str">
        <f>IF(A3677&lt;&gt;"", VLOOKUP(A3677, imdb_netflix_v5!A$2:H$7370, 3, FALSE), "")</f>
        <v>Reality-TV</v>
      </c>
      <c r="D3677" s="2">
        <f>IF(A3677&lt;&gt;"", VLOOKUP(A3677, imdb_netflix_v5!A$2:H$7370, 4, FALSE), "")</f>
        <v>7.5</v>
      </c>
      <c r="E3677" s="2">
        <f>IF(A3677&lt;&gt;"", VLOOKUP(A3677, imdb_netflix_v5!A$2:H$7370, 5, FALSE), "")</f>
        <v>2007</v>
      </c>
      <c r="F3677" s="2" t="str">
        <f>IF(A3677&lt;&gt;"", VLOOKUP(A3677, imdb_netflix_v5!A$2:H$7370, 7, FALSE), "")</f>
        <v>NA</v>
      </c>
    </row>
    <row r="3678" ht="15.75" customHeight="1">
      <c r="A3678" s="1" t="str">
        <f>IFERROR(__xludf.DUMMYFUNCTION("""COMPUTED_VALUE"""),"dead of night")</f>
        <v>dead of night</v>
      </c>
      <c r="B3678" s="1" t="str">
        <f>IF(A3678&lt;&gt;"", VLOOKUP(A3678, imdb_netflix_v5!A$2:H$7370, 2, FALSE), "")</f>
        <v>Movie</v>
      </c>
      <c r="C3678" s="2" t="str">
        <f>IF(A3678&lt;&gt;"", VLOOKUP(A3678, imdb_netflix_v5!A$2:H$7370, 3, FALSE), "")</f>
        <v>Drama, Horror</v>
      </c>
      <c r="D3678" s="2">
        <f>IF(A3678&lt;&gt;"", VLOOKUP(A3678, imdb_netflix_v5!A$2:H$7370, 4, FALSE), "")</f>
        <v>7.5</v>
      </c>
      <c r="E3678" s="2">
        <f>IF(A3678&lt;&gt;"", VLOOKUP(A3678, imdb_netflix_v5!A$2:H$7370, 5, FALSE), "")</f>
        <v>1945</v>
      </c>
      <c r="F3678" s="2" t="str">
        <f>IF(A3678&lt;&gt;"", VLOOKUP(A3678, imdb_netflix_v5!A$2:H$7370, 7, FALSE), "")</f>
        <v>NA</v>
      </c>
    </row>
    <row r="3679" ht="15.75" customHeight="1">
      <c r="A3679" s="1" t="str">
        <f>IFERROR(__xludf.DUMMYFUNCTION("""COMPUTED_VALUE"""),"val")</f>
        <v>val</v>
      </c>
      <c r="B3679" s="1" t="str">
        <f>IF(A3679&lt;&gt;"", VLOOKUP(A3679, imdb_netflix_v5!A$2:H$7370, 2, FALSE), "")</f>
        <v>Movie</v>
      </c>
      <c r="C3679" s="2" t="str">
        <f>IF(A3679&lt;&gt;"", VLOOKUP(A3679, imdb_netflix_v5!A$2:H$7370, 3, FALSE), "")</f>
        <v>Biography, Documentary</v>
      </c>
      <c r="D3679" s="2">
        <f>IF(A3679&lt;&gt;"", VLOOKUP(A3679, imdb_netflix_v5!A$2:H$7370, 4, FALSE), "")</f>
        <v>7.5</v>
      </c>
      <c r="E3679" s="2">
        <f>IF(A3679&lt;&gt;"", VLOOKUP(A3679, imdb_netflix_v5!A$2:H$7370, 5, FALSE), "")</f>
        <v>2021</v>
      </c>
      <c r="F3679" s="2" t="str">
        <f>IF(A3679&lt;&gt;"", VLOOKUP(A3679, imdb_netflix_v5!A$2:H$7370, 7, FALSE), "")</f>
        <v>NA</v>
      </c>
    </row>
    <row r="3680" ht="15.75" customHeight="1">
      <c r="A3680" s="1" t="str">
        <f>IFERROR(__xludf.DUMMYFUNCTION("""COMPUTED_VALUE"""),"dogs of berlin")</f>
        <v>dogs of berlin</v>
      </c>
      <c r="B3680" s="1" t="str">
        <f>IF(A3680&lt;&gt;"", VLOOKUP(A3680, imdb_netflix_v5!A$2:H$7370, 2, FALSE), "")</f>
        <v>TV Show</v>
      </c>
      <c r="C3680" s="2" t="str">
        <f>IF(A3680&lt;&gt;"", VLOOKUP(A3680, imdb_netflix_v5!A$2:H$7370, 3, FALSE), "")</f>
        <v>Action, Crime, Drama</v>
      </c>
      <c r="D3680" s="2">
        <f>IF(A3680&lt;&gt;"", VLOOKUP(A3680, imdb_netflix_v5!A$2:H$7370, 4, FALSE), "")</f>
        <v>7.5</v>
      </c>
      <c r="E3680" s="2">
        <f>IF(A3680&lt;&gt;"", VLOOKUP(A3680, imdb_netflix_v5!A$2:H$7370, 5, FALSE), "")</f>
        <v>2018</v>
      </c>
      <c r="F3680" s="2" t="str">
        <f>IF(A3680&lt;&gt;"", VLOOKUP(A3680, imdb_netflix_v5!A$2:H$7370, 7, FALSE), "")</f>
        <v>NA</v>
      </c>
    </row>
    <row r="3681" ht="15.75" customHeight="1">
      <c r="A3681" s="1" t="str">
        <f>IFERROR(__xludf.DUMMYFUNCTION("""COMPUTED_VALUE"""),"high school dxd")</f>
        <v>high school dxd</v>
      </c>
      <c r="B3681" s="1" t="str">
        <f>IF(A3681&lt;&gt;"", VLOOKUP(A3681, imdb_netflix_v5!A$2:H$7370, 2, FALSE), "")</f>
        <v>TV Show</v>
      </c>
      <c r="C3681" s="2" t="str">
        <f>IF(A3681&lt;&gt;"", VLOOKUP(A3681, imdb_netflix_v5!A$2:H$7370, 3, FALSE), "")</f>
        <v>Action, Animation, Comedy</v>
      </c>
      <c r="D3681" s="2">
        <f>IF(A3681&lt;&gt;"", VLOOKUP(A3681, imdb_netflix_v5!A$2:H$7370, 4, FALSE), "")</f>
        <v>7.5</v>
      </c>
      <c r="E3681" s="2">
        <f>IF(A3681&lt;&gt;"", VLOOKUP(A3681, imdb_netflix_v5!A$2:H$7370, 5, FALSE), "")</f>
        <v>2012</v>
      </c>
      <c r="F3681" s="2" t="str">
        <f>IF(A3681&lt;&gt;"", VLOOKUP(A3681, imdb_netflix_v5!A$2:H$7370, 7, FALSE), "")</f>
        <v>NA</v>
      </c>
    </row>
    <row r="3682" ht="15.75" customHeight="1">
      <c r="A3682" s="1" t="str">
        <f>IFERROR(__xludf.DUMMYFUNCTION("""COMPUTED_VALUE"""),"charley varrick")</f>
        <v>charley varrick</v>
      </c>
      <c r="B3682" s="1" t="str">
        <f>IF(A3682&lt;&gt;"", VLOOKUP(A3682, imdb_netflix_v5!A$2:H$7370, 2, FALSE), "")</f>
        <v>Movie</v>
      </c>
      <c r="C3682" s="2" t="str">
        <f>IF(A3682&lt;&gt;"", VLOOKUP(A3682, imdb_netflix_v5!A$2:H$7370, 3, FALSE), "")</f>
        <v>Crime, Drama, Thriller</v>
      </c>
      <c r="D3682" s="2">
        <f>IF(A3682&lt;&gt;"", VLOOKUP(A3682, imdb_netflix_v5!A$2:H$7370, 4, FALSE), "")</f>
        <v>7.5</v>
      </c>
      <c r="E3682" s="2">
        <f>IF(A3682&lt;&gt;"", VLOOKUP(A3682, imdb_netflix_v5!A$2:H$7370, 5, FALSE), "")</f>
        <v>1973</v>
      </c>
      <c r="F3682" s="2" t="str">
        <f>IF(A3682&lt;&gt;"", VLOOKUP(A3682, imdb_netflix_v5!A$2:H$7370, 7, FALSE), "")</f>
        <v>NA</v>
      </c>
    </row>
    <row r="3683" ht="15.75" customHeight="1">
      <c r="A3683" s="1" t="str">
        <f>IFERROR(__xludf.DUMMYFUNCTION("""COMPUTED_VALUE"""),"tiny toon adventures")</f>
        <v>tiny toon adventures</v>
      </c>
      <c r="B3683" s="1" t="str">
        <f>IF(A3683&lt;&gt;"", VLOOKUP(A3683, imdb_netflix_v5!A$2:H$7370, 2, FALSE), "")</f>
        <v>TV Show</v>
      </c>
      <c r="C3683" s="2" t="str">
        <f>IF(A3683&lt;&gt;"", VLOOKUP(A3683, imdb_netflix_v5!A$2:H$7370, 3, FALSE), "")</f>
        <v>Adventure, Animation, Comedy</v>
      </c>
      <c r="D3683" s="2">
        <f>IF(A3683&lt;&gt;"", VLOOKUP(A3683, imdb_netflix_v5!A$2:H$7370, 4, FALSE), "")</f>
        <v>7.5</v>
      </c>
      <c r="E3683" s="2">
        <f>IF(A3683&lt;&gt;"", VLOOKUP(A3683, imdb_netflix_v5!A$2:H$7370, 5, FALSE), "")</f>
        <v>1990</v>
      </c>
      <c r="F3683" s="2" t="str">
        <f>IF(A3683&lt;&gt;"", VLOOKUP(A3683, imdb_netflix_v5!A$2:H$7370, 7, FALSE), "")</f>
        <v>NA</v>
      </c>
    </row>
    <row r="3684" ht="15.75" customHeight="1">
      <c r="A3684" s="1" t="str">
        <f>IFERROR(__xludf.DUMMYFUNCTION("""COMPUTED_VALUE"""),"girl on the bridge")</f>
        <v>girl on the bridge</v>
      </c>
      <c r="B3684" s="1" t="str">
        <f>IF(A3684&lt;&gt;"", VLOOKUP(A3684, imdb_netflix_v5!A$2:H$7370, 2, FALSE), "")</f>
        <v>Movie</v>
      </c>
      <c r="C3684" s="2" t="str">
        <f>IF(A3684&lt;&gt;"", VLOOKUP(A3684, imdb_netflix_v5!A$2:H$7370, 3, FALSE), "")</f>
        <v>Comedy, Drama, Romance</v>
      </c>
      <c r="D3684" s="2">
        <f>IF(A3684&lt;&gt;"", VLOOKUP(A3684, imdb_netflix_v5!A$2:H$7370, 4, FALSE), "")</f>
        <v>7.5</v>
      </c>
      <c r="E3684" s="2">
        <f>IF(A3684&lt;&gt;"", VLOOKUP(A3684, imdb_netflix_v5!A$2:H$7370, 5, FALSE), "")</f>
        <v>1999</v>
      </c>
      <c r="F3684" s="2" t="str">
        <f>IF(A3684&lt;&gt;"", VLOOKUP(A3684, imdb_netflix_v5!A$2:H$7370, 7, FALSE), "")</f>
        <v>NA</v>
      </c>
    </row>
    <row r="3685" ht="15.75" customHeight="1">
      <c r="A3685" s="1" t="str">
        <f>IFERROR(__xludf.DUMMYFUNCTION("""COMPUTED_VALUE"""),"heirs")</f>
        <v>heirs</v>
      </c>
      <c r="B3685" s="1" t="str">
        <f>IF(A3685&lt;&gt;"", VLOOKUP(A3685, imdb_netflix_v5!A$2:H$7370, 2, FALSE), "")</f>
        <v>TV Show</v>
      </c>
      <c r="C3685" s="2" t="str">
        <f>IF(A3685&lt;&gt;"", VLOOKUP(A3685, imdb_netflix_v5!A$2:H$7370, 3, FALSE), "")</f>
        <v>Comedy, Drama, Romance</v>
      </c>
      <c r="D3685" s="2">
        <f>IF(A3685&lt;&gt;"", VLOOKUP(A3685, imdb_netflix_v5!A$2:H$7370, 4, FALSE), "")</f>
        <v>7.5</v>
      </c>
      <c r="E3685" s="2">
        <f>IF(A3685&lt;&gt;"", VLOOKUP(A3685, imdb_netflix_v5!A$2:H$7370, 5, FALSE), "")</f>
        <v>2013</v>
      </c>
      <c r="F3685" s="2" t="str">
        <f>IF(A3685&lt;&gt;"", VLOOKUP(A3685, imdb_netflix_v5!A$2:H$7370, 7, FALSE), "")</f>
        <v>NA</v>
      </c>
    </row>
    <row r="3686" ht="15.75" customHeight="1">
      <c r="A3686" s="1" t="str">
        <f>IFERROR(__xludf.DUMMYFUNCTION("""COMPUTED_VALUE"""),"the bands visit")</f>
        <v>the bands visit</v>
      </c>
      <c r="B3686" s="1" t="str">
        <f>IF(A3686&lt;&gt;"", VLOOKUP(A3686, imdb_netflix_v5!A$2:H$7370, 2, FALSE), "")</f>
        <v>Movie</v>
      </c>
      <c r="C3686" s="2" t="str">
        <f>IF(A3686&lt;&gt;"", VLOOKUP(A3686, imdb_netflix_v5!A$2:H$7370, 3, FALSE), "")</f>
        <v>Comedy, Drama, Music</v>
      </c>
      <c r="D3686" s="2">
        <f>IF(A3686&lt;&gt;"", VLOOKUP(A3686, imdb_netflix_v5!A$2:H$7370, 4, FALSE), "")</f>
        <v>7.5</v>
      </c>
      <c r="E3686" s="2">
        <f>IF(A3686&lt;&gt;"", VLOOKUP(A3686, imdb_netflix_v5!A$2:H$7370, 5, FALSE), "")</f>
        <v>2007</v>
      </c>
      <c r="F3686" s="2" t="str">
        <f>IF(A3686&lt;&gt;"", VLOOKUP(A3686, imdb_netflix_v5!A$2:H$7370, 7, FALSE), "")</f>
        <v>NA</v>
      </c>
    </row>
    <row r="3687" ht="15.75" customHeight="1">
      <c r="A3687" s="1" t="str">
        <f>IFERROR(__xludf.DUMMYFUNCTION("""COMPUTED_VALUE"""),"nowhere in africa")</f>
        <v>nowhere in africa</v>
      </c>
      <c r="B3687" s="1" t="str">
        <f>IF(A3687&lt;&gt;"", VLOOKUP(A3687, imdb_netflix_v5!A$2:H$7370, 2, FALSE), "")</f>
        <v>Movie</v>
      </c>
      <c r="C3687" s="2" t="str">
        <f>IF(A3687&lt;&gt;"", VLOOKUP(A3687, imdb_netflix_v5!A$2:H$7370, 3, FALSE), "")</f>
        <v>Biography, Drama, History</v>
      </c>
      <c r="D3687" s="2">
        <f>IF(A3687&lt;&gt;"", VLOOKUP(A3687, imdb_netflix_v5!A$2:H$7370, 4, FALSE), "")</f>
        <v>7.5</v>
      </c>
      <c r="E3687" s="2">
        <f>IF(A3687&lt;&gt;"", VLOOKUP(A3687, imdb_netflix_v5!A$2:H$7370, 5, FALSE), "")</f>
        <v>2001</v>
      </c>
      <c r="F3687" s="2" t="str">
        <f>IF(A3687&lt;&gt;"", VLOOKUP(A3687, imdb_netflix_v5!A$2:H$7370, 7, FALSE), "")</f>
        <v>NA</v>
      </c>
    </row>
    <row r="3688" ht="15.75" customHeight="1">
      <c r="A3688" s="1" t="str">
        <f>IFERROR(__xludf.DUMMYFUNCTION("""COMPUTED_VALUE"""),"la cérémonie")</f>
        <v>la cérémonie</v>
      </c>
      <c r="B3688" s="1" t="str">
        <f>IF(A3688&lt;&gt;"", VLOOKUP(A3688, imdb_netflix_v5!A$2:H$7370, 2, FALSE), "")</f>
        <v>Movie</v>
      </c>
      <c r="C3688" s="2" t="str">
        <f>IF(A3688&lt;&gt;"", VLOOKUP(A3688, imdb_netflix_v5!A$2:H$7370, 3, FALSE), "")</f>
        <v>Crime, Drama, Thriller</v>
      </c>
      <c r="D3688" s="2">
        <f>IF(A3688&lt;&gt;"", VLOOKUP(A3688, imdb_netflix_v5!A$2:H$7370, 4, FALSE), "")</f>
        <v>7.5</v>
      </c>
      <c r="E3688" s="2">
        <f>IF(A3688&lt;&gt;"", VLOOKUP(A3688, imdb_netflix_v5!A$2:H$7370, 5, FALSE), "")</f>
        <v>1995</v>
      </c>
      <c r="F3688" s="2" t="str">
        <f>IF(A3688&lt;&gt;"", VLOOKUP(A3688, imdb_netflix_v5!A$2:H$7370, 7, FALSE), "")</f>
        <v>NA</v>
      </c>
    </row>
    <row r="3689" ht="15.75" customHeight="1">
      <c r="A3689" s="1" t="str">
        <f>IFERROR(__xludf.DUMMYFUNCTION("""COMPUTED_VALUE"""),"stories we tell")</f>
        <v>stories we tell</v>
      </c>
      <c r="B3689" s="1" t="str">
        <f>IF(A3689&lt;&gt;"", VLOOKUP(A3689, imdb_netflix_v5!A$2:H$7370, 2, FALSE), "")</f>
        <v>Movie</v>
      </c>
      <c r="C3689" s="2" t="str">
        <f>IF(A3689&lt;&gt;"", VLOOKUP(A3689, imdb_netflix_v5!A$2:H$7370, 3, FALSE), "")</f>
        <v>Documentary</v>
      </c>
      <c r="D3689" s="2">
        <f>IF(A3689&lt;&gt;"", VLOOKUP(A3689, imdb_netflix_v5!A$2:H$7370, 4, FALSE), "")</f>
        <v>7.5</v>
      </c>
      <c r="E3689" s="2">
        <f>IF(A3689&lt;&gt;"", VLOOKUP(A3689, imdb_netflix_v5!A$2:H$7370, 5, FALSE), "")</f>
        <v>2012</v>
      </c>
      <c r="F3689" s="2" t="str">
        <f>IF(A3689&lt;&gt;"", VLOOKUP(A3689, imdb_netflix_v5!A$2:H$7370, 7, FALSE), "")</f>
        <v>NA</v>
      </c>
    </row>
    <row r="3690" ht="15.75" customHeight="1">
      <c r="A3690" s="1" t="str">
        <f>IFERROR(__xludf.DUMMYFUNCTION("""COMPUTED_VALUE"""),"hichki")</f>
        <v>hichki</v>
      </c>
      <c r="B3690" s="1" t="str">
        <f>IF(A3690&lt;&gt;"", VLOOKUP(A3690, imdb_netflix_v5!A$2:H$7370, 2, FALSE), "")</f>
        <v>Movie</v>
      </c>
      <c r="C3690" s="2" t="str">
        <f>IF(A3690&lt;&gt;"", VLOOKUP(A3690, imdb_netflix_v5!A$2:H$7370, 3, FALSE), "")</f>
        <v>Comedy, Drama</v>
      </c>
      <c r="D3690" s="2">
        <f>IF(A3690&lt;&gt;"", VLOOKUP(A3690, imdb_netflix_v5!A$2:H$7370, 4, FALSE), "")</f>
        <v>7.5</v>
      </c>
      <c r="E3690" s="2">
        <f>IF(A3690&lt;&gt;"", VLOOKUP(A3690, imdb_netflix_v5!A$2:H$7370, 5, FALSE), "")</f>
        <v>2018</v>
      </c>
      <c r="F3690" s="2" t="str">
        <f>IF(A3690&lt;&gt;"", VLOOKUP(A3690, imdb_netflix_v5!A$2:H$7370, 7, FALSE), "")</f>
        <v>NA</v>
      </c>
    </row>
    <row r="3691" ht="15.75" customHeight="1">
      <c r="A3691" s="1" t="str">
        <f>IFERROR(__xludf.DUMMYFUNCTION("""COMPUTED_VALUE"""),"feel good")</f>
        <v>feel good</v>
      </c>
      <c r="B3691" s="1" t="str">
        <f>IF(A3691&lt;&gt;"", VLOOKUP(A3691, imdb_netflix_v5!A$2:H$7370, 2, FALSE), "")</f>
        <v>TV Show</v>
      </c>
      <c r="C3691" s="2" t="str">
        <f>IF(A3691&lt;&gt;"", VLOOKUP(A3691, imdb_netflix_v5!A$2:H$7370, 3, FALSE), "")</f>
        <v>Comedy, Drama, Romance</v>
      </c>
      <c r="D3691" s="2">
        <f>IF(A3691&lt;&gt;"", VLOOKUP(A3691, imdb_netflix_v5!A$2:H$7370, 4, FALSE), "")</f>
        <v>7.5</v>
      </c>
      <c r="E3691" s="2">
        <f>IF(A3691&lt;&gt;"", VLOOKUP(A3691, imdb_netflix_v5!A$2:H$7370, 5, FALSE), "")</f>
        <v>2020</v>
      </c>
      <c r="F3691" s="2" t="str">
        <f>IF(A3691&lt;&gt;"", VLOOKUP(A3691, imdb_netflix_v5!A$2:H$7370, 7, FALSE), "")</f>
        <v>NA</v>
      </c>
    </row>
    <row r="3692" ht="15.75" customHeight="1">
      <c r="A3692" s="1" t="str">
        <f>IFERROR(__xludf.DUMMYFUNCTION("""COMPUTED_VALUE"""),"pokkiri")</f>
        <v>pokkiri</v>
      </c>
      <c r="B3692" s="1" t="str">
        <f>IF(A3692&lt;&gt;"", VLOOKUP(A3692, imdb_netflix_v5!A$2:H$7370, 2, FALSE), "")</f>
        <v>Movie</v>
      </c>
      <c r="C3692" s="2" t="str">
        <f>IF(A3692&lt;&gt;"", VLOOKUP(A3692, imdb_netflix_v5!A$2:H$7370, 3, FALSE), "")</f>
        <v>Action, Crime, Thriller</v>
      </c>
      <c r="D3692" s="2">
        <f>IF(A3692&lt;&gt;"", VLOOKUP(A3692, imdb_netflix_v5!A$2:H$7370, 4, FALSE), "")</f>
        <v>7.5</v>
      </c>
      <c r="E3692" s="2">
        <f>IF(A3692&lt;&gt;"", VLOOKUP(A3692, imdb_netflix_v5!A$2:H$7370, 5, FALSE), "")</f>
        <v>2007</v>
      </c>
      <c r="F3692" s="2" t="str">
        <f>IF(A3692&lt;&gt;"", VLOOKUP(A3692, imdb_netflix_v5!A$2:H$7370, 7, FALSE), "")</f>
        <v>NA</v>
      </c>
    </row>
    <row r="3693" ht="15.75" customHeight="1">
      <c r="A3693" s="1" t="str">
        <f>IFERROR(__xludf.DUMMYFUNCTION("""COMPUTED_VALUE"""),"lilies of the field")</f>
        <v>lilies of the field</v>
      </c>
      <c r="B3693" s="1" t="str">
        <f>IF(A3693&lt;&gt;"", VLOOKUP(A3693, imdb_netflix_v5!A$2:H$7370, 2, FALSE), "")</f>
        <v>Movie</v>
      </c>
      <c r="C3693" s="2" t="str">
        <f>IF(A3693&lt;&gt;"", VLOOKUP(A3693, imdb_netflix_v5!A$2:H$7370, 3, FALSE), "")</f>
        <v>Drama</v>
      </c>
      <c r="D3693" s="2">
        <f>IF(A3693&lt;&gt;"", VLOOKUP(A3693, imdb_netflix_v5!A$2:H$7370, 4, FALSE), "")</f>
        <v>7.5</v>
      </c>
      <c r="E3693" s="2">
        <f>IF(A3693&lt;&gt;"", VLOOKUP(A3693, imdb_netflix_v5!A$2:H$7370, 5, FALSE), "")</f>
        <v>1963</v>
      </c>
      <c r="F3693" s="2" t="str">
        <f>IF(A3693&lt;&gt;"", VLOOKUP(A3693, imdb_netflix_v5!A$2:H$7370, 7, FALSE), "")</f>
        <v>NA</v>
      </c>
    </row>
    <row r="3694" ht="15.75" customHeight="1">
      <c r="A3694" s="1" t="str">
        <f>IFERROR(__xludf.DUMMYFUNCTION("""COMPUTED_VALUE"""),"vavien")</f>
        <v>vavien</v>
      </c>
      <c r="B3694" s="1" t="str">
        <f>IF(A3694&lt;&gt;"", VLOOKUP(A3694, imdb_netflix_v5!A$2:H$7370, 2, FALSE), "")</f>
        <v>Movie</v>
      </c>
      <c r="C3694" s="2" t="str">
        <f>IF(A3694&lt;&gt;"", VLOOKUP(A3694, imdb_netflix_v5!A$2:H$7370, 3, FALSE), "")</f>
        <v>Comedy, Drama, Thriller</v>
      </c>
      <c r="D3694" s="2">
        <f>IF(A3694&lt;&gt;"", VLOOKUP(A3694, imdb_netflix_v5!A$2:H$7370, 4, FALSE), "")</f>
        <v>7.5</v>
      </c>
      <c r="E3694" s="2">
        <f>IF(A3694&lt;&gt;"", VLOOKUP(A3694, imdb_netflix_v5!A$2:H$7370, 5, FALSE), "")</f>
        <v>2009</v>
      </c>
      <c r="F3694" s="2" t="str">
        <f>IF(A3694&lt;&gt;"", VLOOKUP(A3694, imdb_netflix_v5!A$2:H$7370, 7, FALSE), "")</f>
        <v>NA</v>
      </c>
    </row>
    <row r="3695" ht="15.75" customHeight="1">
      <c r="A3695" s="1" t="str">
        <f>IFERROR(__xludf.DUMMYFUNCTION("""COMPUTED_VALUE"""),"bigger stronger faster*")</f>
        <v>bigger stronger faster*</v>
      </c>
      <c r="B3695" s="1" t="str">
        <f>IF(A3695&lt;&gt;"", VLOOKUP(A3695, imdb_netflix_v5!A$2:H$7370, 2, FALSE), "")</f>
        <v>Movie</v>
      </c>
      <c r="C3695" s="2" t="str">
        <f>IF(A3695&lt;&gt;"", VLOOKUP(A3695, imdb_netflix_v5!A$2:H$7370, 3, FALSE), "")</f>
        <v>Documentary, Sport</v>
      </c>
      <c r="D3695" s="2">
        <f>IF(A3695&lt;&gt;"", VLOOKUP(A3695, imdb_netflix_v5!A$2:H$7370, 4, FALSE), "")</f>
        <v>7.5</v>
      </c>
      <c r="E3695" s="2">
        <f>IF(A3695&lt;&gt;"", VLOOKUP(A3695, imdb_netflix_v5!A$2:H$7370, 5, FALSE), "")</f>
        <v>2008</v>
      </c>
      <c r="F3695" s="2" t="str">
        <f>IF(A3695&lt;&gt;"", VLOOKUP(A3695, imdb_netflix_v5!A$2:H$7370, 7, FALSE), "")</f>
        <v>NA</v>
      </c>
    </row>
    <row r="3696" ht="15.75" customHeight="1">
      <c r="A3696" s="1" t="str">
        <f>IFERROR(__xludf.DUMMYFUNCTION("""COMPUTED_VALUE"""),"balloon")</f>
        <v>balloon</v>
      </c>
      <c r="B3696" s="1" t="str">
        <f>IF(A3696&lt;&gt;"", VLOOKUP(A3696, imdb_netflix_v5!A$2:H$7370, 2, FALSE), "")</f>
        <v>Movie</v>
      </c>
      <c r="C3696" s="2" t="str">
        <f>IF(A3696&lt;&gt;"", VLOOKUP(A3696, imdb_netflix_v5!A$2:H$7370, 3, FALSE), "")</f>
        <v>Drama, History, Thriller</v>
      </c>
      <c r="D3696" s="2">
        <f>IF(A3696&lt;&gt;"", VLOOKUP(A3696, imdb_netflix_v5!A$2:H$7370, 4, FALSE), "")</f>
        <v>7.5</v>
      </c>
      <c r="E3696" s="2">
        <f>IF(A3696&lt;&gt;"", VLOOKUP(A3696, imdb_netflix_v5!A$2:H$7370, 5, FALSE), "")</f>
        <v>2018</v>
      </c>
      <c r="F3696" s="2" t="str">
        <f>IF(A3696&lt;&gt;"", VLOOKUP(A3696, imdb_netflix_v5!A$2:H$7370, 7, FALSE), "")</f>
        <v>NA</v>
      </c>
    </row>
    <row r="3697" ht="15.75" customHeight="1">
      <c r="A3697" s="1" t="str">
        <f>IFERROR(__xludf.DUMMYFUNCTION("""COMPUTED_VALUE"""),"the distinguished citizen")</f>
        <v>the distinguished citizen</v>
      </c>
      <c r="B3697" s="1" t="str">
        <f>IF(A3697&lt;&gt;"", VLOOKUP(A3697, imdb_netflix_v5!A$2:H$7370, 2, FALSE), "")</f>
        <v>Movie</v>
      </c>
      <c r="C3697" s="2" t="str">
        <f>IF(A3697&lt;&gt;"", VLOOKUP(A3697, imdb_netflix_v5!A$2:H$7370, 3, FALSE), "")</f>
        <v>Comedy, Drama</v>
      </c>
      <c r="D3697" s="2">
        <f>IF(A3697&lt;&gt;"", VLOOKUP(A3697, imdb_netflix_v5!A$2:H$7370, 4, FALSE), "")</f>
        <v>7.5</v>
      </c>
      <c r="E3697" s="2">
        <f>IF(A3697&lt;&gt;"", VLOOKUP(A3697, imdb_netflix_v5!A$2:H$7370, 5, FALSE), "")</f>
        <v>2016</v>
      </c>
      <c r="F3697" s="2" t="str">
        <f>IF(A3697&lt;&gt;"", VLOOKUP(A3697, imdb_netflix_v5!A$2:H$7370, 7, FALSE), "")</f>
        <v>NA</v>
      </c>
    </row>
    <row r="3698" ht="15.75" customHeight="1">
      <c r="A3698" s="1" t="str">
        <f>IFERROR(__xludf.DUMMYFUNCTION("""COMPUTED_VALUE"""),"srimanthudu")</f>
        <v>srimanthudu</v>
      </c>
      <c r="B3698" s="1" t="str">
        <f>IF(A3698&lt;&gt;"", VLOOKUP(A3698, imdb_netflix_v5!A$2:H$7370, 2, FALSE), "")</f>
        <v>Movie</v>
      </c>
      <c r="C3698" s="2" t="str">
        <f>IF(A3698&lt;&gt;"", VLOOKUP(A3698, imdb_netflix_v5!A$2:H$7370, 3, FALSE), "")</f>
        <v>Action, Drama</v>
      </c>
      <c r="D3698" s="2">
        <f>IF(A3698&lt;&gt;"", VLOOKUP(A3698, imdb_netflix_v5!A$2:H$7370, 4, FALSE), "")</f>
        <v>7.5</v>
      </c>
      <c r="E3698" s="2">
        <f>IF(A3698&lt;&gt;"", VLOOKUP(A3698, imdb_netflix_v5!A$2:H$7370, 5, FALSE), "")</f>
        <v>2015</v>
      </c>
      <c r="F3698" s="2" t="str">
        <f>IF(A3698&lt;&gt;"", VLOOKUP(A3698, imdb_netflix_v5!A$2:H$7370, 7, FALSE), "")</f>
        <v>NA</v>
      </c>
    </row>
    <row r="3699" ht="15.75" customHeight="1">
      <c r="A3699" s="1" t="str">
        <f>IFERROR(__xludf.DUMMYFUNCTION("""COMPUTED_VALUE"""),"killing the shadows")</f>
        <v>killing the shadows</v>
      </c>
      <c r="B3699" s="1" t="str">
        <f>IF(A3699&lt;&gt;"", VLOOKUP(A3699, imdb_netflix_v5!A$2:H$7370, 2, FALSE), "")</f>
        <v>Movie</v>
      </c>
      <c r="C3699" s="2" t="str">
        <f>IF(A3699&lt;&gt;"", VLOOKUP(A3699, imdb_netflix_v5!A$2:H$7370, 3, FALSE), "")</f>
        <v>Comedy, History</v>
      </c>
      <c r="D3699" s="2">
        <f>IF(A3699&lt;&gt;"", VLOOKUP(A3699, imdb_netflix_v5!A$2:H$7370, 4, FALSE), "")</f>
        <v>7.5</v>
      </c>
      <c r="E3699" s="2">
        <f>IF(A3699&lt;&gt;"", VLOOKUP(A3699, imdb_netflix_v5!A$2:H$7370, 5, FALSE), "")</f>
        <v>2006</v>
      </c>
      <c r="F3699" s="2" t="str">
        <f>IF(A3699&lt;&gt;"", VLOOKUP(A3699, imdb_netflix_v5!A$2:H$7370, 7, FALSE), "")</f>
        <v>NA</v>
      </c>
    </row>
    <row r="3700" ht="15.75" customHeight="1">
      <c r="A3700" s="1" t="str">
        <f>IFERROR(__xludf.DUMMYFUNCTION("""COMPUTED_VALUE"""),"horse feathers")</f>
        <v>horse feathers</v>
      </c>
      <c r="B3700" s="1" t="str">
        <f>IF(A3700&lt;&gt;"", VLOOKUP(A3700, imdb_netflix_v5!A$2:H$7370, 2, FALSE), "")</f>
        <v>Movie</v>
      </c>
      <c r="C3700" s="2" t="str">
        <f>IF(A3700&lt;&gt;"", VLOOKUP(A3700, imdb_netflix_v5!A$2:H$7370, 3, FALSE), "")</f>
        <v>Comedy, Family, Musical</v>
      </c>
      <c r="D3700" s="2">
        <f>IF(A3700&lt;&gt;"", VLOOKUP(A3700, imdb_netflix_v5!A$2:H$7370, 4, FALSE), "")</f>
        <v>7.5</v>
      </c>
      <c r="E3700" s="2">
        <f>IF(A3700&lt;&gt;"", VLOOKUP(A3700, imdb_netflix_v5!A$2:H$7370, 5, FALSE), "")</f>
        <v>1932</v>
      </c>
      <c r="F3700" s="2" t="str">
        <f>IF(A3700&lt;&gt;"", VLOOKUP(A3700, imdb_netflix_v5!A$2:H$7370, 7, FALSE), "")</f>
        <v>NA</v>
      </c>
    </row>
    <row r="3701" ht="15.75" customHeight="1">
      <c r="A3701" s="1" t="str">
        <f>IFERROR(__xludf.DUMMYFUNCTION("""COMPUTED_VALUE"""),"deadloch")</f>
        <v>deadloch</v>
      </c>
      <c r="B3701" s="1" t="str">
        <f>IF(A3701&lt;&gt;"", VLOOKUP(A3701, imdb_netflix_v5!A$2:H$7370, 2, FALSE), "")</f>
        <v>TV Show</v>
      </c>
      <c r="C3701" s="2" t="str">
        <f>IF(A3701&lt;&gt;"", VLOOKUP(A3701, imdb_netflix_v5!A$2:H$7370, 3, FALSE), "")</f>
        <v>Comedy, Crime</v>
      </c>
      <c r="D3701" s="2">
        <f>IF(A3701&lt;&gt;"", VLOOKUP(A3701, imdb_netflix_v5!A$2:H$7370, 4, FALSE), "")</f>
        <v>7.5</v>
      </c>
      <c r="E3701" s="2">
        <f>IF(A3701&lt;&gt;"", VLOOKUP(A3701, imdb_netflix_v5!A$2:H$7370, 5, FALSE), "")</f>
        <v>2023</v>
      </c>
      <c r="F3701" s="2" t="str">
        <f>IF(A3701&lt;&gt;"", VLOOKUP(A3701, imdb_netflix_v5!A$2:H$7370, 7, FALSE), "")</f>
        <v>NA</v>
      </c>
    </row>
    <row r="3702" ht="15.75" customHeight="1">
      <c r="A3702" s="1" t="str">
        <f>IFERROR(__xludf.DUMMYFUNCTION("""COMPUTED_VALUE"""),"life is a miracle")</f>
        <v>life is a miracle</v>
      </c>
      <c r="B3702" s="1" t="str">
        <f>IF(A3702&lt;&gt;"", VLOOKUP(A3702, imdb_netflix_v5!A$2:H$7370, 2, FALSE), "")</f>
        <v>Movie</v>
      </c>
      <c r="C3702" s="2" t="str">
        <f>IF(A3702&lt;&gt;"", VLOOKUP(A3702, imdb_netflix_v5!A$2:H$7370, 3, FALSE), "")</f>
        <v>Comedy, Drama, Music</v>
      </c>
      <c r="D3702" s="2">
        <f>IF(A3702&lt;&gt;"", VLOOKUP(A3702, imdb_netflix_v5!A$2:H$7370, 4, FALSE), "")</f>
        <v>7.5</v>
      </c>
      <c r="E3702" s="2">
        <f>IF(A3702&lt;&gt;"", VLOOKUP(A3702, imdb_netflix_v5!A$2:H$7370, 5, FALSE), "")</f>
        <v>2004</v>
      </c>
      <c r="F3702" s="2" t="str">
        <f>IF(A3702&lt;&gt;"", VLOOKUP(A3702, imdb_netflix_v5!A$2:H$7370, 7, FALSE), "")</f>
        <v>NA</v>
      </c>
    </row>
    <row r="3703" ht="15.75" customHeight="1">
      <c r="A3703" s="1" t="str">
        <f>IFERROR(__xludf.DUMMYFUNCTION("""COMPUTED_VALUE"""),"stumptown")</f>
        <v>stumptown</v>
      </c>
      <c r="B3703" s="1" t="str">
        <f>IF(A3703&lt;&gt;"", VLOOKUP(A3703, imdb_netflix_v5!A$2:H$7370, 2, FALSE), "")</f>
        <v>TV Show</v>
      </c>
      <c r="C3703" s="2" t="str">
        <f>IF(A3703&lt;&gt;"", VLOOKUP(A3703, imdb_netflix_v5!A$2:H$7370, 3, FALSE), "")</f>
        <v>Crime, Drama, Mystery</v>
      </c>
      <c r="D3703" s="2">
        <f>IF(A3703&lt;&gt;"", VLOOKUP(A3703, imdb_netflix_v5!A$2:H$7370, 4, FALSE), "")</f>
        <v>7.5</v>
      </c>
      <c r="E3703" s="2">
        <f>IF(A3703&lt;&gt;"", VLOOKUP(A3703, imdb_netflix_v5!A$2:H$7370, 5, FALSE), "")</f>
        <v>2019</v>
      </c>
      <c r="F3703" s="2" t="str">
        <f>IF(A3703&lt;&gt;"", VLOOKUP(A3703, imdb_netflix_v5!A$2:H$7370, 7, FALSE), "")</f>
        <v>NA</v>
      </c>
    </row>
    <row r="3704" ht="15.75" customHeight="1">
      <c r="A3704" s="1" t="str">
        <f>IFERROR(__xludf.DUMMYFUNCTION("""COMPUTED_VALUE"""),"birds of passage")</f>
        <v>birds of passage</v>
      </c>
      <c r="B3704" s="1" t="str">
        <f>IF(A3704&lt;&gt;"", VLOOKUP(A3704, imdb_netflix_v5!A$2:H$7370, 2, FALSE), "")</f>
        <v>Movie</v>
      </c>
      <c r="C3704" s="2" t="str">
        <f>IF(A3704&lt;&gt;"", VLOOKUP(A3704, imdb_netflix_v5!A$2:H$7370, 3, FALSE), "")</f>
        <v>Crime, Drama</v>
      </c>
      <c r="D3704" s="2">
        <f>IF(A3704&lt;&gt;"", VLOOKUP(A3704, imdb_netflix_v5!A$2:H$7370, 4, FALSE), "")</f>
        <v>7.5</v>
      </c>
      <c r="E3704" s="2">
        <f>IF(A3704&lt;&gt;"", VLOOKUP(A3704, imdb_netflix_v5!A$2:H$7370, 5, FALSE), "")</f>
        <v>2018</v>
      </c>
      <c r="F3704" s="2" t="str">
        <f>IF(A3704&lt;&gt;"", VLOOKUP(A3704, imdb_netflix_v5!A$2:H$7370, 7, FALSE), "")</f>
        <v>NA</v>
      </c>
    </row>
    <row r="3705" ht="15.75" customHeight="1">
      <c r="A3705" s="1" t="str">
        <f>IFERROR(__xludf.DUMMYFUNCTION("""COMPUTED_VALUE"""),"beyond the hills")</f>
        <v>beyond the hills</v>
      </c>
      <c r="B3705" s="1" t="str">
        <f>IF(A3705&lt;&gt;"", VLOOKUP(A3705, imdb_netflix_v5!A$2:H$7370, 2, FALSE), "")</f>
        <v>Movie</v>
      </c>
      <c r="C3705" s="2" t="str">
        <f>IF(A3705&lt;&gt;"", VLOOKUP(A3705, imdb_netflix_v5!A$2:H$7370, 3, FALSE), "")</f>
        <v>Drama</v>
      </c>
      <c r="D3705" s="2">
        <f>IF(A3705&lt;&gt;"", VLOOKUP(A3705, imdb_netflix_v5!A$2:H$7370, 4, FALSE), "")</f>
        <v>7.5</v>
      </c>
      <c r="E3705" s="2">
        <f>IF(A3705&lt;&gt;"", VLOOKUP(A3705, imdb_netflix_v5!A$2:H$7370, 5, FALSE), "")</f>
        <v>2012</v>
      </c>
      <c r="F3705" s="2" t="str">
        <f>IF(A3705&lt;&gt;"", VLOOKUP(A3705, imdb_netflix_v5!A$2:H$7370, 7, FALSE), "")</f>
        <v>NA</v>
      </c>
    </row>
    <row r="3706" ht="15.75" customHeight="1">
      <c r="A3706" s="1" t="str">
        <f>IFERROR(__xludf.DUMMYFUNCTION("""COMPUTED_VALUE"""),"twin peaks the missing pieces")</f>
        <v>twin peaks the missing pieces</v>
      </c>
      <c r="B3706" s="1" t="str">
        <f>IF(A3706&lt;&gt;"", VLOOKUP(A3706, imdb_netflix_v5!A$2:H$7370, 2, FALSE), "")</f>
        <v>Movie</v>
      </c>
      <c r="C3706" s="2" t="str">
        <f>IF(A3706&lt;&gt;"", VLOOKUP(A3706, imdb_netflix_v5!A$2:H$7370, 3, FALSE), "")</f>
        <v>Drama, Horror, Mystery</v>
      </c>
      <c r="D3706" s="2">
        <f>IF(A3706&lt;&gt;"", VLOOKUP(A3706, imdb_netflix_v5!A$2:H$7370, 4, FALSE), "")</f>
        <v>7.5</v>
      </c>
      <c r="E3706" s="2">
        <f>IF(A3706&lt;&gt;"", VLOOKUP(A3706, imdb_netflix_v5!A$2:H$7370, 5, FALSE), "")</f>
        <v>2014</v>
      </c>
      <c r="F3706" s="2" t="str">
        <f>IF(A3706&lt;&gt;"", VLOOKUP(A3706, imdb_netflix_v5!A$2:H$7370, 7, FALSE), "")</f>
        <v>NA</v>
      </c>
    </row>
    <row r="3707" ht="15.75" customHeight="1">
      <c r="A3707" s="1" t="str">
        <f>IFERROR(__xludf.DUMMYFUNCTION("""COMPUTED_VALUE"""),"invasion")</f>
        <v>invasion</v>
      </c>
      <c r="B3707" s="1" t="str">
        <f>IF(A3707&lt;&gt;"", VLOOKUP(A3707, imdb_netflix_v5!A$2:H$7370, 2, FALSE), "")</f>
        <v>TV Show</v>
      </c>
      <c r="C3707" s="2" t="str">
        <f>IF(A3707&lt;&gt;"", VLOOKUP(A3707, imdb_netflix_v5!A$2:H$7370, 3, FALSE), "")</f>
        <v>Drama, Horror, Mystery</v>
      </c>
      <c r="D3707" s="2">
        <f>IF(A3707&lt;&gt;"", VLOOKUP(A3707, imdb_netflix_v5!A$2:H$7370, 4, FALSE), "")</f>
        <v>7.5</v>
      </c>
      <c r="E3707" s="2">
        <f>IF(A3707&lt;&gt;"", VLOOKUP(A3707, imdb_netflix_v5!A$2:H$7370, 5, FALSE), "")</f>
        <v>2005</v>
      </c>
      <c r="F3707" s="2">
        <f>IF(A3707&lt;&gt;"", VLOOKUP(A3707, imdb_netflix_v5!A$2:H$7370, 7, FALSE), "")</f>
        <v>2990000</v>
      </c>
    </row>
    <row r="3708" ht="15.75" customHeight="1">
      <c r="A3708" s="1" t="str">
        <f>IFERROR(__xludf.DUMMYFUNCTION("""COMPUTED_VALUE"""),"the palm beach story")</f>
        <v>the palm beach story</v>
      </c>
      <c r="B3708" s="1" t="str">
        <f>IF(A3708&lt;&gt;"", VLOOKUP(A3708, imdb_netflix_v5!A$2:H$7370, 2, FALSE), "")</f>
        <v>Movie</v>
      </c>
      <c r="C3708" s="2" t="str">
        <f>IF(A3708&lt;&gt;"", VLOOKUP(A3708, imdb_netflix_v5!A$2:H$7370, 3, FALSE), "")</f>
        <v>Comedy, Romance</v>
      </c>
      <c r="D3708" s="2">
        <f>IF(A3708&lt;&gt;"", VLOOKUP(A3708, imdb_netflix_v5!A$2:H$7370, 4, FALSE), "")</f>
        <v>7.5</v>
      </c>
      <c r="E3708" s="2">
        <f>IF(A3708&lt;&gt;"", VLOOKUP(A3708, imdb_netflix_v5!A$2:H$7370, 5, FALSE), "")</f>
        <v>1942</v>
      </c>
      <c r="F3708" s="2" t="str">
        <f>IF(A3708&lt;&gt;"", VLOOKUP(A3708, imdb_netflix_v5!A$2:H$7370, 7, FALSE), "")</f>
        <v>NA</v>
      </c>
    </row>
    <row r="3709" ht="15.75" customHeight="1">
      <c r="A3709" s="1" t="str">
        <f>IFERROR(__xludf.DUMMYFUNCTION("""COMPUTED_VALUE"""),"burning days")</f>
        <v>burning days</v>
      </c>
      <c r="B3709" s="1" t="str">
        <f>IF(A3709&lt;&gt;"", VLOOKUP(A3709, imdb_netflix_v5!A$2:H$7370, 2, FALSE), "")</f>
        <v>Movie</v>
      </c>
      <c r="C3709" s="2" t="str">
        <f>IF(A3709&lt;&gt;"", VLOOKUP(A3709, imdb_netflix_v5!A$2:H$7370, 3, FALSE), "")</f>
        <v>Drama, Thriller</v>
      </c>
      <c r="D3709" s="2">
        <f>IF(A3709&lt;&gt;"", VLOOKUP(A3709, imdb_netflix_v5!A$2:H$7370, 4, FALSE), "")</f>
        <v>7.5</v>
      </c>
      <c r="E3709" s="2">
        <f>IF(A3709&lt;&gt;"", VLOOKUP(A3709, imdb_netflix_v5!A$2:H$7370, 5, FALSE), "")</f>
        <v>2022</v>
      </c>
      <c r="F3709" s="2" t="str">
        <f>IF(A3709&lt;&gt;"", VLOOKUP(A3709, imdb_netflix_v5!A$2:H$7370, 7, FALSE), "")</f>
        <v>NA</v>
      </c>
    </row>
    <row r="3710" ht="15.75" customHeight="1">
      <c r="A3710" s="1" t="str">
        <f>IFERROR(__xludf.DUMMYFUNCTION("""COMPUTED_VALUE"""),"scrooge")</f>
        <v>scrooge</v>
      </c>
      <c r="B3710" s="1" t="str">
        <f>IF(A3710&lt;&gt;"", VLOOKUP(A3710, imdb_netflix_v5!A$2:H$7370, 2, FALSE), "")</f>
        <v>Movie</v>
      </c>
      <c r="C3710" s="2" t="str">
        <f>IF(A3710&lt;&gt;"", VLOOKUP(A3710, imdb_netflix_v5!A$2:H$7370, 3, FALSE), "")</f>
        <v>Drama, Family, Fantasy</v>
      </c>
      <c r="D3710" s="2">
        <f>IF(A3710&lt;&gt;"", VLOOKUP(A3710, imdb_netflix_v5!A$2:H$7370, 4, FALSE), "")</f>
        <v>7.5</v>
      </c>
      <c r="E3710" s="2">
        <f>IF(A3710&lt;&gt;"", VLOOKUP(A3710, imdb_netflix_v5!A$2:H$7370, 5, FALSE), "")</f>
        <v>1970</v>
      </c>
      <c r="F3710" s="2" t="str">
        <f>IF(A3710&lt;&gt;"", VLOOKUP(A3710, imdb_netflix_v5!A$2:H$7370, 7, FALSE), "")</f>
        <v>NA</v>
      </c>
    </row>
    <row r="3711" ht="15.75" customHeight="1">
      <c r="A3711" s="1" t="str">
        <f>IFERROR(__xludf.DUMMYFUNCTION("""COMPUTED_VALUE"""),"a pure formality")</f>
        <v>a pure formality</v>
      </c>
      <c r="B3711" s="1" t="str">
        <f>IF(A3711&lt;&gt;"", VLOOKUP(A3711, imdb_netflix_v5!A$2:H$7370, 2, FALSE), "")</f>
        <v>Movie</v>
      </c>
      <c r="C3711" s="2" t="str">
        <f>IF(A3711&lt;&gt;"", VLOOKUP(A3711, imdb_netflix_v5!A$2:H$7370, 3, FALSE), "")</f>
        <v>Crime, Drama, Thriller</v>
      </c>
      <c r="D3711" s="2">
        <f>IF(A3711&lt;&gt;"", VLOOKUP(A3711, imdb_netflix_v5!A$2:H$7370, 4, FALSE), "")</f>
        <v>7.5</v>
      </c>
      <c r="E3711" s="2">
        <f>IF(A3711&lt;&gt;"", VLOOKUP(A3711, imdb_netflix_v5!A$2:H$7370, 5, FALSE), "")</f>
        <v>1994</v>
      </c>
      <c r="F3711" s="2" t="str">
        <f>IF(A3711&lt;&gt;"", VLOOKUP(A3711, imdb_netflix_v5!A$2:H$7370, 7, FALSE), "")</f>
        <v>NA</v>
      </c>
    </row>
    <row r="3712" ht="15.75" customHeight="1">
      <c r="A3712" s="1" t="str">
        <f>IFERROR(__xludf.DUMMYFUNCTION("""COMPUTED_VALUE"""),"claires knee")</f>
        <v>claires knee</v>
      </c>
      <c r="B3712" s="1" t="str">
        <f>IF(A3712&lt;&gt;"", VLOOKUP(A3712, imdb_netflix_v5!A$2:H$7370, 2, FALSE), "")</f>
        <v>Movie</v>
      </c>
      <c r="C3712" s="2" t="str">
        <f>IF(A3712&lt;&gt;"", VLOOKUP(A3712, imdb_netflix_v5!A$2:H$7370, 3, FALSE), "")</f>
        <v>Drama, Romance</v>
      </c>
      <c r="D3712" s="2">
        <f>IF(A3712&lt;&gt;"", VLOOKUP(A3712, imdb_netflix_v5!A$2:H$7370, 4, FALSE), "")</f>
        <v>7.5</v>
      </c>
      <c r="E3712" s="2">
        <f>IF(A3712&lt;&gt;"", VLOOKUP(A3712, imdb_netflix_v5!A$2:H$7370, 5, FALSE), "")</f>
        <v>1970</v>
      </c>
      <c r="F3712" s="2" t="str">
        <f>IF(A3712&lt;&gt;"", VLOOKUP(A3712, imdb_netflix_v5!A$2:H$7370, 7, FALSE), "")</f>
        <v>NA</v>
      </c>
    </row>
    <row r="3713" ht="15.75" customHeight="1">
      <c r="A3713" s="1" t="str">
        <f>IFERROR(__xludf.DUMMYFUNCTION("""COMPUTED_VALUE"""),"born yesterday")</f>
        <v>born yesterday</v>
      </c>
      <c r="B3713" s="1" t="str">
        <f>IF(A3713&lt;&gt;"", VLOOKUP(A3713, imdb_netflix_v5!A$2:H$7370, 2, FALSE), "")</f>
        <v>Movie</v>
      </c>
      <c r="C3713" s="2" t="str">
        <f>IF(A3713&lt;&gt;"", VLOOKUP(A3713, imdb_netflix_v5!A$2:H$7370, 3, FALSE), "")</f>
        <v>Comedy, Drama, Romance</v>
      </c>
      <c r="D3713" s="2">
        <f>IF(A3713&lt;&gt;"", VLOOKUP(A3713, imdb_netflix_v5!A$2:H$7370, 4, FALSE), "")</f>
        <v>7.5</v>
      </c>
      <c r="E3713" s="2">
        <f>IF(A3713&lt;&gt;"", VLOOKUP(A3713, imdb_netflix_v5!A$2:H$7370, 5, FALSE), "")</f>
        <v>1950</v>
      </c>
      <c r="F3713" s="2" t="str">
        <f>IF(A3713&lt;&gt;"", VLOOKUP(A3713, imdb_netflix_v5!A$2:H$7370, 7, FALSE), "")</f>
        <v>NA</v>
      </c>
    </row>
    <row r="3714" ht="15.75" customHeight="1">
      <c r="A3714" s="1" t="str">
        <f>IFERROR(__xludf.DUMMYFUNCTION("""COMPUTED_VALUE"""),"secrets and lies")</f>
        <v>secrets and lies</v>
      </c>
      <c r="B3714" s="1" t="str">
        <f>IF(A3714&lt;&gt;"", VLOOKUP(A3714, imdb_netflix_v5!A$2:H$7370, 2, FALSE), "")</f>
        <v>TV Show</v>
      </c>
      <c r="C3714" s="2" t="str">
        <f>IF(A3714&lt;&gt;"", VLOOKUP(A3714, imdb_netflix_v5!A$2:H$7370, 3, FALSE), "")</f>
        <v>Crime, Drama, Mystery</v>
      </c>
      <c r="D3714" s="2">
        <f>IF(A3714&lt;&gt;"", VLOOKUP(A3714, imdb_netflix_v5!A$2:H$7370, 4, FALSE), "")</f>
        <v>7.5</v>
      </c>
      <c r="E3714" s="2">
        <f>IF(A3714&lt;&gt;"", VLOOKUP(A3714, imdb_netflix_v5!A$2:H$7370, 5, FALSE), "")</f>
        <v>2015</v>
      </c>
      <c r="F3714" s="2" t="str">
        <f>IF(A3714&lt;&gt;"", VLOOKUP(A3714, imdb_netflix_v5!A$2:H$7370, 7, FALSE), "")</f>
        <v>NA</v>
      </c>
    </row>
    <row r="3715" ht="15.75" customHeight="1">
      <c r="A3715" s="1" t="str">
        <f>IFERROR(__xludf.DUMMYFUNCTION("""COMPUTED_VALUE"""),"alexander nevsky")</f>
        <v>alexander nevsky</v>
      </c>
      <c r="B3715" s="1" t="str">
        <f>IF(A3715&lt;&gt;"", VLOOKUP(A3715, imdb_netflix_v5!A$2:H$7370, 2, FALSE), "")</f>
        <v>Movie</v>
      </c>
      <c r="C3715" s="2" t="str">
        <f>IF(A3715&lt;&gt;"", VLOOKUP(A3715, imdb_netflix_v5!A$2:H$7370, 3, FALSE), "")</f>
        <v>Action, Biography, Drama</v>
      </c>
      <c r="D3715" s="2">
        <f>IF(A3715&lt;&gt;"", VLOOKUP(A3715, imdb_netflix_v5!A$2:H$7370, 4, FALSE), "")</f>
        <v>7.5</v>
      </c>
      <c r="E3715" s="2">
        <f>IF(A3715&lt;&gt;"", VLOOKUP(A3715, imdb_netflix_v5!A$2:H$7370, 5, FALSE), "")</f>
        <v>1938</v>
      </c>
      <c r="F3715" s="2" t="str">
        <f>IF(A3715&lt;&gt;"", VLOOKUP(A3715, imdb_netflix_v5!A$2:H$7370, 7, FALSE), "")</f>
        <v>NA</v>
      </c>
    </row>
    <row r="3716" ht="15.75" customHeight="1">
      <c r="A3716" s="1" t="str">
        <f>IFERROR(__xludf.DUMMYFUNCTION("""COMPUTED_VALUE"""),"establishment osman")</f>
        <v>establishment osman</v>
      </c>
      <c r="B3716" s="1" t="str">
        <f>IF(A3716&lt;&gt;"", VLOOKUP(A3716, imdb_netflix_v5!A$2:H$7370, 2, FALSE), "")</f>
        <v>TV Show</v>
      </c>
      <c r="C3716" s="2" t="str">
        <f>IF(A3716&lt;&gt;"", VLOOKUP(A3716, imdb_netflix_v5!A$2:H$7370, 3, FALSE), "")</f>
        <v>Action, Adventure, Drama</v>
      </c>
      <c r="D3716" s="2">
        <f>IF(A3716&lt;&gt;"", VLOOKUP(A3716, imdb_netflix_v5!A$2:H$7370, 4, FALSE), "")</f>
        <v>7.5</v>
      </c>
      <c r="E3716" s="2">
        <f>IF(A3716&lt;&gt;"", VLOOKUP(A3716, imdb_netflix_v5!A$2:H$7370, 5, FALSE), "")</f>
        <v>2019</v>
      </c>
      <c r="F3716" s="2" t="str">
        <f>IF(A3716&lt;&gt;"", VLOOKUP(A3716, imdb_netflix_v5!A$2:H$7370, 7, FALSE), "")</f>
        <v>NA</v>
      </c>
    </row>
    <row r="3717" ht="15.75" customHeight="1">
      <c r="A3717" s="1" t="str">
        <f>IFERROR(__xludf.DUMMYFUNCTION("""COMPUTED_VALUE"""),"tokyo sonata")</f>
        <v>tokyo sonata</v>
      </c>
      <c r="B3717" s="1" t="str">
        <f>IF(A3717&lt;&gt;"", VLOOKUP(A3717, imdb_netflix_v5!A$2:H$7370, 2, FALSE), "")</f>
        <v>Movie</v>
      </c>
      <c r="C3717" s="2" t="str">
        <f>IF(A3717&lt;&gt;"", VLOOKUP(A3717, imdb_netflix_v5!A$2:H$7370, 3, FALSE), "")</f>
        <v>Drama</v>
      </c>
      <c r="D3717" s="2">
        <f>IF(A3717&lt;&gt;"", VLOOKUP(A3717, imdb_netflix_v5!A$2:H$7370, 4, FALSE), "")</f>
        <v>7.5</v>
      </c>
      <c r="E3717" s="2">
        <f>IF(A3717&lt;&gt;"", VLOOKUP(A3717, imdb_netflix_v5!A$2:H$7370, 5, FALSE), "")</f>
        <v>2008</v>
      </c>
      <c r="F3717" s="2" t="str">
        <f>IF(A3717&lt;&gt;"", VLOOKUP(A3717, imdb_netflix_v5!A$2:H$7370, 7, FALSE), "")</f>
        <v>NA</v>
      </c>
    </row>
    <row r="3718" ht="15.75" customHeight="1">
      <c r="A3718" s="1" t="str">
        <f>IFERROR(__xludf.DUMMYFUNCTION("""COMPUTED_VALUE"""),"the five")</f>
        <v>the five</v>
      </c>
      <c r="B3718" s="1" t="str">
        <f>IF(A3718&lt;&gt;"", VLOOKUP(A3718, imdb_netflix_v5!A$2:H$7370, 2, FALSE), "")</f>
        <v>TV Show</v>
      </c>
      <c r="C3718" s="2" t="str">
        <f>IF(A3718&lt;&gt;"", VLOOKUP(A3718, imdb_netflix_v5!A$2:H$7370, 3, FALSE), "")</f>
        <v>Crime, Drama, Mystery</v>
      </c>
      <c r="D3718" s="2">
        <f>IF(A3718&lt;&gt;"", VLOOKUP(A3718, imdb_netflix_v5!A$2:H$7370, 4, FALSE), "")</f>
        <v>7.5</v>
      </c>
      <c r="E3718" s="2">
        <f>IF(A3718&lt;&gt;"", VLOOKUP(A3718, imdb_netflix_v5!A$2:H$7370, 5, FALSE), "")</f>
        <v>2016</v>
      </c>
      <c r="F3718" s="2" t="str">
        <f>IF(A3718&lt;&gt;"", VLOOKUP(A3718, imdb_netflix_v5!A$2:H$7370, 7, FALSE), "")</f>
        <v>NA</v>
      </c>
    </row>
    <row r="3719" ht="15.75" customHeight="1">
      <c r="A3719" s="1" t="str">
        <f>IFERROR(__xludf.DUMMYFUNCTION("""COMPUTED_VALUE"""),"the match factory girl")</f>
        <v>the match factory girl</v>
      </c>
      <c r="B3719" s="1" t="str">
        <f>IF(A3719&lt;&gt;"", VLOOKUP(A3719, imdb_netflix_v5!A$2:H$7370, 2, FALSE), "")</f>
        <v>Movie</v>
      </c>
      <c r="C3719" s="2" t="str">
        <f>IF(A3719&lt;&gt;"", VLOOKUP(A3719, imdb_netflix_v5!A$2:H$7370, 3, FALSE), "")</f>
        <v>Comedy, Crime, Drama</v>
      </c>
      <c r="D3719" s="2">
        <f>IF(A3719&lt;&gt;"", VLOOKUP(A3719, imdb_netflix_v5!A$2:H$7370, 4, FALSE), "")</f>
        <v>7.5</v>
      </c>
      <c r="E3719" s="2">
        <f>IF(A3719&lt;&gt;"", VLOOKUP(A3719, imdb_netflix_v5!A$2:H$7370, 5, FALSE), "")</f>
        <v>1990</v>
      </c>
      <c r="F3719" s="2" t="str">
        <f>IF(A3719&lt;&gt;"", VLOOKUP(A3719, imdb_netflix_v5!A$2:H$7370, 7, FALSE), "")</f>
        <v>NA</v>
      </c>
    </row>
    <row r="3720" ht="15.75" customHeight="1">
      <c r="A3720" s="1" t="str">
        <f>IFERROR(__xludf.DUMMYFUNCTION("""COMPUTED_VALUE"""),"a man and a woman")</f>
        <v>a man and a woman</v>
      </c>
      <c r="B3720" s="1" t="str">
        <f>IF(A3720&lt;&gt;"", VLOOKUP(A3720, imdb_netflix_v5!A$2:H$7370, 2, FALSE), "")</f>
        <v>Movie</v>
      </c>
      <c r="C3720" s="2" t="str">
        <f>IF(A3720&lt;&gt;"", VLOOKUP(A3720, imdb_netflix_v5!A$2:H$7370, 3, FALSE), "")</f>
        <v>Drama, Romance</v>
      </c>
      <c r="D3720" s="2">
        <f>IF(A3720&lt;&gt;"", VLOOKUP(A3720, imdb_netflix_v5!A$2:H$7370, 4, FALSE), "")</f>
        <v>7.5</v>
      </c>
      <c r="E3720" s="2">
        <f>IF(A3720&lt;&gt;"", VLOOKUP(A3720, imdb_netflix_v5!A$2:H$7370, 5, FALSE), "")</f>
        <v>1966</v>
      </c>
      <c r="F3720" s="2" t="str">
        <f>IF(A3720&lt;&gt;"", VLOOKUP(A3720, imdb_netflix_v5!A$2:H$7370, 7, FALSE), "")</f>
        <v>NA</v>
      </c>
    </row>
    <row r="3721" ht="15.75" customHeight="1">
      <c r="A3721" s="1" t="str">
        <f>IFERROR(__xludf.DUMMYFUNCTION("""COMPUTED_VALUE"""),"land and freedom")</f>
        <v>land and freedom</v>
      </c>
      <c r="B3721" s="1" t="str">
        <f>IF(A3721&lt;&gt;"", VLOOKUP(A3721, imdb_netflix_v5!A$2:H$7370, 2, FALSE), "")</f>
        <v>Movie</v>
      </c>
      <c r="C3721" s="2" t="str">
        <f>IF(A3721&lt;&gt;"", VLOOKUP(A3721, imdb_netflix_v5!A$2:H$7370, 3, FALSE), "")</f>
        <v>Drama, War</v>
      </c>
      <c r="D3721" s="2">
        <f>IF(A3721&lt;&gt;"", VLOOKUP(A3721, imdb_netflix_v5!A$2:H$7370, 4, FALSE), "")</f>
        <v>7.5</v>
      </c>
      <c r="E3721" s="2">
        <f>IF(A3721&lt;&gt;"", VLOOKUP(A3721, imdb_netflix_v5!A$2:H$7370, 5, FALSE), "")</f>
        <v>1995</v>
      </c>
      <c r="F3721" s="2" t="str">
        <f>IF(A3721&lt;&gt;"", VLOOKUP(A3721, imdb_netflix_v5!A$2:H$7370, 7, FALSE), "")</f>
        <v>NA</v>
      </c>
    </row>
    <row r="3722" ht="15.75" customHeight="1">
      <c r="A3722" s="1" t="str">
        <f>IFERROR(__xludf.DUMMYFUNCTION("""COMPUTED_VALUE"""),"the collector")</f>
        <v>the collector</v>
      </c>
      <c r="B3722" s="1" t="str">
        <f>IF(A3722&lt;&gt;"", VLOOKUP(A3722, imdb_netflix_v5!A$2:H$7370, 2, FALSE), "")</f>
        <v>Movie</v>
      </c>
      <c r="C3722" s="2" t="str">
        <f>IF(A3722&lt;&gt;"", VLOOKUP(A3722, imdb_netflix_v5!A$2:H$7370, 3, FALSE), "")</f>
        <v>Drama, Thriller</v>
      </c>
      <c r="D3722" s="2">
        <f>IF(A3722&lt;&gt;"", VLOOKUP(A3722, imdb_netflix_v5!A$2:H$7370, 4, FALSE), "")</f>
        <v>7.5</v>
      </c>
      <c r="E3722" s="2">
        <f>IF(A3722&lt;&gt;"", VLOOKUP(A3722, imdb_netflix_v5!A$2:H$7370, 5, FALSE), "")</f>
        <v>1965</v>
      </c>
      <c r="F3722" s="2" t="str">
        <f>IF(A3722&lt;&gt;"", VLOOKUP(A3722, imdb_netflix_v5!A$2:H$7370, 7, FALSE), "")</f>
        <v>NA</v>
      </c>
    </row>
    <row r="3723" ht="15.75" customHeight="1">
      <c r="A3723" s="1" t="str">
        <f>IFERROR(__xludf.DUMMYFUNCTION("""COMPUTED_VALUE"""),"adventures of the gummi bears")</f>
        <v>adventures of the gummi bears</v>
      </c>
      <c r="B3723" s="1" t="str">
        <f>IF(A3723&lt;&gt;"", VLOOKUP(A3723, imdb_netflix_v5!A$2:H$7370, 2, FALSE), "")</f>
        <v>TV Show</v>
      </c>
      <c r="C3723" s="2" t="str">
        <f>IF(A3723&lt;&gt;"", VLOOKUP(A3723, imdb_netflix_v5!A$2:H$7370, 3, FALSE), "")</f>
        <v>Adventure, Animation, Family</v>
      </c>
      <c r="D3723" s="2">
        <f>IF(A3723&lt;&gt;"", VLOOKUP(A3723, imdb_netflix_v5!A$2:H$7370, 4, FALSE), "")</f>
        <v>7.5</v>
      </c>
      <c r="E3723" s="2">
        <f>IF(A3723&lt;&gt;"", VLOOKUP(A3723, imdb_netflix_v5!A$2:H$7370, 5, FALSE), "")</f>
        <v>1985</v>
      </c>
      <c r="F3723" s="2" t="str">
        <f>IF(A3723&lt;&gt;"", VLOOKUP(A3723, imdb_netflix_v5!A$2:H$7370, 7, FALSE), "")</f>
        <v>NA</v>
      </c>
    </row>
    <row r="3724" ht="15.75" customHeight="1">
      <c r="A3724" s="1" t="str">
        <f>IFERROR(__xludf.DUMMYFUNCTION("""COMPUTED_VALUE"""),"ratcatcher")</f>
        <v>ratcatcher</v>
      </c>
      <c r="B3724" s="1" t="str">
        <f>IF(A3724&lt;&gt;"", VLOOKUP(A3724, imdb_netflix_v5!A$2:H$7370, 2, FALSE), "")</f>
        <v>Movie</v>
      </c>
      <c r="C3724" s="2" t="str">
        <f>IF(A3724&lt;&gt;"", VLOOKUP(A3724, imdb_netflix_v5!A$2:H$7370, 3, FALSE), "")</f>
        <v>Drama</v>
      </c>
      <c r="D3724" s="2">
        <f>IF(A3724&lt;&gt;"", VLOOKUP(A3724, imdb_netflix_v5!A$2:H$7370, 4, FALSE), "")</f>
        <v>7.5</v>
      </c>
      <c r="E3724" s="2">
        <f>IF(A3724&lt;&gt;"", VLOOKUP(A3724, imdb_netflix_v5!A$2:H$7370, 5, FALSE), "")</f>
        <v>1999</v>
      </c>
      <c r="F3724" s="2" t="str">
        <f>IF(A3724&lt;&gt;"", VLOOKUP(A3724, imdb_netflix_v5!A$2:H$7370, 7, FALSE), "")</f>
        <v>NA</v>
      </c>
    </row>
    <row r="3725" ht="15.75" customHeight="1">
      <c r="A3725" s="1" t="str">
        <f>IFERROR(__xludf.DUMMYFUNCTION("""COMPUTED_VALUE"""),"two lottery tickets")</f>
        <v>two lottery tickets</v>
      </c>
      <c r="B3725" s="1" t="str">
        <f>IF(A3725&lt;&gt;"", VLOOKUP(A3725, imdb_netflix_v5!A$2:H$7370, 2, FALSE), "")</f>
        <v>Movie</v>
      </c>
      <c r="C3725" s="2" t="str">
        <f>IF(A3725&lt;&gt;"", VLOOKUP(A3725, imdb_netflix_v5!A$2:H$7370, 3, FALSE), "")</f>
        <v>Comedy</v>
      </c>
      <c r="D3725" s="2">
        <f>IF(A3725&lt;&gt;"", VLOOKUP(A3725, imdb_netflix_v5!A$2:H$7370, 4, FALSE), "")</f>
        <v>7.5</v>
      </c>
      <c r="E3725" s="2">
        <f>IF(A3725&lt;&gt;"", VLOOKUP(A3725, imdb_netflix_v5!A$2:H$7370, 5, FALSE), "")</f>
        <v>2016</v>
      </c>
      <c r="F3725" s="2" t="str">
        <f>IF(A3725&lt;&gt;"", VLOOKUP(A3725, imdb_netflix_v5!A$2:H$7370, 7, FALSE), "")</f>
        <v>NA</v>
      </c>
    </row>
    <row r="3726" ht="15.75" customHeight="1">
      <c r="A3726" s="1" t="str">
        <f>IFERROR(__xludf.DUMMYFUNCTION("""COMPUTED_VALUE"""),"all about lily chou-chou")</f>
        <v>all about lily chou-chou</v>
      </c>
      <c r="B3726" s="1" t="str">
        <f>IF(A3726&lt;&gt;"", VLOOKUP(A3726, imdb_netflix_v5!A$2:H$7370, 2, FALSE), "")</f>
        <v>Movie</v>
      </c>
      <c r="C3726" s="2" t="str">
        <f>IF(A3726&lt;&gt;"", VLOOKUP(A3726, imdb_netflix_v5!A$2:H$7370, 3, FALSE), "")</f>
        <v>Crime, Drama, Music</v>
      </c>
      <c r="D3726" s="2">
        <f>IF(A3726&lt;&gt;"", VLOOKUP(A3726, imdb_netflix_v5!A$2:H$7370, 4, FALSE), "")</f>
        <v>7.5</v>
      </c>
      <c r="E3726" s="2">
        <f>IF(A3726&lt;&gt;"", VLOOKUP(A3726, imdb_netflix_v5!A$2:H$7370, 5, FALSE), "")</f>
        <v>2001</v>
      </c>
      <c r="F3726" s="2" t="str">
        <f>IF(A3726&lt;&gt;"", VLOOKUP(A3726, imdb_netflix_v5!A$2:H$7370, 7, FALSE), "")</f>
        <v>NA</v>
      </c>
    </row>
    <row r="3727" ht="15.75" customHeight="1">
      <c r="A3727" s="1" t="str">
        <f>IFERROR(__xludf.DUMMYFUNCTION("""COMPUTED_VALUE"""),"clouds")</f>
        <v>clouds</v>
      </c>
      <c r="B3727" s="1" t="str">
        <f>IF(A3727&lt;&gt;"", VLOOKUP(A3727, imdb_netflix_v5!A$2:H$7370, 2, FALSE), "")</f>
        <v>Movie</v>
      </c>
      <c r="C3727" s="2" t="str">
        <f>IF(A3727&lt;&gt;"", VLOOKUP(A3727, imdb_netflix_v5!A$2:H$7370, 3, FALSE), "")</f>
        <v>Biography, Drama, Music</v>
      </c>
      <c r="D3727" s="2">
        <f>IF(A3727&lt;&gt;"", VLOOKUP(A3727, imdb_netflix_v5!A$2:H$7370, 4, FALSE), "")</f>
        <v>7.5</v>
      </c>
      <c r="E3727" s="2">
        <f>IF(A3727&lt;&gt;"", VLOOKUP(A3727, imdb_netflix_v5!A$2:H$7370, 5, FALSE), "")</f>
        <v>2020</v>
      </c>
      <c r="F3727" s="2" t="str">
        <f>IF(A3727&lt;&gt;"", VLOOKUP(A3727, imdb_netflix_v5!A$2:H$7370, 7, FALSE), "")</f>
        <v>NA</v>
      </c>
    </row>
    <row r="3728" ht="15.75" customHeight="1">
      <c r="A3728" s="1" t="str">
        <f>IFERROR(__xludf.DUMMYFUNCTION("""COMPUTED_VALUE"""),"brothers")</f>
        <v>brothers</v>
      </c>
      <c r="B3728" s="1" t="str">
        <f>IF(A3728&lt;&gt;"", VLOOKUP(A3728, imdb_netflix_v5!A$2:H$7370, 2, FALSE), "")</f>
        <v>Movie</v>
      </c>
      <c r="C3728" s="2" t="str">
        <f>IF(A3728&lt;&gt;"", VLOOKUP(A3728, imdb_netflix_v5!A$2:H$7370, 3, FALSE), "")</f>
        <v>Drama, War</v>
      </c>
      <c r="D3728" s="2">
        <f>IF(A3728&lt;&gt;"", VLOOKUP(A3728, imdb_netflix_v5!A$2:H$7370, 4, FALSE), "")</f>
        <v>7.5</v>
      </c>
      <c r="E3728" s="2">
        <f>IF(A3728&lt;&gt;"", VLOOKUP(A3728, imdb_netflix_v5!A$2:H$7370, 5, FALSE), "")</f>
        <v>2004</v>
      </c>
      <c r="F3728" s="2" t="str">
        <f>IF(A3728&lt;&gt;"", VLOOKUP(A3728, imdb_netflix_v5!A$2:H$7370, 7, FALSE), "")</f>
        <v>NA</v>
      </c>
    </row>
    <row r="3729" ht="15.75" customHeight="1">
      <c r="A3729" s="1" t="str">
        <f>IFERROR(__xludf.DUMMYFUNCTION("""COMPUTED_VALUE"""),"the nuns story")</f>
        <v>the nuns story</v>
      </c>
      <c r="B3729" s="1" t="str">
        <f>IF(A3729&lt;&gt;"", VLOOKUP(A3729, imdb_netflix_v5!A$2:H$7370, 2, FALSE), "")</f>
        <v>Movie</v>
      </c>
      <c r="C3729" s="2" t="str">
        <f>IF(A3729&lt;&gt;"", VLOOKUP(A3729, imdb_netflix_v5!A$2:H$7370, 3, FALSE), "")</f>
        <v>Drama</v>
      </c>
      <c r="D3729" s="2">
        <f>IF(A3729&lt;&gt;"", VLOOKUP(A3729, imdb_netflix_v5!A$2:H$7370, 4, FALSE), "")</f>
        <v>7.5</v>
      </c>
      <c r="E3729" s="2">
        <f>IF(A3729&lt;&gt;"", VLOOKUP(A3729, imdb_netflix_v5!A$2:H$7370, 5, FALSE), "")</f>
        <v>1959</v>
      </c>
      <c r="F3729" s="2" t="str">
        <f>IF(A3729&lt;&gt;"", VLOOKUP(A3729, imdb_netflix_v5!A$2:H$7370, 7, FALSE), "")</f>
        <v>NA</v>
      </c>
    </row>
    <row r="3730" ht="15.75" customHeight="1">
      <c r="A3730" s="1" t="str">
        <f>IFERROR(__xludf.DUMMYFUNCTION("""COMPUTED_VALUE"""),"bullet in the head")</f>
        <v>bullet in the head</v>
      </c>
      <c r="B3730" s="1" t="str">
        <f>IF(A3730&lt;&gt;"", VLOOKUP(A3730, imdb_netflix_v5!A$2:H$7370, 2, FALSE), "")</f>
        <v>Movie</v>
      </c>
      <c r="C3730" s="2" t="str">
        <f>IF(A3730&lt;&gt;"", VLOOKUP(A3730, imdb_netflix_v5!A$2:H$7370, 3, FALSE), "")</f>
        <v>Action, Crime, Drama</v>
      </c>
      <c r="D3730" s="2">
        <f>IF(A3730&lt;&gt;"", VLOOKUP(A3730, imdb_netflix_v5!A$2:H$7370, 4, FALSE), "")</f>
        <v>7.5</v>
      </c>
      <c r="E3730" s="2">
        <f>IF(A3730&lt;&gt;"", VLOOKUP(A3730, imdb_netflix_v5!A$2:H$7370, 5, FALSE), "")</f>
        <v>1990</v>
      </c>
      <c r="F3730" s="2" t="str">
        <f>IF(A3730&lt;&gt;"", VLOOKUP(A3730, imdb_netflix_v5!A$2:H$7370, 7, FALSE), "")</f>
        <v>NA</v>
      </c>
    </row>
    <row r="3731" ht="15.75" customHeight="1">
      <c r="A3731" s="1" t="str">
        <f>IFERROR(__xludf.DUMMYFUNCTION("""COMPUTED_VALUE"""),"brute force")</f>
        <v>brute force</v>
      </c>
      <c r="B3731" s="1" t="str">
        <f>IF(A3731&lt;&gt;"", VLOOKUP(A3731, imdb_netflix_v5!A$2:H$7370, 2, FALSE), "")</f>
        <v>Movie</v>
      </c>
      <c r="C3731" s="2" t="str">
        <f>IF(A3731&lt;&gt;"", VLOOKUP(A3731, imdb_netflix_v5!A$2:H$7370, 3, FALSE), "")</f>
        <v>Crime, Drama, Film-Noir</v>
      </c>
      <c r="D3731" s="2">
        <f>IF(A3731&lt;&gt;"", VLOOKUP(A3731, imdb_netflix_v5!A$2:H$7370, 4, FALSE), "")</f>
        <v>7.5</v>
      </c>
      <c r="E3731" s="2">
        <f>IF(A3731&lt;&gt;"", VLOOKUP(A3731, imdb_netflix_v5!A$2:H$7370, 5, FALSE), "")</f>
        <v>1947</v>
      </c>
      <c r="F3731" s="2" t="str">
        <f>IF(A3731&lt;&gt;"", VLOOKUP(A3731, imdb_netflix_v5!A$2:H$7370, 7, FALSE), "")</f>
        <v>NA</v>
      </c>
    </row>
    <row r="3732" ht="15.75" customHeight="1">
      <c r="A3732" s="1" t="str">
        <f>IFERROR(__xludf.DUMMYFUNCTION("""COMPUTED_VALUE"""),"submarino")</f>
        <v>submarino</v>
      </c>
      <c r="B3732" s="1" t="str">
        <f>IF(A3732&lt;&gt;"", VLOOKUP(A3732, imdb_netflix_v5!A$2:H$7370, 2, FALSE), "")</f>
        <v>Movie</v>
      </c>
      <c r="C3732" s="2" t="str">
        <f>IF(A3732&lt;&gt;"", VLOOKUP(A3732, imdb_netflix_v5!A$2:H$7370, 3, FALSE), "")</f>
        <v>Drama</v>
      </c>
      <c r="D3732" s="2">
        <f>IF(A3732&lt;&gt;"", VLOOKUP(A3732, imdb_netflix_v5!A$2:H$7370, 4, FALSE), "")</f>
        <v>7.5</v>
      </c>
      <c r="E3732" s="2">
        <f>IF(A3732&lt;&gt;"", VLOOKUP(A3732, imdb_netflix_v5!A$2:H$7370, 5, FALSE), "")</f>
        <v>2010</v>
      </c>
      <c r="F3732" s="2" t="str">
        <f>IF(A3732&lt;&gt;"", VLOOKUP(A3732, imdb_netflix_v5!A$2:H$7370, 7, FALSE), "")</f>
        <v>NA</v>
      </c>
    </row>
    <row r="3733" ht="15.75" customHeight="1">
      <c r="A3733" s="1" t="str">
        <f>IFERROR(__xludf.DUMMYFUNCTION("""COMPUTED_VALUE"""),"blancanieves")</f>
        <v>blancanieves</v>
      </c>
      <c r="B3733" s="1" t="str">
        <f>IF(A3733&lt;&gt;"", VLOOKUP(A3733, imdb_netflix_v5!A$2:H$7370, 2, FALSE), "")</f>
        <v>Movie</v>
      </c>
      <c r="C3733" s="2" t="str">
        <f>IF(A3733&lt;&gt;"", VLOOKUP(A3733, imdb_netflix_v5!A$2:H$7370, 3, FALSE), "")</f>
        <v>Drama, Fantasy</v>
      </c>
      <c r="D3733" s="2">
        <f>IF(A3733&lt;&gt;"", VLOOKUP(A3733, imdb_netflix_v5!A$2:H$7370, 4, FALSE), "")</f>
        <v>7.5</v>
      </c>
      <c r="E3733" s="2">
        <f>IF(A3733&lt;&gt;"", VLOOKUP(A3733, imdb_netflix_v5!A$2:H$7370, 5, FALSE), "")</f>
        <v>2012</v>
      </c>
      <c r="F3733" s="2" t="str">
        <f>IF(A3733&lt;&gt;"", VLOOKUP(A3733, imdb_netflix_v5!A$2:H$7370, 7, FALSE), "")</f>
        <v>NA</v>
      </c>
    </row>
    <row r="3734" ht="15.75" customHeight="1">
      <c r="A3734" s="1" t="str">
        <f>IFERROR(__xludf.DUMMYFUNCTION("""COMPUTED_VALUE"""),"forgotten love")</f>
        <v>forgotten love</v>
      </c>
      <c r="B3734" s="1" t="str">
        <f>IF(A3734&lt;&gt;"", VLOOKUP(A3734, imdb_netflix_v5!A$2:H$7370, 2, FALSE), "")</f>
        <v>Movie</v>
      </c>
      <c r="C3734" s="2" t="str">
        <f>IF(A3734&lt;&gt;"", VLOOKUP(A3734, imdb_netflix_v5!A$2:H$7370, 3, FALSE), "")</f>
        <v>Drama, Romance</v>
      </c>
      <c r="D3734" s="2">
        <f>IF(A3734&lt;&gt;"", VLOOKUP(A3734, imdb_netflix_v5!A$2:H$7370, 4, FALSE), "")</f>
        <v>7.5</v>
      </c>
      <c r="E3734" s="2">
        <f>IF(A3734&lt;&gt;"", VLOOKUP(A3734, imdb_netflix_v5!A$2:H$7370, 5, FALSE), "")</f>
        <v>2023</v>
      </c>
      <c r="F3734" s="2">
        <f>IF(A3734&lt;&gt;"", VLOOKUP(A3734, imdb_netflix_v5!A$2:H$7370, 7, FALSE), "")</f>
        <v>2300000</v>
      </c>
    </row>
    <row r="3735" ht="15.75" customHeight="1">
      <c r="A3735" s="1" t="str">
        <f>IFERROR(__xludf.DUMMYFUNCTION("""COMPUTED_VALUE"""),"jurassic world camp cretaceous")</f>
        <v>jurassic world camp cretaceous</v>
      </c>
      <c r="B3735" s="1" t="str">
        <f>IF(A3735&lt;&gt;"", VLOOKUP(A3735, imdb_netflix_v5!A$2:H$7370, 2, FALSE), "")</f>
        <v>TV Show</v>
      </c>
      <c r="C3735" s="2" t="str">
        <f>IF(A3735&lt;&gt;"", VLOOKUP(A3735, imdb_netflix_v5!A$2:H$7370, 3, FALSE), "")</f>
        <v>Action, Adventure, Animation</v>
      </c>
      <c r="D3735" s="2">
        <f>IF(A3735&lt;&gt;"", VLOOKUP(A3735, imdb_netflix_v5!A$2:H$7370, 4, FALSE), "")</f>
        <v>7.5</v>
      </c>
      <c r="E3735" s="2">
        <f>IF(A3735&lt;&gt;"", VLOOKUP(A3735, imdb_netflix_v5!A$2:H$7370, 5, FALSE), "")</f>
        <v>2020</v>
      </c>
      <c r="F3735" s="2">
        <f>IF(A3735&lt;&gt;"", VLOOKUP(A3735, imdb_netflix_v5!A$2:H$7370, 7, FALSE), "")</f>
        <v>17420000</v>
      </c>
    </row>
    <row r="3736" ht="15.75" customHeight="1">
      <c r="A3736" s="1" t="str">
        <f>IFERROR(__xludf.DUMMYFUNCTION("""COMPUTED_VALUE"""),"all or nothing")</f>
        <v>all or nothing</v>
      </c>
      <c r="B3736" s="1" t="str">
        <f>IF(A3736&lt;&gt;"", VLOOKUP(A3736, imdb_netflix_v5!A$2:H$7370, 2, FALSE), "")</f>
        <v>Movie</v>
      </c>
      <c r="C3736" s="2" t="str">
        <f>IF(A3736&lt;&gt;"", VLOOKUP(A3736, imdb_netflix_v5!A$2:H$7370, 3, FALSE), "")</f>
        <v>Drama</v>
      </c>
      <c r="D3736" s="2">
        <f>IF(A3736&lt;&gt;"", VLOOKUP(A3736, imdb_netflix_v5!A$2:H$7370, 4, FALSE), "")</f>
        <v>7.5</v>
      </c>
      <c r="E3736" s="2">
        <f>IF(A3736&lt;&gt;"", VLOOKUP(A3736, imdb_netflix_v5!A$2:H$7370, 5, FALSE), "")</f>
        <v>2002</v>
      </c>
      <c r="F3736" s="2" t="str">
        <f>IF(A3736&lt;&gt;"", VLOOKUP(A3736, imdb_netflix_v5!A$2:H$7370, 7, FALSE), "")</f>
        <v>NA</v>
      </c>
    </row>
    <row r="3737" ht="15.75" customHeight="1">
      <c r="A3737" s="1" t="str">
        <f>IFERROR(__xludf.DUMMYFUNCTION("""COMPUTED_VALUE"""),"last life in the universe")</f>
        <v>last life in the universe</v>
      </c>
      <c r="B3737" s="1" t="str">
        <f>IF(A3737&lt;&gt;"", VLOOKUP(A3737, imdb_netflix_v5!A$2:H$7370, 2, FALSE), "")</f>
        <v>Movie</v>
      </c>
      <c r="C3737" s="2" t="str">
        <f>IF(A3737&lt;&gt;"", VLOOKUP(A3737, imdb_netflix_v5!A$2:H$7370, 3, FALSE), "")</f>
        <v>Comedy, Drama, Romance</v>
      </c>
      <c r="D3737" s="2">
        <f>IF(A3737&lt;&gt;"", VLOOKUP(A3737, imdb_netflix_v5!A$2:H$7370, 4, FALSE), "")</f>
        <v>7.5</v>
      </c>
      <c r="E3737" s="2">
        <f>IF(A3737&lt;&gt;"", VLOOKUP(A3737, imdb_netflix_v5!A$2:H$7370, 5, FALSE), "")</f>
        <v>2003</v>
      </c>
      <c r="F3737" s="2" t="str">
        <f>IF(A3737&lt;&gt;"", VLOOKUP(A3737, imdb_netflix_v5!A$2:H$7370, 7, FALSE), "")</f>
        <v>NA</v>
      </c>
    </row>
    <row r="3738" ht="15.75" customHeight="1">
      <c r="A3738" s="1" t="str">
        <f>IFERROR(__xludf.DUMMYFUNCTION("""COMPUTED_VALUE"""),"quiet on set the dark side of kids tv")</f>
        <v>quiet on set the dark side of kids tv</v>
      </c>
      <c r="B3738" s="1" t="str">
        <f>IF(A3738&lt;&gt;"", VLOOKUP(A3738, imdb_netflix_v5!A$2:H$7370, 2, FALSE), "")</f>
        <v>TV Show</v>
      </c>
      <c r="C3738" s="2" t="str">
        <f>IF(A3738&lt;&gt;"", VLOOKUP(A3738, imdb_netflix_v5!A$2:H$7370, 3, FALSE), "")</f>
        <v>Crime, Documentary</v>
      </c>
      <c r="D3738" s="2">
        <f>IF(A3738&lt;&gt;"", VLOOKUP(A3738, imdb_netflix_v5!A$2:H$7370, 4, FALSE), "")</f>
        <v>7.5</v>
      </c>
      <c r="E3738" s="2">
        <f>IF(A3738&lt;&gt;"", VLOOKUP(A3738, imdb_netflix_v5!A$2:H$7370, 5, FALSE), "")</f>
        <v>2024</v>
      </c>
      <c r="F3738" s="2" t="str">
        <f>IF(A3738&lt;&gt;"", VLOOKUP(A3738, imdb_netflix_v5!A$2:H$7370, 7, FALSE), "")</f>
        <v>NA</v>
      </c>
    </row>
    <row r="3739" ht="15.75" customHeight="1">
      <c r="A3739" s="1" t="str">
        <f>IFERROR(__xludf.DUMMYFUNCTION("""COMPUTED_VALUE"""),"the bitter tears of petra von kant")</f>
        <v>the bitter tears of petra von kant</v>
      </c>
      <c r="B3739" s="1" t="str">
        <f>IF(A3739&lt;&gt;"", VLOOKUP(A3739, imdb_netflix_v5!A$2:H$7370, 2, FALSE), "")</f>
        <v>Movie</v>
      </c>
      <c r="C3739" s="2" t="str">
        <f>IF(A3739&lt;&gt;"", VLOOKUP(A3739, imdb_netflix_v5!A$2:H$7370, 3, FALSE), "")</f>
        <v>Drama, Romance</v>
      </c>
      <c r="D3739" s="2">
        <f>IF(A3739&lt;&gt;"", VLOOKUP(A3739, imdb_netflix_v5!A$2:H$7370, 4, FALSE), "")</f>
        <v>7.5</v>
      </c>
      <c r="E3739" s="2">
        <f>IF(A3739&lt;&gt;"", VLOOKUP(A3739, imdb_netflix_v5!A$2:H$7370, 5, FALSE), "")</f>
        <v>1972</v>
      </c>
      <c r="F3739" s="2" t="str">
        <f>IF(A3739&lt;&gt;"", VLOOKUP(A3739, imdb_netflix_v5!A$2:H$7370, 7, FALSE), "")</f>
        <v>NA</v>
      </c>
    </row>
    <row r="3740" ht="15.75" customHeight="1">
      <c r="A3740" s="1" t="str">
        <f>IFERROR(__xludf.DUMMYFUNCTION("""COMPUTED_VALUE"""),"stateless")</f>
        <v>stateless</v>
      </c>
      <c r="B3740" s="1" t="str">
        <f>IF(A3740&lt;&gt;"", VLOOKUP(A3740, imdb_netflix_v5!A$2:H$7370, 2, FALSE), "")</f>
        <v>TV Show</v>
      </c>
      <c r="C3740" s="2" t="str">
        <f>IF(A3740&lt;&gt;"", VLOOKUP(A3740, imdb_netflix_v5!A$2:H$7370, 3, FALSE), "")</f>
        <v>Drama</v>
      </c>
      <c r="D3740" s="2">
        <f>IF(A3740&lt;&gt;"", VLOOKUP(A3740, imdb_netflix_v5!A$2:H$7370, 4, FALSE), "")</f>
        <v>7.5</v>
      </c>
      <c r="E3740" s="2">
        <f>IF(A3740&lt;&gt;"", VLOOKUP(A3740, imdb_netflix_v5!A$2:H$7370, 5, FALSE), "")</f>
        <v>2020</v>
      </c>
      <c r="F3740" s="2" t="str">
        <f>IF(A3740&lt;&gt;"", VLOOKUP(A3740, imdb_netflix_v5!A$2:H$7370, 7, FALSE), "")</f>
        <v>NA</v>
      </c>
    </row>
    <row r="3741" ht="15.75" customHeight="1">
      <c r="A3741" s="1" t="str">
        <f>IFERROR(__xludf.DUMMYFUNCTION("""COMPUTED_VALUE"""),"to father with love")</f>
        <v>to father with love</v>
      </c>
      <c r="B3741" s="1" t="str">
        <f>IF(A3741&lt;&gt;"", VLOOKUP(A3741, imdb_netflix_v5!A$2:H$7370, 2, FALSE), "")</f>
        <v>Movie</v>
      </c>
      <c r="C3741" s="2" t="str">
        <f>IF(A3741&lt;&gt;"", VLOOKUP(A3741, imdb_netflix_v5!A$2:H$7370, 3, FALSE), "")</f>
        <v>Action, Drama, Thriller</v>
      </c>
      <c r="D3741" s="2">
        <f>IF(A3741&lt;&gt;"", VLOOKUP(A3741, imdb_netflix_v5!A$2:H$7370, 4, FALSE), "")</f>
        <v>7.5</v>
      </c>
      <c r="E3741" s="2">
        <f>IF(A3741&lt;&gt;"", VLOOKUP(A3741, imdb_netflix_v5!A$2:H$7370, 5, FALSE), "")</f>
        <v>2016</v>
      </c>
      <c r="F3741" s="2" t="str">
        <f>IF(A3741&lt;&gt;"", VLOOKUP(A3741, imdb_netflix_v5!A$2:H$7370, 7, FALSE), "")</f>
        <v>NA</v>
      </c>
    </row>
    <row r="3742" ht="15.75" customHeight="1">
      <c r="A3742" s="1" t="str">
        <f>IFERROR(__xludf.DUMMYFUNCTION("""COMPUTED_VALUE"""),"sharmaji namkeen")</f>
        <v>sharmaji namkeen</v>
      </c>
      <c r="B3742" s="1" t="str">
        <f>IF(A3742&lt;&gt;"", VLOOKUP(A3742, imdb_netflix_v5!A$2:H$7370, 2, FALSE), "")</f>
        <v>Movie</v>
      </c>
      <c r="C3742" s="2" t="str">
        <f>IF(A3742&lt;&gt;"", VLOOKUP(A3742, imdb_netflix_v5!A$2:H$7370, 3, FALSE), "")</f>
        <v>Comedy, Drama, Family</v>
      </c>
      <c r="D3742" s="2">
        <f>IF(A3742&lt;&gt;"", VLOOKUP(A3742, imdb_netflix_v5!A$2:H$7370, 4, FALSE), "")</f>
        <v>7.5</v>
      </c>
      <c r="E3742" s="2">
        <f>IF(A3742&lt;&gt;"", VLOOKUP(A3742, imdb_netflix_v5!A$2:H$7370, 5, FALSE), "")</f>
        <v>2022</v>
      </c>
      <c r="F3742" s="2" t="str">
        <f>IF(A3742&lt;&gt;"", VLOOKUP(A3742, imdb_netflix_v5!A$2:H$7370, 7, FALSE), "")</f>
        <v>NA</v>
      </c>
    </row>
    <row r="3743" ht="15.75" customHeight="1">
      <c r="A3743" s="1" t="str">
        <f>IFERROR(__xludf.DUMMYFUNCTION("""COMPUTED_VALUE"""),"the navigator")</f>
        <v>the navigator</v>
      </c>
      <c r="B3743" s="1" t="str">
        <f>IF(A3743&lt;&gt;"", VLOOKUP(A3743, imdb_netflix_v5!A$2:H$7370, 2, FALSE), "")</f>
        <v>Movie</v>
      </c>
      <c r="C3743" s="2" t="str">
        <f>IF(A3743&lt;&gt;"", VLOOKUP(A3743, imdb_netflix_v5!A$2:H$7370, 3, FALSE), "")</f>
        <v>Action, Adventure, Comedy</v>
      </c>
      <c r="D3743" s="2">
        <f>IF(A3743&lt;&gt;"", VLOOKUP(A3743, imdb_netflix_v5!A$2:H$7370, 4, FALSE), "")</f>
        <v>7.5</v>
      </c>
      <c r="E3743" s="2">
        <f>IF(A3743&lt;&gt;"", VLOOKUP(A3743, imdb_netflix_v5!A$2:H$7370, 5, FALSE), "")</f>
        <v>1924</v>
      </c>
      <c r="F3743" s="2" t="str">
        <f>IF(A3743&lt;&gt;"", VLOOKUP(A3743, imdb_netflix_v5!A$2:H$7370, 7, FALSE), "")</f>
        <v>NA</v>
      </c>
    </row>
    <row r="3744" ht="15.75" customHeight="1">
      <c r="A3744" s="1" t="str">
        <f>IFERROR(__xludf.DUMMYFUNCTION("""COMPUTED_VALUE"""),"the mark of zorro")</f>
        <v>the mark of zorro</v>
      </c>
      <c r="B3744" s="1" t="str">
        <f>IF(A3744&lt;&gt;"", VLOOKUP(A3744, imdb_netflix_v5!A$2:H$7370, 2, FALSE), "")</f>
        <v>Movie</v>
      </c>
      <c r="C3744" s="2" t="str">
        <f>IF(A3744&lt;&gt;"", VLOOKUP(A3744, imdb_netflix_v5!A$2:H$7370, 3, FALSE), "")</f>
        <v>Action, Adventure, Family</v>
      </c>
      <c r="D3744" s="2">
        <f>IF(A3744&lt;&gt;"", VLOOKUP(A3744, imdb_netflix_v5!A$2:H$7370, 4, FALSE), "")</f>
        <v>7.5</v>
      </c>
      <c r="E3744" s="2">
        <f>IF(A3744&lt;&gt;"", VLOOKUP(A3744, imdb_netflix_v5!A$2:H$7370, 5, FALSE), "")</f>
        <v>1940</v>
      </c>
      <c r="F3744" s="2" t="str">
        <f>IF(A3744&lt;&gt;"", VLOOKUP(A3744, imdb_netflix_v5!A$2:H$7370, 7, FALSE), "")</f>
        <v>NA</v>
      </c>
    </row>
    <row r="3745" ht="15.75" customHeight="1">
      <c r="A3745" s="1" t="str">
        <f>IFERROR(__xludf.DUMMYFUNCTION("""COMPUTED_VALUE"""),"a twelve-year night")</f>
        <v>a twelve-year night</v>
      </c>
      <c r="B3745" s="1" t="str">
        <f>IF(A3745&lt;&gt;"", VLOOKUP(A3745, imdb_netflix_v5!A$2:H$7370, 2, FALSE), "")</f>
        <v>Movie</v>
      </c>
      <c r="C3745" s="2" t="str">
        <f>IF(A3745&lt;&gt;"", VLOOKUP(A3745, imdb_netflix_v5!A$2:H$7370, 3, FALSE), "")</f>
        <v>Adventure, Biography, Crime</v>
      </c>
      <c r="D3745" s="2">
        <f>IF(A3745&lt;&gt;"", VLOOKUP(A3745, imdb_netflix_v5!A$2:H$7370, 4, FALSE), "")</f>
        <v>7.5</v>
      </c>
      <c r="E3745" s="2">
        <f>IF(A3745&lt;&gt;"", VLOOKUP(A3745, imdb_netflix_v5!A$2:H$7370, 5, FALSE), "")</f>
        <v>2018</v>
      </c>
      <c r="F3745" s="2" t="str">
        <f>IF(A3745&lt;&gt;"", VLOOKUP(A3745, imdb_netflix_v5!A$2:H$7370, 7, FALSE), "")</f>
        <v>NA</v>
      </c>
    </row>
    <row r="3746" ht="15.75" customHeight="1">
      <c r="A3746" s="1" t="str">
        <f>IFERROR(__xludf.DUMMYFUNCTION("""COMPUTED_VALUE"""),"blue collar")</f>
        <v>blue collar</v>
      </c>
      <c r="B3746" s="1" t="str">
        <f>IF(A3746&lt;&gt;"", VLOOKUP(A3746, imdb_netflix_v5!A$2:H$7370, 2, FALSE), "")</f>
        <v>Movie</v>
      </c>
      <c r="C3746" s="2" t="str">
        <f>IF(A3746&lt;&gt;"", VLOOKUP(A3746, imdb_netflix_v5!A$2:H$7370, 3, FALSE), "")</f>
        <v>Crime, Drama</v>
      </c>
      <c r="D3746" s="2">
        <f>IF(A3746&lt;&gt;"", VLOOKUP(A3746, imdb_netflix_v5!A$2:H$7370, 4, FALSE), "")</f>
        <v>7.5</v>
      </c>
      <c r="E3746" s="2">
        <f>IF(A3746&lt;&gt;"", VLOOKUP(A3746, imdb_netflix_v5!A$2:H$7370, 5, FALSE), "")</f>
        <v>1978</v>
      </c>
      <c r="F3746" s="2" t="str">
        <f>IF(A3746&lt;&gt;"", VLOOKUP(A3746, imdb_netflix_v5!A$2:H$7370, 7, FALSE), "")</f>
        <v>NA</v>
      </c>
    </row>
    <row r="3747" ht="15.75" customHeight="1">
      <c r="A3747" s="1" t="str">
        <f>IFERROR(__xludf.DUMMYFUNCTION("""COMPUTED_VALUE"""),"martin")</f>
        <v>martin</v>
      </c>
      <c r="B3747" s="1" t="str">
        <f>IF(A3747&lt;&gt;"", VLOOKUP(A3747, imdb_netflix_v5!A$2:H$7370, 2, FALSE), "")</f>
        <v>TV Show</v>
      </c>
      <c r="C3747" s="2" t="str">
        <f>IF(A3747&lt;&gt;"", VLOOKUP(A3747, imdb_netflix_v5!A$2:H$7370, 3, FALSE), "")</f>
        <v>Comedy, Drama, Romance</v>
      </c>
      <c r="D3747" s="2">
        <f>IF(A3747&lt;&gt;"", VLOOKUP(A3747, imdb_netflix_v5!A$2:H$7370, 4, FALSE), "")</f>
        <v>7.5</v>
      </c>
      <c r="E3747" s="2">
        <f>IF(A3747&lt;&gt;"", VLOOKUP(A3747, imdb_netflix_v5!A$2:H$7370, 5, FALSE), "")</f>
        <v>1992</v>
      </c>
      <c r="F3747" s="2" t="str">
        <f>IF(A3747&lt;&gt;"", VLOOKUP(A3747, imdb_netflix_v5!A$2:H$7370, 7, FALSE), "")</f>
        <v>NA</v>
      </c>
    </row>
    <row r="3748" ht="15.75" customHeight="1">
      <c r="A3748" s="1" t="str">
        <f>IFERROR(__xludf.DUMMYFUNCTION("""COMPUTED_VALUE"""),"the magician")</f>
        <v>the magician</v>
      </c>
      <c r="B3748" s="1" t="str">
        <f>IF(A3748&lt;&gt;"", VLOOKUP(A3748, imdb_netflix_v5!A$2:H$7370, 2, FALSE), "")</f>
        <v>Movie</v>
      </c>
      <c r="C3748" s="2" t="str">
        <f>IF(A3748&lt;&gt;"", VLOOKUP(A3748, imdb_netflix_v5!A$2:H$7370, 3, FALSE), "")</f>
        <v>Comedy, Drama</v>
      </c>
      <c r="D3748" s="2">
        <f>IF(A3748&lt;&gt;"", VLOOKUP(A3748, imdb_netflix_v5!A$2:H$7370, 4, FALSE), "")</f>
        <v>7.5</v>
      </c>
      <c r="E3748" s="2">
        <f>IF(A3748&lt;&gt;"", VLOOKUP(A3748, imdb_netflix_v5!A$2:H$7370, 5, FALSE), "")</f>
        <v>1958</v>
      </c>
      <c r="F3748" s="2" t="str">
        <f>IF(A3748&lt;&gt;"", VLOOKUP(A3748, imdb_netflix_v5!A$2:H$7370, 7, FALSE), "")</f>
        <v>NA</v>
      </c>
    </row>
    <row r="3749" ht="15.75" customHeight="1">
      <c r="A3749" s="1" t="str">
        <f>IFERROR(__xludf.DUMMYFUNCTION("""COMPUTED_VALUE"""),"the desperate hours")</f>
        <v>the desperate hours</v>
      </c>
      <c r="B3749" s="1" t="str">
        <f>IF(A3749&lt;&gt;"", VLOOKUP(A3749, imdb_netflix_v5!A$2:H$7370, 2, FALSE), "")</f>
        <v>Movie</v>
      </c>
      <c r="C3749" s="2" t="str">
        <f>IF(A3749&lt;&gt;"", VLOOKUP(A3749, imdb_netflix_v5!A$2:H$7370, 3, FALSE), "")</f>
        <v>Crime, Drama, Film-Noir</v>
      </c>
      <c r="D3749" s="2">
        <f>IF(A3749&lt;&gt;"", VLOOKUP(A3749, imdb_netflix_v5!A$2:H$7370, 4, FALSE), "")</f>
        <v>7.5</v>
      </c>
      <c r="E3749" s="2">
        <f>IF(A3749&lt;&gt;"", VLOOKUP(A3749, imdb_netflix_v5!A$2:H$7370, 5, FALSE), "")</f>
        <v>1955</v>
      </c>
      <c r="F3749" s="2" t="str">
        <f>IF(A3749&lt;&gt;"", VLOOKUP(A3749, imdb_netflix_v5!A$2:H$7370, 7, FALSE), "")</f>
        <v>NA</v>
      </c>
    </row>
    <row r="3750" ht="15.75" customHeight="1">
      <c r="A3750" s="1" t="str">
        <f>IFERROR(__xludf.DUMMYFUNCTION("""COMPUTED_VALUE"""),"copper")</f>
        <v>copper</v>
      </c>
      <c r="B3750" s="1" t="str">
        <f>IF(A3750&lt;&gt;"", VLOOKUP(A3750, imdb_netflix_v5!A$2:H$7370, 2, FALSE), "")</f>
        <v>TV Show</v>
      </c>
      <c r="C3750" s="2" t="str">
        <f>IF(A3750&lt;&gt;"", VLOOKUP(A3750, imdb_netflix_v5!A$2:H$7370, 3, FALSE), "")</f>
        <v>Action, Drama</v>
      </c>
      <c r="D3750" s="2">
        <f>IF(A3750&lt;&gt;"", VLOOKUP(A3750, imdb_netflix_v5!A$2:H$7370, 4, FALSE), "")</f>
        <v>7.5</v>
      </c>
      <c r="E3750" s="2">
        <f>IF(A3750&lt;&gt;"", VLOOKUP(A3750, imdb_netflix_v5!A$2:H$7370, 5, FALSE), "")</f>
        <v>2012</v>
      </c>
      <c r="F3750" s="2" t="str">
        <f>IF(A3750&lt;&gt;"", VLOOKUP(A3750, imdb_netflix_v5!A$2:H$7370, 7, FALSE), "")</f>
        <v>NA</v>
      </c>
    </row>
    <row r="3751" ht="15.75" customHeight="1">
      <c r="A3751" s="1" t="str">
        <f>IFERROR(__xludf.DUMMYFUNCTION("""COMPUTED_VALUE"""),"open hearts")</f>
        <v>open hearts</v>
      </c>
      <c r="B3751" s="1" t="str">
        <f>IF(A3751&lt;&gt;"", VLOOKUP(A3751, imdb_netflix_v5!A$2:H$7370, 2, FALSE), "")</f>
        <v>Movie</v>
      </c>
      <c r="C3751" s="2" t="str">
        <f>IF(A3751&lt;&gt;"", VLOOKUP(A3751, imdb_netflix_v5!A$2:H$7370, 3, FALSE), "")</f>
        <v>Drama, Romance</v>
      </c>
      <c r="D3751" s="2">
        <f>IF(A3751&lt;&gt;"", VLOOKUP(A3751, imdb_netflix_v5!A$2:H$7370, 4, FALSE), "")</f>
        <v>7.5</v>
      </c>
      <c r="E3751" s="2">
        <f>IF(A3751&lt;&gt;"", VLOOKUP(A3751, imdb_netflix_v5!A$2:H$7370, 5, FALSE), "")</f>
        <v>2002</v>
      </c>
      <c r="F3751" s="2" t="str">
        <f>IF(A3751&lt;&gt;"", VLOOKUP(A3751, imdb_netflix_v5!A$2:H$7370, 7, FALSE), "")</f>
        <v>NA</v>
      </c>
    </row>
    <row r="3752" ht="15.75" customHeight="1">
      <c r="A3752" s="1" t="str">
        <f>IFERROR(__xludf.DUMMYFUNCTION("""COMPUTED_VALUE"""),"murmur of the heart")</f>
        <v>murmur of the heart</v>
      </c>
      <c r="B3752" s="1" t="str">
        <f>IF(A3752&lt;&gt;"", VLOOKUP(A3752, imdb_netflix_v5!A$2:H$7370, 2, FALSE), "")</f>
        <v>Movie</v>
      </c>
      <c r="C3752" s="2" t="str">
        <f>IF(A3752&lt;&gt;"", VLOOKUP(A3752, imdb_netflix_v5!A$2:H$7370, 3, FALSE), "")</f>
        <v>Comedy, Drama</v>
      </c>
      <c r="D3752" s="2">
        <f>IF(A3752&lt;&gt;"", VLOOKUP(A3752, imdb_netflix_v5!A$2:H$7370, 4, FALSE), "")</f>
        <v>7.5</v>
      </c>
      <c r="E3752" s="2">
        <f>IF(A3752&lt;&gt;"", VLOOKUP(A3752, imdb_netflix_v5!A$2:H$7370, 5, FALSE), "")</f>
        <v>1971</v>
      </c>
      <c r="F3752" s="2" t="str">
        <f>IF(A3752&lt;&gt;"", VLOOKUP(A3752, imdb_netflix_v5!A$2:H$7370, 7, FALSE), "")</f>
        <v>NA</v>
      </c>
    </row>
    <row r="3753" ht="15.75" customHeight="1">
      <c r="A3753" s="1" t="str">
        <f>IFERROR(__xludf.DUMMYFUNCTION("""COMPUTED_VALUE"""),"la femme nikita")</f>
        <v>la femme nikita</v>
      </c>
      <c r="B3753" s="1" t="str">
        <f>IF(A3753&lt;&gt;"", VLOOKUP(A3753, imdb_netflix_v5!A$2:H$7370, 2, FALSE), "")</f>
        <v>TV Show</v>
      </c>
      <c r="C3753" s="2" t="str">
        <f>IF(A3753&lt;&gt;"", VLOOKUP(A3753, imdb_netflix_v5!A$2:H$7370, 3, FALSE), "")</f>
        <v>Action, Crime, Drama</v>
      </c>
      <c r="D3753" s="2">
        <f>IF(A3753&lt;&gt;"", VLOOKUP(A3753, imdb_netflix_v5!A$2:H$7370, 4, FALSE), "")</f>
        <v>7.5</v>
      </c>
      <c r="E3753" s="2">
        <f>IF(A3753&lt;&gt;"", VLOOKUP(A3753, imdb_netflix_v5!A$2:H$7370, 5, FALSE), "")</f>
        <v>1997</v>
      </c>
      <c r="F3753" s="2" t="str">
        <f>IF(A3753&lt;&gt;"", VLOOKUP(A3753, imdb_netflix_v5!A$2:H$7370, 7, FALSE), "")</f>
        <v>NA</v>
      </c>
    </row>
    <row r="3754" ht="15.75" customHeight="1">
      <c r="A3754" s="1" t="str">
        <f>IFERROR(__xludf.DUMMYFUNCTION("""COMPUTED_VALUE"""),"kirikou and the sorceress")</f>
        <v>kirikou and the sorceress</v>
      </c>
      <c r="B3754" s="1" t="str">
        <f>IF(A3754&lt;&gt;"", VLOOKUP(A3754, imdb_netflix_v5!A$2:H$7370, 2, FALSE), "")</f>
        <v>Movie</v>
      </c>
      <c r="C3754" s="2" t="str">
        <f>IF(A3754&lt;&gt;"", VLOOKUP(A3754, imdb_netflix_v5!A$2:H$7370, 3, FALSE), "")</f>
        <v>Adventure, Animation, Family</v>
      </c>
      <c r="D3754" s="2">
        <f>IF(A3754&lt;&gt;"", VLOOKUP(A3754, imdb_netflix_v5!A$2:H$7370, 4, FALSE), "")</f>
        <v>7.5</v>
      </c>
      <c r="E3754" s="2">
        <f>IF(A3754&lt;&gt;"", VLOOKUP(A3754, imdb_netflix_v5!A$2:H$7370, 5, FALSE), "")</f>
        <v>1998</v>
      </c>
      <c r="F3754" s="2" t="str">
        <f>IF(A3754&lt;&gt;"", VLOOKUP(A3754, imdb_netflix_v5!A$2:H$7370, 7, FALSE), "")</f>
        <v>NA</v>
      </c>
    </row>
    <row r="3755" ht="15.75" customHeight="1">
      <c r="A3755" s="1" t="str">
        <f>IFERROR(__xludf.DUMMYFUNCTION("""COMPUTED_VALUE"""),"the jeffersons")</f>
        <v>the jeffersons</v>
      </c>
      <c r="B3755" s="1" t="str">
        <f>IF(A3755&lt;&gt;"", VLOOKUP(A3755, imdb_netflix_v5!A$2:H$7370, 2, FALSE), "")</f>
        <v>TV Show</v>
      </c>
      <c r="C3755" s="2" t="str">
        <f>IF(A3755&lt;&gt;"", VLOOKUP(A3755, imdb_netflix_v5!A$2:H$7370, 3, FALSE), "")</f>
        <v>Comedy</v>
      </c>
      <c r="D3755" s="2">
        <f>IF(A3755&lt;&gt;"", VLOOKUP(A3755, imdb_netflix_v5!A$2:H$7370, 4, FALSE), "")</f>
        <v>7.5</v>
      </c>
      <c r="E3755" s="2">
        <f>IF(A3755&lt;&gt;"", VLOOKUP(A3755, imdb_netflix_v5!A$2:H$7370, 5, FALSE), "")</f>
        <v>1975</v>
      </c>
      <c r="F3755" s="2" t="str">
        <f>IF(A3755&lt;&gt;"", VLOOKUP(A3755, imdb_netflix_v5!A$2:H$7370, 7, FALSE), "")</f>
        <v>NA</v>
      </c>
    </row>
    <row r="3756" ht="15.75" customHeight="1">
      <c r="A3756" s="1" t="str">
        <f>IFERROR(__xludf.DUMMYFUNCTION("""COMPUTED_VALUE"""),"bang boom bang - ein todsicheres ding")</f>
        <v>bang boom bang - ein todsicheres ding</v>
      </c>
      <c r="B3756" s="1" t="str">
        <f>IF(A3756&lt;&gt;"", VLOOKUP(A3756, imdb_netflix_v5!A$2:H$7370, 2, FALSE), "")</f>
        <v>Movie</v>
      </c>
      <c r="C3756" s="2" t="str">
        <f>IF(A3756&lt;&gt;"", VLOOKUP(A3756, imdb_netflix_v5!A$2:H$7370, 3, FALSE), "")</f>
        <v>Action, Comedy, Crime</v>
      </c>
      <c r="D3756" s="2">
        <f>IF(A3756&lt;&gt;"", VLOOKUP(A3756, imdb_netflix_v5!A$2:H$7370, 4, FALSE), "")</f>
        <v>7.5</v>
      </c>
      <c r="E3756" s="2">
        <f>IF(A3756&lt;&gt;"", VLOOKUP(A3756, imdb_netflix_v5!A$2:H$7370, 5, FALSE), "")</f>
        <v>1999</v>
      </c>
      <c r="F3756" s="2" t="str">
        <f>IF(A3756&lt;&gt;"", VLOOKUP(A3756, imdb_netflix_v5!A$2:H$7370, 7, FALSE), "")</f>
        <v>NA</v>
      </c>
    </row>
    <row r="3757" ht="15.75" customHeight="1">
      <c r="A3757" s="1" t="str">
        <f>IFERROR(__xludf.DUMMYFUNCTION("""COMPUTED_VALUE"""),"fear city a family-style comedy")</f>
        <v>fear city a family-style comedy</v>
      </c>
      <c r="B3757" s="1" t="str">
        <f>IF(A3757&lt;&gt;"", VLOOKUP(A3757, imdb_netflix_v5!A$2:H$7370, 2, FALSE), "")</f>
        <v>Movie</v>
      </c>
      <c r="C3757" s="2" t="str">
        <f>IF(A3757&lt;&gt;"", VLOOKUP(A3757, imdb_netflix_v5!A$2:H$7370, 3, FALSE), "")</f>
        <v>Comedy, Horror</v>
      </c>
      <c r="D3757" s="2">
        <f>IF(A3757&lt;&gt;"", VLOOKUP(A3757, imdb_netflix_v5!A$2:H$7370, 4, FALSE), "")</f>
        <v>7.5</v>
      </c>
      <c r="E3757" s="2">
        <f>IF(A3757&lt;&gt;"", VLOOKUP(A3757, imdb_netflix_v5!A$2:H$7370, 5, FALSE), "")</f>
        <v>1994</v>
      </c>
      <c r="F3757" s="2" t="str">
        <f>IF(A3757&lt;&gt;"", VLOOKUP(A3757, imdb_netflix_v5!A$2:H$7370, 7, FALSE), "")</f>
        <v>NA</v>
      </c>
    </row>
    <row r="3758" ht="15.75" customHeight="1">
      <c r="A3758" s="1" t="str">
        <f>IFERROR(__xludf.DUMMYFUNCTION("""COMPUTED_VALUE"""),"my family")</f>
        <v>my family</v>
      </c>
      <c r="B3758" s="1" t="str">
        <f>IF(A3758&lt;&gt;"", VLOOKUP(A3758, imdb_netflix_v5!A$2:H$7370, 2, FALSE), "")</f>
        <v>TV Show</v>
      </c>
      <c r="C3758" s="2" t="str">
        <f>IF(A3758&lt;&gt;"", VLOOKUP(A3758, imdb_netflix_v5!A$2:H$7370, 3, FALSE), "")</f>
        <v>Comedy</v>
      </c>
      <c r="D3758" s="2">
        <f>IF(A3758&lt;&gt;"", VLOOKUP(A3758, imdb_netflix_v5!A$2:H$7370, 4, FALSE), "")</f>
        <v>7.5</v>
      </c>
      <c r="E3758" s="2">
        <f>IF(A3758&lt;&gt;"", VLOOKUP(A3758, imdb_netflix_v5!A$2:H$7370, 5, FALSE), "")</f>
        <v>2000</v>
      </c>
      <c r="F3758" s="2" t="str">
        <f>IF(A3758&lt;&gt;"", VLOOKUP(A3758, imdb_netflix_v5!A$2:H$7370, 7, FALSE), "")</f>
        <v>NA</v>
      </c>
    </row>
    <row r="3759" ht="15.75" customHeight="1">
      <c r="A3759" s="1" t="str">
        <f>IFERROR(__xludf.DUMMYFUNCTION("""COMPUTED_VALUE"""),"santa claus is a stinker")</f>
        <v>santa claus is a stinker</v>
      </c>
      <c r="B3759" s="1" t="str">
        <f>IF(A3759&lt;&gt;"", VLOOKUP(A3759, imdb_netflix_v5!A$2:H$7370, 2, FALSE), "")</f>
        <v>Movie</v>
      </c>
      <c r="C3759" s="2" t="str">
        <f>IF(A3759&lt;&gt;"", VLOOKUP(A3759, imdb_netflix_v5!A$2:H$7370, 3, FALSE), "")</f>
        <v>Comedy</v>
      </c>
      <c r="D3759" s="2">
        <f>IF(A3759&lt;&gt;"", VLOOKUP(A3759, imdb_netflix_v5!A$2:H$7370, 4, FALSE), "")</f>
        <v>7.5</v>
      </c>
      <c r="E3759" s="2">
        <f>IF(A3759&lt;&gt;"", VLOOKUP(A3759, imdb_netflix_v5!A$2:H$7370, 5, FALSE), "")</f>
        <v>1982</v>
      </c>
      <c r="F3759" s="2" t="str">
        <f>IF(A3759&lt;&gt;"", VLOOKUP(A3759, imdb_netflix_v5!A$2:H$7370, 7, FALSE), "")</f>
        <v>NA</v>
      </c>
    </row>
    <row r="3760" ht="15.75" customHeight="1">
      <c r="A3760" s="1" t="str">
        <f>IFERROR(__xludf.DUMMYFUNCTION("""COMPUTED_VALUE"""),"dinner in america")</f>
        <v>dinner in america</v>
      </c>
      <c r="B3760" s="1" t="str">
        <f>IF(A3760&lt;&gt;"", VLOOKUP(A3760, imdb_netflix_v5!A$2:H$7370, 2, FALSE), "")</f>
        <v>Movie</v>
      </c>
      <c r="C3760" s="2" t="str">
        <f>IF(A3760&lt;&gt;"", VLOOKUP(A3760, imdb_netflix_v5!A$2:H$7370, 3, FALSE), "")</f>
        <v>Comedy, Drama, Music</v>
      </c>
      <c r="D3760" s="2">
        <f>IF(A3760&lt;&gt;"", VLOOKUP(A3760, imdb_netflix_v5!A$2:H$7370, 4, FALSE), "")</f>
        <v>7.5</v>
      </c>
      <c r="E3760" s="2">
        <f>IF(A3760&lt;&gt;"", VLOOKUP(A3760, imdb_netflix_v5!A$2:H$7370, 5, FALSE), "")</f>
        <v>2020</v>
      </c>
      <c r="F3760" s="2" t="str">
        <f>IF(A3760&lt;&gt;"", VLOOKUP(A3760, imdb_netflix_v5!A$2:H$7370, 7, FALSE), "")</f>
        <v>NA</v>
      </c>
    </row>
    <row r="3761" ht="15.75" customHeight="1">
      <c r="A3761" s="1" t="str">
        <f>IFERROR(__xludf.DUMMYFUNCTION("""COMPUTED_VALUE"""),"behzat ç. i buried you in my heart")</f>
        <v>behzat ç. i buried you in my heart</v>
      </c>
      <c r="B3761" s="1" t="str">
        <f>IF(A3761&lt;&gt;"", VLOOKUP(A3761, imdb_netflix_v5!A$2:H$7370, 2, FALSE), "")</f>
        <v>Movie</v>
      </c>
      <c r="C3761" s="2" t="str">
        <f>IF(A3761&lt;&gt;"", VLOOKUP(A3761, imdb_netflix_v5!A$2:H$7370, 3, FALSE), "")</f>
        <v>Action, Crime, Drama</v>
      </c>
      <c r="D3761" s="2">
        <f>IF(A3761&lt;&gt;"", VLOOKUP(A3761, imdb_netflix_v5!A$2:H$7370, 4, FALSE), "")</f>
        <v>7.5</v>
      </c>
      <c r="E3761" s="2">
        <f>IF(A3761&lt;&gt;"", VLOOKUP(A3761, imdb_netflix_v5!A$2:H$7370, 5, FALSE), "")</f>
        <v>2011</v>
      </c>
      <c r="F3761" s="2" t="str">
        <f>IF(A3761&lt;&gt;"", VLOOKUP(A3761, imdb_netflix_v5!A$2:H$7370, 7, FALSE), "")</f>
        <v>NA</v>
      </c>
    </row>
    <row r="3762" ht="15.75" customHeight="1">
      <c r="A3762" s="1" t="str">
        <f>IFERROR(__xludf.DUMMYFUNCTION("""COMPUTED_VALUE"""),"custody")</f>
        <v>custody</v>
      </c>
      <c r="B3762" s="1" t="str">
        <f>IF(A3762&lt;&gt;"", VLOOKUP(A3762, imdb_netflix_v5!A$2:H$7370, 2, FALSE), "")</f>
        <v>Movie</v>
      </c>
      <c r="C3762" s="2" t="str">
        <f>IF(A3762&lt;&gt;"", VLOOKUP(A3762, imdb_netflix_v5!A$2:H$7370, 3, FALSE), "")</f>
        <v>Drama, Thriller</v>
      </c>
      <c r="D3762" s="2">
        <f>IF(A3762&lt;&gt;"", VLOOKUP(A3762, imdb_netflix_v5!A$2:H$7370, 4, FALSE), "")</f>
        <v>7.5</v>
      </c>
      <c r="E3762" s="2">
        <f>IF(A3762&lt;&gt;"", VLOOKUP(A3762, imdb_netflix_v5!A$2:H$7370, 5, FALSE), "")</f>
        <v>2017</v>
      </c>
      <c r="F3762" s="2" t="str">
        <f>IF(A3762&lt;&gt;"", VLOOKUP(A3762, imdb_netflix_v5!A$2:H$7370, 7, FALSE), "")</f>
        <v>NA</v>
      </c>
    </row>
    <row r="3763" ht="15.75" customHeight="1">
      <c r="A3763" s="1" t="str">
        <f>IFERROR(__xludf.DUMMYFUNCTION("""COMPUTED_VALUE"""),"bad blood")</f>
        <v>bad blood</v>
      </c>
      <c r="B3763" s="1" t="str">
        <f>IF(A3763&lt;&gt;"", VLOOKUP(A3763, imdb_netflix_v5!A$2:H$7370, 2, FALSE), "")</f>
        <v>TV Show</v>
      </c>
      <c r="C3763" s="2" t="str">
        <f>IF(A3763&lt;&gt;"", VLOOKUP(A3763, imdb_netflix_v5!A$2:H$7370, 3, FALSE), "")</f>
        <v>Crime, Drama</v>
      </c>
      <c r="D3763" s="2">
        <f>IF(A3763&lt;&gt;"", VLOOKUP(A3763, imdb_netflix_v5!A$2:H$7370, 4, FALSE), "")</f>
        <v>7.5</v>
      </c>
      <c r="E3763" s="2">
        <f>IF(A3763&lt;&gt;"", VLOOKUP(A3763, imdb_netflix_v5!A$2:H$7370, 5, FALSE), "")</f>
        <v>2017</v>
      </c>
      <c r="F3763" s="2" t="str">
        <f>IF(A3763&lt;&gt;"", VLOOKUP(A3763, imdb_netflix_v5!A$2:H$7370, 7, FALSE), "")</f>
        <v>NA</v>
      </c>
    </row>
    <row r="3764" ht="15.75" customHeight="1">
      <c r="A3764" s="1" t="str">
        <f>IFERROR(__xludf.DUMMYFUNCTION("""COMPUTED_VALUE"""),"pindam")</f>
        <v>pindam</v>
      </c>
      <c r="B3764" s="1" t="str">
        <f>IF(A3764&lt;&gt;"", VLOOKUP(A3764, imdb_netflix_v5!A$2:H$7370, 2, FALSE), "")</f>
        <v>Movie</v>
      </c>
      <c r="C3764" s="2" t="str">
        <f>IF(A3764&lt;&gt;"", VLOOKUP(A3764, imdb_netflix_v5!A$2:H$7370, 3, FALSE), "")</f>
        <v>Horror</v>
      </c>
      <c r="D3764" s="2">
        <f>IF(A3764&lt;&gt;"", VLOOKUP(A3764, imdb_netflix_v5!A$2:H$7370, 4, FALSE), "")</f>
        <v>7.5</v>
      </c>
      <c r="E3764" s="2">
        <f>IF(A3764&lt;&gt;"", VLOOKUP(A3764, imdb_netflix_v5!A$2:H$7370, 5, FALSE), "")</f>
        <v>2023</v>
      </c>
      <c r="F3764" s="2" t="str">
        <f>IF(A3764&lt;&gt;"", VLOOKUP(A3764, imdb_netflix_v5!A$2:H$7370, 7, FALSE), "")</f>
        <v>NA</v>
      </c>
    </row>
    <row r="3765" ht="15.75" customHeight="1">
      <c r="A3765" s="1" t="str">
        <f>IFERROR(__xludf.DUMMYFUNCTION("""COMPUTED_VALUE"""),"make it or break it")</f>
        <v>make it or break it</v>
      </c>
      <c r="B3765" s="1" t="str">
        <f>IF(A3765&lt;&gt;"", VLOOKUP(A3765, imdb_netflix_v5!A$2:H$7370, 2, FALSE), "")</f>
        <v>TV Show</v>
      </c>
      <c r="C3765" s="2" t="str">
        <f>IF(A3765&lt;&gt;"", VLOOKUP(A3765, imdb_netflix_v5!A$2:H$7370, 3, FALSE), "")</f>
        <v>Drama, Sport</v>
      </c>
      <c r="D3765" s="2">
        <f>IF(A3765&lt;&gt;"", VLOOKUP(A3765, imdb_netflix_v5!A$2:H$7370, 4, FALSE), "")</f>
        <v>7.5</v>
      </c>
      <c r="E3765" s="2">
        <f>IF(A3765&lt;&gt;"", VLOOKUP(A3765, imdb_netflix_v5!A$2:H$7370, 5, FALSE), "")</f>
        <v>2009</v>
      </c>
      <c r="F3765" s="2" t="str">
        <f>IF(A3765&lt;&gt;"", VLOOKUP(A3765, imdb_netflix_v5!A$2:H$7370, 7, FALSE), "")</f>
        <v>NA</v>
      </c>
    </row>
    <row r="3766" ht="15.75" customHeight="1">
      <c r="A3766" s="1" t="str">
        <f>IFERROR(__xludf.DUMMYFUNCTION("""COMPUTED_VALUE"""),"enlightened")</f>
        <v>enlightened</v>
      </c>
      <c r="B3766" s="1" t="str">
        <f>IF(A3766&lt;&gt;"", VLOOKUP(A3766, imdb_netflix_v5!A$2:H$7370, 2, FALSE), "")</f>
        <v>TV Show</v>
      </c>
      <c r="C3766" s="2" t="str">
        <f>IF(A3766&lt;&gt;"", VLOOKUP(A3766, imdb_netflix_v5!A$2:H$7370, 3, FALSE), "")</f>
        <v>Comedy, Drama</v>
      </c>
      <c r="D3766" s="2">
        <f>IF(A3766&lt;&gt;"", VLOOKUP(A3766, imdb_netflix_v5!A$2:H$7370, 4, FALSE), "")</f>
        <v>7.5</v>
      </c>
      <c r="E3766" s="2">
        <f>IF(A3766&lt;&gt;"", VLOOKUP(A3766, imdb_netflix_v5!A$2:H$7370, 5, FALSE), "")</f>
        <v>2011</v>
      </c>
      <c r="F3766" s="2" t="str">
        <f>IF(A3766&lt;&gt;"", VLOOKUP(A3766, imdb_netflix_v5!A$2:H$7370, 7, FALSE), "")</f>
        <v>NA</v>
      </c>
    </row>
    <row r="3767" ht="15.75" customHeight="1">
      <c r="A3767" s="1" t="str">
        <f>IFERROR(__xludf.DUMMYFUNCTION("""COMPUTED_VALUE"""),"armadillo")</f>
        <v>armadillo</v>
      </c>
      <c r="B3767" s="1" t="str">
        <f>IF(A3767&lt;&gt;"", VLOOKUP(A3767, imdb_netflix_v5!A$2:H$7370, 2, FALSE), "")</f>
        <v>Movie</v>
      </c>
      <c r="C3767" s="2" t="str">
        <f>IF(A3767&lt;&gt;"", VLOOKUP(A3767, imdb_netflix_v5!A$2:H$7370, 3, FALSE), "")</f>
        <v>Documentary, War</v>
      </c>
      <c r="D3767" s="2">
        <f>IF(A3767&lt;&gt;"", VLOOKUP(A3767, imdb_netflix_v5!A$2:H$7370, 4, FALSE), "")</f>
        <v>7.5</v>
      </c>
      <c r="E3767" s="2">
        <f>IF(A3767&lt;&gt;"", VLOOKUP(A3767, imdb_netflix_v5!A$2:H$7370, 5, FALSE), "")</f>
        <v>2010</v>
      </c>
      <c r="F3767" s="2" t="str">
        <f>IF(A3767&lt;&gt;"", VLOOKUP(A3767, imdb_netflix_v5!A$2:H$7370, 7, FALSE), "")</f>
        <v>NA</v>
      </c>
    </row>
    <row r="3768" ht="15.75" customHeight="1">
      <c r="A3768" s="1" t="str">
        <f>IFERROR(__xludf.DUMMYFUNCTION("""COMPUTED_VALUE"""),"jean-claude van johnson")</f>
        <v>jean-claude van johnson</v>
      </c>
      <c r="B3768" s="1" t="str">
        <f>IF(A3768&lt;&gt;"", VLOOKUP(A3768, imdb_netflix_v5!A$2:H$7370, 2, FALSE), "")</f>
        <v>TV Show</v>
      </c>
      <c r="C3768" s="2" t="str">
        <f>IF(A3768&lt;&gt;"", VLOOKUP(A3768, imdb_netflix_v5!A$2:H$7370, 3, FALSE), "")</f>
        <v>Action, Comedy, Drama</v>
      </c>
      <c r="D3768" s="2">
        <f>IF(A3768&lt;&gt;"", VLOOKUP(A3768, imdb_netflix_v5!A$2:H$7370, 4, FALSE), "")</f>
        <v>7.5</v>
      </c>
      <c r="E3768" s="2">
        <f>IF(A3768&lt;&gt;"", VLOOKUP(A3768, imdb_netflix_v5!A$2:H$7370, 5, FALSE), "")</f>
        <v>2016</v>
      </c>
      <c r="F3768" s="2" t="str">
        <f>IF(A3768&lt;&gt;"", VLOOKUP(A3768, imdb_netflix_v5!A$2:H$7370, 7, FALSE), "")</f>
        <v>NA</v>
      </c>
    </row>
    <row r="3769" ht="15.75" customHeight="1">
      <c r="A3769" s="1" t="str">
        <f>IFERROR(__xludf.DUMMYFUNCTION("""COMPUTED_VALUE"""),"wheel of fortune and fantasy")</f>
        <v>wheel of fortune and fantasy</v>
      </c>
      <c r="B3769" s="1" t="str">
        <f>IF(A3769&lt;&gt;"", VLOOKUP(A3769, imdb_netflix_v5!A$2:H$7370, 2, FALSE), "")</f>
        <v>Movie</v>
      </c>
      <c r="C3769" s="2" t="str">
        <f>IF(A3769&lt;&gt;"", VLOOKUP(A3769, imdb_netflix_v5!A$2:H$7370, 3, FALSE), "")</f>
        <v>Drama, Romance</v>
      </c>
      <c r="D3769" s="2">
        <f>IF(A3769&lt;&gt;"", VLOOKUP(A3769, imdb_netflix_v5!A$2:H$7370, 4, FALSE), "")</f>
        <v>7.5</v>
      </c>
      <c r="E3769" s="2">
        <f>IF(A3769&lt;&gt;"", VLOOKUP(A3769, imdb_netflix_v5!A$2:H$7370, 5, FALSE), "")</f>
        <v>2021</v>
      </c>
      <c r="F3769" s="2" t="str">
        <f>IF(A3769&lt;&gt;"", VLOOKUP(A3769, imdb_netflix_v5!A$2:H$7370, 7, FALSE), "")</f>
        <v>NA</v>
      </c>
    </row>
    <row r="3770" ht="15.75" customHeight="1">
      <c r="A3770" s="1" t="str">
        <f>IFERROR(__xludf.DUMMYFUNCTION("""COMPUTED_VALUE"""),"the eighth day")</f>
        <v>the eighth day</v>
      </c>
      <c r="B3770" s="1" t="str">
        <f>IF(A3770&lt;&gt;"", VLOOKUP(A3770, imdb_netflix_v5!A$2:H$7370, 2, FALSE), "")</f>
        <v>Movie</v>
      </c>
      <c r="C3770" s="2" t="str">
        <f>IF(A3770&lt;&gt;"", VLOOKUP(A3770, imdb_netflix_v5!A$2:H$7370, 3, FALSE), "")</f>
        <v>Comedy, Drama</v>
      </c>
      <c r="D3770" s="2">
        <f>IF(A3770&lt;&gt;"", VLOOKUP(A3770, imdb_netflix_v5!A$2:H$7370, 4, FALSE), "")</f>
        <v>7.5</v>
      </c>
      <c r="E3770" s="2">
        <f>IF(A3770&lt;&gt;"", VLOOKUP(A3770, imdb_netflix_v5!A$2:H$7370, 5, FALSE), "")</f>
        <v>1996</v>
      </c>
      <c r="F3770" s="2" t="str">
        <f>IF(A3770&lt;&gt;"", VLOOKUP(A3770, imdb_netflix_v5!A$2:H$7370, 7, FALSE), "")</f>
        <v>NA</v>
      </c>
    </row>
    <row r="3771" ht="15.75" customHeight="1">
      <c r="A3771" s="1" t="str">
        <f>IFERROR(__xludf.DUMMYFUNCTION("""COMPUTED_VALUE"""),"the comey rule")</f>
        <v>the comey rule</v>
      </c>
      <c r="B3771" s="1" t="str">
        <f>IF(A3771&lt;&gt;"", VLOOKUP(A3771, imdb_netflix_v5!A$2:H$7370, 2, FALSE), "")</f>
        <v>TV Show</v>
      </c>
      <c r="C3771" s="2" t="str">
        <f>IF(A3771&lt;&gt;"", VLOOKUP(A3771, imdb_netflix_v5!A$2:H$7370, 3, FALSE), "")</f>
        <v>Drama</v>
      </c>
      <c r="D3771" s="2">
        <f>IF(A3771&lt;&gt;"", VLOOKUP(A3771, imdb_netflix_v5!A$2:H$7370, 4, FALSE), "")</f>
        <v>7.5</v>
      </c>
      <c r="E3771" s="2">
        <f>IF(A3771&lt;&gt;"", VLOOKUP(A3771, imdb_netflix_v5!A$2:H$7370, 5, FALSE), "")</f>
        <v>2020</v>
      </c>
      <c r="F3771" s="2" t="str">
        <f>IF(A3771&lt;&gt;"", VLOOKUP(A3771, imdb_netflix_v5!A$2:H$7370, 7, FALSE), "")</f>
        <v>NA</v>
      </c>
    </row>
    <row r="3772" ht="15.75" customHeight="1">
      <c r="A3772" s="1" t="str">
        <f>IFERROR(__xludf.DUMMYFUNCTION("""COMPUTED_VALUE"""),"sahara")</f>
        <v>sahara</v>
      </c>
      <c r="B3772" s="1" t="str">
        <f>IF(A3772&lt;&gt;"", VLOOKUP(A3772, imdb_netflix_v5!A$2:H$7370, 2, FALSE), "")</f>
        <v>Movie</v>
      </c>
      <c r="C3772" s="2" t="str">
        <f>IF(A3772&lt;&gt;"", VLOOKUP(A3772, imdb_netflix_v5!A$2:H$7370, 3, FALSE), "")</f>
        <v>Action, Drama, War</v>
      </c>
      <c r="D3772" s="2">
        <f>IF(A3772&lt;&gt;"", VLOOKUP(A3772, imdb_netflix_v5!A$2:H$7370, 4, FALSE), "")</f>
        <v>7.5</v>
      </c>
      <c r="E3772" s="2">
        <f>IF(A3772&lt;&gt;"", VLOOKUP(A3772, imdb_netflix_v5!A$2:H$7370, 5, FALSE), "")</f>
        <v>1943</v>
      </c>
      <c r="F3772" s="2" t="str">
        <f>IF(A3772&lt;&gt;"", VLOOKUP(A3772, imdb_netflix_v5!A$2:H$7370, 7, FALSE), "")</f>
        <v>NA</v>
      </c>
    </row>
    <row r="3773" ht="15.75" customHeight="1">
      <c r="A3773" s="1" t="str">
        <f>IFERROR(__xludf.DUMMYFUNCTION("""COMPUTED_VALUE"""),"the son")</f>
        <v>the son</v>
      </c>
      <c r="B3773" s="1" t="str">
        <f>IF(A3773&lt;&gt;"", VLOOKUP(A3773, imdb_netflix_v5!A$2:H$7370, 2, FALSE), "")</f>
        <v>Movie</v>
      </c>
      <c r="C3773" s="2" t="str">
        <f>IF(A3773&lt;&gt;"", VLOOKUP(A3773, imdb_netflix_v5!A$2:H$7370, 3, FALSE), "")</f>
        <v>Drama, Mystery</v>
      </c>
      <c r="D3773" s="2">
        <f>IF(A3773&lt;&gt;"", VLOOKUP(A3773, imdb_netflix_v5!A$2:H$7370, 4, FALSE), "")</f>
        <v>7.5</v>
      </c>
      <c r="E3773" s="2">
        <f>IF(A3773&lt;&gt;"", VLOOKUP(A3773, imdb_netflix_v5!A$2:H$7370, 5, FALSE), "")</f>
        <v>2002</v>
      </c>
      <c r="F3773" s="2">
        <f>IF(A3773&lt;&gt;"", VLOOKUP(A3773, imdb_netflix_v5!A$2:H$7370, 7, FALSE), "")</f>
        <v>7940000</v>
      </c>
    </row>
    <row r="3774" ht="15.75" customHeight="1">
      <c r="A3774" s="1" t="str">
        <f>IFERROR(__xludf.DUMMYFUNCTION("""COMPUTED_VALUE"""),"10 rillington place")</f>
        <v>10 rillington place</v>
      </c>
      <c r="B3774" s="1" t="str">
        <f>IF(A3774&lt;&gt;"", VLOOKUP(A3774, imdb_netflix_v5!A$2:H$7370, 2, FALSE), "")</f>
        <v>Movie</v>
      </c>
      <c r="C3774" s="2" t="str">
        <f>IF(A3774&lt;&gt;"", VLOOKUP(A3774, imdb_netflix_v5!A$2:H$7370, 3, FALSE), "")</f>
        <v>Biography, Crime, Drama</v>
      </c>
      <c r="D3774" s="2">
        <f>IF(A3774&lt;&gt;"", VLOOKUP(A3774, imdb_netflix_v5!A$2:H$7370, 4, FALSE), "")</f>
        <v>7.5</v>
      </c>
      <c r="E3774" s="2">
        <f>IF(A3774&lt;&gt;"", VLOOKUP(A3774, imdb_netflix_v5!A$2:H$7370, 5, FALSE), "")</f>
        <v>1971</v>
      </c>
      <c r="F3774" s="2" t="str">
        <f>IF(A3774&lt;&gt;"", VLOOKUP(A3774, imdb_netflix_v5!A$2:H$7370, 7, FALSE), "")</f>
        <v>NA</v>
      </c>
    </row>
    <row r="3775" ht="15.75" customHeight="1">
      <c r="A3775" s="1" t="str">
        <f>IFERROR(__xludf.DUMMYFUNCTION("""COMPUTED_VALUE"""),"come fly with me")</f>
        <v>come fly with me</v>
      </c>
      <c r="B3775" s="1" t="str">
        <f>IF(A3775&lt;&gt;"", VLOOKUP(A3775, imdb_netflix_v5!A$2:H$7370, 2, FALSE), "")</f>
        <v>TV Show</v>
      </c>
      <c r="C3775" s="2" t="str">
        <f>IF(A3775&lt;&gt;"", VLOOKUP(A3775, imdb_netflix_v5!A$2:H$7370, 3, FALSE), "")</f>
        <v>Comedy</v>
      </c>
      <c r="D3775" s="2">
        <f>IF(A3775&lt;&gt;"", VLOOKUP(A3775, imdb_netflix_v5!A$2:H$7370, 4, FALSE), "")</f>
        <v>7.5</v>
      </c>
      <c r="E3775" s="2">
        <f>IF(A3775&lt;&gt;"", VLOOKUP(A3775, imdb_netflix_v5!A$2:H$7370, 5, FALSE), "")</f>
        <v>2010</v>
      </c>
      <c r="F3775" s="2" t="str">
        <f>IF(A3775&lt;&gt;"", VLOOKUP(A3775, imdb_netflix_v5!A$2:H$7370, 7, FALSE), "")</f>
        <v>NA</v>
      </c>
    </row>
    <row r="3776" ht="15.75" customHeight="1">
      <c r="A3776" s="1" t="str">
        <f>IFERROR(__xludf.DUMMYFUNCTION("""COMPUTED_VALUE"""),"the first day of the rest of your life")</f>
        <v>the first day of the rest of your life</v>
      </c>
      <c r="B3776" s="1" t="str">
        <f>IF(A3776&lt;&gt;"", VLOOKUP(A3776, imdb_netflix_v5!A$2:H$7370, 2, FALSE), "")</f>
        <v>Movie</v>
      </c>
      <c r="C3776" s="2" t="str">
        <f>IF(A3776&lt;&gt;"", VLOOKUP(A3776, imdb_netflix_v5!A$2:H$7370, 3, FALSE), "")</f>
        <v>Drama</v>
      </c>
      <c r="D3776" s="2">
        <f>IF(A3776&lt;&gt;"", VLOOKUP(A3776, imdb_netflix_v5!A$2:H$7370, 4, FALSE), "")</f>
        <v>7.5</v>
      </c>
      <c r="E3776" s="2">
        <f>IF(A3776&lt;&gt;"", VLOOKUP(A3776, imdb_netflix_v5!A$2:H$7370, 5, FALSE), "")</f>
        <v>2008</v>
      </c>
      <c r="F3776" s="2" t="str">
        <f>IF(A3776&lt;&gt;"", VLOOKUP(A3776, imdb_netflix_v5!A$2:H$7370, 7, FALSE), "")</f>
        <v>NA</v>
      </c>
    </row>
    <row r="3777" ht="15.75" customHeight="1">
      <c r="A3777" s="1" t="str">
        <f>IFERROR(__xludf.DUMMYFUNCTION("""COMPUTED_VALUE"""),"alaska daily")</f>
        <v>alaska daily</v>
      </c>
      <c r="B3777" s="1" t="str">
        <f>IF(A3777&lt;&gt;"", VLOOKUP(A3777, imdb_netflix_v5!A$2:H$7370, 2, FALSE), "")</f>
        <v>TV Show</v>
      </c>
      <c r="C3777" s="2" t="str">
        <f>IF(A3777&lt;&gt;"", VLOOKUP(A3777, imdb_netflix_v5!A$2:H$7370, 3, FALSE), "")</f>
        <v>Drama</v>
      </c>
      <c r="D3777" s="2">
        <f>IF(A3777&lt;&gt;"", VLOOKUP(A3777, imdb_netflix_v5!A$2:H$7370, 4, FALSE), "")</f>
        <v>7.5</v>
      </c>
      <c r="E3777" s="2">
        <f>IF(A3777&lt;&gt;"", VLOOKUP(A3777, imdb_netflix_v5!A$2:H$7370, 5, FALSE), "")</f>
        <v>2022</v>
      </c>
      <c r="F3777" s="2" t="str">
        <f>IF(A3777&lt;&gt;"", VLOOKUP(A3777, imdb_netflix_v5!A$2:H$7370, 7, FALSE), "")</f>
        <v>NA</v>
      </c>
    </row>
    <row r="3778" ht="15.75" customHeight="1">
      <c r="A3778" s="1" t="str">
        <f>IFERROR(__xludf.DUMMYFUNCTION("""COMPUTED_VALUE"""),"mokhtarnameh")</f>
        <v>mokhtarnameh</v>
      </c>
      <c r="B3778" s="1" t="str">
        <f>IF(A3778&lt;&gt;"", VLOOKUP(A3778, imdb_netflix_v5!A$2:H$7370, 2, FALSE), "")</f>
        <v>TV Show</v>
      </c>
      <c r="C3778" s="2" t="str">
        <f>IF(A3778&lt;&gt;"", VLOOKUP(A3778, imdb_netflix_v5!A$2:H$7370, 3, FALSE), "")</f>
        <v>Biography, Drama, History</v>
      </c>
      <c r="D3778" s="2">
        <f>IF(A3778&lt;&gt;"", VLOOKUP(A3778, imdb_netflix_v5!A$2:H$7370, 4, FALSE), "")</f>
        <v>7.5</v>
      </c>
      <c r="E3778" s="2">
        <f>IF(A3778&lt;&gt;"", VLOOKUP(A3778, imdb_netflix_v5!A$2:H$7370, 5, FALSE), "")</f>
        <v>2010</v>
      </c>
      <c r="F3778" s="2" t="str">
        <f>IF(A3778&lt;&gt;"", VLOOKUP(A3778, imdb_netflix_v5!A$2:H$7370, 7, FALSE), "")</f>
        <v>NA</v>
      </c>
    </row>
    <row r="3779" ht="15.75" customHeight="1">
      <c r="A3779" s="1" t="str">
        <f>IFERROR(__xludf.DUMMYFUNCTION("""COMPUTED_VALUE"""),"spider-man")</f>
        <v>spider-man</v>
      </c>
      <c r="B3779" s="1" t="str">
        <f>IF(A3779&lt;&gt;"", VLOOKUP(A3779, imdb_netflix_v5!A$2:H$7370, 2, FALSE), "")</f>
        <v>Movie</v>
      </c>
      <c r="C3779" s="2" t="str">
        <f>IF(A3779&lt;&gt;"", VLOOKUP(A3779, imdb_netflix_v5!A$2:H$7370, 3, FALSE), "")</f>
        <v>Action, Adventure, Sci-Fi</v>
      </c>
      <c r="D3779" s="2">
        <f>IF(A3779&lt;&gt;"", VLOOKUP(A3779, imdb_netflix_v5!A$2:H$7370, 4, FALSE), "")</f>
        <v>7.4</v>
      </c>
      <c r="E3779" s="2">
        <f>IF(A3779&lt;&gt;"", VLOOKUP(A3779, imdb_netflix_v5!A$2:H$7370, 5, FALSE), "")</f>
        <v>2002</v>
      </c>
      <c r="F3779" s="2">
        <f>IF(A3779&lt;&gt;"", VLOOKUP(A3779, imdb_netflix_v5!A$2:H$7370, 7, FALSE), "")</f>
        <v>5430000</v>
      </c>
    </row>
    <row r="3780" ht="15.75" customHeight="1">
      <c r="A3780" s="1" t="str">
        <f>IFERROR(__xludf.DUMMYFUNCTION("""COMPUTED_VALUE"""),"pirates of the caribbean dead mans chest")</f>
        <v>pirates of the caribbean dead mans chest</v>
      </c>
      <c r="B3780" s="1" t="str">
        <f>IF(A3780&lt;&gt;"", VLOOKUP(A3780, imdb_netflix_v5!A$2:H$7370, 2, FALSE), "")</f>
        <v>Movie</v>
      </c>
      <c r="C3780" s="2" t="str">
        <f>IF(A3780&lt;&gt;"", VLOOKUP(A3780, imdb_netflix_v5!A$2:H$7370, 3, FALSE), "")</f>
        <v>Action, Adventure, Fantasy</v>
      </c>
      <c r="D3780" s="2">
        <f>IF(A3780&lt;&gt;"", VLOOKUP(A3780, imdb_netflix_v5!A$2:H$7370, 4, FALSE), "")</f>
        <v>7.4</v>
      </c>
      <c r="E3780" s="2">
        <f>IF(A3780&lt;&gt;"", VLOOKUP(A3780, imdb_netflix_v5!A$2:H$7370, 5, FALSE), "")</f>
        <v>2006</v>
      </c>
      <c r="F3780" s="2" t="str">
        <f>IF(A3780&lt;&gt;"", VLOOKUP(A3780, imdb_netflix_v5!A$2:H$7370, 7, FALSE), "")</f>
        <v>NA</v>
      </c>
    </row>
    <row r="3781" ht="15.75" customHeight="1">
      <c r="A3781" s="1" t="str">
        <f>IFERROR(__xludf.DUMMYFUNCTION("""COMPUTED_VALUE"""),"john wick")</f>
        <v>john wick</v>
      </c>
      <c r="B3781" s="1" t="str">
        <f>IF(A3781&lt;&gt;"", VLOOKUP(A3781, imdb_netflix_v5!A$2:H$7370, 2, FALSE), "")</f>
        <v>Movie</v>
      </c>
      <c r="C3781" s="2" t="str">
        <f>IF(A3781&lt;&gt;"", VLOOKUP(A3781, imdb_netflix_v5!A$2:H$7370, 3, FALSE), "")</f>
        <v>Action, Crime, Thriller</v>
      </c>
      <c r="D3781" s="2">
        <f>IF(A3781&lt;&gt;"", VLOOKUP(A3781, imdb_netflix_v5!A$2:H$7370, 4, FALSE), "")</f>
        <v>7.4</v>
      </c>
      <c r="E3781" s="2">
        <f>IF(A3781&lt;&gt;"", VLOOKUP(A3781, imdb_netflix_v5!A$2:H$7370, 5, FALSE), "")</f>
        <v>2014</v>
      </c>
      <c r="F3781" s="2" t="str">
        <f>IF(A3781&lt;&gt;"", VLOOKUP(A3781, imdb_netflix_v5!A$2:H$7370, 7, FALSE), "")</f>
        <v>NA</v>
      </c>
    </row>
    <row r="3782" ht="15.75" customHeight="1">
      <c r="A3782" s="1" t="str">
        <f>IFERROR(__xludf.DUMMYFUNCTION("""COMPUTED_VALUE"""),"spider-man homecoming")</f>
        <v>spider-man homecoming</v>
      </c>
      <c r="B3782" s="1" t="str">
        <f>IF(A3782&lt;&gt;"", VLOOKUP(A3782, imdb_netflix_v5!A$2:H$7370, 2, FALSE), "")</f>
        <v>Movie</v>
      </c>
      <c r="C3782" s="2" t="str">
        <f>IF(A3782&lt;&gt;"", VLOOKUP(A3782, imdb_netflix_v5!A$2:H$7370, 3, FALSE), "")</f>
        <v>Action, Adventure, Sci-Fi</v>
      </c>
      <c r="D3782" s="2">
        <f>IF(A3782&lt;&gt;"", VLOOKUP(A3782, imdb_netflix_v5!A$2:H$7370, 4, FALSE), "")</f>
        <v>7.4</v>
      </c>
      <c r="E3782" s="2">
        <f>IF(A3782&lt;&gt;"", VLOOKUP(A3782, imdb_netflix_v5!A$2:H$7370, 5, FALSE), "")</f>
        <v>2017</v>
      </c>
      <c r="F3782" s="2">
        <f>IF(A3782&lt;&gt;"", VLOOKUP(A3782, imdb_netflix_v5!A$2:H$7370, 7, FALSE), "")</f>
        <v>14180000</v>
      </c>
    </row>
    <row r="3783" ht="15.75" customHeight="1">
      <c r="A3783" s="1" t="str">
        <f>IFERROR(__xludf.DUMMYFUNCTION("""COMPUTED_VALUE"""),"harry potter and the chamber of secrets")</f>
        <v>harry potter and the chamber of secrets</v>
      </c>
      <c r="B3783" s="1" t="str">
        <f>IF(A3783&lt;&gt;"", VLOOKUP(A3783, imdb_netflix_v5!A$2:H$7370, 2, FALSE), "")</f>
        <v>Movie</v>
      </c>
      <c r="C3783" s="2" t="str">
        <f>IF(A3783&lt;&gt;"", VLOOKUP(A3783, imdb_netflix_v5!A$2:H$7370, 3, FALSE), "")</f>
        <v>Adventure, Family, Fantasy</v>
      </c>
      <c r="D3783" s="2">
        <f>IF(A3783&lt;&gt;"", VLOOKUP(A3783, imdb_netflix_v5!A$2:H$7370, 4, FALSE), "")</f>
        <v>7.4</v>
      </c>
      <c r="E3783" s="2">
        <f>IF(A3783&lt;&gt;"", VLOOKUP(A3783, imdb_netflix_v5!A$2:H$7370, 5, FALSE), "")</f>
        <v>2002</v>
      </c>
      <c r="F3783" s="2" t="str">
        <f>IF(A3783&lt;&gt;"", VLOOKUP(A3783, imdb_netflix_v5!A$2:H$7370, 7, FALSE), "")</f>
        <v>NA</v>
      </c>
    </row>
    <row r="3784" ht="15.75" customHeight="1">
      <c r="A3784" s="1" t="str">
        <f>IFERROR(__xludf.DUMMYFUNCTION("""COMPUTED_VALUE"""),"frozen")</f>
        <v>frozen</v>
      </c>
      <c r="B3784" s="1" t="str">
        <f>IF(A3784&lt;&gt;"", VLOOKUP(A3784, imdb_netflix_v5!A$2:H$7370, 2, FALSE), "")</f>
        <v>Movie</v>
      </c>
      <c r="C3784" s="2" t="str">
        <f>IF(A3784&lt;&gt;"", VLOOKUP(A3784, imdb_netflix_v5!A$2:H$7370, 3, FALSE), "")</f>
        <v>Adventure, Animation, Comedy</v>
      </c>
      <c r="D3784" s="2">
        <f>IF(A3784&lt;&gt;"", VLOOKUP(A3784, imdb_netflix_v5!A$2:H$7370, 4, FALSE), "")</f>
        <v>7.4</v>
      </c>
      <c r="E3784" s="2">
        <f>IF(A3784&lt;&gt;"", VLOOKUP(A3784, imdb_netflix_v5!A$2:H$7370, 5, FALSE), "")</f>
        <v>2013</v>
      </c>
      <c r="F3784" s="2" t="str">
        <f>IF(A3784&lt;&gt;"", VLOOKUP(A3784, imdb_netflix_v5!A$2:H$7370, 7, FALSE), "")</f>
        <v>NA</v>
      </c>
    </row>
    <row r="3785" ht="15.75" customHeight="1">
      <c r="A3785" s="1" t="str">
        <f>IFERROR(__xludf.DUMMYFUNCTION("""COMPUTED_VALUE"""),"looper")</f>
        <v>looper</v>
      </c>
      <c r="B3785" s="1" t="str">
        <f>IF(A3785&lt;&gt;"", VLOOKUP(A3785, imdb_netflix_v5!A$2:H$7370, 2, FALSE), "")</f>
        <v>Movie</v>
      </c>
      <c r="C3785" s="2" t="str">
        <f>IF(A3785&lt;&gt;"", VLOOKUP(A3785, imdb_netflix_v5!A$2:H$7370, 3, FALSE), "")</f>
        <v>Action, Drama, Sci-Fi</v>
      </c>
      <c r="D3785" s="2">
        <f>IF(A3785&lt;&gt;"", VLOOKUP(A3785, imdb_netflix_v5!A$2:H$7370, 4, FALSE), "")</f>
        <v>7.4</v>
      </c>
      <c r="E3785" s="2">
        <f>IF(A3785&lt;&gt;"", VLOOKUP(A3785, imdb_netflix_v5!A$2:H$7370, 5, FALSE), "")</f>
        <v>2012</v>
      </c>
      <c r="F3785" s="2" t="str">
        <f>IF(A3785&lt;&gt;"", VLOOKUP(A3785, imdb_netflix_v5!A$2:H$7370, 7, FALSE), "")</f>
        <v>NA</v>
      </c>
    </row>
    <row r="3786" ht="15.75" customHeight="1">
      <c r="A3786" s="1" t="str">
        <f>IFERROR(__xludf.DUMMYFUNCTION("""COMPUTED_VALUE"""),"x2 x-men united")</f>
        <v>x2 x-men united</v>
      </c>
      <c r="B3786" s="1" t="str">
        <f>IF(A3786&lt;&gt;"", VLOOKUP(A3786, imdb_netflix_v5!A$2:H$7370, 2, FALSE), "")</f>
        <v>Movie</v>
      </c>
      <c r="C3786" s="2" t="str">
        <f>IF(A3786&lt;&gt;"", VLOOKUP(A3786, imdb_netflix_v5!A$2:H$7370, 3, FALSE), "")</f>
        <v>Action, Sci-Fi, Thriller</v>
      </c>
      <c r="D3786" s="2">
        <f>IF(A3786&lt;&gt;"", VLOOKUP(A3786, imdb_netflix_v5!A$2:H$7370, 4, FALSE), "")</f>
        <v>7.4</v>
      </c>
      <c r="E3786" s="2">
        <f>IF(A3786&lt;&gt;"", VLOOKUP(A3786, imdb_netflix_v5!A$2:H$7370, 5, FALSE), "")</f>
        <v>2003</v>
      </c>
      <c r="F3786" s="2" t="str">
        <f>IF(A3786&lt;&gt;"", VLOOKUP(A3786, imdb_netflix_v5!A$2:H$7370, 7, FALSE), "")</f>
        <v>NA</v>
      </c>
    </row>
    <row r="3787" ht="15.75" customHeight="1">
      <c r="A3787" s="1" t="str">
        <f>IFERROR(__xludf.DUMMYFUNCTION("""COMPUTED_VALUE"""),"the hobbit the battle of the five armies")</f>
        <v>the hobbit the battle of the five armies</v>
      </c>
      <c r="B3787" s="1" t="str">
        <f>IF(A3787&lt;&gt;"", VLOOKUP(A3787, imdb_netflix_v5!A$2:H$7370, 2, FALSE), "")</f>
        <v>Movie</v>
      </c>
      <c r="C3787" s="2" t="str">
        <f>IF(A3787&lt;&gt;"", VLOOKUP(A3787, imdb_netflix_v5!A$2:H$7370, 3, FALSE), "")</f>
        <v>Adventure, Fantasy</v>
      </c>
      <c r="D3787" s="2">
        <f>IF(A3787&lt;&gt;"", VLOOKUP(A3787, imdb_netflix_v5!A$2:H$7370, 4, FALSE), "")</f>
        <v>7.4</v>
      </c>
      <c r="E3787" s="2">
        <f>IF(A3787&lt;&gt;"", VLOOKUP(A3787, imdb_netflix_v5!A$2:H$7370, 5, FALSE), "")</f>
        <v>2014</v>
      </c>
      <c r="F3787" s="2" t="str">
        <f>IF(A3787&lt;&gt;"", VLOOKUP(A3787, imdb_netflix_v5!A$2:H$7370, 7, FALSE), "")</f>
        <v>NA</v>
      </c>
    </row>
    <row r="3788" ht="15.75" customHeight="1">
      <c r="A3788" s="1" t="str">
        <f>IFERROR(__xludf.DUMMYFUNCTION("""COMPUTED_VALUE"""),"crazy, stupid, love.")</f>
        <v>crazy, stupid, love.</v>
      </c>
      <c r="B3788" s="1" t="str">
        <f>IF(A3788&lt;&gt;"", VLOOKUP(A3788, imdb_netflix_v5!A$2:H$7370, 2, FALSE), "")</f>
        <v>Movie</v>
      </c>
      <c r="C3788" s="2" t="str">
        <f>IF(A3788&lt;&gt;"", VLOOKUP(A3788, imdb_netflix_v5!A$2:H$7370, 3, FALSE), "")</f>
        <v>Comedy, Drama, Romance</v>
      </c>
      <c r="D3788" s="2">
        <f>IF(A3788&lt;&gt;"", VLOOKUP(A3788, imdb_netflix_v5!A$2:H$7370, 4, FALSE), "")</f>
        <v>7.4</v>
      </c>
      <c r="E3788" s="2">
        <f>IF(A3788&lt;&gt;"", VLOOKUP(A3788, imdb_netflix_v5!A$2:H$7370, 5, FALSE), "")</f>
        <v>2011</v>
      </c>
      <c r="F3788" s="2" t="str">
        <f>IF(A3788&lt;&gt;"", VLOOKUP(A3788, imdb_netflix_v5!A$2:H$7370, 7, FALSE), "")</f>
        <v>NA</v>
      </c>
    </row>
    <row r="3789" ht="15.75" customHeight="1">
      <c r="A3789" s="1" t="str">
        <f>IFERROR(__xludf.DUMMYFUNCTION("""COMPUTED_VALUE"""),"spider-man far from home")</f>
        <v>spider-man far from home</v>
      </c>
      <c r="B3789" s="1" t="str">
        <f>IF(A3789&lt;&gt;"", VLOOKUP(A3789, imdb_netflix_v5!A$2:H$7370, 2, FALSE), "")</f>
        <v>Movie</v>
      </c>
      <c r="C3789" s="2" t="str">
        <f>IF(A3789&lt;&gt;"", VLOOKUP(A3789, imdb_netflix_v5!A$2:H$7370, 3, FALSE), "")</f>
        <v>Action, Adventure, Comedy</v>
      </c>
      <c r="D3789" s="2">
        <f>IF(A3789&lt;&gt;"", VLOOKUP(A3789, imdb_netflix_v5!A$2:H$7370, 4, FALSE), "")</f>
        <v>7.4</v>
      </c>
      <c r="E3789" s="2">
        <f>IF(A3789&lt;&gt;"", VLOOKUP(A3789, imdb_netflix_v5!A$2:H$7370, 5, FALSE), "")</f>
        <v>2019</v>
      </c>
      <c r="F3789" s="2">
        <f>IF(A3789&lt;&gt;"", VLOOKUP(A3789, imdb_netflix_v5!A$2:H$7370, 7, FALSE), "")</f>
        <v>11320000</v>
      </c>
    </row>
    <row r="3790" ht="15.75" customHeight="1">
      <c r="A3790" s="1" t="str">
        <f>IFERROR(__xludf.DUMMYFUNCTION("""COMPUTED_VALUE"""),"juno")</f>
        <v>juno</v>
      </c>
      <c r="B3790" s="1" t="str">
        <f>IF(A3790&lt;&gt;"", VLOOKUP(A3790, imdb_netflix_v5!A$2:H$7370, 2, FALSE), "")</f>
        <v>Movie</v>
      </c>
      <c r="C3790" s="2" t="str">
        <f>IF(A3790&lt;&gt;"", VLOOKUP(A3790, imdb_netflix_v5!A$2:H$7370, 3, FALSE), "")</f>
        <v>Comedy, Drama</v>
      </c>
      <c r="D3790" s="2">
        <f>IF(A3790&lt;&gt;"", VLOOKUP(A3790, imdb_netflix_v5!A$2:H$7370, 4, FALSE), "")</f>
        <v>7.4</v>
      </c>
      <c r="E3790" s="2">
        <f>IF(A3790&lt;&gt;"", VLOOKUP(A3790, imdb_netflix_v5!A$2:H$7370, 5, FALSE), "")</f>
        <v>2007</v>
      </c>
      <c r="F3790" s="2" t="str">
        <f>IF(A3790&lt;&gt;"", VLOOKUP(A3790, imdb_netflix_v5!A$2:H$7370, 7, FALSE), "")</f>
        <v>NA</v>
      </c>
    </row>
    <row r="3791" ht="15.75" customHeight="1">
      <c r="A3791" s="1" t="str">
        <f>IFERROR(__xludf.DUMMYFUNCTION("""COMPUTED_VALUE"""),"mission impossible - ghost protocol")</f>
        <v>mission impossible - ghost protocol</v>
      </c>
      <c r="B3791" s="1" t="str">
        <f>IF(A3791&lt;&gt;"", VLOOKUP(A3791, imdb_netflix_v5!A$2:H$7370, 2, FALSE), "")</f>
        <v>Movie</v>
      </c>
      <c r="C3791" s="2" t="str">
        <f>IF(A3791&lt;&gt;"", VLOOKUP(A3791, imdb_netflix_v5!A$2:H$7370, 3, FALSE), "")</f>
        <v>Action, Adventure, Thriller</v>
      </c>
      <c r="D3791" s="2">
        <f>IF(A3791&lt;&gt;"", VLOOKUP(A3791, imdb_netflix_v5!A$2:H$7370, 4, FALSE), "")</f>
        <v>7.4</v>
      </c>
      <c r="E3791" s="2">
        <f>IF(A3791&lt;&gt;"", VLOOKUP(A3791, imdb_netflix_v5!A$2:H$7370, 5, FALSE), "")</f>
        <v>2011</v>
      </c>
      <c r="F3791" s="2">
        <f>IF(A3791&lt;&gt;"", VLOOKUP(A3791, imdb_netflix_v5!A$2:H$7370, 7, FALSE), "")</f>
        <v>6550000</v>
      </c>
    </row>
    <row r="3792" ht="15.75" customHeight="1">
      <c r="A3792" s="1" t="str">
        <f>IFERROR(__xludf.DUMMYFUNCTION("""COMPUTED_VALUE"""),"john wick chapter 2")</f>
        <v>john wick chapter 2</v>
      </c>
      <c r="B3792" s="1" t="str">
        <f>IF(A3792&lt;&gt;"", VLOOKUP(A3792, imdb_netflix_v5!A$2:H$7370, 2, FALSE), "")</f>
        <v>Movie</v>
      </c>
      <c r="C3792" s="2" t="str">
        <f>IF(A3792&lt;&gt;"", VLOOKUP(A3792, imdb_netflix_v5!A$2:H$7370, 3, FALSE), "")</f>
        <v>Action, Crime, Thriller</v>
      </c>
      <c r="D3792" s="2">
        <f>IF(A3792&lt;&gt;"", VLOOKUP(A3792, imdb_netflix_v5!A$2:H$7370, 4, FALSE), "")</f>
        <v>7.4</v>
      </c>
      <c r="E3792" s="2">
        <f>IF(A3792&lt;&gt;"", VLOOKUP(A3792, imdb_netflix_v5!A$2:H$7370, 5, FALSE), "")</f>
        <v>2017</v>
      </c>
      <c r="F3792" s="2">
        <f>IF(A3792&lt;&gt;"", VLOOKUP(A3792, imdb_netflix_v5!A$2:H$7370, 7, FALSE), "")</f>
        <v>7800000</v>
      </c>
    </row>
    <row r="3793" ht="15.75" customHeight="1">
      <c r="A3793" s="1" t="str">
        <f>IFERROR(__xludf.DUMMYFUNCTION("""COMPUTED_VALUE"""),"shrek 2")</f>
        <v>shrek 2</v>
      </c>
      <c r="B3793" s="1" t="str">
        <f>IF(A3793&lt;&gt;"", VLOOKUP(A3793, imdb_netflix_v5!A$2:H$7370, 2, FALSE), "")</f>
        <v>Movie</v>
      </c>
      <c r="C3793" s="2" t="str">
        <f>IF(A3793&lt;&gt;"", VLOOKUP(A3793, imdb_netflix_v5!A$2:H$7370, 3, FALSE), "")</f>
        <v>Adventure, Animation, Comedy</v>
      </c>
      <c r="D3793" s="2">
        <f>IF(A3793&lt;&gt;"", VLOOKUP(A3793, imdb_netflix_v5!A$2:H$7370, 4, FALSE), "")</f>
        <v>7.4</v>
      </c>
      <c r="E3793" s="2">
        <f>IF(A3793&lt;&gt;"", VLOOKUP(A3793, imdb_netflix_v5!A$2:H$7370, 5, FALSE), "")</f>
        <v>2004</v>
      </c>
      <c r="F3793" s="2">
        <f>IF(A3793&lt;&gt;"", VLOOKUP(A3793, imdb_netflix_v5!A$2:H$7370, 7, FALSE), "")</f>
        <v>6750000</v>
      </c>
    </row>
    <row r="3794" ht="15.75" customHeight="1">
      <c r="A3794" s="1" t="str">
        <f>IFERROR(__xludf.DUMMYFUNCTION("""COMPUTED_VALUE"""),"the terminal")</f>
        <v>the terminal</v>
      </c>
      <c r="B3794" s="1" t="str">
        <f>IF(A3794&lt;&gt;"", VLOOKUP(A3794, imdb_netflix_v5!A$2:H$7370, 2, FALSE), "")</f>
        <v>Movie</v>
      </c>
      <c r="C3794" s="2" t="str">
        <f>IF(A3794&lt;&gt;"", VLOOKUP(A3794, imdb_netflix_v5!A$2:H$7370, 3, FALSE), "")</f>
        <v>Comedy, Drama, Romance</v>
      </c>
      <c r="D3794" s="2">
        <f>IF(A3794&lt;&gt;"", VLOOKUP(A3794, imdb_netflix_v5!A$2:H$7370, 4, FALSE), "")</f>
        <v>7.4</v>
      </c>
      <c r="E3794" s="2">
        <f>IF(A3794&lt;&gt;"", VLOOKUP(A3794, imdb_netflix_v5!A$2:H$7370, 5, FALSE), "")</f>
        <v>2004</v>
      </c>
      <c r="F3794" s="2" t="str">
        <f>IF(A3794&lt;&gt;"", VLOOKUP(A3794, imdb_netflix_v5!A$2:H$7370, 7, FALSE), "")</f>
        <v>NA</v>
      </c>
    </row>
    <row r="3795" ht="15.75" customHeight="1">
      <c r="A3795" s="1" t="str">
        <f>IFERROR(__xludf.DUMMYFUNCTION("""COMPUTED_VALUE"""),"ready player one")</f>
        <v>ready player one</v>
      </c>
      <c r="B3795" s="1" t="str">
        <f>IF(A3795&lt;&gt;"", VLOOKUP(A3795, imdb_netflix_v5!A$2:H$7370, 2, FALSE), "")</f>
        <v>Movie</v>
      </c>
      <c r="C3795" s="2" t="str">
        <f>IF(A3795&lt;&gt;"", VLOOKUP(A3795, imdb_netflix_v5!A$2:H$7370, 3, FALSE), "")</f>
        <v>Action, Adventure, Sci-Fi</v>
      </c>
      <c r="D3795" s="2">
        <f>IF(A3795&lt;&gt;"", VLOOKUP(A3795, imdb_netflix_v5!A$2:H$7370, 4, FALSE), "")</f>
        <v>7.4</v>
      </c>
      <c r="E3795" s="2">
        <f>IF(A3795&lt;&gt;"", VLOOKUP(A3795, imdb_netflix_v5!A$2:H$7370, 5, FALSE), "")</f>
        <v>2018</v>
      </c>
      <c r="F3795" s="2" t="str">
        <f>IF(A3795&lt;&gt;"", VLOOKUP(A3795, imdb_netflix_v5!A$2:H$7370, 7, FALSE), "")</f>
        <v>NA</v>
      </c>
    </row>
    <row r="3796" ht="15.75" customHeight="1">
      <c r="A3796" s="1" t="str">
        <f>IFERROR(__xludf.DUMMYFUNCTION("""COMPUTED_VALUE"""),"back to the future part iii")</f>
        <v>back to the future part iii</v>
      </c>
      <c r="B3796" s="1" t="str">
        <f>IF(A3796&lt;&gt;"", VLOOKUP(A3796, imdb_netflix_v5!A$2:H$7370, 2, FALSE), "")</f>
        <v>Movie</v>
      </c>
      <c r="C3796" s="2" t="str">
        <f>IF(A3796&lt;&gt;"", VLOOKUP(A3796, imdb_netflix_v5!A$2:H$7370, 3, FALSE), "")</f>
        <v>Adventure, Comedy, Sci-Fi</v>
      </c>
      <c r="D3796" s="2">
        <f>IF(A3796&lt;&gt;"", VLOOKUP(A3796, imdb_netflix_v5!A$2:H$7370, 4, FALSE), "")</f>
        <v>7.4</v>
      </c>
      <c r="E3796" s="2">
        <f>IF(A3796&lt;&gt;"", VLOOKUP(A3796, imdb_netflix_v5!A$2:H$7370, 5, FALSE), "")</f>
        <v>1990</v>
      </c>
      <c r="F3796" s="2" t="str">
        <f>IF(A3796&lt;&gt;"", VLOOKUP(A3796, imdb_netflix_v5!A$2:H$7370, 7, FALSE), "")</f>
        <v>NA</v>
      </c>
    </row>
    <row r="3797" ht="15.75" customHeight="1">
      <c r="A3797" s="1" t="str">
        <f>IFERROR(__xludf.DUMMYFUNCTION("""COMPUTED_VALUE"""),"sherlock holmes a game of shadows")</f>
        <v>sherlock holmes a game of shadows</v>
      </c>
      <c r="B3797" s="1" t="str">
        <f>IF(A3797&lt;&gt;"", VLOOKUP(A3797, imdb_netflix_v5!A$2:H$7370, 2, FALSE), "")</f>
        <v>Movie</v>
      </c>
      <c r="C3797" s="2" t="str">
        <f>IF(A3797&lt;&gt;"", VLOOKUP(A3797, imdb_netflix_v5!A$2:H$7370, 3, FALSE), "")</f>
        <v>Action, Adventure, Mystery</v>
      </c>
      <c r="D3797" s="2">
        <f>IF(A3797&lt;&gt;"", VLOOKUP(A3797, imdb_netflix_v5!A$2:H$7370, 4, FALSE), "")</f>
        <v>7.4</v>
      </c>
      <c r="E3797" s="2">
        <f>IF(A3797&lt;&gt;"", VLOOKUP(A3797, imdb_netflix_v5!A$2:H$7370, 5, FALSE), "")</f>
        <v>2011</v>
      </c>
      <c r="F3797" s="2" t="str">
        <f>IF(A3797&lt;&gt;"", VLOOKUP(A3797, imdb_netflix_v5!A$2:H$7370, 7, FALSE), "")</f>
        <v>NA</v>
      </c>
    </row>
    <row r="3798" ht="15.75" customHeight="1">
      <c r="A3798" s="1" t="str">
        <f>IFERROR(__xludf.DUMMYFUNCTION("""COMPUTED_VALUE"""),"borat")</f>
        <v>borat</v>
      </c>
      <c r="B3798" s="1" t="str">
        <f>IF(A3798&lt;&gt;"", VLOOKUP(A3798, imdb_netflix_v5!A$2:H$7370, 2, FALSE), "")</f>
        <v>Movie</v>
      </c>
      <c r="C3798" s="2" t="str">
        <f>IF(A3798&lt;&gt;"", VLOOKUP(A3798, imdb_netflix_v5!A$2:H$7370, 3, FALSE), "")</f>
        <v>Comedy</v>
      </c>
      <c r="D3798" s="2">
        <f>IF(A3798&lt;&gt;"", VLOOKUP(A3798, imdb_netflix_v5!A$2:H$7370, 4, FALSE), "")</f>
        <v>7.4</v>
      </c>
      <c r="E3798" s="2">
        <f>IF(A3798&lt;&gt;"", VLOOKUP(A3798, imdb_netflix_v5!A$2:H$7370, 5, FALSE), "")</f>
        <v>2006</v>
      </c>
      <c r="F3798" s="2" t="str">
        <f>IF(A3798&lt;&gt;"", VLOOKUP(A3798, imdb_netflix_v5!A$2:H$7370, 7, FALSE), "")</f>
        <v>NA</v>
      </c>
    </row>
    <row r="3799" ht="15.75" customHeight="1">
      <c r="A3799" s="1" t="str">
        <f>IFERROR(__xludf.DUMMYFUNCTION("""COMPUTED_VALUE"""),"shang-chi and the legend of the ten rings")</f>
        <v>shang-chi and the legend of the ten rings</v>
      </c>
      <c r="B3799" s="1" t="str">
        <f>IF(A3799&lt;&gt;"", VLOOKUP(A3799, imdb_netflix_v5!A$2:H$7370, 2, FALSE), "")</f>
        <v>Movie</v>
      </c>
      <c r="C3799" s="2" t="str">
        <f>IF(A3799&lt;&gt;"", VLOOKUP(A3799, imdb_netflix_v5!A$2:H$7370, 3, FALSE), "")</f>
        <v>Action, Adventure, Fantasy</v>
      </c>
      <c r="D3799" s="2">
        <f>IF(A3799&lt;&gt;"", VLOOKUP(A3799, imdb_netflix_v5!A$2:H$7370, 4, FALSE), "")</f>
        <v>7.4</v>
      </c>
      <c r="E3799" s="2">
        <f>IF(A3799&lt;&gt;"", VLOOKUP(A3799, imdb_netflix_v5!A$2:H$7370, 5, FALSE), "")</f>
        <v>2021</v>
      </c>
      <c r="F3799" s="2" t="str">
        <f>IF(A3799&lt;&gt;"", VLOOKUP(A3799, imdb_netflix_v5!A$2:H$7370, 7, FALSE), "")</f>
        <v>NA</v>
      </c>
    </row>
    <row r="3800" ht="15.75" customHeight="1">
      <c r="A3800" s="1" t="str">
        <f>IFERROR(__xludf.DUMMYFUNCTION("""COMPUTED_VALUE"""),"john wick chapter 3 - parabellum")</f>
        <v>john wick chapter 3 - parabellum</v>
      </c>
      <c r="B3800" s="1" t="str">
        <f>IF(A3800&lt;&gt;"", VLOOKUP(A3800, imdb_netflix_v5!A$2:H$7370, 2, FALSE), "")</f>
        <v>Movie</v>
      </c>
      <c r="C3800" s="2" t="str">
        <f>IF(A3800&lt;&gt;"", VLOOKUP(A3800, imdb_netflix_v5!A$2:H$7370, 3, FALSE), "")</f>
        <v>Action, Crime, Thriller</v>
      </c>
      <c r="D3800" s="2">
        <f>IF(A3800&lt;&gt;"", VLOOKUP(A3800, imdb_netflix_v5!A$2:H$7370, 4, FALSE), "")</f>
        <v>7.4</v>
      </c>
      <c r="E3800" s="2">
        <f>IF(A3800&lt;&gt;"", VLOOKUP(A3800, imdb_netflix_v5!A$2:H$7370, 5, FALSE), "")</f>
        <v>2019</v>
      </c>
      <c r="F3800" s="2">
        <f>IF(A3800&lt;&gt;"", VLOOKUP(A3800, imdb_netflix_v5!A$2:H$7370, 7, FALSE), "")</f>
        <v>8790000</v>
      </c>
    </row>
    <row r="3801" ht="15.75" customHeight="1">
      <c r="A3801" s="1" t="str">
        <f>IFERROR(__xludf.DUMMYFUNCTION("""COMPUTED_VALUE"""),"mission impossible - rogue nation")</f>
        <v>mission impossible - rogue nation</v>
      </c>
      <c r="B3801" s="1" t="str">
        <f>IF(A3801&lt;&gt;"", VLOOKUP(A3801, imdb_netflix_v5!A$2:H$7370, 2, FALSE), "")</f>
        <v>Movie</v>
      </c>
      <c r="C3801" s="2" t="str">
        <f>IF(A3801&lt;&gt;"", VLOOKUP(A3801, imdb_netflix_v5!A$2:H$7370, 3, FALSE), "")</f>
        <v>Action, Adventure, Thriller</v>
      </c>
      <c r="D3801" s="2">
        <f>IF(A3801&lt;&gt;"", VLOOKUP(A3801, imdb_netflix_v5!A$2:H$7370, 4, FALSE), "")</f>
        <v>7.4</v>
      </c>
      <c r="E3801" s="2">
        <f>IF(A3801&lt;&gt;"", VLOOKUP(A3801, imdb_netflix_v5!A$2:H$7370, 5, FALSE), "")</f>
        <v>2015</v>
      </c>
      <c r="F3801" s="2" t="str">
        <f>IF(A3801&lt;&gt;"", VLOOKUP(A3801, imdb_netflix_v5!A$2:H$7370, 7, FALSE), "")</f>
        <v>NA</v>
      </c>
    </row>
    <row r="3802" ht="15.75" customHeight="1">
      <c r="A3802" s="1" t="str">
        <f>IFERROR(__xludf.DUMMYFUNCTION("""COMPUTED_VALUE"""),"scream")</f>
        <v>scream</v>
      </c>
      <c r="B3802" s="1" t="str">
        <f>IF(A3802&lt;&gt;"", VLOOKUP(A3802, imdb_netflix_v5!A$2:H$7370, 2, FALSE), "")</f>
        <v>Movie</v>
      </c>
      <c r="C3802" s="2" t="str">
        <f>IF(A3802&lt;&gt;"", VLOOKUP(A3802, imdb_netflix_v5!A$2:H$7370, 3, FALSE), "")</f>
        <v>Horror, Mystery</v>
      </c>
      <c r="D3802" s="2">
        <f>IF(A3802&lt;&gt;"", VLOOKUP(A3802, imdb_netflix_v5!A$2:H$7370, 4, FALSE), "")</f>
        <v>7.4</v>
      </c>
      <c r="E3802" s="2">
        <f>IF(A3802&lt;&gt;"", VLOOKUP(A3802, imdb_netflix_v5!A$2:H$7370, 5, FALSE), "")</f>
        <v>1996</v>
      </c>
      <c r="F3802" s="2" t="str">
        <f>IF(A3802&lt;&gt;"", VLOOKUP(A3802, imdb_netflix_v5!A$2:H$7370, 7, FALSE), "")</f>
        <v>NA</v>
      </c>
    </row>
    <row r="3803" ht="15.75" customHeight="1">
      <c r="A3803" s="1" t="str">
        <f>IFERROR(__xludf.DUMMYFUNCTION("""COMPUTED_VALUE"""),"the nice guys")</f>
        <v>the nice guys</v>
      </c>
      <c r="B3803" s="1" t="str">
        <f>IF(A3803&lt;&gt;"", VLOOKUP(A3803, imdb_netflix_v5!A$2:H$7370, 2, FALSE), "")</f>
        <v>Movie</v>
      </c>
      <c r="C3803" s="2" t="str">
        <f>IF(A3803&lt;&gt;"", VLOOKUP(A3803, imdb_netflix_v5!A$2:H$7370, 3, FALSE), "")</f>
        <v>Action, Comedy, Crime</v>
      </c>
      <c r="D3803" s="2">
        <f>IF(A3803&lt;&gt;"", VLOOKUP(A3803, imdb_netflix_v5!A$2:H$7370, 4, FALSE), "")</f>
        <v>7.4</v>
      </c>
      <c r="E3803" s="2">
        <f>IF(A3803&lt;&gt;"", VLOOKUP(A3803, imdb_netflix_v5!A$2:H$7370, 5, FALSE), "")</f>
        <v>2016</v>
      </c>
      <c r="F3803" s="2" t="str">
        <f>IF(A3803&lt;&gt;"", VLOOKUP(A3803, imdb_netflix_v5!A$2:H$7370, 7, FALSE), "")</f>
        <v>NA</v>
      </c>
    </row>
    <row r="3804" ht="15.75" customHeight="1">
      <c r="A3804" s="1" t="str">
        <f>IFERROR(__xludf.DUMMYFUNCTION("""COMPUTED_VALUE"""),"cloud atlas")</f>
        <v>cloud atlas</v>
      </c>
      <c r="B3804" s="1" t="str">
        <f>IF(A3804&lt;&gt;"", VLOOKUP(A3804, imdb_netflix_v5!A$2:H$7370, 2, FALSE), "")</f>
        <v>Movie</v>
      </c>
      <c r="C3804" s="2" t="str">
        <f>IF(A3804&lt;&gt;"", VLOOKUP(A3804, imdb_netflix_v5!A$2:H$7370, 3, FALSE), "")</f>
        <v>Drama, Mystery, Sci-Fi</v>
      </c>
      <c r="D3804" s="2">
        <f>IF(A3804&lt;&gt;"", VLOOKUP(A3804, imdb_netflix_v5!A$2:H$7370, 4, FALSE), "")</f>
        <v>7.4</v>
      </c>
      <c r="E3804" s="2">
        <f>IF(A3804&lt;&gt;"", VLOOKUP(A3804, imdb_netflix_v5!A$2:H$7370, 5, FALSE), "")</f>
        <v>2012</v>
      </c>
      <c r="F3804" s="2" t="str">
        <f>IF(A3804&lt;&gt;"", VLOOKUP(A3804, imdb_netflix_v5!A$2:H$7370, 7, FALSE), "")</f>
        <v>NA</v>
      </c>
    </row>
    <row r="3805" ht="15.75" customHeight="1">
      <c r="A3805" s="1" t="str">
        <f>IFERROR(__xludf.DUMMYFUNCTION("""COMPUTED_VALUE"""),"the rock")</f>
        <v>the rock</v>
      </c>
      <c r="B3805" s="1" t="str">
        <f>IF(A3805&lt;&gt;"", VLOOKUP(A3805, imdb_netflix_v5!A$2:H$7370, 2, FALSE), "")</f>
        <v>Movie</v>
      </c>
      <c r="C3805" s="2" t="str">
        <f>IF(A3805&lt;&gt;"", VLOOKUP(A3805, imdb_netflix_v5!A$2:H$7370, 3, FALSE), "")</f>
        <v>Action, Adventure, Thriller</v>
      </c>
      <c r="D3805" s="2">
        <f>IF(A3805&lt;&gt;"", VLOOKUP(A3805, imdb_netflix_v5!A$2:H$7370, 4, FALSE), "")</f>
        <v>7.4</v>
      </c>
      <c r="E3805" s="2">
        <f>IF(A3805&lt;&gt;"", VLOOKUP(A3805, imdb_netflix_v5!A$2:H$7370, 5, FALSE), "")</f>
        <v>1996</v>
      </c>
      <c r="F3805" s="2" t="str">
        <f>IF(A3805&lt;&gt;"", VLOOKUP(A3805, imdb_netflix_v5!A$2:H$7370, 7, FALSE), "")</f>
        <v>NA</v>
      </c>
    </row>
    <row r="3806" ht="15.75" customHeight="1">
      <c r="A3806" s="1" t="str">
        <f>IFERROR(__xludf.DUMMYFUNCTION("""COMPUTED_VALUE"""),"up in the air")</f>
        <v>up in the air</v>
      </c>
      <c r="B3806" s="1" t="str">
        <f>IF(A3806&lt;&gt;"", VLOOKUP(A3806, imdb_netflix_v5!A$2:H$7370, 2, FALSE), "")</f>
        <v>Movie</v>
      </c>
      <c r="C3806" s="2" t="str">
        <f>IF(A3806&lt;&gt;"", VLOOKUP(A3806, imdb_netflix_v5!A$2:H$7370, 3, FALSE), "")</f>
        <v>Comedy, Drama, Romance</v>
      </c>
      <c r="D3806" s="2">
        <f>IF(A3806&lt;&gt;"", VLOOKUP(A3806, imdb_netflix_v5!A$2:H$7370, 4, FALSE), "")</f>
        <v>7.4</v>
      </c>
      <c r="E3806" s="2">
        <f>IF(A3806&lt;&gt;"", VLOOKUP(A3806, imdb_netflix_v5!A$2:H$7370, 5, FALSE), "")</f>
        <v>2009</v>
      </c>
      <c r="F3806" s="2" t="str">
        <f>IF(A3806&lt;&gt;"", VLOOKUP(A3806, imdb_netflix_v5!A$2:H$7370, 7, FALSE), "")</f>
        <v>NA</v>
      </c>
    </row>
    <row r="3807" ht="15.75" customHeight="1">
      <c r="A3807" s="1" t="str">
        <f>IFERROR(__xludf.DUMMYFUNCTION("""COMPUTED_VALUE"""),"lady bird")</f>
        <v>lady bird</v>
      </c>
      <c r="B3807" s="1" t="str">
        <f>IF(A3807&lt;&gt;"", VLOOKUP(A3807, imdb_netflix_v5!A$2:H$7370, 2, FALSE), "")</f>
        <v>Movie</v>
      </c>
      <c r="C3807" s="2" t="str">
        <f>IF(A3807&lt;&gt;"", VLOOKUP(A3807, imdb_netflix_v5!A$2:H$7370, 3, FALSE), "")</f>
        <v>Comedy, Drama</v>
      </c>
      <c r="D3807" s="2">
        <f>IF(A3807&lt;&gt;"", VLOOKUP(A3807, imdb_netflix_v5!A$2:H$7370, 4, FALSE), "")</f>
        <v>7.4</v>
      </c>
      <c r="E3807" s="2">
        <f>IF(A3807&lt;&gt;"", VLOOKUP(A3807, imdb_netflix_v5!A$2:H$7370, 5, FALSE), "")</f>
        <v>2017</v>
      </c>
      <c r="F3807" s="2" t="str">
        <f>IF(A3807&lt;&gt;"", VLOOKUP(A3807, imdb_netflix_v5!A$2:H$7370, 7, FALSE), "")</f>
        <v>NA</v>
      </c>
    </row>
    <row r="3808" ht="15.75" customHeight="1">
      <c r="A3808" s="1" t="str">
        <f>IFERROR(__xludf.DUMMYFUNCTION("""COMPUTED_VALUE"""),"nobody")</f>
        <v>nobody</v>
      </c>
      <c r="B3808" s="1" t="str">
        <f>IF(A3808&lt;&gt;"", VLOOKUP(A3808, imdb_netflix_v5!A$2:H$7370, 2, FALSE), "")</f>
        <v>Movie</v>
      </c>
      <c r="C3808" s="2" t="str">
        <f>IF(A3808&lt;&gt;"", VLOOKUP(A3808, imdb_netflix_v5!A$2:H$7370, 3, FALSE), "")</f>
        <v>Action, Crime, Drama</v>
      </c>
      <c r="D3808" s="2">
        <f>IF(A3808&lt;&gt;"", VLOOKUP(A3808, imdb_netflix_v5!A$2:H$7370, 4, FALSE), "")</f>
        <v>7.4</v>
      </c>
      <c r="E3808" s="2">
        <f>IF(A3808&lt;&gt;"", VLOOKUP(A3808, imdb_netflix_v5!A$2:H$7370, 5, FALSE), "")</f>
        <v>2021</v>
      </c>
      <c r="F3808" s="2">
        <f>IF(A3808&lt;&gt;"", VLOOKUP(A3808, imdb_netflix_v5!A$2:H$7370, 7, FALSE), "")</f>
        <v>10600000</v>
      </c>
    </row>
    <row r="3809" ht="15.75" customHeight="1">
      <c r="A3809" s="1" t="str">
        <f>IFERROR(__xludf.DUMMYFUNCTION("""COMPUTED_VALUE"""),"uncut gems")</f>
        <v>uncut gems</v>
      </c>
      <c r="B3809" s="1" t="str">
        <f>IF(A3809&lt;&gt;"", VLOOKUP(A3809, imdb_netflix_v5!A$2:H$7370, 2, FALSE), "")</f>
        <v>Movie</v>
      </c>
      <c r="C3809" s="2" t="str">
        <f>IF(A3809&lt;&gt;"", VLOOKUP(A3809, imdb_netflix_v5!A$2:H$7370, 3, FALSE), "")</f>
        <v>Crime, Drama, Thriller</v>
      </c>
      <c r="D3809" s="2">
        <f>IF(A3809&lt;&gt;"", VLOOKUP(A3809, imdb_netflix_v5!A$2:H$7370, 4, FALSE), "")</f>
        <v>7.4</v>
      </c>
      <c r="E3809" s="2">
        <f>IF(A3809&lt;&gt;"", VLOOKUP(A3809, imdb_netflix_v5!A$2:H$7370, 5, FALSE), "")</f>
        <v>2019</v>
      </c>
      <c r="F3809" s="2" t="str">
        <f>IF(A3809&lt;&gt;"", VLOOKUP(A3809, imdb_netflix_v5!A$2:H$7370, 7, FALSE), "")</f>
        <v>NA</v>
      </c>
    </row>
    <row r="3810" ht="15.75" customHeight="1">
      <c r="A3810" s="1" t="str">
        <f>IFERROR(__xludf.DUMMYFUNCTION("""COMPUTED_VALUE"""),"law abiding citizen")</f>
        <v>law abiding citizen</v>
      </c>
      <c r="B3810" s="1" t="str">
        <f>IF(A3810&lt;&gt;"", VLOOKUP(A3810, imdb_netflix_v5!A$2:H$7370, 2, FALSE), "")</f>
        <v>Movie</v>
      </c>
      <c r="C3810" s="2" t="str">
        <f>IF(A3810&lt;&gt;"", VLOOKUP(A3810, imdb_netflix_v5!A$2:H$7370, 3, FALSE), "")</f>
        <v>Action, Crime, Drama</v>
      </c>
      <c r="D3810" s="2">
        <f>IF(A3810&lt;&gt;"", VLOOKUP(A3810, imdb_netflix_v5!A$2:H$7370, 4, FALSE), "")</f>
        <v>7.4</v>
      </c>
      <c r="E3810" s="2">
        <f>IF(A3810&lt;&gt;"", VLOOKUP(A3810, imdb_netflix_v5!A$2:H$7370, 5, FALSE), "")</f>
        <v>2009</v>
      </c>
      <c r="F3810" s="2" t="str">
        <f>IF(A3810&lt;&gt;"", VLOOKUP(A3810, imdb_netflix_v5!A$2:H$7370, 7, FALSE), "")</f>
        <v>NA</v>
      </c>
    </row>
    <row r="3811" ht="15.75" customHeight="1">
      <c r="A3811" s="1" t="str">
        <f>IFERROR(__xludf.DUMMYFUNCTION("""COMPUTED_VALUE"""),"zero dark thirty")</f>
        <v>zero dark thirty</v>
      </c>
      <c r="B3811" s="1" t="str">
        <f>IF(A3811&lt;&gt;"", VLOOKUP(A3811, imdb_netflix_v5!A$2:H$7370, 2, FALSE), "")</f>
        <v>Movie</v>
      </c>
      <c r="C3811" s="2" t="str">
        <f>IF(A3811&lt;&gt;"", VLOOKUP(A3811, imdb_netflix_v5!A$2:H$7370, 3, FALSE), "")</f>
        <v>Drama, History, Thriller</v>
      </c>
      <c r="D3811" s="2">
        <f>IF(A3811&lt;&gt;"", VLOOKUP(A3811, imdb_netflix_v5!A$2:H$7370, 4, FALSE), "")</f>
        <v>7.4</v>
      </c>
      <c r="E3811" s="2">
        <f>IF(A3811&lt;&gt;"", VLOOKUP(A3811, imdb_netflix_v5!A$2:H$7370, 5, FALSE), "")</f>
        <v>2012</v>
      </c>
      <c r="F3811" s="2" t="str">
        <f>IF(A3811&lt;&gt;"", VLOOKUP(A3811, imdb_netflix_v5!A$2:H$7370, 7, FALSE), "")</f>
        <v>NA</v>
      </c>
    </row>
    <row r="3812" ht="15.75" customHeight="1">
      <c r="A3812" s="1" t="str">
        <f>IFERROR(__xludf.DUMMYFUNCTION("""COMPUTED_VALUE"""),"nocturnal animals")</f>
        <v>nocturnal animals</v>
      </c>
      <c r="B3812" s="1" t="str">
        <f>IF(A3812&lt;&gt;"", VLOOKUP(A3812, imdb_netflix_v5!A$2:H$7370, 2, FALSE), "")</f>
        <v>Movie</v>
      </c>
      <c r="C3812" s="2" t="str">
        <f>IF(A3812&lt;&gt;"", VLOOKUP(A3812, imdb_netflix_v5!A$2:H$7370, 3, FALSE), "")</f>
        <v>Drama, Thriller</v>
      </c>
      <c r="D3812" s="2">
        <f>IF(A3812&lt;&gt;"", VLOOKUP(A3812, imdb_netflix_v5!A$2:H$7370, 4, FALSE), "")</f>
        <v>7.4</v>
      </c>
      <c r="E3812" s="2">
        <f>IF(A3812&lt;&gt;"", VLOOKUP(A3812, imdb_netflix_v5!A$2:H$7370, 5, FALSE), "")</f>
        <v>2016</v>
      </c>
      <c r="F3812" s="2" t="str">
        <f>IF(A3812&lt;&gt;"", VLOOKUP(A3812, imdb_netflix_v5!A$2:H$7370, 7, FALSE), "")</f>
        <v>NA</v>
      </c>
    </row>
    <row r="3813" ht="15.75" customHeight="1">
      <c r="A3813" s="1" t="str">
        <f>IFERROR(__xludf.DUMMYFUNCTION("""COMPUTED_VALUE"""),"predestination")</f>
        <v>predestination</v>
      </c>
      <c r="B3813" s="1" t="str">
        <f>IF(A3813&lt;&gt;"", VLOOKUP(A3813, imdb_netflix_v5!A$2:H$7370, 2, FALSE), "")</f>
        <v>Movie</v>
      </c>
      <c r="C3813" s="2" t="str">
        <f>IF(A3813&lt;&gt;"", VLOOKUP(A3813, imdb_netflix_v5!A$2:H$7370, 3, FALSE), "")</f>
        <v>Action, Drama, Sci-Fi</v>
      </c>
      <c r="D3813" s="2">
        <f>IF(A3813&lt;&gt;"", VLOOKUP(A3813, imdb_netflix_v5!A$2:H$7370, 4, FALSE), "")</f>
        <v>7.4</v>
      </c>
      <c r="E3813" s="2">
        <f>IF(A3813&lt;&gt;"", VLOOKUP(A3813, imdb_netflix_v5!A$2:H$7370, 5, FALSE), "")</f>
        <v>2014</v>
      </c>
      <c r="F3813" s="2" t="str">
        <f>IF(A3813&lt;&gt;"", VLOOKUP(A3813, imdb_netflix_v5!A$2:H$7370, 7, FALSE), "")</f>
        <v>NA</v>
      </c>
    </row>
    <row r="3814" ht="15.75" customHeight="1">
      <c r="A3814" s="1" t="str">
        <f>IFERROR(__xludf.DUMMYFUNCTION("""COMPUTED_VALUE"""),"war for the planet of the apes")</f>
        <v>war for the planet of the apes</v>
      </c>
      <c r="B3814" s="1" t="str">
        <f>IF(A3814&lt;&gt;"", VLOOKUP(A3814, imdb_netflix_v5!A$2:H$7370, 2, FALSE), "")</f>
        <v>Movie</v>
      </c>
      <c r="C3814" s="2" t="str">
        <f>IF(A3814&lt;&gt;"", VLOOKUP(A3814, imdb_netflix_v5!A$2:H$7370, 3, FALSE), "")</f>
        <v>Action, Adventure, Drama</v>
      </c>
      <c r="D3814" s="2">
        <f>IF(A3814&lt;&gt;"", VLOOKUP(A3814, imdb_netflix_v5!A$2:H$7370, 4, FALSE), "")</f>
        <v>7.4</v>
      </c>
      <c r="E3814" s="2">
        <f>IF(A3814&lt;&gt;"", VLOOKUP(A3814, imdb_netflix_v5!A$2:H$7370, 5, FALSE), "")</f>
        <v>2017</v>
      </c>
      <c r="F3814" s="2" t="str">
        <f>IF(A3814&lt;&gt;"", VLOOKUP(A3814, imdb_netflix_v5!A$2:H$7370, 7, FALSE), "")</f>
        <v>NA</v>
      </c>
    </row>
    <row r="3815" ht="15.75" customHeight="1">
      <c r="A3815" s="1" t="str">
        <f>IFERROR(__xludf.DUMMYFUNCTION("""COMPUTED_VALUE"""),"corpse bride")</f>
        <v>corpse bride</v>
      </c>
      <c r="B3815" s="1" t="str">
        <f>IF(A3815&lt;&gt;"", VLOOKUP(A3815, imdb_netflix_v5!A$2:H$7370, 2, FALSE), "")</f>
        <v>Movie</v>
      </c>
      <c r="C3815" s="2" t="str">
        <f>IF(A3815&lt;&gt;"", VLOOKUP(A3815, imdb_netflix_v5!A$2:H$7370, 3, FALSE), "")</f>
        <v>Animation, Comedy, Drama</v>
      </c>
      <c r="D3815" s="2">
        <f>IF(A3815&lt;&gt;"", VLOOKUP(A3815, imdb_netflix_v5!A$2:H$7370, 4, FALSE), "")</f>
        <v>7.4</v>
      </c>
      <c r="E3815" s="2">
        <f>IF(A3815&lt;&gt;"", VLOOKUP(A3815, imdb_netflix_v5!A$2:H$7370, 5, FALSE), "")</f>
        <v>2005</v>
      </c>
      <c r="F3815" s="2" t="str">
        <f>IF(A3815&lt;&gt;"", VLOOKUP(A3815, imdb_netflix_v5!A$2:H$7370, 7, FALSE), "")</f>
        <v>NA</v>
      </c>
    </row>
    <row r="3816" ht="15.75" customHeight="1">
      <c r="A3816" s="1" t="str">
        <f>IFERROR(__xludf.DUMMYFUNCTION("""COMPUTED_VALUE"""),"sully")</f>
        <v>sully</v>
      </c>
      <c r="B3816" s="1" t="str">
        <f>IF(A3816&lt;&gt;"", VLOOKUP(A3816, imdb_netflix_v5!A$2:H$7370, 2, FALSE), "")</f>
        <v>Movie</v>
      </c>
      <c r="C3816" s="2" t="str">
        <f>IF(A3816&lt;&gt;"", VLOOKUP(A3816, imdb_netflix_v5!A$2:H$7370, 3, FALSE), "")</f>
        <v>Biography, Drama</v>
      </c>
      <c r="D3816" s="2">
        <f>IF(A3816&lt;&gt;"", VLOOKUP(A3816, imdb_netflix_v5!A$2:H$7370, 4, FALSE), "")</f>
        <v>7.4</v>
      </c>
      <c r="E3816" s="2">
        <f>IF(A3816&lt;&gt;"", VLOOKUP(A3816, imdb_netflix_v5!A$2:H$7370, 5, FALSE), "")</f>
        <v>2016</v>
      </c>
      <c r="F3816" s="2" t="str">
        <f>IF(A3816&lt;&gt;"", VLOOKUP(A3816, imdb_netflix_v5!A$2:H$7370, 7, FALSE), "")</f>
        <v>NA</v>
      </c>
    </row>
    <row r="3817" ht="15.75" customHeight="1">
      <c r="A3817" s="1" t="str">
        <f>IFERROR(__xludf.DUMMYFUNCTION("""COMPUTED_VALUE"""),"me before you")</f>
        <v>me before you</v>
      </c>
      <c r="B3817" s="1" t="str">
        <f>IF(A3817&lt;&gt;"", VLOOKUP(A3817, imdb_netflix_v5!A$2:H$7370, 2, FALSE), "")</f>
        <v>Movie</v>
      </c>
      <c r="C3817" s="2" t="str">
        <f>IF(A3817&lt;&gt;"", VLOOKUP(A3817, imdb_netflix_v5!A$2:H$7370, 3, FALSE), "")</f>
        <v>Drama, Romance</v>
      </c>
      <c r="D3817" s="2">
        <f>IF(A3817&lt;&gt;"", VLOOKUP(A3817, imdb_netflix_v5!A$2:H$7370, 4, FALSE), "")</f>
        <v>7.4</v>
      </c>
      <c r="E3817" s="2">
        <f>IF(A3817&lt;&gt;"", VLOOKUP(A3817, imdb_netflix_v5!A$2:H$7370, 5, FALSE), "")</f>
        <v>2016</v>
      </c>
      <c r="F3817" s="2" t="str">
        <f>IF(A3817&lt;&gt;"", VLOOKUP(A3817, imdb_netflix_v5!A$2:H$7370, 7, FALSE), "")</f>
        <v>NA</v>
      </c>
    </row>
    <row r="3818" ht="15.75" customHeight="1">
      <c r="A3818" s="1" t="str">
        <f>IFERROR(__xludf.DUMMYFUNCTION("""COMPUTED_VALUE"""),"a nightmare on elm street")</f>
        <v>a nightmare on elm street</v>
      </c>
      <c r="B3818" s="1" t="str">
        <f>IF(A3818&lt;&gt;"", VLOOKUP(A3818, imdb_netflix_v5!A$2:H$7370, 2, FALSE), "")</f>
        <v>Movie</v>
      </c>
      <c r="C3818" s="2" t="str">
        <f>IF(A3818&lt;&gt;"", VLOOKUP(A3818, imdb_netflix_v5!A$2:H$7370, 3, FALSE), "")</f>
        <v>Horror</v>
      </c>
      <c r="D3818" s="2">
        <f>IF(A3818&lt;&gt;"", VLOOKUP(A3818, imdb_netflix_v5!A$2:H$7370, 4, FALSE), "")</f>
        <v>7.4</v>
      </c>
      <c r="E3818" s="2">
        <f>IF(A3818&lt;&gt;"", VLOOKUP(A3818, imdb_netflix_v5!A$2:H$7370, 5, FALSE), "")</f>
        <v>1984</v>
      </c>
      <c r="F3818" s="2" t="str">
        <f>IF(A3818&lt;&gt;"", VLOOKUP(A3818, imdb_netflix_v5!A$2:H$7370, 7, FALSE), "")</f>
        <v>NA</v>
      </c>
    </row>
    <row r="3819" ht="15.75" customHeight="1">
      <c r="A3819" s="1" t="str">
        <f>IFERROR(__xludf.DUMMYFUNCTION("""COMPUTED_VALUE"""),"the lighthouse")</f>
        <v>the lighthouse</v>
      </c>
      <c r="B3819" s="1" t="str">
        <f>IF(A3819&lt;&gt;"", VLOOKUP(A3819, imdb_netflix_v5!A$2:H$7370, 2, FALSE), "")</f>
        <v>Movie</v>
      </c>
      <c r="C3819" s="2" t="str">
        <f>IF(A3819&lt;&gt;"", VLOOKUP(A3819, imdb_netflix_v5!A$2:H$7370, 3, FALSE), "")</f>
        <v>Drama, Fantasy, Horror</v>
      </c>
      <c r="D3819" s="2">
        <f>IF(A3819&lt;&gt;"", VLOOKUP(A3819, imdb_netflix_v5!A$2:H$7370, 4, FALSE), "")</f>
        <v>7.4</v>
      </c>
      <c r="E3819" s="2">
        <f>IF(A3819&lt;&gt;"", VLOOKUP(A3819, imdb_netflix_v5!A$2:H$7370, 5, FALSE), "")</f>
        <v>2019</v>
      </c>
      <c r="F3819" s="2" t="str">
        <f>IF(A3819&lt;&gt;"", VLOOKUP(A3819, imdb_netflix_v5!A$2:H$7370, 7, FALSE), "")</f>
        <v>NA</v>
      </c>
    </row>
    <row r="3820" ht="15.75" customHeight="1">
      <c r="A3820" s="1" t="str">
        <f>IFERROR(__xludf.DUMMYFUNCTION("""COMPUTED_VALUE"""),"the bucket list")</f>
        <v>the bucket list</v>
      </c>
      <c r="B3820" s="1" t="str">
        <f>IF(A3820&lt;&gt;"", VLOOKUP(A3820, imdb_netflix_v5!A$2:H$7370, 2, FALSE), "")</f>
        <v>Movie</v>
      </c>
      <c r="C3820" s="2" t="str">
        <f>IF(A3820&lt;&gt;"", VLOOKUP(A3820, imdb_netflix_v5!A$2:H$7370, 3, FALSE), "")</f>
        <v>Adventure, Comedy, Drama</v>
      </c>
      <c r="D3820" s="2">
        <f>IF(A3820&lt;&gt;"", VLOOKUP(A3820, imdb_netflix_v5!A$2:H$7370, 4, FALSE), "")</f>
        <v>7.4</v>
      </c>
      <c r="E3820" s="2">
        <f>IF(A3820&lt;&gt;"", VLOOKUP(A3820, imdb_netflix_v5!A$2:H$7370, 5, FALSE), "")</f>
        <v>2007</v>
      </c>
      <c r="F3820" s="2" t="str">
        <f>IF(A3820&lt;&gt;"", VLOOKUP(A3820, imdb_netflix_v5!A$2:H$7370, 7, FALSE), "")</f>
        <v>NA</v>
      </c>
    </row>
    <row r="3821" ht="15.75" customHeight="1">
      <c r="A3821" s="1" t="str">
        <f>IFERROR(__xludf.DUMMYFUNCTION("""COMPUTED_VALUE"""),"a history of violence")</f>
        <v>a history of violence</v>
      </c>
      <c r="B3821" s="1" t="str">
        <f>IF(A3821&lt;&gt;"", VLOOKUP(A3821, imdb_netflix_v5!A$2:H$7370, 2, FALSE), "")</f>
        <v>Movie</v>
      </c>
      <c r="C3821" s="2" t="str">
        <f>IF(A3821&lt;&gt;"", VLOOKUP(A3821, imdb_netflix_v5!A$2:H$7370, 3, FALSE), "")</f>
        <v>Action, Crime, Drama</v>
      </c>
      <c r="D3821" s="2">
        <f>IF(A3821&lt;&gt;"", VLOOKUP(A3821, imdb_netflix_v5!A$2:H$7370, 4, FALSE), "")</f>
        <v>7.4</v>
      </c>
      <c r="E3821" s="2">
        <f>IF(A3821&lt;&gt;"", VLOOKUP(A3821, imdb_netflix_v5!A$2:H$7370, 5, FALSE), "")</f>
        <v>2005</v>
      </c>
      <c r="F3821" s="2" t="str">
        <f>IF(A3821&lt;&gt;"", VLOOKUP(A3821, imdb_netflix_v5!A$2:H$7370, 7, FALSE), "")</f>
        <v>NA</v>
      </c>
    </row>
    <row r="3822" ht="15.75" customHeight="1">
      <c r="A3822" s="1" t="str">
        <f>IFERROR(__xludf.DUMMYFUNCTION("""COMPUTED_VALUE"""),"the talented mr. ripley")</f>
        <v>the talented mr. ripley</v>
      </c>
      <c r="B3822" s="1" t="str">
        <f>IF(A3822&lt;&gt;"", VLOOKUP(A3822, imdb_netflix_v5!A$2:H$7370, 2, FALSE), "")</f>
        <v>Movie</v>
      </c>
      <c r="C3822" s="2" t="str">
        <f>IF(A3822&lt;&gt;"", VLOOKUP(A3822, imdb_netflix_v5!A$2:H$7370, 3, FALSE), "")</f>
        <v>Crime, Drama, Thriller</v>
      </c>
      <c r="D3822" s="2">
        <f>IF(A3822&lt;&gt;"", VLOOKUP(A3822, imdb_netflix_v5!A$2:H$7370, 4, FALSE), "")</f>
        <v>7.4</v>
      </c>
      <c r="E3822" s="2">
        <f>IF(A3822&lt;&gt;"", VLOOKUP(A3822, imdb_netflix_v5!A$2:H$7370, 5, FALSE), "")</f>
        <v>1999</v>
      </c>
      <c r="F3822" s="2" t="str">
        <f>IF(A3822&lt;&gt;"", VLOOKUP(A3822, imdb_netflix_v5!A$2:H$7370, 7, FALSE), "")</f>
        <v>NA</v>
      </c>
    </row>
    <row r="3823" ht="15.75" customHeight="1">
      <c r="A3823" s="1" t="str">
        <f>IFERROR(__xludf.DUMMYFUNCTION("""COMPUTED_VALUE"""),"bram stokers dracula")</f>
        <v>bram stokers dracula</v>
      </c>
      <c r="B3823" s="1" t="str">
        <f>IF(A3823&lt;&gt;"", VLOOKUP(A3823, imdb_netflix_v5!A$2:H$7370, 2, FALSE), "")</f>
        <v>Movie</v>
      </c>
      <c r="C3823" s="2" t="str">
        <f>IF(A3823&lt;&gt;"", VLOOKUP(A3823, imdb_netflix_v5!A$2:H$7370, 3, FALSE), "")</f>
        <v>Fantasy, Horror, Romance</v>
      </c>
      <c r="D3823" s="2">
        <f>IF(A3823&lt;&gt;"", VLOOKUP(A3823, imdb_netflix_v5!A$2:H$7370, 4, FALSE), "")</f>
        <v>7.4</v>
      </c>
      <c r="E3823" s="2">
        <f>IF(A3823&lt;&gt;"", VLOOKUP(A3823, imdb_netflix_v5!A$2:H$7370, 5, FALSE), "")</f>
        <v>1992</v>
      </c>
      <c r="F3823" s="2" t="str">
        <f>IF(A3823&lt;&gt;"", VLOOKUP(A3823, imdb_netflix_v5!A$2:H$7370, 7, FALSE), "")</f>
        <v>NA</v>
      </c>
    </row>
    <row r="3824" ht="15.75" customHeight="1">
      <c r="A3824" s="1" t="str">
        <f>IFERROR(__xludf.DUMMYFUNCTION("""COMPUTED_VALUE"""),"the evil dead")</f>
        <v>the evil dead</v>
      </c>
      <c r="B3824" s="1" t="str">
        <f>IF(A3824&lt;&gt;"", VLOOKUP(A3824, imdb_netflix_v5!A$2:H$7370, 2, FALSE), "")</f>
        <v>Movie</v>
      </c>
      <c r="C3824" s="2" t="str">
        <f>IF(A3824&lt;&gt;"", VLOOKUP(A3824, imdb_netflix_v5!A$2:H$7370, 3, FALSE), "")</f>
        <v>Horror</v>
      </c>
      <c r="D3824" s="2">
        <f>IF(A3824&lt;&gt;"", VLOOKUP(A3824, imdb_netflix_v5!A$2:H$7370, 4, FALSE), "")</f>
        <v>7.4</v>
      </c>
      <c r="E3824" s="2">
        <f>IF(A3824&lt;&gt;"", VLOOKUP(A3824, imdb_netflix_v5!A$2:H$7370, 5, FALSE), "")</f>
        <v>1981</v>
      </c>
      <c r="F3824" s="2" t="str">
        <f>IF(A3824&lt;&gt;"", VLOOKUP(A3824, imdb_netflix_v5!A$2:H$7370, 7, FALSE), "")</f>
        <v>NA</v>
      </c>
    </row>
    <row r="3825" ht="15.75" customHeight="1">
      <c r="A3825" s="1" t="str">
        <f>IFERROR(__xludf.DUMMYFUNCTION("""COMPUTED_VALUE"""),"the emperors new groove")</f>
        <v>the emperors new groove</v>
      </c>
      <c r="B3825" s="1" t="str">
        <f>IF(A3825&lt;&gt;"", VLOOKUP(A3825, imdb_netflix_v5!A$2:H$7370, 2, FALSE), "")</f>
        <v>Movie</v>
      </c>
      <c r="C3825" s="2" t="str">
        <f>IF(A3825&lt;&gt;"", VLOOKUP(A3825, imdb_netflix_v5!A$2:H$7370, 3, FALSE), "")</f>
        <v>Adventure, Animation, Comedy</v>
      </c>
      <c r="D3825" s="2">
        <f>IF(A3825&lt;&gt;"", VLOOKUP(A3825, imdb_netflix_v5!A$2:H$7370, 4, FALSE), "")</f>
        <v>7.4</v>
      </c>
      <c r="E3825" s="2">
        <f>IF(A3825&lt;&gt;"", VLOOKUP(A3825, imdb_netflix_v5!A$2:H$7370, 5, FALSE), "")</f>
        <v>2000</v>
      </c>
      <c r="F3825" s="2" t="str">
        <f>IF(A3825&lt;&gt;"", VLOOKUP(A3825, imdb_netflix_v5!A$2:H$7370, 7, FALSE), "")</f>
        <v>NA</v>
      </c>
    </row>
    <row r="3826" ht="15.75" customHeight="1">
      <c r="A3826" s="1" t="str">
        <f>IFERROR(__xludf.DUMMYFUNCTION("""COMPUTED_VALUE"""),"erin brockovich")</f>
        <v>erin brockovich</v>
      </c>
      <c r="B3826" s="1" t="str">
        <f>IF(A3826&lt;&gt;"", VLOOKUP(A3826, imdb_netflix_v5!A$2:H$7370, 2, FALSE), "")</f>
        <v>Movie</v>
      </c>
      <c r="C3826" s="2" t="str">
        <f>IF(A3826&lt;&gt;"", VLOOKUP(A3826, imdb_netflix_v5!A$2:H$7370, 3, FALSE), "")</f>
        <v>Biography, Drama</v>
      </c>
      <c r="D3826" s="2">
        <f>IF(A3826&lt;&gt;"", VLOOKUP(A3826, imdb_netflix_v5!A$2:H$7370, 4, FALSE), "")</f>
        <v>7.4</v>
      </c>
      <c r="E3826" s="2">
        <f>IF(A3826&lt;&gt;"", VLOOKUP(A3826, imdb_netflix_v5!A$2:H$7370, 5, FALSE), "")</f>
        <v>2000</v>
      </c>
      <c r="F3826" s="2" t="str">
        <f>IF(A3826&lt;&gt;"", VLOOKUP(A3826, imdb_netflix_v5!A$2:H$7370, 7, FALSE), "")</f>
        <v>NA</v>
      </c>
    </row>
    <row r="3827" ht="15.75" customHeight="1">
      <c r="A3827" s="1" t="str">
        <f>IFERROR(__xludf.DUMMYFUNCTION("""COMPUTED_VALUE"""),"darkest hour")</f>
        <v>darkest hour</v>
      </c>
      <c r="B3827" s="1" t="str">
        <f>IF(A3827&lt;&gt;"", VLOOKUP(A3827, imdb_netflix_v5!A$2:H$7370, 2, FALSE), "")</f>
        <v>Movie</v>
      </c>
      <c r="C3827" s="2" t="str">
        <f>IF(A3827&lt;&gt;"", VLOOKUP(A3827, imdb_netflix_v5!A$2:H$7370, 3, FALSE), "")</f>
        <v>Drama, War</v>
      </c>
      <c r="D3827" s="2">
        <f>IF(A3827&lt;&gt;"", VLOOKUP(A3827, imdb_netflix_v5!A$2:H$7370, 4, FALSE), "")</f>
        <v>7.4</v>
      </c>
      <c r="E3827" s="2">
        <f>IF(A3827&lt;&gt;"", VLOOKUP(A3827, imdb_netflix_v5!A$2:H$7370, 5, FALSE), "")</f>
        <v>2017</v>
      </c>
      <c r="F3827" s="2" t="str">
        <f>IF(A3827&lt;&gt;"", VLOOKUP(A3827, imdb_netflix_v5!A$2:H$7370, 7, FALSE), "")</f>
        <v>NA</v>
      </c>
    </row>
    <row r="3828" ht="15.75" customHeight="1">
      <c r="A3828" s="1" t="str">
        <f>IFERROR(__xludf.DUMMYFUNCTION("""COMPUTED_VALUE"""),"garden state")</f>
        <v>garden state</v>
      </c>
      <c r="B3828" s="1" t="str">
        <f>IF(A3828&lt;&gt;"", VLOOKUP(A3828, imdb_netflix_v5!A$2:H$7370, 2, FALSE), "")</f>
        <v>Movie</v>
      </c>
      <c r="C3828" s="2" t="str">
        <f>IF(A3828&lt;&gt;"", VLOOKUP(A3828, imdb_netflix_v5!A$2:H$7370, 3, FALSE), "")</f>
        <v>Comedy, Drama, Romance</v>
      </c>
      <c r="D3828" s="2">
        <f>IF(A3828&lt;&gt;"", VLOOKUP(A3828, imdb_netflix_v5!A$2:H$7370, 4, FALSE), "")</f>
        <v>7.4</v>
      </c>
      <c r="E3828" s="2">
        <f>IF(A3828&lt;&gt;"", VLOOKUP(A3828, imdb_netflix_v5!A$2:H$7370, 5, FALSE), "")</f>
        <v>2004</v>
      </c>
      <c r="F3828" s="2" t="str">
        <f>IF(A3828&lt;&gt;"", VLOOKUP(A3828, imdb_netflix_v5!A$2:H$7370, 7, FALSE), "")</f>
        <v>NA</v>
      </c>
    </row>
    <row r="3829" ht="15.75" customHeight="1">
      <c r="A3829" s="1" t="str">
        <f>IFERROR(__xludf.DUMMYFUNCTION("""COMPUTED_VALUE"""),"beverly hills cop")</f>
        <v>beverly hills cop</v>
      </c>
      <c r="B3829" s="1" t="str">
        <f>IF(A3829&lt;&gt;"", VLOOKUP(A3829, imdb_netflix_v5!A$2:H$7370, 2, FALSE), "")</f>
        <v>Movie</v>
      </c>
      <c r="C3829" s="2" t="str">
        <f>IF(A3829&lt;&gt;"", VLOOKUP(A3829, imdb_netflix_v5!A$2:H$7370, 3, FALSE), "")</f>
        <v>Action, Comedy, Crime</v>
      </c>
      <c r="D3829" s="2">
        <f>IF(A3829&lt;&gt;"", VLOOKUP(A3829, imdb_netflix_v5!A$2:H$7370, 4, FALSE), "")</f>
        <v>7.4</v>
      </c>
      <c r="E3829" s="2">
        <f>IF(A3829&lt;&gt;"", VLOOKUP(A3829, imdb_netflix_v5!A$2:H$7370, 5, FALSE), "")</f>
        <v>1984</v>
      </c>
      <c r="F3829" s="2" t="str">
        <f>IF(A3829&lt;&gt;"", VLOOKUP(A3829, imdb_netflix_v5!A$2:H$7370, 7, FALSE), "")</f>
        <v>NA</v>
      </c>
    </row>
    <row r="3830" ht="15.75" customHeight="1">
      <c r="A3830" s="1" t="str">
        <f>IFERROR(__xludf.DUMMYFUNCTION("""COMPUTED_VALUE"""),"carrie")</f>
        <v>carrie</v>
      </c>
      <c r="B3830" s="1" t="str">
        <f>IF(A3830&lt;&gt;"", VLOOKUP(A3830, imdb_netflix_v5!A$2:H$7370, 2, FALSE), "")</f>
        <v>Movie</v>
      </c>
      <c r="C3830" s="2" t="str">
        <f>IF(A3830&lt;&gt;"", VLOOKUP(A3830, imdb_netflix_v5!A$2:H$7370, 3, FALSE), "")</f>
        <v>Horror, Mystery</v>
      </c>
      <c r="D3830" s="2">
        <f>IF(A3830&lt;&gt;"", VLOOKUP(A3830, imdb_netflix_v5!A$2:H$7370, 4, FALSE), "")</f>
        <v>7.4</v>
      </c>
      <c r="E3830" s="2">
        <f>IF(A3830&lt;&gt;"", VLOOKUP(A3830, imdb_netflix_v5!A$2:H$7370, 5, FALSE), "")</f>
        <v>1976</v>
      </c>
      <c r="F3830" s="2" t="str">
        <f>IF(A3830&lt;&gt;"", VLOOKUP(A3830, imdb_netflix_v5!A$2:H$7370, 7, FALSE), "")</f>
        <v>NA</v>
      </c>
    </row>
    <row r="3831" ht="15.75" customHeight="1">
      <c r="A3831" s="1" t="str">
        <f>IFERROR(__xludf.DUMMYFUNCTION("""COMPUTED_VALUE"""),"the judge")</f>
        <v>the judge</v>
      </c>
      <c r="B3831" s="1" t="str">
        <f>IF(A3831&lt;&gt;"", VLOOKUP(A3831, imdb_netflix_v5!A$2:H$7370, 2, FALSE), "")</f>
        <v>Movie</v>
      </c>
      <c r="C3831" s="2" t="str">
        <f>IF(A3831&lt;&gt;"", VLOOKUP(A3831, imdb_netflix_v5!A$2:H$7370, 3, FALSE), "")</f>
        <v>Crime, Drama, Mystery</v>
      </c>
      <c r="D3831" s="2">
        <f>IF(A3831&lt;&gt;"", VLOOKUP(A3831, imdb_netflix_v5!A$2:H$7370, 4, FALSE), "")</f>
        <v>7.4</v>
      </c>
      <c r="E3831" s="2">
        <f>IF(A3831&lt;&gt;"", VLOOKUP(A3831, imdb_netflix_v5!A$2:H$7370, 5, FALSE), "")</f>
        <v>2014</v>
      </c>
      <c r="F3831" s="2" t="str">
        <f>IF(A3831&lt;&gt;"", VLOOKUP(A3831, imdb_netflix_v5!A$2:H$7370, 7, FALSE), "")</f>
        <v>NA</v>
      </c>
    </row>
    <row r="3832" ht="15.75" customHeight="1">
      <c r="A3832" s="1" t="str">
        <f>IFERROR(__xludf.DUMMYFUNCTION("""COMPUTED_VALUE"""),"the english patient")</f>
        <v>the english patient</v>
      </c>
      <c r="B3832" s="1" t="str">
        <f>IF(A3832&lt;&gt;"", VLOOKUP(A3832, imdb_netflix_v5!A$2:H$7370, 2, FALSE), "")</f>
        <v>Movie</v>
      </c>
      <c r="C3832" s="2" t="str">
        <f>IF(A3832&lt;&gt;"", VLOOKUP(A3832, imdb_netflix_v5!A$2:H$7370, 3, FALSE), "")</f>
        <v>Drama, Romance, War</v>
      </c>
      <c r="D3832" s="2">
        <f>IF(A3832&lt;&gt;"", VLOOKUP(A3832, imdb_netflix_v5!A$2:H$7370, 4, FALSE), "")</f>
        <v>7.4</v>
      </c>
      <c r="E3832" s="2">
        <f>IF(A3832&lt;&gt;"", VLOOKUP(A3832, imdb_netflix_v5!A$2:H$7370, 5, FALSE), "")</f>
        <v>1996</v>
      </c>
      <c r="F3832" s="2" t="str">
        <f>IF(A3832&lt;&gt;"", VLOOKUP(A3832, imdb_netflix_v5!A$2:H$7370, 7, FALSE), "")</f>
        <v>NA</v>
      </c>
    </row>
    <row r="3833" ht="15.75" customHeight="1">
      <c r="A3833" s="1" t="str">
        <f>IFERROR(__xludf.DUMMYFUNCTION("""COMPUTED_VALUE"""),"luca")</f>
        <v>luca</v>
      </c>
      <c r="B3833" s="1" t="str">
        <f>IF(A3833&lt;&gt;"", VLOOKUP(A3833, imdb_netflix_v5!A$2:H$7370, 2, FALSE), "")</f>
        <v>Movie</v>
      </c>
      <c r="C3833" s="2" t="str">
        <f>IF(A3833&lt;&gt;"", VLOOKUP(A3833, imdb_netflix_v5!A$2:H$7370, 3, FALSE), "")</f>
        <v>Adventure, Animation, Comedy</v>
      </c>
      <c r="D3833" s="2">
        <f>IF(A3833&lt;&gt;"", VLOOKUP(A3833, imdb_netflix_v5!A$2:H$7370, 4, FALSE), "")</f>
        <v>7.4</v>
      </c>
      <c r="E3833" s="2">
        <f>IF(A3833&lt;&gt;"", VLOOKUP(A3833, imdb_netflix_v5!A$2:H$7370, 5, FALSE), "")</f>
        <v>2021</v>
      </c>
      <c r="F3833" s="2" t="str">
        <f>IF(A3833&lt;&gt;"", VLOOKUP(A3833, imdb_netflix_v5!A$2:H$7370, 7, FALSE), "")</f>
        <v>NA</v>
      </c>
    </row>
    <row r="3834" ht="15.75" customHeight="1">
      <c r="A3834" s="1" t="str">
        <f>IFERROR(__xludf.DUMMYFUNCTION("""COMPUTED_VALUE"""),"rec")</f>
        <v>rec</v>
      </c>
      <c r="B3834" s="1" t="str">
        <f>IF(A3834&lt;&gt;"", VLOOKUP(A3834, imdb_netflix_v5!A$2:H$7370, 2, FALSE), "")</f>
        <v>Movie</v>
      </c>
      <c r="C3834" s="2" t="str">
        <f>IF(A3834&lt;&gt;"", VLOOKUP(A3834, imdb_netflix_v5!A$2:H$7370, 3, FALSE), "")</f>
        <v>Horror, Mystery, Thriller</v>
      </c>
      <c r="D3834" s="2">
        <f>IF(A3834&lt;&gt;"", VLOOKUP(A3834, imdb_netflix_v5!A$2:H$7370, 4, FALSE), "")</f>
        <v>7.4</v>
      </c>
      <c r="E3834" s="2">
        <f>IF(A3834&lt;&gt;"", VLOOKUP(A3834, imdb_netflix_v5!A$2:H$7370, 5, FALSE), "")</f>
        <v>2007</v>
      </c>
      <c r="F3834" s="2" t="str">
        <f>IF(A3834&lt;&gt;"", VLOOKUP(A3834, imdb_netflix_v5!A$2:H$7370, 7, FALSE), "")</f>
        <v>NA</v>
      </c>
    </row>
    <row r="3835" ht="15.75" customHeight="1">
      <c r="A3835" s="1" t="str">
        <f>IFERROR(__xludf.DUMMYFUNCTION("""COMPUTED_VALUE"""),"army of darkness")</f>
        <v>army of darkness</v>
      </c>
      <c r="B3835" s="1" t="str">
        <f>IF(A3835&lt;&gt;"", VLOOKUP(A3835, imdb_netflix_v5!A$2:H$7370, 2, FALSE), "")</f>
        <v>Movie</v>
      </c>
      <c r="C3835" s="2" t="str">
        <f>IF(A3835&lt;&gt;"", VLOOKUP(A3835, imdb_netflix_v5!A$2:H$7370, 3, FALSE), "")</f>
        <v>Comedy, Horror</v>
      </c>
      <c r="D3835" s="2">
        <f>IF(A3835&lt;&gt;"", VLOOKUP(A3835, imdb_netflix_v5!A$2:H$7370, 4, FALSE), "")</f>
        <v>7.4</v>
      </c>
      <c r="E3835" s="2">
        <f>IF(A3835&lt;&gt;"", VLOOKUP(A3835, imdb_netflix_v5!A$2:H$7370, 5, FALSE), "")</f>
        <v>1992</v>
      </c>
      <c r="F3835" s="2" t="str">
        <f>IF(A3835&lt;&gt;"", VLOOKUP(A3835, imdb_netflix_v5!A$2:H$7370, 7, FALSE), "")</f>
        <v>NA</v>
      </c>
    </row>
    <row r="3836" ht="15.75" customHeight="1">
      <c r="A3836" s="1" t="str">
        <f>IFERROR(__xludf.DUMMYFUNCTION("""COMPUTED_VALUE"""),"bridgerton")</f>
        <v>bridgerton</v>
      </c>
      <c r="B3836" s="1" t="str">
        <f>IF(A3836&lt;&gt;"", VLOOKUP(A3836, imdb_netflix_v5!A$2:H$7370, 2, FALSE), "")</f>
        <v>TV Show</v>
      </c>
      <c r="C3836" s="2" t="str">
        <f>IF(A3836&lt;&gt;"", VLOOKUP(A3836, imdb_netflix_v5!A$2:H$7370, 3, FALSE), "")</f>
        <v>Drama, Romance</v>
      </c>
      <c r="D3836" s="2">
        <f>IF(A3836&lt;&gt;"", VLOOKUP(A3836, imdb_netflix_v5!A$2:H$7370, 4, FALSE), "")</f>
        <v>7.4</v>
      </c>
      <c r="E3836" s="2">
        <f>IF(A3836&lt;&gt;"", VLOOKUP(A3836, imdb_netflix_v5!A$2:H$7370, 5, FALSE), "")</f>
        <v>2020</v>
      </c>
      <c r="F3836" s="2">
        <f>IF(A3836&lt;&gt;"", VLOOKUP(A3836, imdb_netflix_v5!A$2:H$7370, 7, FALSE), "")</f>
        <v>12540000</v>
      </c>
    </row>
    <row r="3837" ht="15.75" customHeight="1">
      <c r="A3837" s="1" t="str">
        <f>IFERROR(__xludf.DUMMYFUNCTION("""COMPUTED_VALUE"""),"k-pax")</f>
        <v>k-pax</v>
      </c>
      <c r="B3837" s="1" t="str">
        <f>IF(A3837&lt;&gt;"", VLOOKUP(A3837, imdb_netflix_v5!A$2:H$7370, 2, FALSE), "")</f>
        <v>Movie</v>
      </c>
      <c r="C3837" s="2" t="str">
        <f>IF(A3837&lt;&gt;"", VLOOKUP(A3837, imdb_netflix_v5!A$2:H$7370, 3, FALSE), "")</f>
        <v>Drama, Mystery, Sci-Fi</v>
      </c>
      <c r="D3837" s="2">
        <f>IF(A3837&lt;&gt;"", VLOOKUP(A3837, imdb_netflix_v5!A$2:H$7370, 4, FALSE), "")</f>
        <v>7.4</v>
      </c>
      <c r="E3837" s="2">
        <f>IF(A3837&lt;&gt;"", VLOOKUP(A3837, imdb_netflix_v5!A$2:H$7370, 5, FALSE), "")</f>
        <v>2001</v>
      </c>
      <c r="F3837" s="2" t="str">
        <f>IF(A3837&lt;&gt;"", VLOOKUP(A3837, imdb_netflix_v5!A$2:H$7370, 7, FALSE), "")</f>
        <v>NA</v>
      </c>
    </row>
    <row r="3838" ht="15.75" customHeight="1">
      <c r="A3838" s="1" t="str">
        <f>IFERROR(__xludf.DUMMYFUNCTION("""COMPUTED_VALUE"""),"the texas chain saw massacre")</f>
        <v>the texas chain saw massacre</v>
      </c>
      <c r="B3838" s="1" t="str">
        <f>IF(A3838&lt;&gt;"", VLOOKUP(A3838, imdb_netflix_v5!A$2:H$7370, 2, FALSE), "")</f>
        <v>Movie</v>
      </c>
      <c r="C3838" s="2" t="str">
        <f>IF(A3838&lt;&gt;"", VLOOKUP(A3838, imdb_netflix_v5!A$2:H$7370, 3, FALSE), "")</f>
        <v>Horror</v>
      </c>
      <c r="D3838" s="2">
        <f>IF(A3838&lt;&gt;"", VLOOKUP(A3838, imdb_netflix_v5!A$2:H$7370, 4, FALSE), "")</f>
        <v>7.4</v>
      </c>
      <c r="E3838" s="2">
        <f>IF(A3838&lt;&gt;"", VLOOKUP(A3838, imdb_netflix_v5!A$2:H$7370, 5, FALSE), "")</f>
        <v>1974</v>
      </c>
      <c r="F3838" s="2" t="str">
        <f>IF(A3838&lt;&gt;"", VLOOKUP(A3838, imdb_netflix_v5!A$2:H$7370, 7, FALSE), "")</f>
        <v>NA</v>
      </c>
    </row>
    <row r="3839" ht="15.75" customHeight="1">
      <c r="A3839" s="1" t="str">
        <f>IFERROR(__xludf.DUMMYFUNCTION("""COMPUTED_VALUE"""),"mollys game")</f>
        <v>mollys game</v>
      </c>
      <c r="B3839" s="1" t="str">
        <f>IF(A3839&lt;&gt;"", VLOOKUP(A3839, imdb_netflix_v5!A$2:H$7370, 2, FALSE), "")</f>
        <v>Movie</v>
      </c>
      <c r="C3839" s="2" t="str">
        <f>IF(A3839&lt;&gt;"", VLOOKUP(A3839, imdb_netflix_v5!A$2:H$7370, 3, FALSE), "")</f>
        <v>Biography, Crime, Drama</v>
      </c>
      <c r="D3839" s="2">
        <f>IF(A3839&lt;&gt;"", VLOOKUP(A3839, imdb_netflix_v5!A$2:H$7370, 4, FALSE), "")</f>
        <v>7.4</v>
      </c>
      <c r="E3839" s="2">
        <f>IF(A3839&lt;&gt;"", VLOOKUP(A3839, imdb_netflix_v5!A$2:H$7370, 5, FALSE), "")</f>
        <v>2017</v>
      </c>
      <c r="F3839" s="2" t="str">
        <f>IF(A3839&lt;&gt;"", VLOOKUP(A3839, imdb_netflix_v5!A$2:H$7370, 7, FALSE), "")</f>
        <v>NA</v>
      </c>
    </row>
    <row r="3840" ht="15.75" customHeight="1">
      <c r="A3840" s="1" t="str">
        <f>IFERROR(__xludf.DUMMYFUNCTION("""COMPUTED_VALUE"""),"palm springs")</f>
        <v>palm springs</v>
      </c>
      <c r="B3840" s="1" t="str">
        <f>IF(A3840&lt;&gt;"", VLOOKUP(A3840, imdb_netflix_v5!A$2:H$7370, 2, FALSE), "")</f>
        <v>Movie</v>
      </c>
      <c r="C3840" s="2" t="str">
        <f>IF(A3840&lt;&gt;"", VLOOKUP(A3840, imdb_netflix_v5!A$2:H$7370, 3, FALSE), "")</f>
        <v>Comedy, Fantasy, Mystery</v>
      </c>
      <c r="D3840" s="2">
        <f>IF(A3840&lt;&gt;"", VLOOKUP(A3840, imdb_netflix_v5!A$2:H$7370, 4, FALSE), "")</f>
        <v>7.4</v>
      </c>
      <c r="E3840" s="2">
        <f>IF(A3840&lt;&gt;"", VLOOKUP(A3840, imdb_netflix_v5!A$2:H$7370, 5, FALSE), "")</f>
        <v>2020</v>
      </c>
      <c r="F3840" s="2" t="str">
        <f>IF(A3840&lt;&gt;"", VLOOKUP(A3840, imdb_netflix_v5!A$2:H$7370, 7, FALSE), "")</f>
        <v>NA</v>
      </c>
    </row>
    <row r="3841" ht="15.75" customHeight="1">
      <c r="A3841" s="1" t="str">
        <f>IFERROR(__xludf.DUMMYFUNCTION("""COMPUTED_VALUE"""),"mud")</f>
        <v>mud</v>
      </c>
      <c r="B3841" s="1" t="str">
        <f>IF(A3841&lt;&gt;"", VLOOKUP(A3841, imdb_netflix_v5!A$2:H$7370, 2, FALSE), "")</f>
        <v>Movie</v>
      </c>
      <c r="C3841" s="2" t="str">
        <f>IF(A3841&lt;&gt;"", VLOOKUP(A3841, imdb_netflix_v5!A$2:H$7370, 3, FALSE), "")</f>
        <v>Adventure, Drama</v>
      </c>
      <c r="D3841" s="2">
        <f>IF(A3841&lt;&gt;"", VLOOKUP(A3841, imdb_netflix_v5!A$2:H$7370, 4, FALSE), "")</f>
        <v>7.4</v>
      </c>
      <c r="E3841" s="2">
        <f>IF(A3841&lt;&gt;"", VLOOKUP(A3841, imdb_netflix_v5!A$2:H$7370, 5, FALSE), "")</f>
        <v>2012</v>
      </c>
      <c r="F3841" s="2" t="str">
        <f>IF(A3841&lt;&gt;"", VLOOKUP(A3841, imdb_netflix_v5!A$2:H$7370, 7, FALSE), "")</f>
        <v>NA</v>
      </c>
    </row>
    <row r="3842" ht="15.75" customHeight="1">
      <c r="A3842" s="1" t="str">
        <f>IFERROR(__xludf.DUMMYFUNCTION("""COMPUTED_VALUE"""),"superman")</f>
        <v>superman</v>
      </c>
      <c r="B3842" s="1" t="str">
        <f>IF(A3842&lt;&gt;"", VLOOKUP(A3842, imdb_netflix_v5!A$2:H$7370, 2, FALSE), "")</f>
        <v>Movie</v>
      </c>
      <c r="C3842" s="2" t="str">
        <f>IF(A3842&lt;&gt;"", VLOOKUP(A3842, imdb_netflix_v5!A$2:H$7370, 3, FALSE), "")</f>
        <v>Action, Adventure, Sci-Fi</v>
      </c>
      <c r="D3842" s="2">
        <f>IF(A3842&lt;&gt;"", VLOOKUP(A3842, imdb_netflix_v5!A$2:H$7370, 4, FALSE), "")</f>
        <v>7.4</v>
      </c>
      <c r="E3842" s="2">
        <f>IF(A3842&lt;&gt;"", VLOOKUP(A3842, imdb_netflix_v5!A$2:H$7370, 5, FALSE), "")</f>
        <v>1978</v>
      </c>
      <c r="F3842" s="2" t="str">
        <f>IF(A3842&lt;&gt;"", VLOOKUP(A3842, imdb_netflix_v5!A$2:H$7370, 7, FALSE), "")</f>
        <v>NA</v>
      </c>
    </row>
    <row r="3843" ht="15.75" customHeight="1">
      <c r="A3843" s="1" t="str">
        <f>IFERROR(__xludf.DUMMYFUNCTION("""COMPUTED_VALUE"""),"galaxy quest")</f>
        <v>galaxy quest</v>
      </c>
      <c r="B3843" s="1" t="str">
        <f>IF(A3843&lt;&gt;"", VLOOKUP(A3843, imdb_netflix_v5!A$2:H$7370, 2, FALSE), "")</f>
        <v>Movie</v>
      </c>
      <c r="C3843" s="2" t="str">
        <f>IF(A3843&lt;&gt;"", VLOOKUP(A3843, imdb_netflix_v5!A$2:H$7370, 3, FALSE), "")</f>
        <v>Adventure, Comedy, Sci-Fi</v>
      </c>
      <c r="D3843" s="2">
        <f>IF(A3843&lt;&gt;"", VLOOKUP(A3843, imdb_netflix_v5!A$2:H$7370, 4, FALSE), "")</f>
        <v>7.4</v>
      </c>
      <c r="E3843" s="2">
        <f>IF(A3843&lt;&gt;"", VLOOKUP(A3843, imdb_netflix_v5!A$2:H$7370, 5, FALSE), "")</f>
        <v>1999</v>
      </c>
      <c r="F3843" s="2" t="str">
        <f>IF(A3843&lt;&gt;"", VLOOKUP(A3843, imdb_netflix_v5!A$2:H$7370, 7, FALSE), "")</f>
        <v>NA</v>
      </c>
    </row>
    <row r="3844" ht="15.75" customHeight="1">
      <c r="A3844" s="1" t="str">
        <f>IFERROR(__xludf.DUMMYFUNCTION("""COMPUTED_VALUE"""),"pretty little liars")</f>
        <v>pretty little liars</v>
      </c>
      <c r="B3844" s="1" t="str">
        <f>IF(A3844&lt;&gt;"", VLOOKUP(A3844, imdb_netflix_v5!A$2:H$7370, 2, FALSE), "")</f>
        <v>TV Show</v>
      </c>
      <c r="C3844" s="2" t="str">
        <f>IF(A3844&lt;&gt;"", VLOOKUP(A3844, imdb_netflix_v5!A$2:H$7370, 3, FALSE), "")</f>
        <v>Drama, Mystery, Romance</v>
      </c>
      <c r="D3844" s="2">
        <f>IF(A3844&lt;&gt;"", VLOOKUP(A3844, imdb_netflix_v5!A$2:H$7370, 4, FALSE), "")</f>
        <v>7.4</v>
      </c>
      <c r="E3844" s="2">
        <f>IF(A3844&lt;&gt;"", VLOOKUP(A3844, imdb_netflix_v5!A$2:H$7370, 5, FALSE), "")</f>
        <v>2010</v>
      </c>
      <c r="F3844" s="2" t="str">
        <f>IF(A3844&lt;&gt;"", VLOOKUP(A3844, imdb_netflix_v5!A$2:H$7370, 7, FALSE), "")</f>
        <v>NA</v>
      </c>
    </row>
    <row r="3845" ht="15.75" customHeight="1">
      <c r="A3845" s="1" t="str">
        <f>IFERROR(__xludf.DUMMYFUNCTION("""COMPUTED_VALUE"""),"air")</f>
        <v>air</v>
      </c>
      <c r="B3845" s="1" t="str">
        <f>IF(A3845&lt;&gt;"", VLOOKUP(A3845, imdb_netflix_v5!A$2:H$7370, 2, FALSE), "")</f>
        <v>Movie</v>
      </c>
      <c r="C3845" s="2" t="str">
        <f>IF(A3845&lt;&gt;"", VLOOKUP(A3845, imdb_netflix_v5!A$2:H$7370, 3, FALSE), "")</f>
        <v>Drama, Sport</v>
      </c>
      <c r="D3845" s="2">
        <f>IF(A3845&lt;&gt;"", VLOOKUP(A3845, imdb_netflix_v5!A$2:H$7370, 4, FALSE), "")</f>
        <v>7.4</v>
      </c>
      <c r="E3845" s="2">
        <f>IF(A3845&lt;&gt;"", VLOOKUP(A3845, imdb_netflix_v5!A$2:H$7370, 5, FALSE), "")</f>
        <v>2023</v>
      </c>
      <c r="F3845" s="2" t="str">
        <f>IF(A3845&lt;&gt;"", VLOOKUP(A3845, imdb_netflix_v5!A$2:H$7370, 7, FALSE), "")</f>
        <v>NA</v>
      </c>
    </row>
    <row r="3846" ht="15.75" customHeight="1">
      <c r="A3846" s="1" t="str">
        <f>IFERROR(__xludf.DUMMYFUNCTION("""COMPUTED_VALUE"""),"onward")</f>
        <v>onward</v>
      </c>
      <c r="B3846" s="1" t="str">
        <f>IF(A3846&lt;&gt;"", VLOOKUP(A3846, imdb_netflix_v5!A$2:H$7370, 2, FALSE), "")</f>
        <v>Movie</v>
      </c>
      <c r="C3846" s="2" t="str">
        <f>IF(A3846&lt;&gt;"", VLOOKUP(A3846, imdb_netflix_v5!A$2:H$7370, 3, FALSE), "")</f>
        <v>Adventure, Animation, Comedy</v>
      </c>
      <c r="D3846" s="2">
        <f>IF(A3846&lt;&gt;"", VLOOKUP(A3846, imdb_netflix_v5!A$2:H$7370, 4, FALSE), "")</f>
        <v>7.4</v>
      </c>
      <c r="E3846" s="2">
        <f>IF(A3846&lt;&gt;"", VLOOKUP(A3846, imdb_netflix_v5!A$2:H$7370, 5, FALSE), "")</f>
        <v>2020</v>
      </c>
      <c r="F3846" s="2" t="str">
        <f>IF(A3846&lt;&gt;"", VLOOKUP(A3846, imdb_netflix_v5!A$2:H$7370, 7, FALSE), "")</f>
        <v>NA</v>
      </c>
    </row>
    <row r="3847" ht="15.75" customHeight="1">
      <c r="A3847" s="1" t="str">
        <f>IFERROR(__xludf.DUMMYFUNCTION("""COMPUTED_VALUE"""),"the rocky horror picture show")</f>
        <v>the rocky horror picture show</v>
      </c>
      <c r="B3847" s="1" t="str">
        <f>IF(A3847&lt;&gt;"", VLOOKUP(A3847, imdb_netflix_v5!A$2:H$7370, 2, FALSE), "")</f>
        <v>Movie</v>
      </c>
      <c r="C3847" s="2" t="str">
        <f>IF(A3847&lt;&gt;"", VLOOKUP(A3847, imdb_netflix_v5!A$2:H$7370, 3, FALSE), "")</f>
        <v>Comedy, Horror, Musical</v>
      </c>
      <c r="D3847" s="2">
        <f>IF(A3847&lt;&gt;"", VLOOKUP(A3847, imdb_netflix_v5!A$2:H$7370, 4, FALSE), "")</f>
        <v>7.4</v>
      </c>
      <c r="E3847" s="2">
        <f>IF(A3847&lt;&gt;"", VLOOKUP(A3847, imdb_netflix_v5!A$2:H$7370, 5, FALSE), "")</f>
        <v>1975</v>
      </c>
      <c r="F3847" s="2" t="str">
        <f>IF(A3847&lt;&gt;"", VLOOKUP(A3847, imdb_netflix_v5!A$2:H$7370, 7, FALSE), "")</f>
        <v>NA</v>
      </c>
    </row>
    <row r="3848" ht="15.75" customHeight="1">
      <c r="A3848" s="1" t="str">
        <f>IFERROR(__xludf.DUMMYFUNCTION("""COMPUTED_VALUE"""),"begin again")</f>
        <v>begin again</v>
      </c>
      <c r="B3848" s="1" t="str">
        <f>IF(A3848&lt;&gt;"", VLOOKUP(A3848, imdb_netflix_v5!A$2:H$7370, 2, FALSE), "")</f>
        <v>Movie</v>
      </c>
      <c r="C3848" s="2" t="str">
        <f>IF(A3848&lt;&gt;"", VLOOKUP(A3848, imdb_netflix_v5!A$2:H$7370, 3, FALSE), "")</f>
        <v>Comedy, Drama, Music</v>
      </c>
      <c r="D3848" s="2">
        <f>IF(A3848&lt;&gt;"", VLOOKUP(A3848, imdb_netflix_v5!A$2:H$7370, 4, FALSE), "")</f>
        <v>7.4</v>
      </c>
      <c r="E3848" s="2">
        <f>IF(A3848&lt;&gt;"", VLOOKUP(A3848, imdb_netflix_v5!A$2:H$7370, 5, FALSE), "")</f>
        <v>2013</v>
      </c>
      <c r="F3848" s="2" t="str">
        <f>IF(A3848&lt;&gt;"", VLOOKUP(A3848, imdb_netflix_v5!A$2:H$7370, 7, FALSE), "")</f>
        <v>NA</v>
      </c>
    </row>
    <row r="3849" ht="15.75" customHeight="1">
      <c r="A3849" s="1" t="str">
        <f>IFERROR(__xludf.DUMMYFUNCTION("""COMPUTED_VALUE"""),"the substance")</f>
        <v>the substance</v>
      </c>
      <c r="B3849" s="1" t="str">
        <f>IF(A3849&lt;&gt;"", VLOOKUP(A3849, imdb_netflix_v5!A$2:H$7370, 2, FALSE), "")</f>
        <v>Movie</v>
      </c>
      <c r="C3849" s="2" t="str">
        <f>IF(A3849&lt;&gt;"", VLOOKUP(A3849, imdb_netflix_v5!A$2:H$7370, 3, FALSE), "")</f>
        <v>Drama, Horror, Sci-Fi</v>
      </c>
      <c r="D3849" s="2">
        <f>IF(A3849&lt;&gt;"", VLOOKUP(A3849, imdb_netflix_v5!A$2:H$7370, 4, FALSE), "")</f>
        <v>7.4</v>
      </c>
      <c r="E3849" s="2">
        <f>IF(A3849&lt;&gt;"", VLOOKUP(A3849, imdb_netflix_v5!A$2:H$7370, 5, FALSE), "")</f>
        <v>2024</v>
      </c>
      <c r="F3849" s="2" t="str">
        <f>IF(A3849&lt;&gt;"", VLOOKUP(A3849, imdb_netflix_v5!A$2:H$7370, 7, FALSE), "")</f>
        <v>NA</v>
      </c>
    </row>
    <row r="3850" ht="15.75" customHeight="1">
      <c r="A3850" s="1" t="str">
        <f>IFERROR(__xludf.DUMMYFUNCTION("""COMPUTED_VALUE"""),"inside llewyn davis")</f>
        <v>inside llewyn davis</v>
      </c>
      <c r="B3850" s="1" t="str">
        <f>IF(A3850&lt;&gt;"", VLOOKUP(A3850, imdb_netflix_v5!A$2:H$7370, 2, FALSE), "")</f>
        <v>Movie</v>
      </c>
      <c r="C3850" s="2" t="str">
        <f>IF(A3850&lt;&gt;"", VLOOKUP(A3850, imdb_netflix_v5!A$2:H$7370, 3, FALSE), "")</f>
        <v>Drama, Music</v>
      </c>
      <c r="D3850" s="2">
        <f>IF(A3850&lt;&gt;"", VLOOKUP(A3850, imdb_netflix_v5!A$2:H$7370, 4, FALSE), "")</f>
        <v>7.4</v>
      </c>
      <c r="E3850" s="2">
        <f>IF(A3850&lt;&gt;"", VLOOKUP(A3850, imdb_netflix_v5!A$2:H$7370, 5, FALSE), "")</f>
        <v>2013</v>
      </c>
      <c r="F3850" s="2" t="str">
        <f>IF(A3850&lt;&gt;"", VLOOKUP(A3850, imdb_netflix_v5!A$2:H$7370, 7, FALSE), "")</f>
        <v>NA</v>
      </c>
    </row>
    <row r="3851" ht="15.75" customHeight="1">
      <c r="A3851" s="1" t="str">
        <f>IFERROR(__xludf.DUMMYFUNCTION("""COMPUTED_VALUE"""),"the orphanage")</f>
        <v>the orphanage</v>
      </c>
      <c r="B3851" s="1" t="str">
        <f>IF(A3851&lt;&gt;"", VLOOKUP(A3851, imdb_netflix_v5!A$2:H$7370, 2, FALSE), "")</f>
        <v>Movie</v>
      </c>
      <c r="C3851" s="2" t="str">
        <f>IF(A3851&lt;&gt;"", VLOOKUP(A3851, imdb_netflix_v5!A$2:H$7370, 3, FALSE), "")</f>
        <v>Drama, Horror, Mystery</v>
      </c>
      <c r="D3851" s="2">
        <f>IF(A3851&lt;&gt;"", VLOOKUP(A3851, imdb_netflix_v5!A$2:H$7370, 4, FALSE), "")</f>
        <v>7.4</v>
      </c>
      <c r="E3851" s="2">
        <f>IF(A3851&lt;&gt;"", VLOOKUP(A3851, imdb_netflix_v5!A$2:H$7370, 5, FALSE), "")</f>
        <v>2007</v>
      </c>
      <c r="F3851" s="2" t="str">
        <f>IF(A3851&lt;&gt;"", VLOOKUP(A3851, imdb_netflix_v5!A$2:H$7370, 7, FALSE), "")</f>
        <v>NA</v>
      </c>
    </row>
    <row r="3852" ht="15.75" customHeight="1">
      <c r="A3852" s="1" t="str">
        <f>IFERROR(__xludf.DUMMYFUNCTION("""COMPUTED_VALUE"""),"green street hooligans")</f>
        <v>green street hooligans</v>
      </c>
      <c r="B3852" s="1" t="str">
        <f>IF(A3852&lt;&gt;"", VLOOKUP(A3852, imdb_netflix_v5!A$2:H$7370, 2, FALSE), "")</f>
        <v>Movie</v>
      </c>
      <c r="C3852" s="2" t="str">
        <f>IF(A3852&lt;&gt;"", VLOOKUP(A3852, imdb_netflix_v5!A$2:H$7370, 3, FALSE), "")</f>
        <v>Crime, Drama, Sport</v>
      </c>
      <c r="D3852" s="2">
        <f>IF(A3852&lt;&gt;"", VLOOKUP(A3852, imdb_netflix_v5!A$2:H$7370, 4, FALSE), "")</f>
        <v>7.4</v>
      </c>
      <c r="E3852" s="2">
        <f>IF(A3852&lt;&gt;"", VLOOKUP(A3852, imdb_netflix_v5!A$2:H$7370, 5, FALSE), "")</f>
        <v>2005</v>
      </c>
      <c r="F3852" s="2" t="str">
        <f>IF(A3852&lt;&gt;"", VLOOKUP(A3852, imdb_netflix_v5!A$2:H$7370, 7, FALSE), "")</f>
        <v>NA</v>
      </c>
    </row>
    <row r="3853" ht="15.75" customHeight="1">
      <c r="A3853" s="1" t="str">
        <f>IFERROR(__xludf.DUMMYFUNCTION("""COMPUTED_VALUE"""),"the way way back")</f>
        <v>the way way back</v>
      </c>
      <c r="B3853" s="1" t="str">
        <f>IF(A3853&lt;&gt;"", VLOOKUP(A3853, imdb_netflix_v5!A$2:H$7370, 2, FALSE), "")</f>
        <v>Movie</v>
      </c>
      <c r="C3853" s="2" t="str">
        <f>IF(A3853&lt;&gt;"", VLOOKUP(A3853, imdb_netflix_v5!A$2:H$7370, 3, FALSE), "")</f>
        <v>Comedy, Drama</v>
      </c>
      <c r="D3853" s="2">
        <f>IF(A3853&lt;&gt;"", VLOOKUP(A3853, imdb_netflix_v5!A$2:H$7370, 4, FALSE), "")</f>
        <v>7.4</v>
      </c>
      <c r="E3853" s="2">
        <f>IF(A3853&lt;&gt;"", VLOOKUP(A3853, imdb_netflix_v5!A$2:H$7370, 5, FALSE), "")</f>
        <v>2013</v>
      </c>
      <c r="F3853" s="2" t="str">
        <f>IF(A3853&lt;&gt;"", VLOOKUP(A3853, imdb_netflix_v5!A$2:H$7370, 7, FALSE), "")</f>
        <v>NA</v>
      </c>
    </row>
    <row r="3854" ht="15.75" customHeight="1">
      <c r="A3854" s="1" t="str">
        <f>IFERROR(__xludf.DUMMYFUNCTION("""COMPUTED_VALUE"""),"how to train your dragon the hidden world")</f>
        <v>how to train your dragon the hidden world</v>
      </c>
      <c r="B3854" s="1" t="str">
        <f>IF(A3854&lt;&gt;"", VLOOKUP(A3854, imdb_netflix_v5!A$2:H$7370, 2, FALSE), "")</f>
        <v>Movie</v>
      </c>
      <c r="C3854" s="2" t="str">
        <f>IF(A3854&lt;&gt;"", VLOOKUP(A3854, imdb_netflix_v5!A$2:H$7370, 3, FALSE), "")</f>
        <v>Action, Adventure, Animation</v>
      </c>
      <c r="D3854" s="2">
        <f>IF(A3854&lt;&gt;"", VLOOKUP(A3854, imdb_netflix_v5!A$2:H$7370, 4, FALSE), "")</f>
        <v>7.4</v>
      </c>
      <c r="E3854" s="2">
        <f>IF(A3854&lt;&gt;"", VLOOKUP(A3854, imdb_netflix_v5!A$2:H$7370, 5, FALSE), "")</f>
        <v>2019</v>
      </c>
      <c r="F3854" s="2">
        <f>IF(A3854&lt;&gt;"", VLOOKUP(A3854, imdb_netflix_v5!A$2:H$7370, 7, FALSE), "")</f>
        <v>9030000</v>
      </c>
    </row>
    <row r="3855" ht="15.75" customHeight="1">
      <c r="A3855" s="1" t="str">
        <f>IFERROR(__xludf.DUMMYFUNCTION("""COMPUTED_VALUE"""),"phantom thread")</f>
        <v>phantom thread</v>
      </c>
      <c r="B3855" s="1" t="str">
        <f>IF(A3855&lt;&gt;"", VLOOKUP(A3855, imdb_netflix_v5!A$2:H$7370, 2, FALSE), "")</f>
        <v>Movie</v>
      </c>
      <c r="C3855" s="2" t="str">
        <f>IF(A3855&lt;&gt;"", VLOOKUP(A3855, imdb_netflix_v5!A$2:H$7370, 3, FALSE), "")</f>
        <v>Drama, Romance</v>
      </c>
      <c r="D3855" s="2">
        <f>IF(A3855&lt;&gt;"", VLOOKUP(A3855, imdb_netflix_v5!A$2:H$7370, 4, FALSE), "")</f>
        <v>7.4</v>
      </c>
      <c r="E3855" s="2">
        <f>IF(A3855&lt;&gt;"", VLOOKUP(A3855, imdb_netflix_v5!A$2:H$7370, 5, FALSE), "")</f>
        <v>2017</v>
      </c>
      <c r="F3855" s="2" t="str">
        <f>IF(A3855&lt;&gt;"", VLOOKUP(A3855, imdb_netflix_v5!A$2:H$7370, 7, FALSE), "")</f>
        <v>NA</v>
      </c>
    </row>
    <row r="3856" ht="15.75" customHeight="1">
      <c r="A3856" s="1" t="str">
        <f>IFERROR(__xludf.DUMMYFUNCTION("""COMPUTED_VALUE"""),"what if...?")</f>
        <v>what if...?</v>
      </c>
      <c r="B3856" s="1" t="str">
        <f>IF(A3856&lt;&gt;"", VLOOKUP(A3856, imdb_netflix_v5!A$2:H$7370, 2, FALSE), "")</f>
        <v>TV Show</v>
      </c>
      <c r="C3856" s="2" t="str">
        <f>IF(A3856&lt;&gt;"", VLOOKUP(A3856, imdb_netflix_v5!A$2:H$7370, 3, FALSE), "")</f>
        <v>Action, Adventure, Animation</v>
      </c>
      <c r="D3856" s="2">
        <f>IF(A3856&lt;&gt;"", VLOOKUP(A3856, imdb_netflix_v5!A$2:H$7370, 4, FALSE), "")</f>
        <v>7.4</v>
      </c>
      <c r="E3856" s="2">
        <f>IF(A3856&lt;&gt;"", VLOOKUP(A3856, imdb_netflix_v5!A$2:H$7370, 5, FALSE), "")</f>
        <v>2021</v>
      </c>
      <c r="F3856" s="2" t="str">
        <f>IF(A3856&lt;&gt;"", VLOOKUP(A3856, imdb_netflix_v5!A$2:H$7370, 7, FALSE), "")</f>
        <v>NA</v>
      </c>
    </row>
    <row r="3857" ht="15.75" customHeight="1">
      <c r="A3857" s="1" t="str">
        <f>IFERROR(__xludf.DUMMYFUNCTION("""COMPUTED_VALUE"""),"man on the moon")</f>
        <v>man on the moon</v>
      </c>
      <c r="B3857" s="1" t="str">
        <f>IF(A3857&lt;&gt;"", VLOOKUP(A3857, imdb_netflix_v5!A$2:H$7370, 2, FALSE), "")</f>
        <v>Movie</v>
      </c>
      <c r="C3857" s="2" t="str">
        <f>IF(A3857&lt;&gt;"", VLOOKUP(A3857, imdb_netflix_v5!A$2:H$7370, 3, FALSE), "")</f>
        <v>Biography, Comedy, Drama</v>
      </c>
      <c r="D3857" s="2">
        <f>IF(A3857&lt;&gt;"", VLOOKUP(A3857, imdb_netflix_v5!A$2:H$7370, 4, FALSE), "")</f>
        <v>7.4</v>
      </c>
      <c r="E3857" s="2">
        <f>IF(A3857&lt;&gt;"", VLOOKUP(A3857, imdb_netflix_v5!A$2:H$7370, 5, FALSE), "")</f>
        <v>1999</v>
      </c>
      <c r="F3857" s="2" t="str">
        <f>IF(A3857&lt;&gt;"", VLOOKUP(A3857, imdb_netflix_v5!A$2:H$7370, 7, FALSE), "")</f>
        <v>NA</v>
      </c>
    </row>
    <row r="3858" ht="15.75" customHeight="1">
      <c r="A3858" s="1" t="str">
        <f>IFERROR(__xludf.DUMMYFUNCTION("""COMPUTED_VALUE"""),"american dad!")</f>
        <v>american dad!</v>
      </c>
      <c r="B3858" s="1" t="str">
        <f>IF(A3858&lt;&gt;"", VLOOKUP(A3858, imdb_netflix_v5!A$2:H$7370, 2, FALSE), "")</f>
        <v>TV Show</v>
      </c>
      <c r="C3858" s="2" t="str">
        <f>IF(A3858&lt;&gt;"", VLOOKUP(A3858, imdb_netflix_v5!A$2:H$7370, 3, FALSE), "")</f>
        <v>Animation, Comedy</v>
      </c>
      <c r="D3858" s="2">
        <f>IF(A3858&lt;&gt;"", VLOOKUP(A3858, imdb_netflix_v5!A$2:H$7370, 4, FALSE), "")</f>
        <v>7.4</v>
      </c>
      <c r="E3858" s="2">
        <f>IF(A3858&lt;&gt;"", VLOOKUP(A3858, imdb_netflix_v5!A$2:H$7370, 5, FALSE), "")</f>
        <v>2005</v>
      </c>
      <c r="F3858" s="2" t="str">
        <f>IF(A3858&lt;&gt;"", VLOOKUP(A3858, imdb_netflix_v5!A$2:H$7370, 7, FALSE), "")</f>
        <v>NA</v>
      </c>
    </row>
    <row r="3859" ht="15.75" customHeight="1">
      <c r="A3859" s="1" t="str">
        <f>IFERROR(__xludf.DUMMYFUNCTION("""COMPUTED_VALUE"""),"the haunting of bly manor")</f>
        <v>the haunting of bly manor</v>
      </c>
      <c r="B3859" s="1" t="str">
        <f>IF(A3859&lt;&gt;"", VLOOKUP(A3859, imdb_netflix_v5!A$2:H$7370, 2, FALSE), "")</f>
        <v>TV Show</v>
      </c>
      <c r="C3859" s="2" t="str">
        <f>IF(A3859&lt;&gt;"", VLOOKUP(A3859, imdb_netflix_v5!A$2:H$7370, 3, FALSE), "")</f>
        <v>Drama, Horror, Mystery</v>
      </c>
      <c r="D3859" s="2">
        <f>IF(A3859&lt;&gt;"", VLOOKUP(A3859, imdb_netflix_v5!A$2:H$7370, 4, FALSE), "")</f>
        <v>7.4</v>
      </c>
      <c r="E3859" s="2">
        <f>IF(A3859&lt;&gt;"", VLOOKUP(A3859, imdb_netflix_v5!A$2:H$7370, 5, FALSE), "")</f>
        <v>2020</v>
      </c>
      <c r="F3859" s="2" t="str">
        <f>IF(A3859&lt;&gt;"", VLOOKUP(A3859, imdb_netflix_v5!A$2:H$7370, 7, FALSE), "")</f>
        <v>NA</v>
      </c>
    </row>
    <row r="3860" ht="15.75" customHeight="1">
      <c r="A3860" s="1" t="str">
        <f>IFERROR(__xludf.DUMMYFUNCTION("""COMPUTED_VALUE"""),"national lampoons animal house")</f>
        <v>national lampoons animal house</v>
      </c>
      <c r="B3860" s="1" t="str">
        <f>IF(A3860&lt;&gt;"", VLOOKUP(A3860, imdb_netflix_v5!A$2:H$7370, 2, FALSE), "")</f>
        <v>Movie</v>
      </c>
      <c r="C3860" s="2" t="str">
        <f>IF(A3860&lt;&gt;"", VLOOKUP(A3860, imdb_netflix_v5!A$2:H$7370, 3, FALSE), "")</f>
        <v>Comedy</v>
      </c>
      <c r="D3860" s="2">
        <f>IF(A3860&lt;&gt;"", VLOOKUP(A3860, imdb_netflix_v5!A$2:H$7370, 4, FALSE), "")</f>
        <v>7.4</v>
      </c>
      <c r="E3860" s="2">
        <f>IF(A3860&lt;&gt;"", VLOOKUP(A3860, imdb_netflix_v5!A$2:H$7370, 5, FALSE), "")</f>
        <v>1978</v>
      </c>
      <c r="F3860" s="2" t="str">
        <f>IF(A3860&lt;&gt;"", VLOOKUP(A3860, imdb_netflix_v5!A$2:H$7370, 7, FALSE), "")</f>
        <v>NA</v>
      </c>
    </row>
    <row r="3861" ht="15.75" customHeight="1">
      <c r="A3861" s="1" t="str">
        <f>IFERROR(__xludf.DUMMYFUNCTION("""COMPUTED_VALUE"""),"crimson tide")</f>
        <v>crimson tide</v>
      </c>
      <c r="B3861" s="1" t="str">
        <f>IF(A3861&lt;&gt;"", VLOOKUP(A3861, imdb_netflix_v5!A$2:H$7370, 2, FALSE), "")</f>
        <v>Movie</v>
      </c>
      <c r="C3861" s="2" t="str">
        <f>IF(A3861&lt;&gt;"", VLOOKUP(A3861, imdb_netflix_v5!A$2:H$7370, 3, FALSE), "")</f>
        <v>Action, Drama, Thriller</v>
      </c>
      <c r="D3861" s="2">
        <f>IF(A3861&lt;&gt;"", VLOOKUP(A3861, imdb_netflix_v5!A$2:H$7370, 4, FALSE), "")</f>
        <v>7.4</v>
      </c>
      <c r="E3861" s="2">
        <f>IF(A3861&lt;&gt;"", VLOOKUP(A3861, imdb_netflix_v5!A$2:H$7370, 5, FALSE), "")</f>
        <v>1995</v>
      </c>
      <c r="F3861" s="2" t="str">
        <f>IF(A3861&lt;&gt;"", VLOOKUP(A3861, imdb_netflix_v5!A$2:H$7370, 7, FALSE), "")</f>
        <v>NA</v>
      </c>
    </row>
    <row r="3862" ht="15.75" customHeight="1">
      <c r="A3862" s="1" t="str">
        <f>IFERROR(__xludf.DUMMYFUNCTION("""COMPUTED_VALUE"""),"jacobs ladder")</f>
        <v>jacobs ladder</v>
      </c>
      <c r="B3862" s="1" t="str">
        <f>IF(A3862&lt;&gt;"", VLOOKUP(A3862, imdb_netflix_v5!A$2:H$7370, 2, FALSE), "")</f>
        <v>Movie</v>
      </c>
      <c r="C3862" s="2" t="str">
        <f>IF(A3862&lt;&gt;"", VLOOKUP(A3862, imdb_netflix_v5!A$2:H$7370, 3, FALSE), "")</f>
        <v>Drama, Horror, Mystery</v>
      </c>
      <c r="D3862" s="2">
        <f>IF(A3862&lt;&gt;"", VLOOKUP(A3862, imdb_netflix_v5!A$2:H$7370, 4, FALSE), "")</f>
        <v>7.4</v>
      </c>
      <c r="E3862" s="2">
        <f>IF(A3862&lt;&gt;"", VLOOKUP(A3862, imdb_netflix_v5!A$2:H$7370, 5, FALSE), "")</f>
        <v>1990</v>
      </c>
      <c r="F3862" s="2" t="str">
        <f>IF(A3862&lt;&gt;"", VLOOKUP(A3862, imdb_netflix_v5!A$2:H$7370, 7, FALSE), "")</f>
        <v>NA</v>
      </c>
    </row>
    <row r="3863" ht="15.75" customHeight="1">
      <c r="A3863" s="1" t="str">
        <f>IFERROR(__xludf.DUMMYFUNCTION("""COMPUTED_VALUE"""),"the zone of interest")</f>
        <v>the zone of interest</v>
      </c>
      <c r="B3863" s="1" t="str">
        <f>IF(A3863&lt;&gt;"", VLOOKUP(A3863, imdb_netflix_v5!A$2:H$7370, 2, FALSE), "")</f>
        <v>Movie</v>
      </c>
      <c r="C3863" s="2" t="str">
        <f>IF(A3863&lt;&gt;"", VLOOKUP(A3863, imdb_netflix_v5!A$2:H$7370, 3, FALSE), "")</f>
        <v>Drama, History, War</v>
      </c>
      <c r="D3863" s="2">
        <f>IF(A3863&lt;&gt;"", VLOOKUP(A3863, imdb_netflix_v5!A$2:H$7370, 4, FALSE), "")</f>
        <v>7.4</v>
      </c>
      <c r="E3863" s="2">
        <f>IF(A3863&lt;&gt;"", VLOOKUP(A3863, imdb_netflix_v5!A$2:H$7370, 5, FALSE), "")</f>
        <v>2023</v>
      </c>
      <c r="F3863" s="2" t="str">
        <f>IF(A3863&lt;&gt;"", VLOOKUP(A3863, imdb_netflix_v5!A$2:H$7370, 7, FALSE), "")</f>
        <v>NA</v>
      </c>
    </row>
    <row r="3864" ht="15.75" customHeight="1">
      <c r="A3864" s="1" t="str">
        <f>IFERROR(__xludf.DUMMYFUNCTION("""COMPUTED_VALUE"""),"frequency")</f>
        <v>frequency</v>
      </c>
      <c r="B3864" s="1" t="str">
        <f>IF(A3864&lt;&gt;"", VLOOKUP(A3864, imdb_netflix_v5!A$2:H$7370, 2, FALSE), "")</f>
        <v>Movie</v>
      </c>
      <c r="C3864" s="2" t="str">
        <f>IF(A3864&lt;&gt;"", VLOOKUP(A3864, imdb_netflix_v5!A$2:H$7370, 3, FALSE), "")</f>
        <v>Crime, Drama, Mystery</v>
      </c>
      <c r="D3864" s="2">
        <f>IF(A3864&lt;&gt;"", VLOOKUP(A3864, imdb_netflix_v5!A$2:H$7370, 4, FALSE), "")</f>
        <v>7.4</v>
      </c>
      <c r="E3864" s="2">
        <f>IF(A3864&lt;&gt;"", VLOOKUP(A3864, imdb_netflix_v5!A$2:H$7370, 5, FALSE), "")</f>
        <v>2000</v>
      </c>
      <c r="F3864" s="2" t="str">
        <f>IF(A3864&lt;&gt;"", VLOOKUP(A3864, imdb_netflix_v5!A$2:H$7370, 7, FALSE), "")</f>
        <v>NA</v>
      </c>
    </row>
    <row r="3865" ht="15.75" customHeight="1">
      <c r="A3865" s="1" t="str">
        <f>IFERROR(__xludf.DUMMYFUNCTION("""COMPUTED_VALUE"""),"tootsie")</f>
        <v>tootsie</v>
      </c>
      <c r="B3865" s="1" t="str">
        <f>IF(A3865&lt;&gt;"", VLOOKUP(A3865, imdb_netflix_v5!A$2:H$7370, 2, FALSE), "")</f>
        <v>Movie</v>
      </c>
      <c r="C3865" s="2" t="str">
        <f>IF(A3865&lt;&gt;"", VLOOKUP(A3865, imdb_netflix_v5!A$2:H$7370, 3, FALSE), "")</f>
        <v>Comedy, Drama, Romance</v>
      </c>
      <c r="D3865" s="2">
        <f>IF(A3865&lt;&gt;"", VLOOKUP(A3865, imdb_netflix_v5!A$2:H$7370, 4, FALSE), "")</f>
        <v>7.4</v>
      </c>
      <c r="E3865" s="2">
        <f>IF(A3865&lt;&gt;"", VLOOKUP(A3865, imdb_netflix_v5!A$2:H$7370, 5, FALSE), "")</f>
        <v>1982</v>
      </c>
      <c r="F3865" s="2" t="str">
        <f>IF(A3865&lt;&gt;"", VLOOKUP(A3865, imdb_netflix_v5!A$2:H$7370, 7, FALSE), "")</f>
        <v>NA</v>
      </c>
    </row>
    <row r="3866" ht="15.75" customHeight="1">
      <c r="A3866" s="1" t="str">
        <f>IFERROR(__xludf.DUMMYFUNCTION("""COMPUTED_VALUE"""),"malena")</f>
        <v>malena</v>
      </c>
      <c r="B3866" s="1" t="str">
        <f>IF(A3866&lt;&gt;"", VLOOKUP(A3866, imdb_netflix_v5!A$2:H$7370, 2, FALSE), "")</f>
        <v>Movie</v>
      </c>
      <c r="C3866" s="2" t="str">
        <f>IF(A3866&lt;&gt;"", VLOOKUP(A3866, imdb_netflix_v5!A$2:H$7370, 3, FALSE), "")</f>
        <v>Drama, Romance, War</v>
      </c>
      <c r="D3866" s="2">
        <f>IF(A3866&lt;&gt;"", VLOOKUP(A3866, imdb_netflix_v5!A$2:H$7370, 4, FALSE), "")</f>
        <v>7.4</v>
      </c>
      <c r="E3866" s="2">
        <f>IF(A3866&lt;&gt;"", VLOOKUP(A3866, imdb_netflix_v5!A$2:H$7370, 5, FALSE), "")</f>
        <v>2000</v>
      </c>
      <c r="F3866" s="2" t="str">
        <f>IF(A3866&lt;&gt;"", VLOOKUP(A3866, imdb_netflix_v5!A$2:H$7370, 7, FALSE), "")</f>
        <v>NA</v>
      </c>
    </row>
    <row r="3867" ht="15.75" customHeight="1">
      <c r="A3867" s="1" t="str">
        <f>IFERROR(__xludf.DUMMYFUNCTION("""COMPUTED_VALUE"""),"chilling adventures of sabrina")</f>
        <v>chilling adventures of sabrina</v>
      </c>
      <c r="B3867" s="1" t="str">
        <f>IF(A3867&lt;&gt;"", VLOOKUP(A3867, imdb_netflix_v5!A$2:H$7370, 2, FALSE), "")</f>
        <v>TV Show</v>
      </c>
      <c r="C3867" s="2" t="str">
        <f>IF(A3867&lt;&gt;"", VLOOKUP(A3867, imdb_netflix_v5!A$2:H$7370, 3, FALSE), "")</f>
        <v>Drama, Fantasy, Horror</v>
      </c>
      <c r="D3867" s="2">
        <f>IF(A3867&lt;&gt;"", VLOOKUP(A3867, imdb_netflix_v5!A$2:H$7370, 4, FALSE), "")</f>
        <v>7.4</v>
      </c>
      <c r="E3867" s="2">
        <f>IF(A3867&lt;&gt;"", VLOOKUP(A3867, imdb_netflix_v5!A$2:H$7370, 5, FALSE), "")</f>
        <v>2018</v>
      </c>
      <c r="F3867" s="2" t="str">
        <f>IF(A3867&lt;&gt;"", VLOOKUP(A3867, imdb_netflix_v5!A$2:H$7370, 7, FALSE), "")</f>
        <v>NA</v>
      </c>
    </row>
    <row r="3868" ht="15.75" customHeight="1">
      <c r="A3868" s="1" t="str">
        <f>IFERROR(__xludf.DUMMYFUNCTION("""COMPUTED_VALUE"""),"august rush")</f>
        <v>august rush</v>
      </c>
      <c r="B3868" s="1" t="str">
        <f>IF(A3868&lt;&gt;"", VLOOKUP(A3868, imdb_netflix_v5!A$2:H$7370, 2, FALSE), "")</f>
        <v>Movie</v>
      </c>
      <c r="C3868" s="2" t="str">
        <f>IF(A3868&lt;&gt;"", VLOOKUP(A3868, imdb_netflix_v5!A$2:H$7370, 3, FALSE), "")</f>
        <v>Drama, Music</v>
      </c>
      <c r="D3868" s="2">
        <f>IF(A3868&lt;&gt;"", VLOOKUP(A3868, imdb_netflix_v5!A$2:H$7370, 4, FALSE), "")</f>
        <v>7.4</v>
      </c>
      <c r="E3868" s="2">
        <f>IF(A3868&lt;&gt;"", VLOOKUP(A3868, imdb_netflix_v5!A$2:H$7370, 5, FALSE), "")</f>
        <v>2007</v>
      </c>
      <c r="F3868" s="2" t="str">
        <f>IF(A3868&lt;&gt;"", VLOOKUP(A3868, imdb_netflix_v5!A$2:H$7370, 7, FALSE), "")</f>
        <v>NA</v>
      </c>
    </row>
    <row r="3869" ht="15.75" customHeight="1">
      <c r="A3869" s="1" t="str">
        <f>IFERROR(__xludf.DUMMYFUNCTION("""COMPUTED_VALUE"""),"the undoing")</f>
        <v>the undoing</v>
      </c>
      <c r="B3869" s="1" t="str">
        <f>IF(A3869&lt;&gt;"", VLOOKUP(A3869, imdb_netflix_v5!A$2:H$7370, 2, FALSE), "")</f>
        <v>TV Show</v>
      </c>
      <c r="C3869" s="2" t="str">
        <f>IF(A3869&lt;&gt;"", VLOOKUP(A3869, imdb_netflix_v5!A$2:H$7370, 3, FALSE), "")</f>
        <v>Crime, Drama, Mystery</v>
      </c>
      <c r="D3869" s="2">
        <f>IF(A3869&lt;&gt;"", VLOOKUP(A3869, imdb_netflix_v5!A$2:H$7370, 4, FALSE), "")</f>
        <v>7.4</v>
      </c>
      <c r="E3869" s="2">
        <f>IF(A3869&lt;&gt;"", VLOOKUP(A3869, imdb_netflix_v5!A$2:H$7370, 5, FALSE), "")</f>
        <v>2020</v>
      </c>
      <c r="F3869" s="2" t="str">
        <f>IF(A3869&lt;&gt;"", VLOOKUP(A3869, imdb_netflix_v5!A$2:H$7370, 7, FALSE), "")</f>
        <v>NA</v>
      </c>
    </row>
    <row r="3870" ht="15.75" customHeight="1">
      <c r="A3870" s="1" t="str">
        <f>IFERROR(__xludf.DUMMYFUNCTION("""COMPUTED_VALUE"""),"designated survivor")</f>
        <v>designated survivor</v>
      </c>
      <c r="B3870" s="1" t="str">
        <f>IF(A3870&lt;&gt;"", VLOOKUP(A3870, imdb_netflix_v5!A$2:H$7370, 2, FALSE), "")</f>
        <v>TV Show</v>
      </c>
      <c r="C3870" s="2" t="str">
        <f>IF(A3870&lt;&gt;"", VLOOKUP(A3870, imdb_netflix_v5!A$2:H$7370, 3, FALSE), "")</f>
        <v>Action, Drama, Mystery</v>
      </c>
      <c r="D3870" s="2">
        <f>IF(A3870&lt;&gt;"", VLOOKUP(A3870, imdb_netflix_v5!A$2:H$7370, 4, FALSE), "")</f>
        <v>7.4</v>
      </c>
      <c r="E3870" s="2">
        <f>IF(A3870&lt;&gt;"", VLOOKUP(A3870, imdb_netflix_v5!A$2:H$7370, 5, FALSE), "")</f>
        <v>2016</v>
      </c>
      <c r="F3870" s="2">
        <f>IF(A3870&lt;&gt;"", VLOOKUP(A3870, imdb_netflix_v5!A$2:H$7370, 7, FALSE), "")</f>
        <v>13110000</v>
      </c>
    </row>
    <row r="3871" ht="15.75" customHeight="1">
      <c r="A3871" s="1" t="str">
        <f>IFERROR(__xludf.DUMMYFUNCTION("""COMPUTED_VALUE"""),"beautiful boy")</f>
        <v>beautiful boy</v>
      </c>
      <c r="B3871" s="1" t="str">
        <f>IF(A3871&lt;&gt;"", VLOOKUP(A3871, imdb_netflix_v5!A$2:H$7370, 2, FALSE), "")</f>
        <v>Movie</v>
      </c>
      <c r="C3871" s="2" t="str">
        <f>IF(A3871&lt;&gt;"", VLOOKUP(A3871, imdb_netflix_v5!A$2:H$7370, 3, FALSE), "")</f>
        <v>Biography, Drama</v>
      </c>
      <c r="D3871" s="2">
        <f>IF(A3871&lt;&gt;"", VLOOKUP(A3871, imdb_netflix_v5!A$2:H$7370, 4, FALSE), "")</f>
        <v>7.4</v>
      </c>
      <c r="E3871" s="2">
        <f>IF(A3871&lt;&gt;"", VLOOKUP(A3871, imdb_netflix_v5!A$2:H$7370, 5, FALSE), "")</f>
        <v>2018</v>
      </c>
      <c r="F3871" s="2" t="str">
        <f>IF(A3871&lt;&gt;"", VLOOKUP(A3871, imdb_netflix_v5!A$2:H$7370, 7, FALSE), "")</f>
        <v>NA</v>
      </c>
    </row>
    <row r="3872" ht="15.75" customHeight="1">
      <c r="A3872" s="1" t="str">
        <f>IFERROR(__xludf.DUMMYFUNCTION("""COMPUTED_VALUE"""),"witness")</f>
        <v>witness</v>
      </c>
      <c r="B3872" s="1" t="str">
        <f>IF(A3872&lt;&gt;"", VLOOKUP(A3872, imdb_netflix_v5!A$2:H$7370, 2, FALSE), "")</f>
        <v>Movie</v>
      </c>
      <c r="C3872" s="2" t="str">
        <f>IF(A3872&lt;&gt;"", VLOOKUP(A3872, imdb_netflix_v5!A$2:H$7370, 3, FALSE), "")</f>
        <v>Drama, Romance, Thriller</v>
      </c>
      <c r="D3872" s="2">
        <f>IF(A3872&lt;&gt;"", VLOOKUP(A3872, imdb_netflix_v5!A$2:H$7370, 4, FALSE), "")</f>
        <v>7.4</v>
      </c>
      <c r="E3872" s="2">
        <f>IF(A3872&lt;&gt;"", VLOOKUP(A3872, imdb_netflix_v5!A$2:H$7370, 5, FALSE), "")</f>
        <v>1985</v>
      </c>
      <c r="F3872" s="2" t="str">
        <f>IF(A3872&lt;&gt;"", VLOOKUP(A3872, imdb_netflix_v5!A$2:H$7370, 7, FALSE), "")</f>
        <v>NA</v>
      </c>
    </row>
    <row r="3873" ht="15.75" customHeight="1">
      <c r="A3873" s="1" t="str">
        <f>IFERROR(__xludf.DUMMYFUNCTION("""COMPUTED_VALUE"""),"elizabeth")</f>
        <v>elizabeth</v>
      </c>
      <c r="B3873" s="1" t="str">
        <f>IF(A3873&lt;&gt;"", VLOOKUP(A3873, imdb_netflix_v5!A$2:H$7370, 2, FALSE), "")</f>
        <v>Movie</v>
      </c>
      <c r="C3873" s="2" t="str">
        <f>IF(A3873&lt;&gt;"", VLOOKUP(A3873, imdb_netflix_v5!A$2:H$7370, 3, FALSE), "")</f>
        <v>Biography, Drama, History</v>
      </c>
      <c r="D3873" s="2">
        <f>IF(A3873&lt;&gt;"", VLOOKUP(A3873, imdb_netflix_v5!A$2:H$7370, 4, FALSE), "")</f>
        <v>7.4</v>
      </c>
      <c r="E3873" s="2">
        <f>IF(A3873&lt;&gt;"", VLOOKUP(A3873, imdb_netflix_v5!A$2:H$7370, 5, FALSE), "")</f>
        <v>1998</v>
      </c>
      <c r="F3873" s="2" t="str">
        <f>IF(A3873&lt;&gt;"", VLOOKUP(A3873, imdb_netflix_v5!A$2:H$7370, 7, FALSE), "")</f>
        <v>NA</v>
      </c>
    </row>
    <row r="3874" ht="15.75" customHeight="1">
      <c r="A3874" s="1" t="str">
        <f>IFERROR(__xludf.DUMMYFUNCTION("""COMPUTED_VALUE"""),"the cider house rules")</f>
        <v>the cider house rules</v>
      </c>
      <c r="B3874" s="1" t="str">
        <f>IF(A3874&lt;&gt;"", VLOOKUP(A3874, imdb_netflix_v5!A$2:H$7370, 2, FALSE), "")</f>
        <v>Movie</v>
      </c>
      <c r="C3874" s="2" t="str">
        <f>IF(A3874&lt;&gt;"", VLOOKUP(A3874, imdb_netflix_v5!A$2:H$7370, 3, FALSE), "")</f>
        <v>Drama, Romance</v>
      </c>
      <c r="D3874" s="2">
        <f>IF(A3874&lt;&gt;"", VLOOKUP(A3874, imdb_netflix_v5!A$2:H$7370, 4, FALSE), "")</f>
        <v>7.4</v>
      </c>
      <c r="E3874" s="2">
        <f>IF(A3874&lt;&gt;"", VLOOKUP(A3874, imdb_netflix_v5!A$2:H$7370, 5, FALSE), "")</f>
        <v>1999</v>
      </c>
      <c r="F3874" s="2" t="str">
        <f>IF(A3874&lt;&gt;"", VLOOKUP(A3874, imdb_netflix_v5!A$2:H$7370, 7, FALSE), "")</f>
        <v>NA</v>
      </c>
    </row>
    <row r="3875" ht="15.75" customHeight="1">
      <c r="A3875" s="1" t="str">
        <f>IFERROR(__xludf.DUMMYFUNCTION("""COMPUTED_VALUE"""),"following")</f>
        <v>following</v>
      </c>
      <c r="B3875" s="1" t="str">
        <f>IF(A3875&lt;&gt;"", VLOOKUP(A3875, imdb_netflix_v5!A$2:H$7370, 2, FALSE), "")</f>
        <v>Movie</v>
      </c>
      <c r="C3875" s="2" t="str">
        <f>IF(A3875&lt;&gt;"", VLOOKUP(A3875, imdb_netflix_v5!A$2:H$7370, 3, FALSE), "")</f>
        <v>Crime, Mystery, Thriller</v>
      </c>
      <c r="D3875" s="2">
        <f>IF(A3875&lt;&gt;"", VLOOKUP(A3875, imdb_netflix_v5!A$2:H$7370, 4, FALSE), "")</f>
        <v>7.4</v>
      </c>
      <c r="E3875" s="2">
        <f>IF(A3875&lt;&gt;"", VLOOKUP(A3875, imdb_netflix_v5!A$2:H$7370, 5, FALSE), "")</f>
        <v>1998</v>
      </c>
      <c r="F3875" s="2" t="str">
        <f>IF(A3875&lt;&gt;"", VLOOKUP(A3875, imdb_netflix_v5!A$2:H$7370, 7, FALSE), "")</f>
        <v>NA</v>
      </c>
    </row>
    <row r="3876" ht="15.75" customHeight="1">
      <c r="A3876" s="1" t="str">
        <f>IFERROR(__xludf.DUMMYFUNCTION("""COMPUTED_VALUE"""),"good night, and good luck.")</f>
        <v>good night, and good luck.</v>
      </c>
      <c r="B3876" s="1" t="str">
        <f>IF(A3876&lt;&gt;"", VLOOKUP(A3876, imdb_netflix_v5!A$2:H$7370, 2, FALSE), "")</f>
        <v>Movie</v>
      </c>
      <c r="C3876" s="2" t="str">
        <f>IF(A3876&lt;&gt;"", VLOOKUP(A3876, imdb_netflix_v5!A$2:H$7370, 3, FALSE), "")</f>
        <v>Biography, Drama, History</v>
      </c>
      <c r="D3876" s="2">
        <f>IF(A3876&lt;&gt;"", VLOOKUP(A3876, imdb_netflix_v5!A$2:H$7370, 4, FALSE), "")</f>
        <v>7.4</v>
      </c>
      <c r="E3876" s="2">
        <f>IF(A3876&lt;&gt;"", VLOOKUP(A3876, imdb_netflix_v5!A$2:H$7370, 5, FALSE), "")</f>
        <v>2005</v>
      </c>
      <c r="F3876" s="2" t="str">
        <f>IF(A3876&lt;&gt;"", VLOOKUP(A3876, imdb_netflix_v5!A$2:H$7370, 7, FALSE), "")</f>
        <v>NA</v>
      </c>
    </row>
    <row r="3877" ht="15.75" customHeight="1">
      <c r="A3877" s="1" t="str">
        <f>IFERROR(__xludf.DUMMYFUNCTION("""COMPUTED_VALUE"""),"the land before time")</f>
        <v>the land before time</v>
      </c>
      <c r="B3877" s="1" t="str">
        <f>IF(A3877&lt;&gt;"", VLOOKUP(A3877, imdb_netflix_v5!A$2:H$7370, 2, FALSE), "")</f>
        <v>Movie</v>
      </c>
      <c r="C3877" s="2" t="str">
        <f>IF(A3877&lt;&gt;"", VLOOKUP(A3877, imdb_netflix_v5!A$2:H$7370, 3, FALSE), "")</f>
        <v>Adventure, Animation, Drama</v>
      </c>
      <c r="D3877" s="2">
        <f>IF(A3877&lt;&gt;"", VLOOKUP(A3877, imdb_netflix_v5!A$2:H$7370, 4, FALSE), "")</f>
        <v>7.4</v>
      </c>
      <c r="E3877" s="2">
        <f>IF(A3877&lt;&gt;"", VLOOKUP(A3877, imdb_netflix_v5!A$2:H$7370, 5, FALSE), "")</f>
        <v>1988</v>
      </c>
      <c r="F3877" s="2" t="str">
        <f>IF(A3877&lt;&gt;"", VLOOKUP(A3877, imdb_netflix_v5!A$2:H$7370, 7, FALSE), "")</f>
        <v>NA</v>
      </c>
    </row>
    <row r="3878" ht="15.75" customHeight="1">
      <c r="A3878" s="1" t="str">
        <f>IFERROR(__xludf.DUMMYFUNCTION("""COMPUTED_VALUE"""),"minari")</f>
        <v>minari</v>
      </c>
      <c r="B3878" s="1" t="str">
        <f>IF(A3878&lt;&gt;"", VLOOKUP(A3878, imdb_netflix_v5!A$2:H$7370, 2, FALSE), "")</f>
        <v>Movie</v>
      </c>
      <c r="C3878" s="2" t="str">
        <f>IF(A3878&lt;&gt;"", VLOOKUP(A3878, imdb_netflix_v5!A$2:H$7370, 3, FALSE), "")</f>
        <v>Drama</v>
      </c>
      <c r="D3878" s="2">
        <f>IF(A3878&lt;&gt;"", VLOOKUP(A3878, imdb_netflix_v5!A$2:H$7370, 4, FALSE), "")</f>
        <v>7.4</v>
      </c>
      <c r="E3878" s="2">
        <f>IF(A3878&lt;&gt;"", VLOOKUP(A3878, imdb_netflix_v5!A$2:H$7370, 5, FALSE), "")</f>
        <v>2020</v>
      </c>
      <c r="F3878" s="2" t="str">
        <f>IF(A3878&lt;&gt;"", VLOOKUP(A3878, imdb_netflix_v5!A$2:H$7370, 7, FALSE), "")</f>
        <v>NA</v>
      </c>
    </row>
    <row r="3879" ht="15.75" customHeight="1">
      <c r="A3879" s="1" t="str">
        <f>IFERROR(__xludf.DUMMYFUNCTION("""COMPUTED_VALUE"""),"american graffiti")</f>
        <v>american graffiti</v>
      </c>
      <c r="B3879" s="1" t="str">
        <f>IF(A3879&lt;&gt;"", VLOOKUP(A3879, imdb_netflix_v5!A$2:H$7370, 2, FALSE), "")</f>
        <v>Movie</v>
      </c>
      <c r="C3879" s="2" t="str">
        <f>IF(A3879&lt;&gt;"", VLOOKUP(A3879, imdb_netflix_v5!A$2:H$7370, 3, FALSE), "")</f>
        <v>Comedy, Drama</v>
      </c>
      <c r="D3879" s="2">
        <f>IF(A3879&lt;&gt;"", VLOOKUP(A3879, imdb_netflix_v5!A$2:H$7370, 4, FALSE), "")</f>
        <v>7.4</v>
      </c>
      <c r="E3879" s="2">
        <f>IF(A3879&lt;&gt;"", VLOOKUP(A3879, imdb_netflix_v5!A$2:H$7370, 5, FALSE), "")</f>
        <v>1973</v>
      </c>
      <c r="F3879" s="2" t="str">
        <f>IF(A3879&lt;&gt;"", VLOOKUP(A3879, imdb_netflix_v5!A$2:H$7370, 7, FALSE), "")</f>
        <v>NA</v>
      </c>
    </row>
    <row r="3880" ht="15.75" customHeight="1">
      <c r="A3880" s="1" t="str">
        <f>IFERROR(__xludf.DUMMYFUNCTION("""COMPUTED_VALUE"""),"reign over me")</f>
        <v>reign over me</v>
      </c>
      <c r="B3880" s="1" t="str">
        <f>IF(A3880&lt;&gt;"", VLOOKUP(A3880, imdb_netflix_v5!A$2:H$7370, 2, FALSE), "")</f>
        <v>Movie</v>
      </c>
      <c r="C3880" s="2" t="str">
        <f>IF(A3880&lt;&gt;"", VLOOKUP(A3880, imdb_netflix_v5!A$2:H$7370, 3, FALSE), "")</f>
        <v>Drama</v>
      </c>
      <c r="D3880" s="2">
        <f>IF(A3880&lt;&gt;"", VLOOKUP(A3880, imdb_netflix_v5!A$2:H$7370, 4, FALSE), "")</f>
        <v>7.4</v>
      </c>
      <c r="E3880" s="2">
        <f>IF(A3880&lt;&gt;"", VLOOKUP(A3880, imdb_netflix_v5!A$2:H$7370, 5, FALSE), "")</f>
        <v>2007</v>
      </c>
      <c r="F3880" s="2" t="str">
        <f>IF(A3880&lt;&gt;"", VLOOKUP(A3880, imdb_netflix_v5!A$2:H$7370, 7, FALSE), "")</f>
        <v>NA</v>
      </c>
    </row>
    <row r="3881" ht="15.75" customHeight="1">
      <c r="A3881" s="1" t="str">
        <f>IFERROR(__xludf.DUMMYFUNCTION("""COMPUTED_VALUE"""),"tár")</f>
        <v>tár</v>
      </c>
      <c r="B3881" s="1" t="str">
        <f>IF(A3881&lt;&gt;"", VLOOKUP(A3881, imdb_netflix_v5!A$2:H$7370, 2, FALSE), "")</f>
        <v>Movie</v>
      </c>
      <c r="C3881" s="2" t="str">
        <f>IF(A3881&lt;&gt;"", VLOOKUP(A3881, imdb_netflix_v5!A$2:H$7370, 3, FALSE), "")</f>
        <v>Drama, Music</v>
      </c>
      <c r="D3881" s="2">
        <f>IF(A3881&lt;&gt;"", VLOOKUP(A3881, imdb_netflix_v5!A$2:H$7370, 4, FALSE), "")</f>
        <v>7.4</v>
      </c>
      <c r="E3881" s="2">
        <f>IF(A3881&lt;&gt;"", VLOOKUP(A3881, imdb_netflix_v5!A$2:H$7370, 5, FALSE), "")</f>
        <v>2022</v>
      </c>
      <c r="F3881" s="2" t="str">
        <f>IF(A3881&lt;&gt;"", VLOOKUP(A3881, imdb_netflix_v5!A$2:H$7370, 7, FALSE), "")</f>
        <v>NA</v>
      </c>
    </row>
    <row r="3882" ht="15.75" customHeight="1">
      <c r="A3882" s="1" t="str">
        <f>IFERROR(__xludf.DUMMYFUNCTION("""COMPUTED_VALUE"""),"the painted veil")</f>
        <v>the painted veil</v>
      </c>
      <c r="B3882" s="1" t="str">
        <f>IF(A3882&lt;&gt;"", VLOOKUP(A3882, imdb_netflix_v5!A$2:H$7370, 2, FALSE), "")</f>
        <v>Movie</v>
      </c>
      <c r="C3882" s="2" t="str">
        <f>IF(A3882&lt;&gt;"", VLOOKUP(A3882, imdb_netflix_v5!A$2:H$7370, 3, FALSE), "")</f>
        <v>Drama, Romance</v>
      </c>
      <c r="D3882" s="2">
        <f>IF(A3882&lt;&gt;"", VLOOKUP(A3882, imdb_netflix_v5!A$2:H$7370, 4, FALSE), "")</f>
        <v>7.4</v>
      </c>
      <c r="E3882" s="2">
        <f>IF(A3882&lt;&gt;"", VLOOKUP(A3882, imdb_netflix_v5!A$2:H$7370, 5, FALSE), "")</f>
        <v>2006</v>
      </c>
      <c r="F3882" s="2" t="str">
        <f>IF(A3882&lt;&gt;"", VLOOKUP(A3882, imdb_netflix_v5!A$2:H$7370, 7, FALSE), "")</f>
        <v>NA</v>
      </c>
    </row>
    <row r="3883" ht="15.75" customHeight="1">
      <c r="A3883" s="1" t="str">
        <f>IFERROR(__xludf.DUMMYFUNCTION("""COMPUTED_VALUE"""),"frances ha")</f>
        <v>frances ha</v>
      </c>
      <c r="B3883" s="1" t="str">
        <f>IF(A3883&lt;&gt;"", VLOOKUP(A3883, imdb_netflix_v5!A$2:H$7370, 2, FALSE), "")</f>
        <v>Movie</v>
      </c>
      <c r="C3883" s="2" t="str">
        <f>IF(A3883&lt;&gt;"", VLOOKUP(A3883, imdb_netflix_v5!A$2:H$7370, 3, FALSE), "")</f>
        <v>Comedy, Drama, Romance</v>
      </c>
      <c r="D3883" s="2">
        <f>IF(A3883&lt;&gt;"", VLOOKUP(A3883, imdb_netflix_v5!A$2:H$7370, 4, FALSE), "")</f>
        <v>7.4</v>
      </c>
      <c r="E3883" s="2">
        <f>IF(A3883&lt;&gt;"", VLOOKUP(A3883, imdb_netflix_v5!A$2:H$7370, 5, FALSE), "")</f>
        <v>2012</v>
      </c>
      <c r="F3883" s="2" t="str">
        <f>IF(A3883&lt;&gt;"", VLOOKUP(A3883, imdb_netflix_v5!A$2:H$7370, 7, FALSE), "")</f>
        <v>NA</v>
      </c>
    </row>
    <row r="3884" ht="15.75" customHeight="1">
      <c r="A3884" s="1" t="str">
        <f>IFERROR(__xludf.DUMMYFUNCTION("""COMPUTED_VALUE"""),"biutiful")</f>
        <v>biutiful</v>
      </c>
      <c r="B3884" s="1" t="str">
        <f>IF(A3884&lt;&gt;"", VLOOKUP(A3884, imdb_netflix_v5!A$2:H$7370, 2, FALSE), "")</f>
        <v>Movie</v>
      </c>
      <c r="C3884" s="2" t="str">
        <f>IF(A3884&lt;&gt;"", VLOOKUP(A3884, imdb_netflix_v5!A$2:H$7370, 3, FALSE), "")</f>
        <v>Drama, Romance</v>
      </c>
      <c r="D3884" s="2">
        <f>IF(A3884&lt;&gt;"", VLOOKUP(A3884, imdb_netflix_v5!A$2:H$7370, 4, FALSE), "")</f>
        <v>7.4</v>
      </c>
      <c r="E3884" s="2">
        <f>IF(A3884&lt;&gt;"", VLOOKUP(A3884, imdb_netflix_v5!A$2:H$7370, 5, FALSE), "")</f>
        <v>2010</v>
      </c>
      <c r="F3884" s="2" t="str">
        <f>IF(A3884&lt;&gt;"", VLOOKUP(A3884, imdb_netflix_v5!A$2:H$7370, 7, FALSE), "")</f>
        <v>NA</v>
      </c>
    </row>
    <row r="3885" ht="15.75" customHeight="1">
      <c r="A3885" s="1" t="str">
        <f>IFERROR(__xludf.DUMMYFUNCTION("""COMPUTED_VALUE"""),"a monster calls")</f>
        <v>a monster calls</v>
      </c>
      <c r="B3885" s="1" t="str">
        <f>IF(A3885&lt;&gt;"", VLOOKUP(A3885, imdb_netflix_v5!A$2:H$7370, 2, FALSE), "")</f>
        <v>Movie</v>
      </c>
      <c r="C3885" s="2" t="str">
        <f>IF(A3885&lt;&gt;"", VLOOKUP(A3885, imdb_netflix_v5!A$2:H$7370, 3, FALSE), "")</f>
        <v>Adventure, Drama, Family</v>
      </c>
      <c r="D3885" s="2">
        <f>IF(A3885&lt;&gt;"", VLOOKUP(A3885, imdb_netflix_v5!A$2:H$7370, 4, FALSE), "")</f>
        <v>7.4</v>
      </c>
      <c r="E3885" s="2">
        <f>IF(A3885&lt;&gt;"", VLOOKUP(A3885, imdb_netflix_v5!A$2:H$7370, 5, FALSE), "")</f>
        <v>2016</v>
      </c>
      <c r="F3885" s="2" t="str">
        <f>IF(A3885&lt;&gt;"", VLOOKUP(A3885, imdb_netflix_v5!A$2:H$7370, 7, FALSE), "")</f>
        <v>NA</v>
      </c>
    </row>
    <row r="3886" ht="15.75" customHeight="1">
      <c r="A3886" s="1" t="str">
        <f>IFERROR(__xludf.DUMMYFUNCTION("""COMPUTED_VALUE"""),"judas and the black messiah")</f>
        <v>judas and the black messiah</v>
      </c>
      <c r="B3886" s="1" t="str">
        <f>IF(A3886&lt;&gt;"", VLOOKUP(A3886, imdb_netflix_v5!A$2:H$7370, 2, FALSE), "")</f>
        <v>Movie</v>
      </c>
      <c r="C3886" s="2" t="str">
        <f>IF(A3886&lt;&gt;"", VLOOKUP(A3886, imdb_netflix_v5!A$2:H$7370, 3, FALSE), "")</f>
        <v>Biography, Drama, History</v>
      </c>
      <c r="D3886" s="2">
        <f>IF(A3886&lt;&gt;"", VLOOKUP(A3886, imdb_netflix_v5!A$2:H$7370, 4, FALSE), "")</f>
        <v>7.4</v>
      </c>
      <c r="E3886" s="2">
        <f>IF(A3886&lt;&gt;"", VLOOKUP(A3886, imdb_netflix_v5!A$2:H$7370, 5, FALSE), "")</f>
        <v>2021</v>
      </c>
      <c r="F3886" s="2" t="str">
        <f>IF(A3886&lt;&gt;"", VLOOKUP(A3886, imdb_netflix_v5!A$2:H$7370, 7, FALSE), "")</f>
        <v>NA</v>
      </c>
    </row>
    <row r="3887" ht="15.75" customHeight="1">
      <c r="A3887" s="1" t="str">
        <f>IFERROR(__xludf.DUMMYFUNCTION("""COMPUTED_VALUE"""),"the following")</f>
        <v>the following</v>
      </c>
      <c r="B3887" s="1" t="str">
        <f>IF(A3887&lt;&gt;"", VLOOKUP(A3887, imdb_netflix_v5!A$2:H$7370, 2, FALSE), "")</f>
        <v>TV Show</v>
      </c>
      <c r="C3887" s="2" t="str">
        <f>IF(A3887&lt;&gt;"", VLOOKUP(A3887, imdb_netflix_v5!A$2:H$7370, 3, FALSE), "")</f>
        <v>Crime, Drama, Horror</v>
      </c>
      <c r="D3887" s="2">
        <f>IF(A3887&lt;&gt;"", VLOOKUP(A3887, imdb_netflix_v5!A$2:H$7370, 4, FALSE), "")</f>
        <v>7.4</v>
      </c>
      <c r="E3887" s="2">
        <f>IF(A3887&lt;&gt;"", VLOOKUP(A3887, imdb_netflix_v5!A$2:H$7370, 5, FALSE), "")</f>
        <v>2013</v>
      </c>
      <c r="F3887" s="2" t="str">
        <f>IF(A3887&lt;&gt;"", VLOOKUP(A3887, imdb_netflix_v5!A$2:H$7370, 7, FALSE), "")</f>
        <v>NA</v>
      </c>
    </row>
    <row r="3888" ht="15.75" customHeight="1">
      <c r="A3888" s="1" t="str">
        <f>IFERROR(__xludf.DUMMYFUNCTION("""COMPUTED_VALUE"""),"tetris")</f>
        <v>tetris</v>
      </c>
      <c r="B3888" s="1" t="str">
        <f>IF(A3888&lt;&gt;"", VLOOKUP(A3888, imdb_netflix_v5!A$2:H$7370, 2, FALSE), "")</f>
        <v>Movie</v>
      </c>
      <c r="C3888" s="2" t="str">
        <f>IF(A3888&lt;&gt;"", VLOOKUP(A3888, imdb_netflix_v5!A$2:H$7370, 3, FALSE), "")</f>
        <v>Biography, Drama, History</v>
      </c>
      <c r="D3888" s="2">
        <f>IF(A3888&lt;&gt;"", VLOOKUP(A3888, imdb_netflix_v5!A$2:H$7370, 4, FALSE), "")</f>
        <v>7.4</v>
      </c>
      <c r="E3888" s="2">
        <f>IF(A3888&lt;&gt;"", VLOOKUP(A3888, imdb_netflix_v5!A$2:H$7370, 5, FALSE), "")</f>
        <v>2023</v>
      </c>
      <c r="F3888" s="2" t="str">
        <f>IF(A3888&lt;&gt;"", VLOOKUP(A3888, imdb_netflix_v5!A$2:H$7370, 7, FALSE), "")</f>
        <v>NA</v>
      </c>
    </row>
    <row r="3889" ht="15.75" customHeight="1">
      <c r="A3889" s="1" t="str">
        <f>IFERROR(__xludf.DUMMYFUNCTION("""COMPUTED_VALUE"""),"the king of queens")</f>
        <v>the king of queens</v>
      </c>
      <c r="B3889" s="1" t="str">
        <f>IF(A3889&lt;&gt;"", VLOOKUP(A3889, imdb_netflix_v5!A$2:H$7370, 2, FALSE), "")</f>
        <v>TV Show</v>
      </c>
      <c r="C3889" s="2" t="str">
        <f>IF(A3889&lt;&gt;"", VLOOKUP(A3889, imdb_netflix_v5!A$2:H$7370, 3, FALSE), "")</f>
        <v>Comedy</v>
      </c>
      <c r="D3889" s="2">
        <f>IF(A3889&lt;&gt;"", VLOOKUP(A3889, imdb_netflix_v5!A$2:H$7370, 4, FALSE), "")</f>
        <v>7.4</v>
      </c>
      <c r="E3889" s="2">
        <f>IF(A3889&lt;&gt;"", VLOOKUP(A3889, imdb_netflix_v5!A$2:H$7370, 5, FALSE), "")</f>
        <v>1998</v>
      </c>
      <c r="F3889" s="2" t="str">
        <f>IF(A3889&lt;&gt;"", VLOOKUP(A3889, imdb_netflix_v5!A$2:H$7370, 7, FALSE), "")</f>
        <v>NA</v>
      </c>
    </row>
    <row r="3890" ht="15.75" customHeight="1">
      <c r="A3890" s="1" t="str">
        <f>IFERROR(__xludf.DUMMYFUNCTION("""COMPUTED_VALUE"""),"raised by wolves")</f>
        <v>raised by wolves</v>
      </c>
      <c r="B3890" s="1" t="str">
        <f>IF(A3890&lt;&gt;"", VLOOKUP(A3890, imdb_netflix_v5!A$2:H$7370, 2, FALSE), "")</f>
        <v>TV Show</v>
      </c>
      <c r="C3890" s="2" t="str">
        <f>IF(A3890&lt;&gt;"", VLOOKUP(A3890, imdb_netflix_v5!A$2:H$7370, 3, FALSE), "")</f>
        <v>Drama, Fantasy, Sci-Fi</v>
      </c>
      <c r="D3890" s="2">
        <f>IF(A3890&lt;&gt;"", VLOOKUP(A3890, imdb_netflix_v5!A$2:H$7370, 4, FALSE), "")</f>
        <v>7.4</v>
      </c>
      <c r="E3890" s="2">
        <f>IF(A3890&lt;&gt;"", VLOOKUP(A3890, imdb_netflix_v5!A$2:H$7370, 5, FALSE), "")</f>
        <v>2020</v>
      </c>
      <c r="F3890" s="2" t="str">
        <f>IF(A3890&lt;&gt;"", VLOOKUP(A3890, imdb_netflix_v5!A$2:H$7370, 7, FALSE), "")</f>
        <v>NA</v>
      </c>
    </row>
    <row r="3891" ht="15.75" customHeight="1">
      <c r="A3891" s="1" t="str">
        <f>IFERROR(__xludf.DUMMYFUNCTION("""COMPUTED_VALUE"""),"the wailing")</f>
        <v>the wailing</v>
      </c>
      <c r="B3891" s="1" t="str">
        <f>IF(A3891&lt;&gt;"", VLOOKUP(A3891, imdb_netflix_v5!A$2:H$7370, 2, FALSE), "")</f>
        <v>Movie</v>
      </c>
      <c r="C3891" s="2" t="str">
        <f>IF(A3891&lt;&gt;"", VLOOKUP(A3891, imdb_netflix_v5!A$2:H$7370, 3, FALSE), "")</f>
        <v>Drama, Horror</v>
      </c>
      <c r="D3891" s="2">
        <f>IF(A3891&lt;&gt;"", VLOOKUP(A3891, imdb_netflix_v5!A$2:H$7370, 4, FALSE), "")</f>
        <v>7.4</v>
      </c>
      <c r="E3891" s="2">
        <f>IF(A3891&lt;&gt;"", VLOOKUP(A3891, imdb_netflix_v5!A$2:H$7370, 5, FALSE), "")</f>
        <v>2016</v>
      </c>
      <c r="F3891" s="2" t="str">
        <f>IF(A3891&lt;&gt;"", VLOOKUP(A3891, imdb_netflix_v5!A$2:H$7370, 7, FALSE), "")</f>
        <v>NA</v>
      </c>
    </row>
    <row r="3892" ht="15.75" customHeight="1">
      <c r="A3892" s="1" t="str">
        <f>IFERROR(__xludf.DUMMYFUNCTION("""COMPUTED_VALUE"""),"notes on a scandal")</f>
        <v>notes on a scandal</v>
      </c>
      <c r="B3892" s="1" t="str">
        <f>IF(A3892&lt;&gt;"", VLOOKUP(A3892, imdb_netflix_v5!A$2:H$7370, 2, FALSE), "")</f>
        <v>Movie</v>
      </c>
      <c r="C3892" s="2" t="str">
        <f>IF(A3892&lt;&gt;"", VLOOKUP(A3892, imdb_netflix_v5!A$2:H$7370, 3, FALSE), "")</f>
        <v>Crime, Drama, Romance</v>
      </c>
      <c r="D3892" s="2">
        <f>IF(A3892&lt;&gt;"", VLOOKUP(A3892, imdb_netflix_v5!A$2:H$7370, 4, FALSE), "")</f>
        <v>7.4</v>
      </c>
      <c r="E3892" s="2">
        <f>IF(A3892&lt;&gt;"", VLOOKUP(A3892, imdb_netflix_v5!A$2:H$7370, 5, FALSE), "")</f>
        <v>2006</v>
      </c>
      <c r="F3892" s="2" t="str">
        <f>IF(A3892&lt;&gt;"", VLOOKUP(A3892, imdb_netflix_v5!A$2:H$7370, 7, FALSE), "")</f>
        <v>NA</v>
      </c>
    </row>
    <row r="3893" ht="15.75" customHeight="1">
      <c r="A3893" s="1" t="str">
        <f>IFERROR(__xludf.DUMMYFUNCTION("""COMPUTED_VALUE"""),"an inconvenient truth")</f>
        <v>an inconvenient truth</v>
      </c>
      <c r="B3893" s="1" t="str">
        <f>IF(A3893&lt;&gt;"", VLOOKUP(A3893, imdb_netflix_v5!A$2:H$7370, 2, FALSE), "")</f>
        <v>Movie</v>
      </c>
      <c r="C3893" s="2" t="str">
        <f>IF(A3893&lt;&gt;"", VLOOKUP(A3893, imdb_netflix_v5!A$2:H$7370, 3, FALSE), "")</f>
        <v>Documentary</v>
      </c>
      <c r="D3893" s="2">
        <f>IF(A3893&lt;&gt;"", VLOOKUP(A3893, imdb_netflix_v5!A$2:H$7370, 4, FALSE), "")</f>
        <v>7.4</v>
      </c>
      <c r="E3893" s="2">
        <f>IF(A3893&lt;&gt;"", VLOOKUP(A3893, imdb_netflix_v5!A$2:H$7370, 5, FALSE), "")</f>
        <v>2006</v>
      </c>
      <c r="F3893" s="2" t="str">
        <f>IF(A3893&lt;&gt;"", VLOOKUP(A3893, imdb_netflix_v5!A$2:H$7370, 7, FALSE), "")</f>
        <v>NA</v>
      </c>
    </row>
    <row r="3894" ht="15.75" customHeight="1">
      <c r="A3894" s="1" t="str">
        <f>IFERROR(__xludf.DUMMYFUNCTION("""COMPUTED_VALUE"""),"trumbo")</f>
        <v>trumbo</v>
      </c>
      <c r="B3894" s="1" t="str">
        <f>IF(A3894&lt;&gt;"", VLOOKUP(A3894, imdb_netflix_v5!A$2:H$7370, 2, FALSE), "")</f>
        <v>Movie</v>
      </c>
      <c r="C3894" s="2" t="str">
        <f>IF(A3894&lt;&gt;"", VLOOKUP(A3894, imdb_netflix_v5!A$2:H$7370, 3, FALSE), "")</f>
        <v>Biography, Drama</v>
      </c>
      <c r="D3894" s="2">
        <f>IF(A3894&lt;&gt;"", VLOOKUP(A3894, imdb_netflix_v5!A$2:H$7370, 4, FALSE), "")</f>
        <v>7.4</v>
      </c>
      <c r="E3894" s="2">
        <f>IF(A3894&lt;&gt;"", VLOOKUP(A3894, imdb_netflix_v5!A$2:H$7370, 5, FALSE), "")</f>
        <v>2015</v>
      </c>
      <c r="F3894" s="2" t="str">
        <f>IF(A3894&lt;&gt;"", VLOOKUP(A3894, imdb_netflix_v5!A$2:H$7370, 7, FALSE), "")</f>
        <v>NA</v>
      </c>
    </row>
    <row r="3895" ht="15.75" customHeight="1">
      <c r="A3895" s="1" t="str">
        <f>IFERROR(__xludf.DUMMYFUNCTION("""COMPUTED_VALUE"""),"master")</f>
        <v>master</v>
      </c>
      <c r="B3895" s="1" t="str">
        <f>IF(A3895&lt;&gt;"", VLOOKUP(A3895, imdb_netflix_v5!A$2:H$7370, 2, FALSE), "")</f>
        <v>Movie</v>
      </c>
      <c r="C3895" s="2" t="str">
        <f>IF(A3895&lt;&gt;"", VLOOKUP(A3895, imdb_netflix_v5!A$2:H$7370, 3, FALSE), "")</f>
        <v>Action, Crime, Drama</v>
      </c>
      <c r="D3895" s="2">
        <f>IF(A3895&lt;&gt;"", VLOOKUP(A3895, imdb_netflix_v5!A$2:H$7370, 4, FALSE), "")</f>
        <v>7.4</v>
      </c>
      <c r="E3895" s="2">
        <f>IF(A3895&lt;&gt;"", VLOOKUP(A3895, imdb_netflix_v5!A$2:H$7370, 5, FALSE), "")</f>
        <v>2021</v>
      </c>
      <c r="F3895" s="2" t="str">
        <f>IF(A3895&lt;&gt;"", VLOOKUP(A3895, imdb_netflix_v5!A$2:H$7370, 7, FALSE), "")</f>
        <v>NA</v>
      </c>
    </row>
    <row r="3896" ht="15.75" customHeight="1">
      <c r="A3896" s="1" t="str">
        <f>IFERROR(__xludf.DUMMYFUNCTION("""COMPUTED_VALUE"""),"felon")</f>
        <v>felon</v>
      </c>
      <c r="B3896" s="1" t="str">
        <f>IF(A3896&lt;&gt;"", VLOOKUP(A3896, imdb_netflix_v5!A$2:H$7370, 2, FALSE), "")</f>
        <v>Movie</v>
      </c>
      <c r="C3896" s="2" t="str">
        <f>IF(A3896&lt;&gt;"", VLOOKUP(A3896, imdb_netflix_v5!A$2:H$7370, 3, FALSE), "")</f>
        <v>Action, Drama, Thriller</v>
      </c>
      <c r="D3896" s="2">
        <f>IF(A3896&lt;&gt;"", VLOOKUP(A3896, imdb_netflix_v5!A$2:H$7370, 4, FALSE), "")</f>
        <v>7.4</v>
      </c>
      <c r="E3896" s="2">
        <f>IF(A3896&lt;&gt;"", VLOOKUP(A3896, imdb_netflix_v5!A$2:H$7370, 5, FALSE), "")</f>
        <v>2008</v>
      </c>
      <c r="F3896" s="2" t="str">
        <f>IF(A3896&lt;&gt;"", VLOOKUP(A3896, imdb_netflix_v5!A$2:H$7370, 7, FALSE), "")</f>
        <v>NA</v>
      </c>
    </row>
    <row r="3897" ht="15.75" customHeight="1">
      <c r="A3897" s="1" t="str">
        <f>IFERROR(__xludf.DUMMYFUNCTION("""COMPUTED_VALUE"""),"eighth grade")</f>
        <v>eighth grade</v>
      </c>
      <c r="B3897" s="1" t="str">
        <f>IF(A3897&lt;&gt;"", VLOOKUP(A3897, imdb_netflix_v5!A$2:H$7370, 2, FALSE), "")</f>
        <v>Movie</v>
      </c>
      <c r="C3897" s="2" t="str">
        <f>IF(A3897&lt;&gt;"", VLOOKUP(A3897, imdb_netflix_v5!A$2:H$7370, 3, FALSE), "")</f>
        <v>Comedy, Drama</v>
      </c>
      <c r="D3897" s="2">
        <f>IF(A3897&lt;&gt;"", VLOOKUP(A3897, imdb_netflix_v5!A$2:H$7370, 4, FALSE), "")</f>
        <v>7.4</v>
      </c>
      <c r="E3897" s="2">
        <f>IF(A3897&lt;&gt;"", VLOOKUP(A3897, imdb_netflix_v5!A$2:H$7370, 5, FALSE), "")</f>
        <v>2018</v>
      </c>
      <c r="F3897" s="2" t="str">
        <f>IF(A3897&lt;&gt;"", VLOOKUP(A3897, imdb_netflix_v5!A$2:H$7370, 7, FALSE), "")</f>
        <v>NA</v>
      </c>
    </row>
    <row r="3898" ht="15.75" customHeight="1">
      <c r="A3898" s="1" t="str">
        <f>IFERROR(__xludf.DUMMYFUNCTION("""COMPUTED_VALUE"""),"the boy and the heron")</f>
        <v>the boy and the heron</v>
      </c>
      <c r="B3898" s="1" t="str">
        <f>IF(A3898&lt;&gt;"", VLOOKUP(A3898, imdb_netflix_v5!A$2:H$7370, 2, FALSE), "")</f>
        <v>Movie</v>
      </c>
      <c r="C3898" s="2" t="str">
        <f>IF(A3898&lt;&gt;"", VLOOKUP(A3898, imdb_netflix_v5!A$2:H$7370, 3, FALSE), "")</f>
        <v>Adventure, Animation, Drama</v>
      </c>
      <c r="D3898" s="2">
        <f>IF(A3898&lt;&gt;"", VLOOKUP(A3898, imdb_netflix_v5!A$2:H$7370, 4, FALSE), "")</f>
        <v>7.4</v>
      </c>
      <c r="E3898" s="2">
        <f>IF(A3898&lt;&gt;"", VLOOKUP(A3898, imdb_netflix_v5!A$2:H$7370, 5, FALSE), "")</f>
        <v>2023</v>
      </c>
      <c r="F3898" s="2" t="str">
        <f>IF(A3898&lt;&gt;"", VLOOKUP(A3898, imdb_netflix_v5!A$2:H$7370, 7, FALSE), "")</f>
        <v>NA</v>
      </c>
    </row>
    <row r="3899" ht="15.75" customHeight="1">
      <c r="A3899" s="1" t="str">
        <f>IFERROR(__xludf.DUMMYFUNCTION("""COMPUTED_VALUE"""),"to catch a thief")</f>
        <v>to catch a thief</v>
      </c>
      <c r="B3899" s="1" t="str">
        <f>IF(A3899&lt;&gt;"", VLOOKUP(A3899, imdb_netflix_v5!A$2:H$7370, 2, FALSE), "")</f>
        <v>Movie</v>
      </c>
      <c r="C3899" s="2" t="str">
        <f>IF(A3899&lt;&gt;"", VLOOKUP(A3899, imdb_netflix_v5!A$2:H$7370, 3, FALSE), "")</f>
        <v>Mystery, Romance, Thriller</v>
      </c>
      <c r="D3899" s="2">
        <f>IF(A3899&lt;&gt;"", VLOOKUP(A3899, imdb_netflix_v5!A$2:H$7370, 4, FALSE), "")</f>
        <v>7.4</v>
      </c>
      <c r="E3899" s="2">
        <f>IF(A3899&lt;&gt;"", VLOOKUP(A3899, imdb_netflix_v5!A$2:H$7370, 5, FALSE), "")</f>
        <v>1955</v>
      </c>
      <c r="F3899" s="2" t="str">
        <f>IF(A3899&lt;&gt;"", VLOOKUP(A3899, imdb_netflix_v5!A$2:H$7370, 7, FALSE), "")</f>
        <v>NA</v>
      </c>
    </row>
    <row r="3900" ht="15.75" customHeight="1">
      <c r="A3900" s="1" t="str">
        <f>IFERROR(__xludf.DUMMYFUNCTION("""COMPUTED_VALUE"""),"mid90s")</f>
        <v>mid90s</v>
      </c>
      <c r="B3900" s="1" t="str">
        <f>IF(A3900&lt;&gt;"", VLOOKUP(A3900, imdb_netflix_v5!A$2:H$7370, 2, FALSE), "")</f>
        <v>Movie</v>
      </c>
      <c r="C3900" s="2" t="str">
        <f>IF(A3900&lt;&gt;"", VLOOKUP(A3900, imdb_netflix_v5!A$2:H$7370, 3, FALSE), "")</f>
        <v>Comedy, Drama</v>
      </c>
      <c r="D3900" s="2">
        <f>IF(A3900&lt;&gt;"", VLOOKUP(A3900, imdb_netflix_v5!A$2:H$7370, 4, FALSE), "")</f>
        <v>7.4</v>
      </c>
      <c r="E3900" s="2">
        <f>IF(A3900&lt;&gt;"", VLOOKUP(A3900, imdb_netflix_v5!A$2:H$7370, 5, FALSE), "")</f>
        <v>2018</v>
      </c>
      <c r="F3900" s="2" t="str">
        <f>IF(A3900&lt;&gt;"", VLOOKUP(A3900, imdb_netflix_v5!A$2:H$7370, 7, FALSE), "")</f>
        <v>NA</v>
      </c>
    </row>
    <row r="3901" ht="15.75" customHeight="1">
      <c r="A3901" s="1" t="str">
        <f>IFERROR(__xludf.DUMMYFUNCTION("""COMPUTED_VALUE"""),"dirty rotten scoundrels")</f>
        <v>dirty rotten scoundrels</v>
      </c>
      <c r="B3901" s="1" t="str">
        <f>IF(A3901&lt;&gt;"", VLOOKUP(A3901, imdb_netflix_v5!A$2:H$7370, 2, FALSE), "")</f>
        <v>Movie</v>
      </c>
      <c r="C3901" s="2" t="str">
        <f>IF(A3901&lt;&gt;"", VLOOKUP(A3901, imdb_netflix_v5!A$2:H$7370, 3, FALSE), "")</f>
        <v>Comedy, Crime</v>
      </c>
      <c r="D3901" s="2">
        <f>IF(A3901&lt;&gt;"", VLOOKUP(A3901, imdb_netflix_v5!A$2:H$7370, 4, FALSE), "")</f>
        <v>7.4</v>
      </c>
      <c r="E3901" s="2">
        <f>IF(A3901&lt;&gt;"", VLOOKUP(A3901, imdb_netflix_v5!A$2:H$7370, 5, FALSE), "")</f>
        <v>1988</v>
      </c>
      <c r="F3901" s="2" t="str">
        <f>IF(A3901&lt;&gt;"", VLOOKUP(A3901, imdb_netflix_v5!A$2:H$7370, 7, FALSE), "")</f>
        <v>NA</v>
      </c>
    </row>
    <row r="3902" ht="15.75" customHeight="1">
      <c r="A3902" s="1" t="str">
        <f>IFERROR(__xludf.DUMMYFUNCTION("""COMPUTED_VALUE"""),"open range")</f>
        <v>open range</v>
      </c>
      <c r="B3902" s="1" t="str">
        <f>IF(A3902&lt;&gt;"", VLOOKUP(A3902, imdb_netflix_v5!A$2:H$7370, 2, FALSE), "")</f>
        <v>Movie</v>
      </c>
      <c r="C3902" s="2" t="str">
        <f>IF(A3902&lt;&gt;"", VLOOKUP(A3902, imdb_netflix_v5!A$2:H$7370, 3, FALSE), "")</f>
        <v>Action, Drama, Romance</v>
      </c>
      <c r="D3902" s="2">
        <f>IF(A3902&lt;&gt;"", VLOOKUP(A3902, imdb_netflix_v5!A$2:H$7370, 4, FALSE), "")</f>
        <v>7.4</v>
      </c>
      <c r="E3902" s="2">
        <f>IF(A3902&lt;&gt;"", VLOOKUP(A3902, imdb_netflix_v5!A$2:H$7370, 5, FALSE), "")</f>
        <v>2003</v>
      </c>
      <c r="F3902" s="2" t="str">
        <f>IF(A3902&lt;&gt;"", VLOOKUP(A3902, imdb_netflix_v5!A$2:H$7370, 7, FALSE), "")</f>
        <v>NA</v>
      </c>
    </row>
    <row r="3903" ht="15.75" customHeight="1">
      <c r="A3903" s="1" t="str">
        <f>IFERROR(__xludf.DUMMYFUNCTION("""COMPUTED_VALUE"""),"hawaii five-0")</f>
        <v>hawaii five-0</v>
      </c>
      <c r="B3903" s="1" t="str">
        <f>IF(A3903&lt;&gt;"", VLOOKUP(A3903, imdb_netflix_v5!A$2:H$7370, 2, FALSE), "")</f>
        <v>TV Show</v>
      </c>
      <c r="C3903" s="2" t="str">
        <f>IF(A3903&lt;&gt;"", VLOOKUP(A3903, imdb_netflix_v5!A$2:H$7370, 3, FALSE), "")</f>
        <v>Action, Crime, Drama</v>
      </c>
      <c r="D3903" s="2">
        <f>IF(A3903&lt;&gt;"", VLOOKUP(A3903, imdb_netflix_v5!A$2:H$7370, 4, FALSE), "")</f>
        <v>7.4</v>
      </c>
      <c r="E3903" s="2">
        <f>IF(A3903&lt;&gt;"", VLOOKUP(A3903, imdb_netflix_v5!A$2:H$7370, 5, FALSE), "")</f>
        <v>2010</v>
      </c>
      <c r="F3903" s="2" t="str">
        <f>IF(A3903&lt;&gt;"", VLOOKUP(A3903, imdb_netflix_v5!A$2:H$7370, 7, FALSE), "")</f>
        <v>NA</v>
      </c>
    </row>
    <row r="3904" ht="15.75" customHeight="1">
      <c r="A3904" s="1" t="str">
        <f>IFERROR(__xludf.DUMMYFUNCTION("""COMPUTED_VALUE"""),"burning")</f>
        <v>burning</v>
      </c>
      <c r="B3904" s="1" t="str">
        <f>IF(A3904&lt;&gt;"", VLOOKUP(A3904, imdb_netflix_v5!A$2:H$7370, 2, FALSE), "")</f>
        <v>Movie</v>
      </c>
      <c r="C3904" s="2" t="str">
        <f>IF(A3904&lt;&gt;"", VLOOKUP(A3904, imdb_netflix_v5!A$2:H$7370, 3, FALSE), "")</f>
        <v>Drama, Mystery</v>
      </c>
      <c r="D3904" s="2">
        <f>IF(A3904&lt;&gt;"", VLOOKUP(A3904, imdb_netflix_v5!A$2:H$7370, 4, FALSE), "")</f>
        <v>7.4</v>
      </c>
      <c r="E3904" s="2">
        <f>IF(A3904&lt;&gt;"", VLOOKUP(A3904, imdb_netflix_v5!A$2:H$7370, 5, FALSE), "")</f>
        <v>2018</v>
      </c>
      <c r="F3904" s="2" t="str">
        <f>IF(A3904&lt;&gt;"", VLOOKUP(A3904, imdb_netflix_v5!A$2:H$7370, 7, FALSE), "")</f>
        <v>NA</v>
      </c>
    </row>
    <row r="3905" ht="15.75" customHeight="1">
      <c r="A3905" s="1" t="str">
        <f>IFERROR(__xludf.DUMMYFUNCTION("""COMPUTED_VALUE"""),"girls")</f>
        <v>girls</v>
      </c>
      <c r="B3905" s="1" t="str">
        <f>IF(A3905&lt;&gt;"", VLOOKUP(A3905, imdb_netflix_v5!A$2:H$7370, 2, FALSE), "")</f>
        <v>TV Show</v>
      </c>
      <c r="C3905" s="2" t="str">
        <f>IF(A3905&lt;&gt;"", VLOOKUP(A3905, imdb_netflix_v5!A$2:H$7370, 3, FALSE), "")</f>
        <v>Comedy, Drama</v>
      </c>
      <c r="D3905" s="2">
        <f>IF(A3905&lt;&gt;"", VLOOKUP(A3905, imdb_netflix_v5!A$2:H$7370, 4, FALSE), "")</f>
        <v>7.4</v>
      </c>
      <c r="E3905" s="2">
        <f>IF(A3905&lt;&gt;"", VLOOKUP(A3905, imdb_netflix_v5!A$2:H$7370, 5, FALSE), "")</f>
        <v>2012</v>
      </c>
      <c r="F3905" s="2" t="str">
        <f>IF(A3905&lt;&gt;"", VLOOKUP(A3905, imdb_netflix_v5!A$2:H$7370, 7, FALSE), "")</f>
        <v>NA</v>
      </c>
    </row>
    <row r="3906" ht="15.75" customHeight="1">
      <c r="A3906" s="1" t="str">
        <f>IFERROR(__xludf.DUMMYFUNCTION("""COMPUTED_VALUE"""),"bullitt")</f>
        <v>bullitt</v>
      </c>
      <c r="B3906" s="1" t="str">
        <f>IF(A3906&lt;&gt;"", VLOOKUP(A3906, imdb_netflix_v5!A$2:H$7370, 2, FALSE), "")</f>
        <v>Movie</v>
      </c>
      <c r="C3906" s="2" t="str">
        <f>IF(A3906&lt;&gt;"", VLOOKUP(A3906, imdb_netflix_v5!A$2:H$7370, 3, FALSE), "")</f>
        <v>Action, Crime, Thriller</v>
      </c>
      <c r="D3906" s="2">
        <f>IF(A3906&lt;&gt;"", VLOOKUP(A3906, imdb_netflix_v5!A$2:H$7370, 4, FALSE), "")</f>
        <v>7.4</v>
      </c>
      <c r="E3906" s="2">
        <f>IF(A3906&lt;&gt;"", VLOOKUP(A3906, imdb_netflix_v5!A$2:H$7370, 5, FALSE), "")</f>
        <v>1968</v>
      </c>
      <c r="F3906" s="2" t="str">
        <f>IF(A3906&lt;&gt;"", VLOOKUP(A3906, imdb_netflix_v5!A$2:H$7370, 7, FALSE), "")</f>
        <v>NA</v>
      </c>
    </row>
    <row r="3907" ht="15.75" customHeight="1">
      <c r="A3907" s="1" t="str">
        <f>IFERROR(__xludf.DUMMYFUNCTION("""COMPUTED_VALUE"""),"hijack")</f>
        <v>hijack</v>
      </c>
      <c r="B3907" s="1" t="str">
        <f>IF(A3907&lt;&gt;"", VLOOKUP(A3907, imdb_netflix_v5!A$2:H$7370, 2, FALSE), "")</f>
        <v>TV Show</v>
      </c>
      <c r="C3907" s="2" t="str">
        <f>IF(A3907&lt;&gt;"", VLOOKUP(A3907, imdb_netflix_v5!A$2:H$7370, 3, FALSE), "")</f>
        <v>Drama, Thriller</v>
      </c>
      <c r="D3907" s="2">
        <f>IF(A3907&lt;&gt;"", VLOOKUP(A3907, imdb_netflix_v5!A$2:H$7370, 4, FALSE), "")</f>
        <v>7.4</v>
      </c>
      <c r="E3907" s="2">
        <f>IF(A3907&lt;&gt;"", VLOOKUP(A3907, imdb_netflix_v5!A$2:H$7370, 5, FALSE), "")</f>
        <v>2023</v>
      </c>
      <c r="F3907" s="2" t="str">
        <f>IF(A3907&lt;&gt;"", VLOOKUP(A3907, imdb_netflix_v5!A$2:H$7370, 7, FALSE), "")</f>
        <v>NA</v>
      </c>
    </row>
    <row r="3908" ht="15.75" customHeight="1">
      <c r="A3908" s="1" t="str">
        <f>IFERROR(__xludf.DUMMYFUNCTION("""COMPUTED_VALUE"""),"the devils backbone")</f>
        <v>the devils backbone</v>
      </c>
      <c r="B3908" s="1" t="str">
        <f>IF(A3908&lt;&gt;"", VLOOKUP(A3908, imdb_netflix_v5!A$2:H$7370, 2, FALSE), "")</f>
        <v>Movie</v>
      </c>
      <c r="C3908" s="2" t="str">
        <f>IF(A3908&lt;&gt;"", VLOOKUP(A3908, imdb_netflix_v5!A$2:H$7370, 3, FALSE), "")</f>
        <v>Drama, Horror, Thriller</v>
      </c>
      <c r="D3908" s="2">
        <f>IF(A3908&lt;&gt;"", VLOOKUP(A3908, imdb_netflix_v5!A$2:H$7370, 4, FALSE), "")</f>
        <v>7.4</v>
      </c>
      <c r="E3908" s="2">
        <f>IF(A3908&lt;&gt;"", VLOOKUP(A3908, imdb_netflix_v5!A$2:H$7370, 5, FALSE), "")</f>
        <v>2001</v>
      </c>
      <c r="F3908" s="2" t="str">
        <f>IF(A3908&lt;&gt;"", VLOOKUP(A3908, imdb_netflix_v5!A$2:H$7370, 7, FALSE), "")</f>
        <v>NA</v>
      </c>
    </row>
    <row r="3909" ht="15.75" customHeight="1">
      <c r="A3909" s="1" t="str">
        <f>IFERROR(__xludf.DUMMYFUNCTION("""COMPUTED_VALUE"""),"marathon man")</f>
        <v>marathon man</v>
      </c>
      <c r="B3909" s="1" t="str">
        <f>IF(A3909&lt;&gt;"", VLOOKUP(A3909, imdb_netflix_v5!A$2:H$7370, 2, FALSE), "")</f>
        <v>Movie</v>
      </c>
      <c r="C3909" s="2" t="str">
        <f>IF(A3909&lt;&gt;"", VLOOKUP(A3909, imdb_netflix_v5!A$2:H$7370, 3, FALSE), "")</f>
        <v>Crime, Drama, Thriller</v>
      </c>
      <c r="D3909" s="2">
        <f>IF(A3909&lt;&gt;"", VLOOKUP(A3909, imdb_netflix_v5!A$2:H$7370, 4, FALSE), "")</f>
        <v>7.4</v>
      </c>
      <c r="E3909" s="2">
        <f>IF(A3909&lt;&gt;"", VLOOKUP(A3909, imdb_netflix_v5!A$2:H$7370, 5, FALSE), "")</f>
        <v>1976</v>
      </c>
      <c r="F3909" s="2" t="str">
        <f>IF(A3909&lt;&gt;"", VLOOKUP(A3909, imdb_netflix_v5!A$2:H$7370, 7, FALSE), "")</f>
        <v>NA</v>
      </c>
    </row>
    <row r="3910" ht="15.75" customHeight="1">
      <c r="A3910" s="1" t="str">
        <f>IFERROR(__xludf.DUMMYFUNCTION("""COMPUTED_VALUE"""),"the man who knew too much")</f>
        <v>the man who knew too much</v>
      </c>
      <c r="B3910" s="1" t="str">
        <f>IF(A3910&lt;&gt;"", VLOOKUP(A3910, imdb_netflix_v5!A$2:H$7370, 2, FALSE), "")</f>
        <v>Movie</v>
      </c>
      <c r="C3910" s="2" t="str">
        <f>IF(A3910&lt;&gt;"", VLOOKUP(A3910, imdb_netflix_v5!A$2:H$7370, 3, FALSE), "")</f>
        <v>Drama, Thriller</v>
      </c>
      <c r="D3910" s="2">
        <f>IF(A3910&lt;&gt;"", VLOOKUP(A3910, imdb_netflix_v5!A$2:H$7370, 4, FALSE), "")</f>
        <v>7.4</v>
      </c>
      <c r="E3910" s="2">
        <f>IF(A3910&lt;&gt;"", VLOOKUP(A3910, imdb_netflix_v5!A$2:H$7370, 5, FALSE), "")</f>
        <v>1956</v>
      </c>
      <c r="F3910" s="2" t="str">
        <f>IF(A3910&lt;&gt;"", VLOOKUP(A3910, imdb_netflix_v5!A$2:H$7370, 7, FALSE), "")</f>
        <v>NA</v>
      </c>
    </row>
    <row r="3911" ht="15.75" customHeight="1">
      <c r="A3911" s="1" t="str">
        <f>IFERROR(__xludf.DUMMYFUNCTION("""COMPUTED_VALUE"""),"rust and bone")</f>
        <v>rust and bone</v>
      </c>
      <c r="B3911" s="1" t="str">
        <f>IF(A3911&lt;&gt;"", VLOOKUP(A3911, imdb_netflix_v5!A$2:H$7370, 2, FALSE), "")</f>
        <v>Movie</v>
      </c>
      <c r="C3911" s="2" t="str">
        <f>IF(A3911&lt;&gt;"", VLOOKUP(A3911, imdb_netflix_v5!A$2:H$7370, 3, FALSE), "")</f>
        <v>Drama, Romance</v>
      </c>
      <c r="D3911" s="2">
        <f>IF(A3911&lt;&gt;"", VLOOKUP(A3911, imdb_netflix_v5!A$2:H$7370, 4, FALSE), "")</f>
        <v>7.4</v>
      </c>
      <c r="E3911" s="2">
        <f>IF(A3911&lt;&gt;"", VLOOKUP(A3911, imdb_netflix_v5!A$2:H$7370, 5, FALSE), "")</f>
        <v>2012</v>
      </c>
      <c r="F3911" s="2" t="str">
        <f>IF(A3911&lt;&gt;"", VLOOKUP(A3911, imdb_netflix_v5!A$2:H$7370, 7, FALSE), "")</f>
        <v>NA</v>
      </c>
    </row>
    <row r="3912" ht="15.75" customHeight="1">
      <c r="A3912" s="1" t="str">
        <f>IFERROR(__xludf.DUMMYFUNCTION("""COMPUTED_VALUE"""),"blow-up")</f>
        <v>blow-up</v>
      </c>
      <c r="B3912" s="1" t="str">
        <f>IF(A3912&lt;&gt;"", VLOOKUP(A3912, imdb_netflix_v5!A$2:H$7370, 2, FALSE), "")</f>
        <v>Movie</v>
      </c>
      <c r="C3912" s="2" t="str">
        <f>IF(A3912&lt;&gt;"", VLOOKUP(A3912, imdb_netflix_v5!A$2:H$7370, 3, FALSE), "")</f>
        <v>Drama, Mystery, Thriller</v>
      </c>
      <c r="D3912" s="2">
        <f>IF(A3912&lt;&gt;"", VLOOKUP(A3912, imdb_netflix_v5!A$2:H$7370, 4, FALSE), "")</f>
        <v>7.4</v>
      </c>
      <c r="E3912" s="2">
        <f>IF(A3912&lt;&gt;"", VLOOKUP(A3912, imdb_netflix_v5!A$2:H$7370, 5, FALSE), "")</f>
        <v>1966</v>
      </c>
      <c r="F3912" s="2" t="str">
        <f>IF(A3912&lt;&gt;"", VLOOKUP(A3912, imdb_netflix_v5!A$2:H$7370, 7, FALSE), "")</f>
        <v>NA</v>
      </c>
    </row>
    <row r="3913" ht="15.75" customHeight="1">
      <c r="A3913" s="1" t="str">
        <f>IFERROR(__xludf.DUMMYFUNCTION("""COMPUTED_VALUE"""),"the mission")</f>
        <v>the mission</v>
      </c>
      <c r="B3913" s="1" t="str">
        <f>IF(A3913&lt;&gt;"", VLOOKUP(A3913, imdb_netflix_v5!A$2:H$7370, 2, FALSE), "")</f>
        <v>Movie</v>
      </c>
      <c r="C3913" s="2" t="str">
        <f>IF(A3913&lt;&gt;"", VLOOKUP(A3913, imdb_netflix_v5!A$2:H$7370, 3, FALSE), "")</f>
        <v>Adventure, Drama, History</v>
      </c>
      <c r="D3913" s="2">
        <f>IF(A3913&lt;&gt;"", VLOOKUP(A3913, imdb_netflix_v5!A$2:H$7370, 4, FALSE), "")</f>
        <v>7.4</v>
      </c>
      <c r="E3913" s="2">
        <f>IF(A3913&lt;&gt;"", VLOOKUP(A3913, imdb_netflix_v5!A$2:H$7370, 5, FALSE), "")</f>
        <v>1986</v>
      </c>
      <c r="F3913" s="2" t="str">
        <f>IF(A3913&lt;&gt;"", VLOOKUP(A3913, imdb_netflix_v5!A$2:H$7370, 7, FALSE), "")</f>
        <v>NA</v>
      </c>
    </row>
    <row r="3914" ht="15.75" customHeight="1">
      <c r="A3914" s="1" t="str">
        <f>IFERROR(__xludf.DUMMYFUNCTION("""COMPUTED_VALUE"""),"blow out")</f>
        <v>blow out</v>
      </c>
      <c r="B3914" s="1" t="str">
        <f>IF(A3914&lt;&gt;"", VLOOKUP(A3914, imdb_netflix_v5!A$2:H$7370, 2, FALSE), "")</f>
        <v>Movie</v>
      </c>
      <c r="C3914" s="2" t="str">
        <f>IF(A3914&lt;&gt;"", VLOOKUP(A3914, imdb_netflix_v5!A$2:H$7370, 3, FALSE), "")</f>
        <v>Crime, Drama, Mystery</v>
      </c>
      <c r="D3914" s="2">
        <f>IF(A3914&lt;&gt;"", VLOOKUP(A3914, imdb_netflix_v5!A$2:H$7370, 4, FALSE), "")</f>
        <v>7.4</v>
      </c>
      <c r="E3914" s="2">
        <f>IF(A3914&lt;&gt;"", VLOOKUP(A3914, imdb_netflix_v5!A$2:H$7370, 5, FALSE), "")</f>
        <v>1981</v>
      </c>
      <c r="F3914" s="2" t="str">
        <f>IF(A3914&lt;&gt;"", VLOOKUP(A3914, imdb_netflix_v5!A$2:H$7370, 7, FALSE), "")</f>
        <v>NA</v>
      </c>
    </row>
    <row r="3915" ht="15.75" customHeight="1">
      <c r="A3915" s="1" t="str">
        <f>IFERROR(__xludf.DUMMYFUNCTION("""COMPUTED_VALUE"""),"terms of endearment")</f>
        <v>terms of endearment</v>
      </c>
      <c r="B3915" s="1" t="str">
        <f>IF(A3915&lt;&gt;"", VLOOKUP(A3915, imdb_netflix_v5!A$2:H$7370, 2, FALSE), "")</f>
        <v>Movie</v>
      </c>
      <c r="C3915" s="2" t="str">
        <f>IF(A3915&lt;&gt;"", VLOOKUP(A3915, imdb_netflix_v5!A$2:H$7370, 3, FALSE), "")</f>
        <v>Comedy, Drama</v>
      </c>
      <c r="D3915" s="2">
        <f>IF(A3915&lt;&gt;"", VLOOKUP(A3915, imdb_netflix_v5!A$2:H$7370, 4, FALSE), "")</f>
        <v>7.4</v>
      </c>
      <c r="E3915" s="2">
        <f>IF(A3915&lt;&gt;"", VLOOKUP(A3915, imdb_netflix_v5!A$2:H$7370, 5, FALSE), "")</f>
        <v>1983</v>
      </c>
      <c r="F3915" s="2" t="str">
        <f>IF(A3915&lt;&gt;"", VLOOKUP(A3915, imdb_netflix_v5!A$2:H$7370, 7, FALSE), "")</f>
        <v>NA</v>
      </c>
    </row>
    <row r="3916" ht="15.75" customHeight="1">
      <c r="A3916" s="1" t="str">
        <f>IFERROR(__xludf.DUMMYFUNCTION("""COMPUTED_VALUE"""),"mirage")</f>
        <v>mirage</v>
      </c>
      <c r="B3916" s="1" t="str">
        <f>IF(A3916&lt;&gt;"", VLOOKUP(A3916, imdb_netflix_v5!A$2:H$7370, 2, FALSE), "")</f>
        <v>Movie</v>
      </c>
      <c r="C3916" s="2" t="str">
        <f>IF(A3916&lt;&gt;"", VLOOKUP(A3916, imdb_netflix_v5!A$2:H$7370, 3, FALSE), "")</f>
        <v>Drama, Fantasy, Mystery</v>
      </c>
      <c r="D3916" s="2">
        <f>IF(A3916&lt;&gt;"", VLOOKUP(A3916, imdb_netflix_v5!A$2:H$7370, 4, FALSE), "")</f>
        <v>7.4</v>
      </c>
      <c r="E3916" s="2">
        <f>IF(A3916&lt;&gt;"", VLOOKUP(A3916, imdb_netflix_v5!A$2:H$7370, 5, FALSE), "")</f>
        <v>2018</v>
      </c>
      <c r="F3916" s="2" t="str">
        <f>IF(A3916&lt;&gt;"", VLOOKUP(A3916, imdb_netflix_v5!A$2:H$7370, 7, FALSE), "")</f>
        <v>NA</v>
      </c>
    </row>
    <row r="3917" ht="15.75" customHeight="1">
      <c r="A3917" s="1" t="str">
        <f>IFERROR(__xludf.DUMMYFUNCTION("""COMPUTED_VALUE"""),"high plains drifter")</f>
        <v>high plains drifter</v>
      </c>
      <c r="B3917" s="1" t="str">
        <f>IF(A3917&lt;&gt;"", VLOOKUP(A3917, imdb_netflix_v5!A$2:H$7370, 2, FALSE), "")</f>
        <v>Movie</v>
      </c>
      <c r="C3917" s="2" t="str">
        <f>IF(A3917&lt;&gt;"", VLOOKUP(A3917, imdb_netflix_v5!A$2:H$7370, 3, FALSE), "")</f>
        <v>Drama, Mystery, Western</v>
      </c>
      <c r="D3917" s="2">
        <f>IF(A3917&lt;&gt;"", VLOOKUP(A3917, imdb_netflix_v5!A$2:H$7370, 4, FALSE), "")</f>
        <v>7.4</v>
      </c>
      <c r="E3917" s="2">
        <f>IF(A3917&lt;&gt;"", VLOOKUP(A3917, imdb_netflix_v5!A$2:H$7370, 5, FALSE), "")</f>
        <v>1973</v>
      </c>
      <c r="F3917" s="2" t="str">
        <f>IF(A3917&lt;&gt;"", VLOOKUP(A3917, imdb_netflix_v5!A$2:H$7370, 7, FALSE), "")</f>
        <v>NA</v>
      </c>
    </row>
    <row r="3918" ht="15.75" customHeight="1">
      <c r="A3918" s="1" t="str">
        <f>IFERROR(__xludf.DUMMYFUNCTION("""COMPUTED_VALUE"""),"straw dogs")</f>
        <v>straw dogs</v>
      </c>
      <c r="B3918" s="1" t="str">
        <f>IF(A3918&lt;&gt;"", VLOOKUP(A3918, imdb_netflix_v5!A$2:H$7370, 2, FALSE), "")</f>
        <v>Movie</v>
      </c>
      <c r="C3918" s="2" t="str">
        <f>IF(A3918&lt;&gt;"", VLOOKUP(A3918, imdb_netflix_v5!A$2:H$7370, 3, FALSE), "")</f>
        <v>Crime, Drama, Thriller</v>
      </c>
      <c r="D3918" s="2">
        <f>IF(A3918&lt;&gt;"", VLOOKUP(A3918, imdb_netflix_v5!A$2:H$7370, 4, FALSE), "")</f>
        <v>7.4</v>
      </c>
      <c r="E3918" s="2">
        <f>IF(A3918&lt;&gt;"", VLOOKUP(A3918, imdb_netflix_v5!A$2:H$7370, 5, FALSE), "")</f>
        <v>1971</v>
      </c>
      <c r="F3918" s="2" t="str">
        <f>IF(A3918&lt;&gt;"", VLOOKUP(A3918, imdb_netflix_v5!A$2:H$7370, 7, FALSE), "")</f>
        <v>NA</v>
      </c>
    </row>
    <row r="3919" ht="15.75" customHeight="1">
      <c r="A3919" s="1" t="str">
        <f>IFERROR(__xludf.DUMMYFUNCTION("""COMPUTED_VALUE"""),"calvary")</f>
        <v>calvary</v>
      </c>
      <c r="B3919" s="1" t="str">
        <f>IF(A3919&lt;&gt;"", VLOOKUP(A3919, imdb_netflix_v5!A$2:H$7370, 2, FALSE), "")</f>
        <v>Movie</v>
      </c>
      <c r="C3919" s="2" t="str">
        <f>IF(A3919&lt;&gt;"", VLOOKUP(A3919, imdb_netflix_v5!A$2:H$7370, 3, FALSE), "")</f>
        <v>Crime, Drama, Mystery</v>
      </c>
      <c r="D3919" s="2">
        <f>IF(A3919&lt;&gt;"", VLOOKUP(A3919, imdb_netflix_v5!A$2:H$7370, 4, FALSE), "")</f>
        <v>7.4</v>
      </c>
      <c r="E3919" s="2">
        <f>IF(A3919&lt;&gt;"", VLOOKUP(A3919, imdb_netflix_v5!A$2:H$7370, 5, FALSE), "")</f>
        <v>2014</v>
      </c>
      <c r="F3919" s="2" t="str">
        <f>IF(A3919&lt;&gt;"", VLOOKUP(A3919, imdb_netflix_v5!A$2:H$7370, 7, FALSE), "")</f>
        <v>NA</v>
      </c>
    </row>
    <row r="3920" ht="15.75" customHeight="1">
      <c r="A3920" s="1" t="str">
        <f>IFERROR(__xludf.DUMMYFUNCTION("""COMPUTED_VALUE"""),"the last ship")</f>
        <v>the last ship</v>
      </c>
      <c r="B3920" s="1" t="str">
        <f>IF(A3920&lt;&gt;"", VLOOKUP(A3920, imdb_netflix_v5!A$2:H$7370, 2, FALSE), "")</f>
        <v>TV Show</v>
      </c>
      <c r="C3920" s="2" t="str">
        <f>IF(A3920&lt;&gt;"", VLOOKUP(A3920, imdb_netflix_v5!A$2:H$7370, 3, FALSE), "")</f>
        <v>Action, Drama, Sci-Fi</v>
      </c>
      <c r="D3920" s="2">
        <f>IF(A3920&lt;&gt;"", VLOOKUP(A3920, imdb_netflix_v5!A$2:H$7370, 4, FALSE), "")</f>
        <v>7.4</v>
      </c>
      <c r="E3920" s="2">
        <f>IF(A3920&lt;&gt;"", VLOOKUP(A3920, imdb_netflix_v5!A$2:H$7370, 5, FALSE), "")</f>
        <v>2014</v>
      </c>
      <c r="F3920" s="2" t="str">
        <f>IF(A3920&lt;&gt;"", VLOOKUP(A3920, imdb_netflix_v5!A$2:H$7370, 7, FALSE), "")</f>
        <v>NA</v>
      </c>
    </row>
    <row r="3921" ht="15.75" customHeight="1">
      <c r="A3921" s="1" t="str">
        <f>IFERROR(__xludf.DUMMYFUNCTION("""COMPUTED_VALUE"""),"the last man on earth")</f>
        <v>the last man on earth</v>
      </c>
      <c r="B3921" s="1" t="str">
        <f>IF(A3921&lt;&gt;"", VLOOKUP(A3921, imdb_netflix_v5!A$2:H$7370, 2, FALSE), "")</f>
        <v>TV Show</v>
      </c>
      <c r="C3921" s="2" t="str">
        <f>IF(A3921&lt;&gt;"", VLOOKUP(A3921, imdb_netflix_v5!A$2:H$7370, 3, FALSE), "")</f>
        <v>Action, Comedy, Drama</v>
      </c>
      <c r="D3921" s="2">
        <f>IF(A3921&lt;&gt;"", VLOOKUP(A3921, imdb_netflix_v5!A$2:H$7370, 4, FALSE), "")</f>
        <v>7.4</v>
      </c>
      <c r="E3921" s="2">
        <f>IF(A3921&lt;&gt;"", VLOOKUP(A3921, imdb_netflix_v5!A$2:H$7370, 5, FALSE), "")</f>
        <v>2015</v>
      </c>
      <c r="F3921" s="2" t="str">
        <f>IF(A3921&lt;&gt;"", VLOOKUP(A3921, imdb_netflix_v5!A$2:H$7370, 7, FALSE), "")</f>
        <v>NA</v>
      </c>
    </row>
    <row r="3922" ht="15.75" customHeight="1">
      <c r="A3922" s="1" t="str">
        <f>IFERROR(__xludf.DUMMYFUNCTION("""COMPUTED_VALUE"""),"vikings valhalla")</f>
        <v>vikings valhalla</v>
      </c>
      <c r="B3922" s="1" t="str">
        <f>IF(A3922&lt;&gt;"", VLOOKUP(A3922, imdb_netflix_v5!A$2:H$7370, 2, FALSE), "")</f>
        <v>TV Show</v>
      </c>
      <c r="C3922" s="2" t="str">
        <f>IF(A3922&lt;&gt;"", VLOOKUP(A3922, imdb_netflix_v5!A$2:H$7370, 3, FALSE), "")</f>
        <v>Action, Adventure, Drama</v>
      </c>
      <c r="D3922" s="2">
        <f>IF(A3922&lt;&gt;"", VLOOKUP(A3922, imdb_netflix_v5!A$2:H$7370, 4, FALSE), "")</f>
        <v>7.4</v>
      </c>
      <c r="E3922" s="2">
        <f>IF(A3922&lt;&gt;"", VLOOKUP(A3922, imdb_netflix_v5!A$2:H$7370, 5, FALSE), "")</f>
        <v>2022</v>
      </c>
      <c r="F3922" s="2">
        <f>IF(A3922&lt;&gt;"", VLOOKUP(A3922, imdb_netflix_v5!A$2:H$7370, 7, FALSE), "")</f>
        <v>14840000</v>
      </c>
    </row>
    <row r="3923" ht="15.75" customHeight="1">
      <c r="A3923" s="1" t="str">
        <f>IFERROR(__xludf.DUMMYFUNCTION("""COMPUTED_VALUE"""),"three days of the condor")</f>
        <v>three days of the condor</v>
      </c>
      <c r="B3923" s="1" t="str">
        <f>IF(A3923&lt;&gt;"", VLOOKUP(A3923, imdb_netflix_v5!A$2:H$7370, 2, FALSE), "")</f>
        <v>Movie</v>
      </c>
      <c r="C3923" s="2" t="str">
        <f>IF(A3923&lt;&gt;"", VLOOKUP(A3923, imdb_netflix_v5!A$2:H$7370, 3, FALSE), "")</f>
        <v>Crime, Mystery, Thriller</v>
      </c>
      <c r="D3923" s="2">
        <f>IF(A3923&lt;&gt;"", VLOOKUP(A3923, imdb_netflix_v5!A$2:H$7370, 4, FALSE), "")</f>
        <v>7.4</v>
      </c>
      <c r="E3923" s="2">
        <f>IF(A3923&lt;&gt;"", VLOOKUP(A3923, imdb_netflix_v5!A$2:H$7370, 5, FALSE), "")</f>
        <v>1975</v>
      </c>
      <c r="F3923" s="2" t="str">
        <f>IF(A3923&lt;&gt;"", VLOOKUP(A3923, imdb_netflix_v5!A$2:H$7370, 7, FALSE), "")</f>
        <v>NA</v>
      </c>
    </row>
    <row r="3924" ht="15.75" customHeight="1">
      <c r="A3924" s="1" t="str">
        <f>IFERROR(__xludf.DUMMYFUNCTION("""COMPUTED_VALUE"""),"bad education")</f>
        <v>bad education</v>
      </c>
      <c r="B3924" s="1" t="str">
        <f>IF(A3924&lt;&gt;"", VLOOKUP(A3924, imdb_netflix_v5!A$2:H$7370, 2, FALSE), "")</f>
        <v>Movie</v>
      </c>
      <c r="C3924" s="2" t="str">
        <f>IF(A3924&lt;&gt;"", VLOOKUP(A3924, imdb_netflix_v5!A$2:H$7370, 3, FALSE), "")</f>
        <v>Crime, Drama</v>
      </c>
      <c r="D3924" s="2">
        <f>IF(A3924&lt;&gt;"", VLOOKUP(A3924, imdb_netflix_v5!A$2:H$7370, 4, FALSE), "")</f>
        <v>7.4</v>
      </c>
      <c r="E3924" s="2">
        <f>IF(A3924&lt;&gt;"", VLOOKUP(A3924, imdb_netflix_v5!A$2:H$7370, 5, FALSE), "")</f>
        <v>2004</v>
      </c>
      <c r="F3924" s="2" t="str">
        <f>IF(A3924&lt;&gt;"", VLOOKUP(A3924, imdb_netflix_v5!A$2:H$7370, 7, FALSE), "")</f>
        <v>NA</v>
      </c>
    </row>
    <row r="3925" ht="15.75" customHeight="1">
      <c r="A3925" s="1" t="str">
        <f>IFERROR(__xludf.DUMMYFUNCTION("""COMPUTED_VALUE"""),"who am i")</f>
        <v>who am i</v>
      </c>
      <c r="B3925" s="1" t="str">
        <f>IF(A3925&lt;&gt;"", VLOOKUP(A3925, imdb_netflix_v5!A$2:H$7370, 2, FALSE), "")</f>
        <v>Movie</v>
      </c>
      <c r="C3925" s="2" t="str">
        <f>IF(A3925&lt;&gt;"", VLOOKUP(A3925, imdb_netflix_v5!A$2:H$7370, 3, FALSE), "")</f>
        <v>Crime, Drama, Mystery</v>
      </c>
      <c r="D3925" s="2">
        <f>IF(A3925&lt;&gt;"", VLOOKUP(A3925, imdb_netflix_v5!A$2:H$7370, 4, FALSE), "")</f>
        <v>7.4</v>
      </c>
      <c r="E3925" s="2">
        <f>IF(A3925&lt;&gt;"", VLOOKUP(A3925, imdb_netflix_v5!A$2:H$7370, 5, FALSE), "")</f>
        <v>2014</v>
      </c>
      <c r="F3925" s="2" t="str">
        <f>IF(A3925&lt;&gt;"", VLOOKUP(A3925, imdb_netflix_v5!A$2:H$7370, 7, FALSE), "")</f>
        <v>NA</v>
      </c>
    </row>
    <row r="3926" ht="15.75" customHeight="1">
      <c r="A3926" s="1" t="str">
        <f>IFERROR(__xludf.DUMMYFUNCTION("""COMPUTED_VALUE"""),"a bridge too far")</f>
        <v>a bridge too far</v>
      </c>
      <c r="B3926" s="1" t="str">
        <f>IF(A3926&lt;&gt;"", VLOOKUP(A3926, imdb_netflix_v5!A$2:H$7370, 2, FALSE), "")</f>
        <v>Movie</v>
      </c>
      <c r="C3926" s="2" t="str">
        <f>IF(A3926&lt;&gt;"", VLOOKUP(A3926, imdb_netflix_v5!A$2:H$7370, 3, FALSE), "")</f>
        <v>Drama, History, War</v>
      </c>
      <c r="D3926" s="2">
        <f>IF(A3926&lt;&gt;"", VLOOKUP(A3926, imdb_netflix_v5!A$2:H$7370, 4, FALSE), "")</f>
        <v>7.4</v>
      </c>
      <c r="E3926" s="2">
        <f>IF(A3926&lt;&gt;"", VLOOKUP(A3926, imdb_netflix_v5!A$2:H$7370, 5, FALSE), "")</f>
        <v>1977</v>
      </c>
      <c r="F3926" s="2" t="str">
        <f>IF(A3926&lt;&gt;"", VLOOKUP(A3926, imdb_netflix_v5!A$2:H$7370, 7, FALSE), "")</f>
        <v>NA</v>
      </c>
    </row>
    <row r="3927" ht="15.75" customHeight="1">
      <c r="A3927" s="1">
        <f>IFERROR(__xludf.DUMMYFUNCTION("""COMPUTED_VALUE"""),2046.0)</f>
        <v>2046</v>
      </c>
      <c r="B3927" s="1" t="str">
        <f>IF(A3927&lt;&gt;"", VLOOKUP(A3927, imdb_netflix_v5!A$2:H$7370, 2, FALSE), "")</f>
        <v>Movie</v>
      </c>
      <c r="C3927" s="2" t="str">
        <f>IF(A3927&lt;&gt;"", VLOOKUP(A3927, imdb_netflix_v5!A$2:H$7370, 3, FALSE), "")</f>
        <v>Drama, Romance, Sci-Fi</v>
      </c>
      <c r="D3927" s="2">
        <f>IF(A3927&lt;&gt;"", VLOOKUP(A3927, imdb_netflix_v5!A$2:H$7370, 4, FALSE), "")</f>
        <v>7.4</v>
      </c>
      <c r="E3927" s="2">
        <f>IF(A3927&lt;&gt;"", VLOOKUP(A3927, imdb_netflix_v5!A$2:H$7370, 5, FALSE), "")</f>
        <v>2004</v>
      </c>
      <c r="F3927" s="2" t="str">
        <f>IF(A3927&lt;&gt;"", VLOOKUP(A3927, imdb_netflix_v5!A$2:H$7370, 7, FALSE), "")</f>
        <v>NA</v>
      </c>
    </row>
    <row r="3928" ht="15.75" customHeight="1">
      <c r="A3928" s="1" t="str">
        <f>IFERROR(__xludf.DUMMYFUNCTION("""COMPUTED_VALUE"""),"buffalo 66")</f>
        <v>buffalo 66</v>
      </c>
      <c r="B3928" s="1" t="str">
        <f>IF(A3928&lt;&gt;"", VLOOKUP(A3928, imdb_netflix_v5!A$2:H$7370, 2, FALSE), "")</f>
        <v>Movie</v>
      </c>
      <c r="C3928" s="2" t="str">
        <f>IF(A3928&lt;&gt;"", VLOOKUP(A3928, imdb_netflix_v5!A$2:H$7370, 3, FALSE), "")</f>
        <v>Comedy, Drama, Romance</v>
      </c>
      <c r="D3928" s="2">
        <f>IF(A3928&lt;&gt;"", VLOOKUP(A3928, imdb_netflix_v5!A$2:H$7370, 4, FALSE), "")</f>
        <v>7.4</v>
      </c>
      <c r="E3928" s="2">
        <f>IF(A3928&lt;&gt;"", VLOOKUP(A3928, imdb_netflix_v5!A$2:H$7370, 5, FALSE), "")</f>
        <v>1998</v>
      </c>
      <c r="F3928" s="2" t="str">
        <f>IF(A3928&lt;&gt;"", VLOOKUP(A3928, imdb_netflix_v5!A$2:H$7370, 7, FALSE), "")</f>
        <v>NA</v>
      </c>
    </row>
    <row r="3929" ht="15.75" customHeight="1">
      <c r="A3929" s="1" t="str">
        <f>IFERROR(__xludf.DUMMYFUNCTION("""COMPUTED_VALUE"""),"in the loop")</f>
        <v>in the loop</v>
      </c>
      <c r="B3929" s="1" t="str">
        <f>IF(A3929&lt;&gt;"", VLOOKUP(A3929, imdb_netflix_v5!A$2:H$7370, 2, FALSE), "")</f>
        <v>Movie</v>
      </c>
      <c r="C3929" s="2" t="str">
        <f>IF(A3929&lt;&gt;"", VLOOKUP(A3929, imdb_netflix_v5!A$2:H$7370, 3, FALSE), "")</f>
        <v>Comedy</v>
      </c>
      <c r="D3929" s="2">
        <f>IF(A3929&lt;&gt;"", VLOOKUP(A3929, imdb_netflix_v5!A$2:H$7370, 4, FALSE), "")</f>
        <v>7.4</v>
      </c>
      <c r="E3929" s="2">
        <f>IF(A3929&lt;&gt;"", VLOOKUP(A3929, imdb_netflix_v5!A$2:H$7370, 5, FALSE), "")</f>
        <v>2009</v>
      </c>
      <c r="F3929" s="2" t="str">
        <f>IF(A3929&lt;&gt;"", VLOOKUP(A3929, imdb_netflix_v5!A$2:H$7370, 7, FALSE), "")</f>
        <v>NA</v>
      </c>
    </row>
    <row r="3930" ht="15.75" customHeight="1">
      <c r="A3930" s="1" t="str">
        <f>IFERROR(__xludf.DUMMYFUNCTION("""COMPUTED_VALUE"""),"dasvi")</f>
        <v>dasvi</v>
      </c>
      <c r="B3930" s="1" t="str">
        <f>IF(A3930&lt;&gt;"", VLOOKUP(A3930, imdb_netflix_v5!A$2:H$7370, 2, FALSE), "")</f>
        <v>Movie</v>
      </c>
      <c r="C3930" s="2" t="str">
        <f>IF(A3930&lt;&gt;"", VLOOKUP(A3930, imdb_netflix_v5!A$2:H$7370, 3, FALSE), "")</f>
        <v>Comedy, Drama</v>
      </c>
      <c r="D3930" s="2">
        <f>IF(A3930&lt;&gt;"", VLOOKUP(A3930, imdb_netflix_v5!A$2:H$7370, 4, FALSE), "")</f>
        <v>7.4</v>
      </c>
      <c r="E3930" s="2">
        <f>IF(A3930&lt;&gt;"", VLOOKUP(A3930, imdb_netflix_v5!A$2:H$7370, 5, FALSE), "")</f>
        <v>2022</v>
      </c>
      <c r="F3930" s="2">
        <f>IF(A3930&lt;&gt;"", VLOOKUP(A3930, imdb_netflix_v5!A$2:H$7370, 7, FALSE), "")</f>
        <v>1620000</v>
      </c>
    </row>
    <row r="3931" ht="15.75" customHeight="1">
      <c r="A3931" s="1" t="str">
        <f>IFERROR(__xludf.DUMMYFUNCTION("""COMPUTED_VALUE"""),"will &amp; grace")</f>
        <v>will &amp; grace</v>
      </c>
      <c r="B3931" s="1" t="str">
        <f>IF(A3931&lt;&gt;"", VLOOKUP(A3931, imdb_netflix_v5!A$2:H$7370, 2, FALSE), "")</f>
        <v>TV Show</v>
      </c>
      <c r="C3931" s="2" t="str">
        <f>IF(A3931&lt;&gt;"", VLOOKUP(A3931, imdb_netflix_v5!A$2:H$7370, 3, FALSE), "")</f>
        <v>Comedy, Romance</v>
      </c>
      <c r="D3931" s="2">
        <f>IF(A3931&lt;&gt;"", VLOOKUP(A3931, imdb_netflix_v5!A$2:H$7370, 4, FALSE), "")</f>
        <v>7.4</v>
      </c>
      <c r="E3931" s="2">
        <f>IF(A3931&lt;&gt;"", VLOOKUP(A3931, imdb_netflix_v5!A$2:H$7370, 5, FALSE), "")</f>
        <v>1998</v>
      </c>
      <c r="F3931" s="2" t="str">
        <f>IF(A3931&lt;&gt;"", VLOOKUP(A3931, imdb_netflix_v5!A$2:H$7370, 7, FALSE), "")</f>
        <v>NA</v>
      </c>
    </row>
    <row r="3932" ht="15.75" customHeight="1">
      <c r="A3932" s="1" t="str">
        <f>IFERROR(__xludf.DUMMYFUNCTION("""COMPUTED_VALUE"""),"ida")</f>
        <v>ida</v>
      </c>
      <c r="B3932" s="1" t="str">
        <f>IF(A3932&lt;&gt;"", VLOOKUP(A3932, imdb_netflix_v5!A$2:H$7370, 2, FALSE), "")</f>
        <v>Movie</v>
      </c>
      <c r="C3932" s="2" t="str">
        <f>IF(A3932&lt;&gt;"", VLOOKUP(A3932, imdb_netflix_v5!A$2:H$7370, 3, FALSE), "")</f>
        <v>Drama</v>
      </c>
      <c r="D3932" s="2">
        <f>IF(A3932&lt;&gt;"", VLOOKUP(A3932, imdb_netflix_v5!A$2:H$7370, 4, FALSE), "")</f>
        <v>7.4</v>
      </c>
      <c r="E3932" s="2">
        <f>IF(A3932&lt;&gt;"", VLOOKUP(A3932, imdb_netflix_v5!A$2:H$7370, 5, FALSE), "")</f>
        <v>2013</v>
      </c>
      <c r="F3932" s="2" t="str">
        <f>IF(A3932&lt;&gt;"", VLOOKUP(A3932, imdb_netflix_v5!A$2:H$7370, 7, FALSE), "")</f>
        <v>NA</v>
      </c>
    </row>
    <row r="3933" ht="15.75" customHeight="1">
      <c r="A3933" s="1" t="str">
        <f>IFERROR(__xludf.DUMMYFUNCTION("""COMPUTED_VALUE"""),"dracula")</f>
        <v>dracula</v>
      </c>
      <c r="B3933" s="1" t="str">
        <f>IF(A3933&lt;&gt;"", VLOOKUP(A3933, imdb_netflix_v5!A$2:H$7370, 2, FALSE), "")</f>
        <v>Movie</v>
      </c>
      <c r="C3933" s="2" t="str">
        <f>IF(A3933&lt;&gt;"", VLOOKUP(A3933, imdb_netflix_v5!A$2:H$7370, 3, FALSE), "")</f>
        <v>Drama, Fantasy, Horror</v>
      </c>
      <c r="D3933" s="2">
        <f>IF(A3933&lt;&gt;"", VLOOKUP(A3933, imdb_netflix_v5!A$2:H$7370, 4, FALSE), "")</f>
        <v>7.4</v>
      </c>
      <c r="E3933" s="2">
        <f>IF(A3933&lt;&gt;"", VLOOKUP(A3933, imdb_netflix_v5!A$2:H$7370, 5, FALSE), "")</f>
        <v>1931</v>
      </c>
      <c r="F3933" s="2" t="str">
        <f>IF(A3933&lt;&gt;"", VLOOKUP(A3933, imdb_netflix_v5!A$2:H$7370, 7, FALSE), "")</f>
        <v>NA</v>
      </c>
    </row>
    <row r="3934" ht="15.75" customHeight="1">
      <c r="A3934" s="1" t="str">
        <f>IFERROR(__xludf.DUMMYFUNCTION("""COMPUTED_VALUE"""),"everything is illuminated")</f>
        <v>everything is illuminated</v>
      </c>
      <c r="B3934" s="1" t="str">
        <f>IF(A3934&lt;&gt;"", VLOOKUP(A3934, imdb_netflix_v5!A$2:H$7370, 2, FALSE), "")</f>
        <v>Movie</v>
      </c>
      <c r="C3934" s="2" t="str">
        <f>IF(A3934&lt;&gt;"", VLOOKUP(A3934, imdb_netflix_v5!A$2:H$7370, 3, FALSE), "")</f>
        <v>Comedy, Drama</v>
      </c>
      <c r="D3934" s="2">
        <f>IF(A3934&lt;&gt;"", VLOOKUP(A3934, imdb_netflix_v5!A$2:H$7370, 4, FALSE), "")</f>
        <v>7.4</v>
      </c>
      <c r="E3934" s="2">
        <f>IF(A3934&lt;&gt;"", VLOOKUP(A3934, imdb_netflix_v5!A$2:H$7370, 5, FALSE), "")</f>
        <v>2005</v>
      </c>
      <c r="F3934" s="2" t="str">
        <f>IF(A3934&lt;&gt;"", VLOOKUP(A3934, imdb_netflix_v5!A$2:H$7370, 7, FALSE), "")</f>
        <v>NA</v>
      </c>
    </row>
    <row r="3935" ht="15.75" customHeight="1">
      <c r="A3935" s="1" t="str">
        <f>IFERROR(__xludf.DUMMYFUNCTION("""COMPUTED_VALUE"""),"kabhi khushi kabhie gham...")</f>
        <v>kabhi khushi kabhie gham...</v>
      </c>
      <c r="B3935" s="1" t="str">
        <f>IF(A3935&lt;&gt;"", VLOOKUP(A3935, imdb_netflix_v5!A$2:H$7370, 2, FALSE), "")</f>
        <v>Movie</v>
      </c>
      <c r="C3935" s="2" t="str">
        <f>IF(A3935&lt;&gt;"", VLOOKUP(A3935, imdb_netflix_v5!A$2:H$7370, 3, FALSE), "")</f>
        <v>Drama, Musical, Romance</v>
      </c>
      <c r="D3935" s="2">
        <f>IF(A3935&lt;&gt;"", VLOOKUP(A3935, imdb_netflix_v5!A$2:H$7370, 4, FALSE), "")</f>
        <v>7.4</v>
      </c>
      <c r="E3935" s="2">
        <f>IF(A3935&lt;&gt;"", VLOOKUP(A3935, imdb_netflix_v5!A$2:H$7370, 5, FALSE), "")</f>
        <v>2001</v>
      </c>
      <c r="F3935" s="2" t="str">
        <f>IF(A3935&lt;&gt;"", VLOOKUP(A3935, imdb_netflix_v5!A$2:H$7370, 7, FALSE), "")</f>
        <v>NA</v>
      </c>
    </row>
    <row r="3936" ht="15.75" customHeight="1">
      <c r="A3936" s="1" t="str">
        <f>IFERROR(__xludf.DUMMYFUNCTION("""COMPUTED_VALUE"""),"mudbound")</f>
        <v>mudbound</v>
      </c>
      <c r="B3936" s="1" t="str">
        <f>IF(A3936&lt;&gt;"", VLOOKUP(A3936, imdb_netflix_v5!A$2:H$7370, 2, FALSE), "")</f>
        <v>Movie</v>
      </c>
      <c r="C3936" s="2" t="str">
        <f>IF(A3936&lt;&gt;"", VLOOKUP(A3936, imdb_netflix_v5!A$2:H$7370, 3, FALSE), "")</f>
        <v>Drama, War</v>
      </c>
      <c r="D3936" s="2">
        <f>IF(A3936&lt;&gt;"", VLOOKUP(A3936, imdb_netflix_v5!A$2:H$7370, 4, FALSE), "")</f>
        <v>7.4</v>
      </c>
      <c r="E3936" s="2">
        <f>IF(A3936&lt;&gt;"", VLOOKUP(A3936, imdb_netflix_v5!A$2:H$7370, 5, FALSE), "")</f>
        <v>2017</v>
      </c>
      <c r="F3936" s="2" t="str">
        <f>IF(A3936&lt;&gt;"", VLOOKUP(A3936, imdb_netflix_v5!A$2:H$7370, 7, FALSE), "")</f>
        <v>NA</v>
      </c>
    </row>
    <row r="3937" ht="15.75" customHeight="1">
      <c r="A3937" s="1" t="str">
        <f>IFERROR(__xludf.DUMMYFUNCTION("""COMPUTED_VALUE"""),"the garden of words")</f>
        <v>the garden of words</v>
      </c>
      <c r="B3937" s="1" t="str">
        <f>IF(A3937&lt;&gt;"", VLOOKUP(A3937, imdb_netflix_v5!A$2:H$7370, 2, FALSE), "")</f>
        <v>Movie</v>
      </c>
      <c r="C3937" s="2" t="str">
        <f>IF(A3937&lt;&gt;"", VLOOKUP(A3937, imdb_netflix_v5!A$2:H$7370, 3, FALSE), "")</f>
        <v>Animation, Drama, Romance</v>
      </c>
      <c r="D3937" s="2">
        <f>IF(A3937&lt;&gt;"", VLOOKUP(A3937, imdb_netflix_v5!A$2:H$7370, 4, FALSE), "")</f>
        <v>7.4</v>
      </c>
      <c r="E3937" s="2">
        <f>IF(A3937&lt;&gt;"", VLOOKUP(A3937, imdb_netflix_v5!A$2:H$7370, 5, FALSE), "")</f>
        <v>2013</v>
      </c>
      <c r="F3937" s="2" t="str">
        <f>IF(A3937&lt;&gt;"", VLOOKUP(A3937, imdb_netflix_v5!A$2:H$7370, 7, FALSE), "")</f>
        <v>NA</v>
      </c>
    </row>
    <row r="3938" ht="15.75" customHeight="1">
      <c r="A3938" s="1" t="str">
        <f>IFERROR(__xludf.DUMMYFUNCTION("""COMPUTED_VALUE"""),"from up on poppy hill")</f>
        <v>from up on poppy hill</v>
      </c>
      <c r="B3938" s="1" t="str">
        <f>IF(A3938&lt;&gt;"", VLOOKUP(A3938, imdb_netflix_v5!A$2:H$7370, 2, FALSE), "")</f>
        <v>Movie</v>
      </c>
      <c r="C3938" s="2" t="str">
        <f>IF(A3938&lt;&gt;"", VLOOKUP(A3938, imdb_netflix_v5!A$2:H$7370, 3, FALSE), "")</f>
        <v>Animation, Comedy, Drama</v>
      </c>
      <c r="D3938" s="2">
        <f>IF(A3938&lt;&gt;"", VLOOKUP(A3938, imdb_netflix_v5!A$2:H$7370, 4, FALSE), "")</f>
        <v>7.4</v>
      </c>
      <c r="E3938" s="2">
        <f>IF(A3938&lt;&gt;"", VLOOKUP(A3938, imdb_netflix_v5!A$2:H$7370, 5, FALSE), "")</f>
        <v>2011</v>
      </c>
      <c r="F3938" s="2" t="str">
        <f>IF(A3938&lt;&gt;"", VLOOKUP(A3938, imdb_netflix_v5!A$2:H$7370, 7, FALSE), "")</f>
        <v>NA</v>
      </c>
    </row>
    <row r="3939" ht="15.75" customHeight="1">
      <c r="A3939" s="1" t="str">
        <f>IFERROR(__xludf.DUMMYFUNCTION("""COMPUTED_VALUE"""),"the natural")</f>
        <v>the natural</v>
      </c>
      <c r="B3939" s="1" t="str">
        <f>IF(A3939&lt;&gt;"", VLOOKUP(A3939, imdb_netflix_v5!A$2:H$7370, 2, FALSE), "")</f>
        <v>Movie</v>
      </c>
      <c r="C3939" s="2" t="str">
        <f>IF(A3939&lt;&gt;"", VLOOKUP(A3939, imdb_netflix_v5!A$2:H$7370, 3, FALSE), "")</f>
        <v>Drama, Sport</v>
      </c>
      <c r="D3939" s="2">
        <f>IF(A3939&lt;&gt;"", VLOOKUP(A3939, imdb_netflix_v5!A$2:H$7370, 4, FALSE), "")</f>
        <v>7.4</v>
      </c>
      <c r="E3939" s="2">
        <f>IF(A3939&lt;&gt;"", VLOOKUP(A3939, imdb_netflix_v5!A$2:H$7370, 5, FALSE), "")</f>
        <v>1984</v>
      </c>
      <c r="F3939" s="2" t="str">
        <f>IF(A3939&lt;&gt;"", VLOOKUP(A3939, imdb_netflix_v5!A$2:H$7370, 7, FALSE), "")</f>
        <v>NA</v>
      </c>
    </row>
    <row r="3940" ht="15.75" customHeight="1">
      <c r="A3940" s="1" t="str">
        <f>IFERROR(__xludf.DUMMYFUNCTION("""COMPUTED_VALUE"""),"virgin river")</f>
        <v>virgin river</v>
      </c>
      <c r="B3940" s="1" t="str">
        <f>IF(A3940&lt;&gt;"", VLOOKUP(A3940, imdb_netflix_v5!A$2:H$7370, 2, FALSE), "")</f>
        <v>TV Show</v>
      </c>
      <c r="C3940" s="2" t="str">
        <f>IF(A3940&lt;&gt;"", VLOOKUP(A3940, imdb_netflix_v5!A$2:H$7370, 3, FALSE), "")</f>
        <v>Drama, Romance</v>
      </c>
      <c r="D3940" s="2">
        <f>IF(A3940&lt;&gt;"", VLOOKUP(A3940, imdb_netflix_v5!A$2:H$7370, 4, FALSE), "")</f>
        <v>7.4</v>
      </c>
      <c r="E3940" s="2">
        <f>IF(A3940&lt;&gt;"", VLOOKUP(A3940, imdb_netflix_v5!A$2:H$7370, 5, FALSE), "")</f>
        <v>2019</v>
      </c>
      <c r="F3940" s="2">
        <f>IF(A3940&lt;&gt;"", VLOOKUP(A3940, imdb_netflix_v5!A$2:H$7370, 7, FALSE), "")</f>
        <v>20300000</v>
      </c>
    </row>
    <row r="3941" ht="15.75" customHeight="1">
      <c r="A3941" s="1" t="str">
        <f>IFERROR(__xludf.DUMMYFUNCTION("""COMPUTED_VALUE"""),"american splendor")</f>
        <v>american splendor</v>
      </c>
      <c r="B3941" s="1" t="str">
        <f>IF(A3941&lt;&gt;"", VLOOKUP(A3941, imdb_netflix_v5!A$2:H$7370, 2, FALSE), "")</f>
        <v>Movie</v>
      </c>
      <c r="C3941" s="2" t="str">
        <f>IF(A3941&lt;&gt;"", VLOOKUP(A3941, imdb_netflix_v5!A$2:H$7370, 3, FALSE), "")</f>
        <v>Biography, Comedy, Drama</v>
      </c>
      <c r="D3941" s="2">
        <f>IF(A3941&lt;&gt;"", VLOOKUP(A3941, imdb_netflix_v5!A$2:H$7370, 4, FALSE), "")</f>
        <v>7.4</v>
      </c>
      <c r="E3941" s="2">
        <f>IF(A3941&lt;&gt;"", VLOOKUP(A3941, imdb_netflix_v5!A$2:H$7370, 5, FALSE), "")</f>
        <v>2003</v>
      </c>
      <c r="F3941" s="2" t="str">
        <f>IF(A3941&lt;&gt;"", VLOOKUP(A3941, imdb_netflix_v5!A$2:H$7370, 7, FALSE), "")</f>
        <v>NA</v>
      </c>
    </row>
    <row r="3942" ht="15.75" customHeight="1">
      <c r="A3942" s="1" t="str">
        <f>IFERROR(__xludf.DUMMYFUNCTION("""COMPUTED_VALUE"""),"son of saul")</f>
        <v>son of saul</v>
      </c>
      <c r="B3942" s="1" t="str">
        <f>IF(A3942&lt;&gt;"", VLOOKUP(A3942, imdb_netflix_v5!A$2:H$7370, 2, FALSE), "")</f>
        <v>Movie</v>
      </c>
      <c r="C3942" s="2" t="str">
        <f>IF(A3942&lt;&gt;"", VLOOKUP(A3942, imdb_netflix_v5!A$2:H$7370, 3, FALSE), "")</f>
        <v>Drama, War</v>
      </c>
      <c r="D3942" s="2">
        <f>IF(A3942&lt;&gt;"", VLOOKUP(A3942, imdb_netflix_v5!A$2:H$7370, 4, FALSE), "")</f>
        <v>7.4</v>
      </c>
      <c r="E3942" s="2">
        <f>IF(A3942&lt;&gt;"", VLOOKUP(A3942, imdb_netflix_v5!A$2:H$7370, 5, FALSE), "")</f>
        <v>2015</v>
      </c>
      <c r="F3942" s="2" t="str">
        <f>IF(A3942&lt;&gt;"", VLOOKUP(A3942, imdb_netflix_v5!A$2:H$7370, 7, FALSE), "")</f>
        <v>NA</v>
      </c>
    </row>
    <row r="3943" ht="15.75" customHeight="1">
      <c r="A3943" s="1" t="str">
        <f>IFERROR(__xludf.DUMMYFUNCTION("""COMPUTED_VALUE"""),"black dynamite")</f>
        <v>black dynamite</v>
      </c>
      <c r="B3943" s="1" t="str">
        <f>IF(A3943&lt;&gt;"", VLOOKUP(A3943, imdb_netflix_v5!A$2:H$7370, 2, FALSE), "")</f>
        <v>Movie</v>
      </c>
      <c r="C3943" s="2" t="str">
        <f>IF(A3943&lt;&gt;"", VLOOKUP(A3943, imdb_netflix_v5!A$2:H$7370, 3, FALSE), "")</f>
        <v>Action, Comedy</v>
      </c>
      <c r="D3943" s="2">
        <f>IF(A3943&lt;&gt;"", VLOOKUP(A3943, imdb_netflix_v5!A$2:H$7370, 4, FALSE), "")</f>
        <v>7.4</v>
      </c>
      <c r="E3943" s="2">
        <f>IF(A3943&lt;&gt;"", VLOOKUP(A3943, imdb_netflix_v5!A$2:H$7370, 5, FALSE), "")</f>
        <v>2009</v>
      </c>
      <c r="F3943" s="2" t="str">
        <f>IF(A3943&lt;&gt;"", VLOOKUP(A3943, imdb_netflix_v5!A$2:H$7370, 7, FALSE), "")</f>
        <v>NA</v>
      </c>
    </row>
    <row r="3944" ht="15.75" customHeight="1">
      <c r="A3944" s="1" t="str">
        <f>IFERROR(__xludf.DUMMYFUNCTION("""COMPUTED_VALUE"""),"the blind swordsman zatoichi")</f>
        <v>the blind swordsman zatoichi</v>
      </c>
      <c r="B3944" s="1" t="str">
        <f>IF(A3944&lt;&gt;"", VLOOKUP(A3944, imdb_netflix_v5!A$2:H$7370, 2, FALSE), "")</f>
        <v>Movie</v>
      </c>
      <c r="C3944" s="2" t="str">
        <f>IF(A3944&lt;&gt;"", VLOOKUP(A3944, imdb_netflix_v5!A$2:H$7370, 3, FALSE), "")</f>
        <v>Action, Comedy, Crime</v>
      </c>
      <c r="D3944" s="2">
        <f>IF(A3944&lt;&gt;"", VLOOKUP(A3944, imdb_netflix_v5!A$2:H$7370, 4, FALSE), "")</f>
        <v>7.4</v>
      </c>
      <c r="E3944" s="2">
        <f>IF(A3944&lt;&gt;"", VLOOKUP(A3944, imdb_netflix_v5!A$2:H$7370, 5, FALSE), "")</f>
        <v>2003</v>
      </c>
      <c r="F3944" s="2" t="str">
        <f>IF(A3944&lt;&gt;"", VLOOKUP(A3944, imdb_netflix_v5!A$2:H$7370, 7, FALSE), "")</f>
        <v>NA</v>
      </c>
    </row>
    <row r="3945" ht="15.75" customHeight="1">
      <c r="A3945" s="1" t="str">
        <f>IFERROR(__xludf.DUMMYFUNCTION("""COMPUTED_VALUE"""),"hoosiers")</f>
        <v>hoosiers</v>
      </c>
      <c r="B3945" s="1" t="str">
        <f>IF(A3945&lt;&gt;"", VLOOKUP(A3945, imdb_netflix_v5!A$2:H$7370, 2, FALSE), "")</f>
        <v>Movie</v>
      </c>
      <c r="C3945" s="2" t="str">
        <f>IF(A3945&lt;&gt;"", VLOOKUP(A3945, imdb_netflix_v5!A$2:H$7370, 3, FALSE), "")</f>
        <v>Drama, Sport</v>
      </c>
      <c r="D3945" s="2">
        <f>IF(A3945&lt;&gt;"", VLOOKUP(A3945, imdb_netflix_v5!A$2:H$7370, 4, FALSE), "")</f>
        <v>7.4</v>
      </c>
      <c r="E3945" s="2">
        <f>IF(A3945&lt;&gt;"", VLOOKUP(A3945, imdb_netflix_v5!A$2:H$7370, 5, FALSE), "")</f>
        <v>1986</v>
      </c>
      <c r="F3945" s="2" t="str">
        <f>IF(A3945&lt;&gt;"", VLOOKUP(A3945, imdb_netflix_v5!A$2:H$7370, 7, FALSE), "")</f>
        <v>NA</v>
      </c>
    </row>
    <row r="3946" ht="15.75" customHeight="1">
      <c r="A3946" s="1" t="str">
        <f>IFERROR(__xludf.DUMMYFUNCTION("""COMPUTED_VALUE"""),"forgotten")</f>
        <v>forgotten</v>
      </c>
      <c r="B3946" s="1" t="str">
        <f>IF(A3946&lt;&gt;"", VLOOKUP(A3946, imdb_netflix_v5!A$2:H$7370, 2, FALSE), "")</f>
        <v>Movie</v>
      </c>
      <c r="C3946" s="2" t="str">
        <f>IF(A3946&lt;&gt;"", VLOOKUP(A3946, imdb_netflix_v5!A$2:H$7370, 3, FALSE), "")</f>
        <v>Crime, Mystery, Thriller</v>
      </c>
      <c r="D3946" s="2">
        <f>IF(A3946&lt;&gt;"", VLOOKUP(A3946, imdb_netflix_v5!A$2:H$7370, 4, FALSE), "")</f>
        <v>7.4</v>
      </c>
      <c r="E3946" s="2">
        <f>IF(A3946&lt;&gt;"", VLOOKUP(A3946, imdb_netflix_v5!A$2:H$7370, 5, FALSE), "")</f>
        <v>2017</v>
      </c>
      <c r="F3946" s="2" t="str">
        <f>IF(A3946&lt;&gt;"", VLOOKUP(A3946, imdb_netflix_v5!A$2:H$7370, 7, FALSE), "")</f>
        <v>NA</v>
      </c>
    </row>
    <row r="3947" ht="15.75" customHeight="1">
      <c r="A3947" s="1" t="str">
        <f>IFERROR(__xludf.DUMMYFUNCTION("""COMPUTED_VALUE"""),"frenzy")</f>
        <v>frenzy</v>
      </c>
      <c r="B3947" s="1" t="str">
        <f>IF(A3947&lt;&gt;"", VLOOKUP(A3947, imdb_netflix_v5!A$2:H$7370, 2, FALSE), "")</f>
        <v>Movie</v>
      </c>
      <c r="C3947" s="2" t="str">
        <f>IF(A3947&lt;&gt;"", VLOOKUP(A3947, imdb_netflix_v5!A$2:H$7370, 3, FALSE), "")</f>
        <v>Thriller</v>
      </c>
      <c r="D3947" s="2">
        <f>IF(A3947&lt;&gt;"", VLOOKUP(A3947, imdb_netflix_v5!A$2:H$7370, 4, FALSE), "")</f>
        <v>7.4</v>
      </c>
      <c r="E3947" s="2">
        <f>IF(A3947&lt;&gt;"", VLOOKUP(A3947, imdb_netflix_v5!A$2:H$7370, 5, FALSE), "")</f>
        <v>1972</v>
      </c>
      <c r="F3947" s="2" t="str">
        <f>IF(A3947&lt;&gt;"", VLOOKUP(A3947, imdb_netflix_v5!A$2:H$7370, 7, FALSE), "")</f>
        <v>NA</v>
      </c>
    </row>
    <row r="3948" ht="15.75" customHeight="1">
      <c r="A3948" s="1" t="str">
        <f>IFERROR(__xludf.DUMMYFUNCTION("""COMPUTED_VALUE"""),"dolores claiborne")</f>
        <v>dolores claiborne</v>
      </c>
      <c r="B3948" s="1" t="str">
        <f>IF(A3948&lt;&gt;"", VLOOKUP(A3948, imdb_netflix_v5!A$2:H$7370, 2, FALSE), "")</f>
        <v>Movie</v>
      </c>
      <c r="C3948" s="2" t="str">
        <f>IF(A3948&lt;&gt;"", VLOOKUP(A3948, imdb_netflix_v5!A$2:H$7370, 3, FALSE), "")</f>
        <v>Crime, Drama, Mystery</v>
      </c>
      <c r="D3948" s="2">
        <f>IF(A3948&lt;&gt;"", VLOOKUP(A3948, imdb_netflix_v5!A$2:H$7370, 4, FALSE), "")</f>
        <v>7.4</v>
      </c>
      <c r="E3948" s="2">
        <f>IF(A3948&lt;&gt;"", VLOOKUP(A3948, imdb_netflix_v5!A$2:H$7370, 5, FALSE), "")</f>
        <v>1995</v>
      </c>
      <c r="F3948" s="2" t="str">
        <f>IF(A3948&lt;&gt;"", VLOOKUP(A3948, imdb_netflix_v5!A$2:H$7370, 7, FALSE), "")</f>
        <v>NA</v>
      </c>
    </row>
    <row r="3949" ht="15.75" customHeight="1">
      <c r="A3949" s="1" t="str">
        <f>IFERROR(__xludf.DUMMYFUNCTION("""COMPUTED_VALUE"""),"servant")</f>
        <v>servant</v>
      </c>
      <c r="B3949" s="1" t="str">
        <f>IF(A3949&lt;&gt;"", VLOOKUP(A3949, imdb_netflix_v5!A$2:H$7370, 2, FALSE), "")</f>
        <v>TV Show</v>
      </c>
      <c r="C3949" s="2" t="str">
        <f>IF(A3949&lt;&gt;"", VLOOKUP(A3949, imdb_netflix_v5!A$2:H$7370, 3, FALSE), "")</f>
        <v>Drama, Horror, Mystery</v>
      </c>
      <c r="D3949" s="2">
        <f>IF(A3949&lt;&gt;"", VLOOKUP(A3949, imdb_netflix_v5!A$2:H$7370, 4, FALSE), "")</f>
        <v>7.4</v>
      </c>
      <c r="E3949" s="2">
        <f>IF(A3949&lt;&gt;"", VLOOKUP(A3949, imdb_netflix_v5!A$2:H$7370, 5, FALSE), "")</f>
        <v>2019</v>
      </c>
      <c r="F3949" s="2" t="str">
        <f>IF(A3949&lt;&gt;"", VLOOKUP(A3949, imdb_netflix_v5!A$2:H$7370, 7, FALSE), "")</f>
        <v>NA</v>
      </c>
    </row>
    <row r="3950" ht="15.75" customHeight="1">
      <c r="A3950" s="1" t="str">
        <f>IFERROR(__xludf.DUMMYFUNCTION("""COMPUTED_VALUE"""),"the recruit")</f>
        <v>the recruit</v>
      </c>
      <c r="B3950" s="1" t="str">
        <f>IF(A3950&lt;&gt;"", VLOOKUP(A3950, imdb_netflix_v5!A$2:H$7370, 2, FALSE), "")</f>
        <v>TV Show</v>
      </c>
      <c r="C3950" s="2" t="str">
        <f>IF(A3950&lt;&gt;"", VLOOKUP(A3950, imdb_netflix_v5!A$2:H$7370, 3, FALSE), "")</f>
        <v>Action, Adventure, Crime</v>
      </c>
      <c r="D3950" s="2">
        <f>IF(A3950&lt;&gt;"", VLOOKUP(A3950, imdb_netflix_v5!A$2:H$7370, 4, FALSE), "")</f>
        <v>7.4</v>
      </c>
      <c r="E3950" s="2">
        <f>IF(A3950&lt;&gt;"", VLOOKUP(A3950, imdb_netflix_v5!A$2:H$7370, 5, FALSE), "")</f>
        <v>2022</v>
      </c>
      <c r="F3950" s="2">
        <f>IF(A3950&lt;&gt;"", VLOOKUP(A3950, imdb_netflix_v5!A$2:H$7370, 7, FALSE), "")</f>
        <v>13430000</v>
      </c>
    </row>
    <row r="3951" ht="15.75" customHeight="1">
      <c r="A3951" s="1" t="str">
        <f>IFERROR(__xludf.DUMMYFUNCTION("""COMPUTED_VALUE"""),"of mice and men")</f>
        <v>of mice and men</v>
      </c>
      <c r="B3951" s="1" t="str">
        <f>IF(A3951&lt;&gt;"", VLOOKUP(A3951, imdb_netflix_v5!A$2:H$7370, 2, FALSE), "")</f>
        <v>Movie</v>
      </c>
      <c r="C3951" s="2" t="str">
        <f>IF(A3951&lt;&gt;"", VLOOKUP(A3951, imdb_netflix_v5!A$2:H$7370, 3, FALSE), "")</f>
        <v>Drama, Western</v>
      </c>
      <c r="D3951" s="2">
        <f>IF(A3951&lt;&gt;"", VLOOKUP(A3951, imdb_netflix_v5!A$2:H$7370, 4, FALSE), "")</f>
        <v>7.4</v>
      </c>
      <c r="E3951" s="2">
        <f>IF(A3951&lt;&gt;"", VLOOKUP(A3951, imdb_netflix_v5!A$2:H$7370, 5, FALSE), "")</f>
        <v>1992</v>
      </c>
      <c r="F3951" s="2" t="str">
        <f>IF(A3951&lt;&gt;"", VLOOKUP(A3951, imdb_netflix_v5!A$2:H$7370, 7, FALSE), "")</f>
        <v>NA</v>
      </c>
    </row>
    <row r="3952" ht="15.75" customHeight="1">
      <c r="A3952" s="1" t="str">
        <f>IFERROR(__xludf.DUMMYFUNCTION("""COMPUTED_VALUE"""),"a.r.o.g")</f>
        <v>a.r.o.g</v>
      </c>
      <c r="B3952" s="1" t="str">
        <f>IF(A3952&lt;&gt;"", VLOOKUP(A3952, imdb_netflix_v5!A$2:H$7370, 2, FALSE), "")</f>
        <v>Movie</v>
      </c>
      <c r="C3952" s="2" t="str">
        <f>IF(A3952&lt;&gt;"", VLOOKUP(A3952, imdb_netflix_v5!A$2:H$7370, 3, FALSE), "")</f>
        <v>Comedy, Sci-Fi</v>
      </c>
      <c r="D3952" s="2">
        <f>IF(A3952&lt;&gt;"", VLOOKUP(A3952, imdb_netflix_v5!A$2:H$7370, 4, FALSE), "")</f>
        <v>7.4</v>
      </c>
      <c r="E3952" s="2">
        <f>IF(A3952&lt;&gt;"", VLOOKUP(A3952, imdb_netflix_v5!A$2:H$7370, 5, FALSE), "")</f>
        <v>2008</v>
      </c>
      <c r="F3952" s="2" t="str">
        <f>IF(A3952&lt;&gt;"", VLOOKUP(A3952, imdb_netflix_v5!A$2:H$7370, 7, FALSE), "")</f>
        <v>NA</v>
      </c>
    </row>
    <row r="3953" ht="15.75" customHeight="1">
      <c r="A3953" s="1" t="str">
        <f>IFERROR(__xludf.DUMMYFUNCTION("""COMPUTED_VALUE"""),"life as a house")</f>
        <v>life as a house</v>
      </c>
      <c r="B3953" s="1" t="str">
        <f>IF(A3953&lt;&gt;"", VLOOKUP(A3953, imdb_netflix_v5!A$2:H$7370, 2, FALSE), "")</f>
        <v>Movie</v>
      </c>
      <c r="C3953" s="2" t="str">
        <f>IF(A3953&lt;&gt;"", VLOOKUP(A3953, imdb_netflix_v5!A$2:H$7370, 3, FALSE), "")</f>
        <v>Drama</v>
      </c>
      <c r="D3953" s="2">
        <f>IF(A3953&lt;&gt;"", VLOOKUP(A3953, imdb_netflix_v5!A$2:H$7370, 4, FALSE), "")</f>
        <v>7.4</v>
      </c>
      <c r="E3953" s="2">
        <f>IF(A3953&lt;&gt;"", VLOOKUP(A3953, imdb_netflix_v5!A$2:H$7370, 5, FALSE), "")</f>
        <v>2001</v>
      </c>
      <c r="F3953" s="2" t="str">
        <f>IF(A3953&lt;&gt;"", VLOOKUP(A3953, imdb_netflix_v5!A$2:H$7370, 7, FALSE), "")</f>
        <v>NA</v>
      </c>
    </row>
    <row r="3954" ht="15.75" customHeight="1">
      <c r="A3954" s="1" t="str">
        <f>IFERROR(__xludf.DUMMYFUNCTION("""COMPUTED_VALUE"""),"drunken master")</f>
        <v>drunken master</v>
      </c>
      <c r="B3954" s="1" t="str">
        <f>IF(A3954&lt;&gt;"", VLOOKUP(A3954, imdb_netflix_v5!A$2:H$7370, 2, FALSE), "")</f>
        <v>Movie</v>
      </c>
      <c r="C3954" s="2" t="str">
        <f>IF(A3954&lt;&gt;"", VLOOKUP(A3954, imdb_netflix_v5!A$2:H$7370, 3, FALSE), "")</f>
        <v>Action, Comedy</v>
      </c>
      <c r="D3954" s="2">
        <f>IF(A3954&lt;&gt;"", VLOOKUP(A3954, imdb_netflix_v5!A$2:H$7370, 4, FALSE), "")</f>
        <v>7.4</v>
      </c>
      <c r="E3954" s="2">
        <f>IF(A3954&lt;&gt;"", VLOOKUP(A3954, imdb_netflix_v5!A$2:H$7370, 5, FALSE), "")</f>
        <v>1978</v>
      </c>
      <c r="F3954" s="2" t="str">
        <f>IF(A3954&lt;&gt;"", VLOOKUP(A3954, imdb_netflix_v5!A$2:H$7370, 7, FALSE), "")</f>
        <v>NA</v>
      </c>
    </row>
    <row r="3955" ht="15.75" customHeight="1">
      <c r="A3955" s="1" t="str">
        <f>IFERROR(__xludf.DUMMYFUNCTION("""COMPUTED_VALUE"""),"the party")</f>
        <v>the party</v>
      </c>
      <c r="B3955" s="1" t="str">
        <f>IF(A3955&lt;&gt;"", VLOOKUP(A3955, imdb_netflix_v5!A$2:H$7370, 2, FALSE), "")</f>
        <v>Movie</v>
      </c>
      <c r="C3955" s="2" t="str">
        <f>IF(A3955&lt;&gt;"", VLOOKUP(A3955, imdb_netflix_v5!A$2:H$7370, 3, FALSE), "")</f>
        <v>Comedy, Romance</v>
      </c>
      <c r="D3955" s="2">
        <f>IF(A3955&lt;&gt;"", VLOOKUP(A3955, imdb_netflix_v5!A$2:H$7370, 4, FALSE), "")</f>
        <v>7.4</v>
      </c>
      <c r="E3955" s="2">
        <f>IF(A3955&lt;&gt;"", VLOOKUP(A3955, imdb_netflix_v5!A$2:H$7370, 5, FALSE), "")</f>
        <v>1968</v>
      </c>
      <c r="F3955" s="2" t="str">
        <f>IF(A3955&lt;&gt;"", VLOOKUP(A3955, imdb_netflix_v5!A$2:H$7370, 7, FALSE), "")</f>
        <v>NA</v>
      </c>
    </row>
    <row r="3956" ht="15.75" customHeight="1">
      <c r="A3956" s="1" t="str">
        <f>IFERROR(__xludf.DUMMYFUNCTION("""COMPUTED_VALUE"""),"dear zindagi")</f>
        <v>dear zindagi</v>
      </c>
      <c r="B3956" s="1" t="str">
        <f>IF(A3956&lt;&gt;"", VLOOKUP(A3956, imdb_netflix_v5!A$2:H$7370, 2, FALSE), "")</f>
        <v>Movie</v>
      </c>
      <c r="C3956" s="2" t="str">
        <f>IF(A3956&lt;&gt;"", VLOOKUP(A3956, imdb_netflix_v5!A$2:H$7370, 3, FALSE), "")</f>
        <v>Drama, Romance</v>
      </c>
      <c r="D3956" s="2">
        <f>IF(A3956&lt;&gt;"", VLOOKUP(A3956, imdb_netflix_v5!A$2:H$7370, 4, FALSE), "")</f>
        <v>7.4</v>
      </c>
      <c r="E3956" s="2">
        <f>IF(A3956&lt;&gt;"", VLOOKUP(A3956, imdb_netflix_v5!A$2:H$7370, 5, FALSE), "")</f>
        <v>2016</v>
      </c>
      <c r="F3956" s="2" t="str">
        <f>IF(A3956&lt;&gt;"", VLOOKUP(A3956, imdb_netflix_v5!A$2:H$7370, 7, FALSE), "")</f>
        <v>NA</v>
      </c>
    </row>
    <row r="3957" ht="15.75" customHeight="1">
      <c r="A3957" s="1" t="str">
        <f>IFERROR(__xludf.DUMMYFUNCTION("""COMPUTED_VALUE"""),"man bites dog")</f>
        <v>man bites dog</v>
      </c>
      <c r="B3957" s="1" t="str">
        <f>IF(A3957&lt;&gt;"", VLOOKUP(A3957, imdb_netflix_v5!A$2:H$7370, 2, FALSE), "")</f>
        <v>Movie</v>
      </c>
      <c r="C3957" s="2" t="str">
        <f>IF(A3957&lt;&gt;"", VLOOKUP(A3957, imdb_netflix_v5!A$2:H$7370, 3, FALSE), "")</f>
        <v>Comedy, Crime, Drama</v>
      </c>
      <c r="D3957" s="2">
        <f>IF(A3957&lt;&gt;"", VLOOKUP(A3957, imdb_netflix_v5!A$2:H$7370, 4, FALSE), "")</f>
        <v>7.4</v>
      </c>
      <c r="E3957" s="2">
        <f>IF(A3957&lt;&gt;"", VLOOKUP(A3957, imdb_netflix_v5!A$2:H$7370, 5, FALSE), "")</f>
        <v>1992</v>
      </c>
      <c r="F3957" s="2" t="str">
        <f>IF(A3957&lt;&gt;"", VLOOKUP(A3957, imdb_netflix_v5!A$2:H$7370, 7, FALSE), "")</f>
        <v>NA</v>
      </c>
    </row>
    <row r="3958" ht="15.75" customHeight="1">
      <c r="A3958" s="1" t="str">
        <f>IFERROR(__xludf.DUMMYFUNCTION("""COMPUTED_VALUE"""),"capitalism a love story")</f>
        <v>capitalism a love story</v>
      </c>
      <c r="B3958" s="1" t="str">
        <f>IF(A3958&lt;&gt;"", VLOOKUP(A3958, imdb_netflix_v5!A$2:H$7370, 2, FALSE), "")</f>
        <v>Movie</v>
      </c>
      <c r="C3958" s="2" t="str">
        <f>IF(A3958&lt;&gt;"", VLOOKUP(A3958, imdb_netflix_v5!A$2:H$7370, 3, FALSE), "")</f>
        <v>Crime, Documentary, History</v>
      </c>
      <c r="D3958" s="2">
        <f>IF(A3958&lt;&gt;"", VLOOKUP(A3958, imdb_netflix_v5!A$2:H$7370, 4, FALSE), "")</f>
        <v>7.4</v>
      </c>
      <c r="E3958" s="2">
        <f>IF(A3958&lt;&gt;"", VLOOKUP(A3958, imdb_netflix_v5!A$2:H$7370, 5, FALSE), "")</f>
        <v>2009</v>
      </c>
      <c r="F3958" s="2" t="str">
        <f>IF(A3958&lt;&gt;"", VLOOKUP(A3958, imdb_netflix_v5!A$2:H$7370, 7, FALSE), "")</f>
        <v>NA</v>
      </c>
    </row>
    <row r="3959" ht="15.75" customHeight="1">
      <c r="A3959" s="1" t="str">
        <f>IFERROR(__xludf.DUMMYFUNCTION("""COMPUTED_VALUE"""),"mcfarland, usa")</f>
        <v>mcfarland, usa</v>
      </c>
      <c r="B3959" s="1" t="str">
        <f>IF(A3959&lt;&gt;"", VLOOKUP(A3959, imdb_netflix_v5!A$2:H$7370, 2, FALSE), "")</f>
        <v>Movie</v>
      </c>
      <c r="C3959" s="2" t="str">
        <f>IF(A3959&lt;&gt;"", VLOOKUP(A3959, imdb_netflix_v5!A$2:H$7370, 3, FALSE), "")</f>
        <v>Biography, Drama, Sport</v>
      </c>
      <c r="D3959" s="2">
        <f>IF(A3959&lt;&gt;"", VLOOKUP(A3959, imdb_netflix_v5!A$2:H$7370, 4, FALSE), "")</f>
        <v>7.4</v>
      </c>
      <c r="E3959" s="2">
        <f>IF(A3959&lt;&gt;"", VLOOKUP(A3959, imdb_netflix_v5!A$2:H$7370, 5, FALSE), "")</f>
        <v>2015</v>
      </c>
      <c r="F3959" s="2" t="str">
        <f>IF(A3959&lt;&gt;"", VLOOKUP(A3959, imdb_netflix_v5!A$2:H$7370, 7, FALSE), "")</f>
        <v>NA</v>
      </c>
    </row>
    <row r="3960" ht="15.75" customHeight="1">
      <c r="A3960" s="1" t="str">
        <f>IFERROR(__xludf.DUMMYFUNCTION("""COMPUTED_VALUE"""),"thesis")</f>
        <v>thesis</v>
      </c>
      <c r="B3960" s="1" t="str">
        <f>IF(A3960&lt;&gt;"", VLOOKUP(A3960, imdb_netflix_v5!A$2:H$7370, 2, FALSE), "")</f>
        <v>Movie</v>
      </c>
      <c r="C3960" s="2" t="str">
        <f>IF(A3960&lt;&gt;"", VLOOKUP(A3960, imdb_netflix_v5!A$2:H$7370, 3, FALSE), "")</f>
        <v>Crime, Horror, Mystery</v>
      </c>
      <c r="D3960" s="2">
        <f>IF(A3960&lt;&gt;"", VLOOKUP(A3960, imdb_netflix_v5!A$2:H$7370, 4, FALSE), "")</f>
        <v>7.4</v>
      </c>
      <c r="E3960" s="2">
        <f>IF(A3960&lt;&gt;"", VLOOKUP(A3960, imdb_netflix_v5!A$2:H$7370, 5, FALSE), "")</f>
        <v>1996</v>
      </c>
      <c r="F3960" s="2" t="str">
        <f>IF(A3960&lt;&gt;"", VLOOKUP(A3960, imdb_netflix_v5!A$2:H$7370, 7, FALSE), "")</f>
        <v>NA</v>
      </c>
    </row>
    <row r="3961" ht="15.75" customHeight="1">
      <c r="A3961" s="1" t="str">
        <f>IFERROR(__xludf.DUMMYFUNCTION("""COMPUTED_VALUE"""),"the haunting")</f>
        <v>the haunting</v>
      </c>
      <c r="B3961" s="1" t="str">
        <f>IF(A3961&lt;&gt;"", VLOOKUP(A3961, imdb_netflix_v5!A$2:H$7370, 2, FALSE), "")</f>
        <v>Movie</v>
      </c>
      <c r="C3961" s="2" t="str">
        <f>IF(A3961&lt;&gt;"", VLOOKUP(A3961, imdb_netflix_v5!A$2:H$7370, 3, FALSE), "")</f>
        <v>Horror</v>
      </c>
      <c r="D3961" s="2">
        <f>IF(A3961&lt;&gt;"", VLOOKUP(A3961, imdb_netflix_v5!A$2:H$7370, 4, FALSE), "")</f>
        <v>7.4</v>
      </c>
      <c r="E3961" s="2">
        <f>IF(A3961&lt;&gt;"", VLOOKUP(A3961, imdb_netflix_v5!A$2:H$7370, 5, FALSE), "")</f>
        <v>1963</v>
      </c>
      <c r="F3961" s="2" t="str">
        <f>IF(A3961&lt;&gt;"", VLOOKUP(A3961, imdb_netflix_v5!A$2:H$7370, 7, FALSE), "")</f>
        <v>NA</v>
      </c>
    </row>
    <row r="3962" ht="15.75" customHeight="1">
      <c r="A3962" s="1" t="str">
        <f>IFERROR(__xludf.DUMMYFUNCTION("""COMPUTED_VALUE"""),"love &amp; mercy")</f>
        <v>love &amp; mercy</v>
      </c>
      <c r="B3962" s="1" t="str">
        <f>IF(A3962&lt;&gt;"", VLOOKUP(A3962, imdb_netflix_v5!A$2:H$7370, 2, FALSE), "")</f>
        <v>Movie</v>
      </c>
      <c r="C3962" s="2" t="str">
        <f>IF(A3962&lt;&gt;"", VLOOKUP(A3962, imdb_netflix_v5!A$2:H$7370, 3, FALSE), "")</f>
        <v>Biography, Drama, Music</v>
      </c>
      <c r="D3962" s="2">
        <f>IF(A3962&lt;&gt;"", VLOOKUP(A3962, imdb_netflix_v5!A$2:H$7370, 4, FALSE), "")</f>
        <v>7.4</v>
      </c>
      <c r="E3962" s="2">
        <f>IF(A3962&lt;&gt;"", VLOOKUP(A3962, imdb_netflix_v5!A$2:H$7370, 5, FALSE), "")</f>
        <v>2014</v>
      </c>
      <c r="F3962" s="2" t="str">
        <f>IF(A3962&lt;&gt;"", VLOOKUP(A3962, imdb_netflix_v5!A$2:H$7370, 7, FALSE), "")</f>
        <v>NA</v>
      </c>
    </row>
    <row r="3963" ht="15.75" customHeight="1">
      <c r="A3963" s="1" t="str">
        <f>IFERROR(__xludf.DUMMYFUNCTION("""COMPUTED_VALUE"""),"searching for bobby fischer")</f>
        <v>searching for bobby fischer</v>
      </c>
      <c r="B3963" s="1" t="str">
        <f>IF(A3963&lt;&gt;"", VLOOKUP(A3963, imdb_netflix_v5!A$2:H$7370, 2, FALSE), "")</f>
        <v>Movie</v>
      </c>
      <c r="C3963" s="2" t="str">
        <f>IF(A3963&lt;&gt;"", VLOOKUP(A3963, imdb_netflix_v5!A$2:H$7370, 3, FALSE), "")</f>
        <v>Biography, Drama, Sport</v>
      </c>
      <c r="D3963" s="2">
        <f>IF(A3963&lt;&gt;"", VLOOKUP(A3963, imdb_netflix_v5!A$2:H$7370, 4, FALSE), "")</f>
        <v>7.4</v>
      </c>
      <c r="E3963" s="2">
        <f>IF(A3963&lt;&gt;"", VLOOKUP(A3963, imdb_netflix_v5!A$2:H$7370, 5, FALSE), "")</f>
        <v>1993</v>
      </c>
      <c r="F3963" s="2" t="str">
        <f>IF(A3963&lt;&gt;"", VLOOKUP(A3963, imdb_netflix_v5!A$2:H$7370, 7, FALSE), "")</f>
        <v>NA</v>
      </c>
    </row>
    <row r="3964" ht="15.75" customHeight="1">
      <c r="A3964" s="1" t="str">
        <f>IFERROR(__xludf.DUMMYFUNCTION("""COMPUTED_VALUE"""),"in the bedroom")</f>
        <v>in the bedroom</v>
      </c>
      <c r="B3964" s="1" t="str">
        <f>IF(A3964&lt;&gt;"", VLOOKUP(A3964, imdb_netflix_v5!A$2:H$7370, 2, FALSE), "")</f>
        <v>Movie</v>
      </c>
      <c r="C3964" s="2" t="str">
        <f>IF(A3964&lt;&gt;"", VLOOKUP(A3964, imdb_netflix_v5!A$2:H$7370, 3, FALSE), "")</f>
        <v>Crime, Drama</v>
      </c>
      <c r="D3964" s="2">
        <f>IF(A3964&lt;&gt;"", VLOOKUP(A3964, imdb_netflix_v5!A$2:H$7370, 4, FALSE), "")</f>
        <v>7.4</v>
      </c>
      <c r="E3964" s="2">
        <f>IF(A3964&lt;&gt;"", VLOOKUP(A3964, imdb_netflix_v5!A$2:H$7370, 5, FALSE), "")</f>
        <v>2001</v>
      </c>
      <c r="F3964" s="2" t="str">
        <f>IF(A3964&lt;&gt;"", VLOOKUP(A3964, imdb_netflix_v5!A$2:H$7370, 7, FALSE), "")</f>
        <v>NA</v>
      </c>
    </row>
    <row r="3965" ht="15.75" customHeight="1">
      <c r="A3965" s="1" t="str">
        <f>IFERROR(__xludf.DUMMYFUNCTION("""COMPUTED_VALUE"""),"nosferatu the vampyre")</f>
        <v>nosferatu the vampyre</v>
      </c>
      <c r="B3965" s="1" t="str">
        <f>IF(A3965&lt;&gt;"", VLOOKUP(A3965, imdb_netflix_v5!A$2:H$7370, 2, FALSE), "")</f>
        <v>Movie</v>
      </c>
      <c r="C3965" s="2" t="str">
        <f>IF(A3965&lt;&gt;"", VLOOKUP(A3965, imdb_netflix_v5!A$2:H$7370, 3, FALSE), "")</f>
        <v>Drama, Horror</v>
      </c>
      <c r="D3965" s="2">
        <f>IF(A3965&lt;&gt;"", VLOOKUP(A3965, imdb_netflix_v5!A$2:H$7370, 4, FALSE), "")</f>
        <v>7.4</v>
      </c>
      <c r="E3965" s="2">
        <f>IF(A3965&lt;&gt;"", VLOOKUP(A3965, imdb_netflix_v5!A$2:H$7370, 5, FALSE), "")</f>
        <v>1979</v>
      </c>
      <c r="F3965" s="2" t="str">
        <f>IF(A3965&lt;&gt;"", VLOOKUP(A3965, imdb_netflix_v5!A$2:H$7370, 7, FALSE), "")</f>
        <v>NA</v>
      </c>
    </row>
    <row r="3966" ht="15.75" customHeight="1">
      <c r="A3966" s="1" t="str">
        <f>IFERROR(__xludf.DUMMYFUNCTION("""COMPUTED_VALUE"""),"gallipoli")</f>
        <v>gallipoli</v>
      </c>
      <c r="B3966" s="1" t="str">
        <f>IF(A3966&lt;&gt;"", VLOOKUP(A3966, imdb_netflix_v5!A$2:H$7370, 2, FALSE), "")</f>
        <v>Movie</v>
      </c>
      <c r="C3966" s="2" t="str">
        <f>IF(A3966&lt;&gt;"", VLOOKUP(A3966, imdb_netflix_v5!A$2:H$7370, 3, FALSE), "")</f>
        <v>Adventure, Drama, History</v>
      </c>
      <c r="D3966" s="2">
        <f>IF(A3966&lt;&gt;"", VLOOKUP(A3966, imdb_netflix_v5!A$2:H$7370, 4, FALSE), "")</f>
        <v>7.4</v>
      </c>
      <c r="E3966" s="2">
        <f>IF(A3966&lt;&gt;"", VLOOKUP(A3966, imdb_netflix_v5!A$2:H$7370, 5, FALSE), "")</f>
        <v>1981</v>
      </c>
      <c r="F3966" s="2" t="str">
        <f>IF(A3966&lt;&gt;"", VLOOKUP(A3966, imdb_netflix_v5!A$2:H$7370, 7, FALSE), "")</f>
        <v>NA</v>
      </c>
    </row>
    <row r="3967" ht="15.75" customHeight="1">
      <c r="A3967" s="1" t="str">
        <f>IFERROR(__xludf.DUMMYFUNCTION("""COMPUTED_VALUE"""),"bullets over broadway")</f>
        <v>bullets over broadway</v>
      </c>
      <c r="B3967" s="1" t="str">
        <f>IF(A3967&lt;&gt;"", VLOOKUP(A3967, imdb_netflix_v5!A$2:H$7370, 2, FALSE), "")</f>
        <v>Movie</v>
      </c>
      <c r="C3967" s="2" t="str">
        <f>IF(A3967&lt;&gt;"", VLOOKUP(A3967, imdb_netflix_v5!A$2:H$7370, 3, FALSE), "")</f>
        <v>Comedy, Crime</v>
      </c>
      <c r="D3967" s="2">
        <f>IF(A3967&lt;&gt;"", VLOOKUP(A3967, imdb_netflix_v5!A$2:H$7370, 4, FALSE), "")</f>
        <v>7.4</v>
      </c>
      <c r="E3967" s="2">
        <f>IF(A3967&lt;&gt;"", VLOOKUP(A3967, imdb_netflix_v5!A$2:H$7370, 5, FALSE), "")</f>
        <v>1994</v>
      </c>
      <c r="F3967" s="2" t="str">
        <f>IF(A3967&lt;&gt;"", VLOOKUP(A3967, imdb_netflix_v5!A$2:H$7370, 7, FALSE), "")</f>
        <v>NA</v>
      </c>
    </row>
    <row r="3968" ht="15.75" customHeight="1">
      <c r="A3968" s="1" t="str">
        <f>IFERROR(__xludf.DUMMYFUNCTION("""COMPUTED_VALUE"""),"picnic at hanging rock")</f>
        <v>picnic at hanging rock</v>
      </c>
      <c r="B3968" s="1" t="str">
        <f>IF(A3968&lt;&gt;"", VLOOKUP(A3968, imdb_netflix_v5!A$2:H$7370, 2, FALSE), "")</f>
        <v>Movie</v>
      </c>
      <c r="C3968" s="2" t="str">
        <f>IF(A3968&lt;&gt;"", VLOOKUP(A3968, imdb_netflix_v5!A$2:H$7370, 3, FALSE), "")</f>
        <v>Drama, Mystery</v>
      </c>
      <c r="D3968" s="2">
        <f>IF(A3968&lt;&gt;"", VLOOKUP(A3968, imdb_netflix_v5!A$2:H$7370, 4, FALSE), "")</f>
        <v>7.4</v>
      </c>
      <c r="E3968" s="2">
        <f>IF(A3968&lt;&gt;"", VLOOKUP(A3968, imdb_netflix_v5!A$2:H$7370, 5, FALSE), "")</f>
        <v>1975</v>
      </c>
      <c r="F3968" s="2" t="str">
        <f>IF(A3968&lt;&gt;"", VLOOKUP(A3968, imdb_netflix_v5!A$2:H$7370, 7, FALSE), "")</f>
        <v>NA</v>
      </c>
    </row>
    <row r="3969" ht="15.75" customHeight="1">
      <c r="A3969" s="1" t="str">
        <f>IFERROR(__xludf.DUMMYFUNCTION("""COMPUTED_VALUE"""),"oliver!")</f>
        <v>oliver!</v>
      </c>
      <c r="B3969" s="1" t="str">
        <f>IF(A3969&lt;&gt;"", VLOOKUP(A3969, imdb_netflix_v5!A$2:H$7370, 2, FALSE), "")</f>
        <v>Movie</v>
      </c>
      <c r="C3969" s="2" t="str">
        <f>IF(A3969&lt;&gt;"", VLOOKUP(A3969, imdb_netflix_v5!A$2:H$7370, 3, FALSE), "")</f>
        <v>Drama, Family, Musical</v>
      </c>
      <c r="D3969" s="2">
        <f>IF(A3969&lt;&gt;"", VLOOKUP(A3969, imdb_netflix_v5!A$2:H$7370, 4, FALSE), "")</f>
        <v>7.4</v>
      </c>
      <c r="E3969" s="2">
        <f>IF(A3969&lt;&gt;"", VLOOKUP(A3969, imdb_netflix_v5!A$2:H$7370, 5, FALSE), "")</f>
        <v>1968</v>
      </c>
      <c r="F3969" s="2" t="str">
        <f>IF(A3969&lt;&gt;"", VLOOKUP(A3969, imdb_netflix_v5!A$2:H$7370, 7, FALSE), "")</f>
        <v>NA</v>
      </c>
    </row>
    <row r="3970" ht="15.75" customHeight="1">
      <c r="A3970" s="1" t="str">
        <f>IFERROR(__xludf.DUMMYFUNCTION("""COMPUTED_VALUE"""),"thief")</f>
        <v>thief</v>
      </c>
      <c r="B3970" s="1" t="str">
        <f>IF(A3970&lt;&gt;"", VLOOKUP(A3970, imdb_netflix_v5!A$2:H$7370, 2, FALSE), "")</f>
        <v>Movie</v>
      </c>
      <c r="C3970" s="2" t="str">
        <f>IF(A3970&lt;&gt;"", VLOOKUP(A3970, imdb_netflix_v5!A$2:H$7370, 3, FALSE), "")</f>
        <v>Action, Crime, Drama</v>
      </c>
      <c r="D3970" s="2">
        <f>IF(A3970&lt;&gt;"", VLOOKUP(A3970, imdb_netflix_v5!A$2:H$7370, 4, FALSE), "")</f>
        <v>7.4</v>
      </c>
      <c r="E3970" s="2">
        <f>IF(A3970&lt;&gt;"", VLOOKUP(A3970, imdb_netflix_v5!A$2:H$7370, 5, FALSE), "")</f>
        <v>1981</v>
      </c>
      <c r="F3970" s="2" t="str">
        <f>IF(A3970&lt;&gt;"", VLOOKUP(A3970, imdb_netflix_v5!A$2:H$7370, 7, FALSE), "")</f>
        <v>NA</v>
      </c>
    </row>
    <row r="3971" ht="15.75" customHeight="1">
      <c r="A3971" s="1" t="str">
        <f>IFERROR(__xludf.DUMMYFUNCTION("""COMPUTED_VALUE"""),"five easy pieces")</f>
        <v>five easy pieces</v>
      </c>
      <c r="B3971" s="1" t="str">
        <f>IF(A3971&lt;&gt;"", VLOOKUP(A3971, imdb_netflix_v5!A$2:H$7370, 2, FALSE), "")</f>
        <v>Movie</v>
      </c>
      <c r="C3971" s="2" t="str">
        <f>IF(A3971&lt;&gt;"", VLOOKUP(A3971, imdb_netflix_v5!A$2:H$7370, 3, FALSE), "")</f>
        <v>Drama</v>
      </c>
      <c r="D3971" s="2">
        <f>IF(A3971&lt;&gt;"", VLOOKUP(A3971, imdb_netflix_v5!A$2:H$7370, 4, FALSE), "")</f>
        <v>7.4</v>
      </c>
      <c r="E3971" s="2">
        <f>IF(A3971&lt;&gt;"", VLOOKUP(A3971, imdb_netflix_v5!A$2:H$7370, 5, FALSE), "")</f>
        <v>1970</v>
      </c>
      <c r="F3971" s="2" t="str">
        <f>IF(A3971&lt;&gt;"", VLOOKUP(A3971, imdb_netflix_v5!A$2:H$7370, 7, FALSE), "")</f>
        <v>NA</v>
      </c>
    </row>
    <row r="3972" ht="15.75" customHeight="1">
      <c r="A3972" s="1" t="str">
        <f>IFERROR(__xludf.DUMMYFUNCTION("""COMPUTED_VALUE"""),"ed, edd n eddy")</f>
        <v>ed, edd n eddy</v>
      </c>
      <c r="B3972" s="1" t="str">
        <f>IF(A3972&lt;&gt;"", VLOOKUP(A3972, imdb_netflix_v5!A$2:H$7370, 2, FALSE), "")</f>
        <v>TV Show</v>
      </c>
      <c r="C3972" s="2" t="str">
        <f>IF(A3972&lt;&gt;"", VLOOKUP(A3972, imdb_netflix_v5!A$2:H$7370, 3, FALSE), "")</f>
        <v>Animation, Comedy, Family</v>
      </c>
      <c r="D3972" s="2">
        <f>IF(A3972&lt;&gt;"", VLOOKUP(A3972, imdb_netflix_v5!A$2:H$7370, 4, FALSE), "")</f>
        <v>7.4</v>
      </c>
      <c r="E3972" s="2">
        <f>IF(A3972&lt;&gt;"", VLOOKUP(A3972, imdb_netflix_v5!A$2:H$7370, 5, FALSE), "")</f>
        <v>1999</v>
      </c>
      <c r="F3972" s="2" t="str">
        <f>IF(A3972&lt;&gt;"", VLOOKUP(A3972, imdb_netflix_v5!A$2:H$7370, 7, FALSE), "")</f>
        <v>NA</v>
      </c>
    </row>
    <row r="3973" ht="15.75" customHeight="1">
      <c r="A3973" s="1" t="str">
        <f>IFERROR(__xludf.DUMMYFUNCTION("""COMPUTED_VALUE"""),"empire")</f>
        <v>empire</v>
      </c>
      <c r="B3973" s="1" t="str">
        <f>IF(A3973&lt;&gt;"", VLOOKUP(A3973, imdb_netflix_v5!A$2:H$7370, 2, FALSE), "")</f>
        <v>TV Show</v>
      </c>
      <c r="C3973" s="2" t="str">
        <f>IF(A3973&lt;&gt;"", VLOOKUP(A3973, imdb_netflix_v5!A$2:H$7370, 3, FALSE), "")</f>
        <v>Drama, Music</v>
      </c>
      <c r="D3973" s="2">
        <f>IF(A3973&lt;&gt;"", VLOOKUP(A3973, imdb_netflix_v5!A$2:H$7370, 4, FALSE), "")</f>
        <v>7.4</v>
      </c>
      <c r="E3973" s="2">
        <f>IF(A3973&lt;&gt;"", VLOOKUP(A3973, imdb_netflix_v5!A$2:H$7370, 5, FALSE), "")</f>
        <v>2015</v>
      </c>
      <c r="F3973" s="2" t="str">
        <f>IF(A3973&lt;&gt;"", VLOOKUP(A3973, imdb_netflix_v5!A$2:H$7370, 7, FALSE), "")</f>
        <v>NA</v>
      </c>
    </row>
    <row r="3974" ht="15.75" customHeight="1">
      <c r="A3974" s="1" t="str">
        <f>IFERROR(__xludf.DUMMYFUNCTION("""COMPUTED_VALUE"""),"stranger than paradise")</f>
        <v>stranger than paradise</v>
      </c>
      <c r="B3974" s="1" t="str">
        <f>IF(A3974&lt;&gt;"", VLOOKUP(A3974, imdb_netflix_v5!A$2:H$7370, 2, FALSE), "")</f>
        <v>Movie</v>
      </c>
      <c r="C3974" s="2" t="str">
        <f>IF(A3974&lt;&gt;"", VLOOKUP(A3974, imdb_netflix_v5!A$2:H$7370, 3, FALSE), "")</f>
        <v>Comedy, Drama</v>
      </c>
      <c r="D3974" s="2">
        <f>IF(A3974&lt;&gt;"", VLOOKUP(A3974, imdb_netflix_v5!A$2:H$7370, 4, FALSE), "")</f>
        <v>7.4</v>
      </c>
      <c r="E3974" s="2">
        <f>IF(A3974&lt;&gt;"", VLOOKUP(A3974, imdb_netflix_v5!A$2:H$7370, 5, FALSE), "")</f>
        <v>1984</v>
      </c>
      <c r="F3974" s="2" t="str">
        <f>IF(A3974&lt;&gt;"", VLOOKUP(A3974, imdb_netflix_v5!A$2:H$7370, 7, FALSE), "")</f>
        <v>NA</v>
      </c>
    </row>
    <row r="3975" ht="15.75" customHeight="1">
      <c r="A3975" s="1" t="str">
        <f>IFERROR(__xludf.DUMMYFUNCTION("""COMPUTED_VALUE"""),"and justice for all")</f>
        <v>and justice for all</v>
      </c>
      <c r="B3975" s="1" t="str">
        <f>IF(A3975&lt;&gt;"", VLOOKUP(A3975, imdb_netflix_v5!A$2:H$7370, 2, FALSE), "")</f>
        <v>Movie</v>
      </c>
      <c r="C3975" s="2" t="str">
        <f>IF(A3975&lt;&gt;"", VLOOKUP(A3975, imdb_netflix_v5!A$2:H$7370, 3, FALSE), "")</f>
        <v>Crime, Drama, Thriller</v>
      </c>
      <c r="D3975" s="2">
        <f>IF(A3975&lt;&gt;"", VLOOKUP(A3975, imdb_netflix_v5!A$2:H$7370, 4, FALSE), "")</f>
        <v>7.4</v>
      </c>
      <c r="E3975" s="2">
        <f>IF(A3975&lt;&gt;"", VLOOKUP(A3975, imdb_netflix_v5!A$2:H$7370, 5, FALSE), "")</f>
        <v>1979</v>
      </c>
      <c r="F3975" s="2" t="str">
        <f>IF(A3975&lt;&gt;"", VLOOKUP(A3975, imdb_netflix_v5!A$2:H$7370, 7, FALSE), "")</f>
        <v>NA</v>
      </c>
    </row>
    <row r="3976" ht="15.75" customHeight="1">
      <c r="A3976" s="1" t="str">
        <f>IFERROR(__xludf.DUMMYFUNCTION("""COMPUTED_VALUE"""),"body heat")</f>
        <v>body heat</v>
      </c>
      <c r="B3976" s="1" t="str">
        <f>IF(A3976&lt;&gt;"", VLOOKUP(A3976, imdb_netflix_v5!A$2:H$7370, 2, FALSE), "")</f>
        <v>Movie</v>
      </c>
      <c r="C3976" s="2" t="str">
        <f>IF(A3976&lt;&gt;"", VLOOKUP(A3976, imdb_netflix_v5!A$2:H$7370, 3, FALSE), "")</f>
        <v>Crime, Drama, Romance</v>
      </c>
      <c r="D3976" s="2">
        <f>IF(A3976&lt;&gt;"", VLOOKUP(A3976, imdb_netflix_v5!A$2:H$7370, 4, FALSE), "")</f>
        <v>7.4</v>
      </c>
      <c r="E3976" s="2">
        <f>IF(A3976&lt;&gt;"", VLOOKUP(A3976, imdb_netflix_v5!A$2:H$7370, 5, FALSE), "")</f>
        <v>1981</v>
      </c>
      <c r="F3976" s="2" t="str">
        <f>IF(A3976&lt;&gt;"", VLOOKUP(A3976, imdb_netflix_v5!A$2:H$7370, 7, FALSE), "")</f>
        <v>NA</v>
      </c>
    </row>
    <row r="3977" ht="15.75" customHeight="1">
      <c r="A3977" s="1" t="str">
        <f>IFERROR(__xludf.DUMMYFUNCTION("""COMPUTED_VALUE"""),"ghost in the shell 2 innocence")</f>
        <v>ghost in the shell 2 innocence</v>
      </c>
      <c r="B3977" s="1" t="str">
        <f>IF(A3977&lt;&gt;"", VLOOKUP(A3977, imdb_netflix_v5!A$2:H$7370, 2, FALSE), "")</f>
        <v>Movie</v>
      </c>
      <c r="C3977" s="2" t="str">
        <f>IF(A3977&lt;&gt;"", VLOOKUP(A3977, imdb_netflix_v5!A$2:H$7370, 3, FALSE), "")</f>
        <v>Animation, Drama, Mystery</v>
      </c>
      <c r="D3977" s="2">
        <f>IF(A3977&lt;&gt;"", VLOOKUP(A3977, imdb_netflix_v5!A$2:H$7370, 4, FALSE), "")</f>
        <v>7.4</v>
      </c>
      <c r="E3977" s="2">
        <f>IF(A3977&lt;&gt;"", VLOOKUP(A3977, imdb_netflix_v5!A$2:H$7370, 5, FALSE), "")</f>
        <v>2004</v>
      </c>
      <c r="F3977" s="2" t="str">
        <f>IF(A3977&lt;&gt;"", VLOOKUP(A3977, imdb_netflix_v5!A$2:H$7370, 7, FALSE), "")</f>
        <v>NA</v>
      </c>
    </row>
    <row r="3978" ht="15.75" customHeight="1">
      <c r="A3978" s="1" t="str">
        <f>IFERROR(__xludf.DUMMYFUNCTION("""COMPUTED_VALUE"""),"mom")</f>
        <v>mom</v>
      </c>
      <c r="B3978" s="1" t="str">
        <f>IF(A3978&lt;&gt;"", VLOOKUP(A3978, imdb_netflix_v5!A$2:H$7370, 2, FALSE), "")</f>
        <v>TV Show</v>
      </c>
      <c r="C3978" s="2" t="str">
        <f>IF(A3978&lt;&gt;"", VLOOKUP(A3978, imdb_netflix_v5!A$2:H$7370, 3, FALSE), "")</f>
        <v>Comedy, Drama, Romance</v>
      </c>
      <c r="D3978" s="2">
        <f>IF(A3978&lt;&gt;"", VLOOKUP(A3978, imdb_netflix_v5!A$2:H$7370, 4, FALSE), "")</f>
        <v>7.4</v>
      </c>
      <c r="E3978" s="2">
        <f>IF(A3978&lt;&gt;"", VLOOKUP(A3978, imdb_netflix_v5!A$2:H$7370, 5, FALSE), "")</f>
        <v>2013</v>
      </c>
      <c r="F3978" s="2" t="str">
        <f>IF(A3978&lt;&gt;"", VLOOKUP(A3978, imdb_netflix_v5!A$2:H$7370, 7, FALSE), "")</f>
        <v>NA</v>
      </c>
    </row>
    <row r="3979" ht="15.75" customHeight="1">
      <c r="A3979" s="1" t="str">
        <f>IFERROR(__xludf.DUMMYFUNCTION("""COMPUTED_VALUE"""),"alf")</f>
        <v>alf</v>
      </c>
      <c r="B3979" s="1" t="str">
        <f>IF(A3979&lt;&gt;"", VLOOKUP(A3979, imdb_netflix_v5!A$2:H$7370, 2, FALSE), "")</f>
        <v>TV Show</v>
      </c>
      <c r="C3979" s="2" t="str">
        <f>IF(A3979&lt;&gt;"", VLOOKUP(A3979, imdb_netflix_v5!A$2:H$7370, 3, FALSE), "")</f>
        <v>Comedy, Family, Sci-Fi</v>
      </c>
      <c r="D3979" s="2">
        <f>IF(A3979&lt;&gt;"", VLOOKUP(A3979, imdb_netflix_v5!A$2:H$7370, 4, FALSE), "")</f>
        <v>7.4</v>
      </c>
      <c r="E3979" s="2">
        <f>IF(A3979&lt;&gt;"", VLOOKUP(A3979, imdb_netflix_v5!A$2:H$7370, 5, FALSE), "")</f>
        <v>1986</v>
      </c>
      <c r="F3979" s="2" t="str">
        <f>IF(A3979&lt;&gt;"", VLOOKUP(A3979, imdb_netflix_v5!A$2:H$7370, 7, FALSE), "")</f>
        <v>NA</v>
      </c>
    </row>
    <row r="3980" ht="15.75" customHeight="1">
      <c r="A3980" s="1" t="str">
        <f>IFERROR(__xludf.DUMMYFUNCTION("""COMPUTED_VALUE"""),"cmon cmon")</f>
        <v>cmon cmon</v>
      </c>
      <c r="B3980" s="1" t="str">
        <f>IF(A3980&lt;&gt;"", VLOOKUP(A3980, imdb_netflix_v5!A$2:H$7370, 2, FALSE), "")</f>
        <v>Movie</v>
      </c>
      <c r="C3980" s="2" t="str">
        <f>IF(A3980&lt;&gt;"", VLOOKUP(A3980, imdb_netflix_v5!A$2:H$7370, 3, FALSE), "")</f>
        <v>Drama</v>
      </c>
      <c r="D3980" s="2">
        <f>IF(A3980&lt;&gt;"", VLOOKUP(A3980, imdb_netflix_v5!A$2:H$7370, 4, FALSE), "")</f>
        <v>7.4</v>
      </c>
      <c r="E3980" s="2">
        <f>IF(A3980&lt;&gt;"", VLOOKUP(A3980, imdb_netflix_v5!A$2:H$7370, 5, FALSE), "")</f>
        <v>2021</v>
      </c>
      <c r="F3980" s="2" t="str">
        <f>IF(A3980&lt;&gt;"", VLOOKUP(A3980, imdb_netflix_v5!A$2:H$7370, 7, FALSE), "")</f>
        <v>NA</v>
      </c>
    </row>
    <row r="3981" ht="15.75" customHeight="1">
      <c r="A3981" s="1" t="str">
        <f>IFERROR(__xludf.DUMMYFUNCTION("""COMPUTED_VALUE"""),"rugrats")</f>
        <v>rugrats</v>
      </c>
      <c r="B3981" s="1" t="str">
        <f>IF(A3981&lt;&gt;"", VLOOKUP(A3981, imdb_netflix_v5!A$2:H$7370, 2, FALSE), "")</f>
        <v>TV Show</v>
      </c>
      <c r="C3981" s="2" t="str">
        <f>IF(A3981&lt;&gt;"", VLOOKUP(A3981, imdb_netflix_v5!A$2:H$7370, 3, FALSE), "")</f>
        <v>Adventure, Animation, Comedy</v>
      </c>
      <c r="D3981" s="2">
        <f>IF(A3981&lt;&gt;"", VLOOKUP(A3981, imdb_netflix_v5!A$2:H$7370, 4, FALSE), "")</f>
        <v>7.4</v>
      </c>
      <c r="E3981" s="2">
        <f>IF(A3981&lt;&gt;"", VLOOKUP(A3981, imdb_netflix_v5!A$2:H$7370, 5, FALSE), "")</f>
        <v>1991</v>
      </c>
      <c r="F3981" s="2" t="str">
        <f>IF(A3981&lt;&gt;"", VLOOKUP(A3981, imdb_netflix_v5!A$2:H$7370, 7, FALSE), "")</f>
        <v>NA</v>
      </c>
    </row>
    <row r="3982" ht="15.75" customHeight="1">
      <c r="A3982" s="1" t="str">
        <f>IFERROR(__xludf.DUMMYFUNCTION("""COMPUTED_VALUE"""),"yahsi bati - the ottoman cowboys")</f>
        <v>yahsi bati - the ottoman cowboys</v>
      </c>
      <c r="B3982" s="1" t="str">
        <f>IF(A3982&lt;&gt;"", VLOOKUP(A3982, imdb_netflix_v5!A$2:H$7370, 2, FALSE), "")</f>
        <v>Movie</v>
      </c>
      <c r="C3982" s="2" t="str">
        <f>IF(A3982&lt;&gt;"", VLOOKUP(A3982, imdb_netflix_v5!A$2:H$7370, 3, FALSE), "")</f>
        <v>Adventure, Comedy, Western</v>
      </c>
      <c r="D3982" s="2">
        <f>IF(A3982&lt;&gt;"", VLOOKUP(A3982, imdb_netflix_v5!A$2:H$7370, 4, FALSE), "")</f>
        <v>7.4</v>
      </c>
      <c r="E3982" s="2">
        <f>IF(A3982&lt;&gt;"", VLOOKUP(A3982, imdb_netflix_v5!A$2:H$7370, 5, FALSE), "")</f>
        <v>2009</v>
      </c>
      <c r="F3982" s="2" t="str">
        <f>IF(A3982&lt;&gt;"", VLOOKUP(A3982, imdb_netflix_v5!A$2:H$7370, 7, FALSE), "")</f>
        <v>NA</v>
      </c>
    </row>
    <row r="3983" ht="15.75" customHeight="1">
      <c r="A3983" s="1" t="str">
        <f>IFERROR(__xludf.DUMMYFUNCTION("""COMPUTED_VALUE"""),"smoke")</f>
        <v>smoke</v>
      </c>
      <c r="B3983" s="1" t="str">
        <f>IF(A3983&lt;&gt;"", VLOOKUP(A3983, imdb_netflix_v5!A$2:H$7370, 2, FALSE), "")</f>
        <v>Movie</v>
      </c>
      <c r="C3983" s="2" t="str">
        <f>IF(A3983&lt;&gt;"", VLOOKUP(A3983, imdb_netflix_v5!A$2:H$7370, 3, FALSE), "")</f>
        <v>Comedy, Drama</v>
      </c>
      <c r="D3983" s="2">
        <f>IF(A3983&lt;&gt;"", VLOOKUP(A3983, imdb_netflix_v5!A$2:H$7370, 4, FALSE), "")</f>
        <v>7.4</v>
      </c>
      <c r="E3983" s="2">
        <f>IF(A3983&lt;&gt;"", VLOOKUP(A3983, imdb_netflix_v5!A$2:H$7370, 5, FALSE), "")</f>
        <v>1995</v>
      </c>
      <c r="F3983" s="2" t="str">
        <f>IF(A3983&lt;&gt;"", VLOOKUP(A3983, imdb_netflix_v5!A$2:H$7370, 7, FALSE), "")</f>
        <v>NA</v>
      </c>
    </row>
    <row r="3984" ht="15.75" customHeight="1">
      <c r="A3984" s="1" t="str">
        <f>IFERROR(__xludf.DUMMYFUNCTION("""COMPUTED_VALUE"""),"top of the lake")</f>
        <v>top of the lake</v>
      </c>
      <c r="B3984" s="1" t="str">
        <f>IF(A3984&lt;&gt;"", VLOOKUP(A3984, imdb_netflix_v5!A$2:H$7370, 2, FALSE), "")</f>
        <v>TV Show</v>
      </c>
      <c r="C3984" s="2" t="str">
        <f>IF(A3984&lt;&gt;"", VLOOKUP(A3984, imdb_netflix_v5!A$2:H$7370, 3, FALSE), "")</f>
        <v>Crime, Drama, Mystery</v>
      </c>
      <c r="D3984" s="2">
        <f>IF(A3984&lt;&gt;"", VLOOKUP(A3984, imdb_netflix_v5!A$2:H$7370, 4, FALSE), "")</f>
        <v>7.4</v>
      </c>
      <c r="E3984" s="2">
        <f>IF(A3984&lt;&gt;"", VLOOKUP(A3984, imdb_netflix_v5!A$2:H$7370, 5, FALSE), "")</f>
        <v>2013</v>
      </c>
      <c r="F3984" s="2" t="str">
        <f>IF(A3984&lt;&gt;"", VLOOKUP(A3984, imdb_netflix_v5!A$2:H$7370, 7, FALSE), "")</f>
        <v>NA</v>
      </c>
    </row>
    <row r="3985" ht="15.75" customHeight="1">
      <c r="A3985" s="1" t="str">
        <f>IFERROR(__xludf.DUMMYFUNCTION("""COMPUTED_VALUE"""),"welcome to the dollhouse")</f>
        <v>welcome to the dollhouse</v>
      </c>
      <c r="B3985" s="1" t="str">
        <f>IF(A3985&lt;&gt;"", VLOOKUP(A3985, imdb_netflix_v5!A$2:H$7370, 2, FALSE), "")</f>
        <v>Movie</v>
      </c>
      <c r="C3985" s="2" t="str">
        <f>IF(A3985&lt;&gt;"", VLOOKUP(A3985, imdb_netflix_v5!A$2:H$7370, 3, FALSE), "")</f>
        <v>Comedy, Drama</v>
      </c>
      <c r="D3985" s="2">
        <f>IF(A3985&lt;&gt;"", VLOOKUP(A3985, imdb_netflix_v5!A$2:H$7370, 4, FALSE), "")</f>
        <v>7.4</v>
      </c>
      <c r="E3985" s="2">
        <f>IF(A3985&lt;&gt;"", VLOOKUP(A3985, imdb_netflix_v5!A$2:H$7370, 5, FALSE), "")</f>
        <v>1995</v>
      </c>
      <c r="F3985" s="2" t="str">
        <f>IF(A3985&lt;&gt;"", VLOOKUP(A3985, imdb_netflix_v5!A$2:H$7370, 7, FALSE), "")</f>
        <v>NA</v>
      </c>
    </row>
    <row r="3986" ht="15.75" customHeight="1">
      <c r="A3986" s="1" t="str">
        <f>IFERROR(__xludf.DUMMYFUNCTION("""COMPUTED_VALUE"""),"pierrot le fou")</f>
        <v>pierrot le fou</v>
      </c>
      <c r="B3986" s="1" t="str">
        <f>IF(A3986&lt;&gt;"", VLOOKUP(A3986, imdb_netflix_v5!A$2:H$7370, 2, FALSE), "")</f>
        <v>Movie</v>
      </c>
      <c r="C3986" s="2" t="str">
        <f>IF(A3986&lt;&gt;"", VLOOKUP(A3986, imdb_netflix_v5!A$2:H$7370, 3, FALSE), "")</f>
        <v>Crime, Drama, Romance</v>
      </c>
      <c r="D3986" s="2">
        <f>IF(A3986&lt;&gt;"", VLOOKUP(A3986, imdb_netflix_v5!A$2:H$7370, 4, FALSE), "")</f>
        <v>7.4</v>
      </c>
      <c r="E3986" s="2">
        <f>IF(A3986&lt;&gt;"", VLOOKUP(A3986, imdb_netflix_v5!A$2:H$7370, 5, FALSE), "")</f>
        <v>1965</v>
      </c>
      <c r="F3986" s="2" t="str">
        <f>IF(A3986&lt;&gt;"", VLOOKUP(A3986, imdb_netflix_v5!A$2:H$7370, 7, FALSE), "")</f>
        <v>NA</v>
      </c>
    </row>
    <row r="3987" ht="15.75" customHeight="1">
      <c r="A3987" s="1" t="str">
        <f>IFERROR(__xludf.DUMMYFUNCTION("""COMPUTED_VALUE"""),"the swimmers")</f>
        <v>the swimmers</v>
      </c>
      <c r="B3987" s="1" t="str">
        <f>IF(A3987&lt;&gt;"", VLOOKUP(A3987, imdb_netflix_v5!A$2:H$7370, 2, FALSE), "")</f>
        <v>Movie</v>
      </c>
      <c r="C3987" s="2" t="str">
        <f>IF(A3987&lt;&gt;"", VLOOKUP(A3987, imdb_netflix_v5!A$2:H$7370, 3, FALSE), "")</f>
        <v>Biography, Drama, Sport</v>
      </c>
      <c r="D3987" s="2">
        <f>IF(A3987&lt;&gt;"", VLOOKUP(A3987, imdb_netflix_v5!A$2:H$7370, 4, FALSE), "")</f>
        <v>7.4</v>
      </c>
      <c r="E3987" s="2">
        <f>IF(A3987&lt;&gt;"", VLOOKUP(A3987, imdb_netflix_v5!A$2:H$7370, 5, FALSE), "")</f>
        <v>2022</v>
      </c>
      <c r="F3987" s="2">
        <f>IF(A3987&lt;&gt;"", VLOOKUP(A3987, imdb_netflix_v5!A$2:H$7370, 7, FALSE), "")</f>
        <v>11720000</v>
      </c>
    </row>
    <row r="3988" ht="15.75" customHeight="1">
      <c r="A3988" s="1" t="str">
        <f>IFERROR(__xludf.DUMMYFUNCTION("""COMPUTED_VALUE"""),"hunting season")</f>
        <v>hunting season</v>
      </c>
      <c r="B3988" s="1" t="str">
        <f>IF(A3988&lt;&gt;"", VLOOKUP(A3988, imdb_netflix_v5!A$2:H$7370, 2, FALSE), "")</f>
        <v>Movie</v>
      </c>
      <c r="C3988" s="2" t="str">
        <f>IF(A3988&lt;&gt;"", VLOOKUP(A3988, imdb_netflix_v5!A$2:H$7370, 3, FALSE), "")</f>
        <v>Crime, Drama, Mystery</v>
      </c>
      <c r="D3988" s="2">
        <f>IF(A3988&lt;&gt;"", VLOOKUP(A3988, imdb_netflix_v5!A$2:H$7370, 4, FALSE), "")</f>
        <v>7.4</v>
      </c>
      <c r="E3988" s="2">
        <f>IF(A3988&lt;&gt;"", VLOOKUP(A3988, imdb_netflix_v5!A$2:H$7370, 5, FALSE), "")</f>
        <v>2010</v>
      </c>
      <c r="F3988" s="2" t="str">
        <f>IF(A3988&lt;&gt;"", VLOOKUP(A3988, imdb_netflix_v5!A$2:H$7370, 7, FALSE), "")</f>
        <v>NA</v>
      </c>
    </row>
    <row r="3989" ht="15.75" customHeight="1">
      <c r="A3989" s="1" t="str">
        <f>IFERROR(__xludf.DUMMYFUNCTION("""COMPUTED_VALUE"""),"kaos")</f>
        <v>kaos</v>
      </c>
      <c r="B3989" s="1" t="str">
        <f>IF(A3989&lt;&gt;"", VLOOKUP(A3989, imdb_netflix_v5!A$2:H$7370, 2, FALSE), "")</f>
        <v>TV Show</v>
      </c>
      <c r="C3989" s="2" t="str">
        <f>IF(A3989&lt;&gt;"", VLOOKUP(A3989, imdb_netflix_v5!A$2:H$7370, 3, FALSE), "")</f>
        <v>Comedy, Drama, Fantasy</v>
      </c>
      <c r="D3989" s="2">
        <f>IF(A3989&lt;&gt;"", VLOOKUP(A3989, imdb_netflix_v5!A$2:H$7370, 4, FALSE), "")</f>
        <v>7.4</v>
      </c>
      <c r="E3989" s="2">
        <f>IF(A3989&lt;&gt;"", VLOOKUP(A3989, imdb_netflix_v5!A$2:H$7370, 5, FALSE), "")</f>
        <v>2024</v>
      </c>
      <c r="F3989" s="2" t="str">
        <f>IF(A3989&lt;&gt;"", VLOOKUP(A3989, imdb_netflix_v5!A$2:H$7370, 7, FALSE), "")</f>
        <v>NA</v>
      </c>
    </row>
    <row r="3990" ht="15.75" customHeight="1">
      <c r="A3990" s="1" t="str">
        <f>IFERROR(__xludf.DUMMYFUNCTION("""COMPUTED_VALUE"""),"the cosby show")</f>
        <v>the cosby show</v>
      </c>
      <c r="B3990" s="1" t="str">
        <f>IF(A3990&lt;&gt;"", VLOOKUP(A3990, imdb_netflix_v5!A$2:H$7370, 2, FALSE), "")</f>
        <v>TV Show</v>
      </c>
      <c r="C3990" s="2" t="str">
        <f>IF(A3990&lt;&gt;"", VLOOKUP(A3990, imdb_netflix_v5!A$2:H$7370, 3, FALSE), "")</f>
        <v>Comedy, Family, Romance</v>
      </c>
      <c r="D3990" s="2">
        <f>IF(A3990&lt;&gt;"", VLOOKUP(A3990, imdb_netflix_v5!A$2:H$7370, 4, FALSE), "")</f>
        <v>7.4</v>
      </c>
      <c r="E3990" s="2">
        <f>IF(A3990&lt;&gt;"", VLOOKUP(A3990, imdb_netflix_v5!A$2:H$7370, 5, FALSE), "")</f>
        <v>1984</v>
      </c>
      <c r="F3990" s="2" t="str">
        <f>IF(A3990&lt;&gt;"", VLOOKUP(A3990, imdb_netflix_v5!A$2:H$7370, 7, FALSE), "")</f>
        <v>NA</v>
      </c>
    </row>
    <row r="3991" ht="15.75" customHeight="1">
      <c r="A3991" s="1" t="str">
        <f>IFERROR(__xludf.DUMMYFUNCTION("""COMPUTED_VALUE"""),"the sweet hereafter")</f>
        <v>the sweet hereafter</v>
      </c>
      <c r="B3991" s="1" t="str">
        <f>IF(A3991&lt;&gt;"", VLOOKUP(A3991, imdb_netflix_v5!A$2:H$7370, 2, FALSE), "")</f>
        <v>Movie</v>
      </c>
      <c r="C3991" s="2" t="str">
        <f>IF(A3991&lt;&gt;"", VLOOKUP(A3991, imdb_netflix_v5!A$2:H$7370, 3, FALSE), "")</f>
        <v>Drama</v>
      </c>
      <c r="D3991" s="2">
        <f>IF(A3991&lt;&gt;"", VLOOKUP(A3991, imdb_netflix_v5!A$2:H$7370, 4, FALSE), "")</f>
        <v>7.4</v>
      </c>
      <c r="E3991" s="2">
        <f>IF(A3991&lt;&gt;"", VLOOKUP(A3991, imdb_netflix_v5!A$2:H$7370, 5, FALSE), "")</f>
        <v>1997</v>
      </c>
      <c r="F3991" s="2" t="str">
        <f>IF(A3991&lt;&gt;"", VLOOKUP(A3991, imdb_netflix_v5!A$2:H$7370, 7, FALSE), "")</f>
        <v>NA</v>
      </c>
    </row>
    <row r="3992" ht="15.75" customHeight="1">
      <c r="A3992" s="1" t="str">
        <f>IFERROR(__xludf.DUMMYFUNCTION("""COMPUTED_VALUE"""),"radio days")</f>
        <v>radio days</v>
      </c>
      <c r="B3992" s="1" t="str">
        <f>IF(A3992&lt;&gt;"", VLOOKUP(A3992, imdb_netflix_v5!A$2:H$7370, 2, FALSE), "")</f>
        <v>Movie</v>
      </c>
      <c r="C3992" s="2" t="str">
        <f>IF(A3992&lt;&gt;"", VLOOKUP(A3992, imdb_netflix_v5!A$2:H$7370, 3, FALSE), "")</f>
        <v>Comedy</v>
      </c>
      <c r="D3992" s="2">
        <f>IF(A3992&lt;&gt;"", VLOOKUP(A3992, imdb_netflix_v5!A$2:H$7370, 4, FALSE), "")</f>
        <v>7.4</v>
      </c>
      <c r="E3992" s="2">
        <f>IF(A3992&lt;&gt;"", VLOOKUP(A3992, imdb_netflix_v5!A$2:H$7370, 5, FALSE), "")</f>
        <v>1987</v>
      </c>
      <c r="F3992" s="2" t="str">
        <f>IF(A3992&lt;&gt;"", VLOOKUP(A3992, imdb_netflix_v5!A$2:H$7370, 7, FALSE), "")</f>
        <v>NA</v>
      </c>
    </row>
    <row r="3993" ht="15.75" customHeight="1">
      <c r="A3993" s="1" t="str">
        <f>IFERROR(__xludf.DUMMYFUNCTION("""COMPUTED_VALUE"""),"contempt")</f>
        <v>contempt</v>
      </c>
      <c r="B3993" s="1" t="str">
        <f>IF(A3993&lt;&gt;"", VLOOKUP(A3993, imdb_netflix_v5!A$2:H$7370, 2, FALSE), "")</f>
        <v>Movie</v>
      </c>
      <c r="C3993" s="2" t="str">
        <f>IF(A3993&lt;&gt;"", VLOOKUP(A3993, imdb_netflix_v5!A$2:H$7370, 3, FALSE), "")</f>
        <v>Drama, Romance</v>
      </c>
      <c r="D3993" s="2">
        <f>IF(A3993&lt;&gt;"", VLOOKUP(A3993, imdb_netflix_v5!A$2:H$7370, 4, FALSE), "")</f>
        <v>7.4</v>
      </c>
      <c r="E3993" s="2">
        <f>IF(A3993&lt;&gt;"", VLOOKUP(A3993, imdb_netflix_v5!A$2:H$7370, 5, FALSE), "")</f>
        <v>1963</v>
      </c>
      <c r="F3993" s="2" t="str">
        <f>IF(A3993&lt;&gt;"", VLOOKUP(A3993, imdb_netflix_v5!A$2:H$7370, 7, FALSE), "")</f>
        <v>NA</v>
      </c>
    </row>
    <row r="3994" ht="15.75" customHeight="1">
      <c r="A3994" s="1" t="str">
        <f>IFERROR(__xludf.DUMMYFUNCTION("""COMPUTED_VALUE"""),"howards end")</f>
        <v>howards end</v>
      </c>
      <c r="B3994" s="1" t="str">
        <f>IF(A3994&lt;&gt;"", VLOOKUP(A3994, imdb_netflix_v5!A$2:H$7370, 2, FALSE), "")</f>
        <v>Movie</v>
      </c>
      <c r="C3994" s="2" t="str">
        <f>IF(A3994&lt;&gt;"", VLOOKUP(A3994, imdb_netflix_v5!A$2:H$7370, 3, FALSE), "")</f>
        <v>Drama, Romance</v>
      </c>
      <c r="D3994" s="2">
        <f>IF(A3994&lt;&gt;"", VLOOKUP(A3994, imdb_netflix_v5!A$2:H$7370, 4, FALSE), "")</f>
        <v>7.4</v>
      </c>
      <c r="E3994" s="2">
        <f>IF(A3994&lt;&gt;"", VLOOKUP(A3994, imdb_netflix_v5!A$2:H$7370, 5, FALSE), "")</f>
        <v>1992</v>
      </c>
      <c r="F3994" s="2" t="str">
        <f>IF(A3994&lt;&gt;"", VLOOKUP(A3994, imdb_netflix_v5!A$2:H$7370, 7, FALSE), "")</f>
        <v>NA</v>
      </c>
    </row>
    <row r="3995" ht="15.75" customHeight="1">
      <c r="A3995" s="1" t="str">
        <f>IFERROR(__xludf.DUMMYFUNCTION("""COMPUTED_VALUE"""),"rules of engagement")</f>
        <v>rules of engagement</v>
      </c>
      <c r="B3995" s="1" t="str">
        <f>IF(A3995&lt;&gt;"", VLOOKUP(A3995, imdb_netflix_v5!A$2:H$7370, 2, FALSE), "")</f>
        <v>TV Show</v>
      </c>
      <c r="C3995" s="2" t="str">
        <f>IF(A3995&lt;&gt;"", VLOOKUP(A3995, imdb_netflix_v5!A$2:H$7370, 3, FALSE), "")</f>
        <v>Comedy, Romance</v>
      </c>
      <c r="D3995" s="2">
        <f>IF(A3995&lt;&gt;"", VLOOKUP(A3995, imdb_netflix_v5!A$2:H$7370, 4, FALSE), "")</f>
        <v>7.4</v>
      </c>
      <c r="E3995" s="2">
        <f>IF(A3995&lt;&gt;"", VLOOKUP(A3995, imdb_netflix_v5!A$2:H$7370, 5, FALSE), "")</f>
        <v>2007</v>
      </c>
      <c r="F3995" s="2" t="str">
        <f>IF(A3995&lt;&gt;"", VLOOKUP(A3995, imdb_netflix_v5!A$2:H$7370, 7, FALSE), "")</f>
        <v>NA</v>
      </c>
    </row>
    <row r="3996" ht="15.75" customHeight="1">
      <c r="A3996" s="1" t="str">
        <f>IFERROR(__xludf.DUMMYFUNCTION("""COMPUTED_VALUE"""),"maria full of grace")</f>
        <v>maria full of grace</v>
      </c>
      <c r="B3996" s="1" t="str">
        <f>IF(A3996&lt;&gt;"", VLOOKUP(A3996, imdb_netflix_v5!A$2:H$7370, 2, FALSE), "")</f>
        <v>Movie</v>
      </c>
      <c r="C3996" s="2" t="str">
        <f>IF(A3996&lt;&gt;"", VLOOKUP(A3996, imdb_netflix_v5!A$2:H$7370, 3, FALSE), "")</f>
        <v>Crime, Drama</v>
      </c>
      <c r="D3996" s="2">
        <f>IF(A3996&lt;&gt;"", VLOOKUP(A3996, imdb_netflix_v5!A$2:H$7370, 4, FALSE), "")</f>
        <v>7.4</v>
      </c>
      <c r="E3996" s="2">
        <f>IF(A3996&lt;&gt;"", VLOOKUP(A3996, imdb_netflix_v5!A$2:H$7370, 5, FALSE), "")</f>
        <v>2004</v>
      </c>
      <c r="F3996" s="2" t="str">
        <f>IF(A3996&lt;&gt;"", VLOOKUP(A3996, imdb_netflix_v5!A$2:H$7370, 7, FALSE), "")</f>
        <v>NA</v>
      </c>
    </row>
    <row r="3997" ht="15.75" customHeight="1">
      <c r="A3997" s="1" t="str">
        <f>IFERROR(__xludf.DUMMYFUNCTION("""COMPUTED_VALUE"""),"magic carpet ride")</f>
        <v>magic carpet ride</v>
      </c>
      <c r="B3997" s="1" t="str">
        <f>IF(A3997&lt;&gt;"", VLOOKUP(A3997, imdb_netflix_v5!A$2:H$7370, 2, FALSE), "")</f>
        <v>Movie</v>
      </c>
      <c r="C3997" s="2" t="str">
        <f>IF(A3997&lt;&gt;"", VLOOKUP(A3997, imdb_netflix_v5!A$2:H$7370, 3, FALSE), "")</f>
        <v>Comedy, Crime</v>
      </c>
      <c r="D3997" s="2">
        <f>IF(A3997&lt;&gt;"", VLOOKUP(A3997, imdb_netflix_v5!A$2:H$7370, 4, FALSE), "")</f>
        <v>7.4</v>
      </c>
      <c r="E3997" s="2">
        <f>IF(A3997&lt;&gt;"", VLOOKUP(A3997, imdb_netflix_v5!A$2:H$7370, 5, FALSE), "")</f>
        <v>2005</v>
      </c>
      <c r="F3997" s="2" t="str">
        <f>IF(A3997&lt;&gt;"", VLOOKUP(A3997, imdb_netflix_v5!A$2:H$7370, 7, FALSE), "")</f>
        <v>NA</v>
      </c>
    </row>
    <row r="3998" ht="15.75" customHeight="1">
      <c r="A3998" s="1" t="str">
        <f>IFERROR(__xludf.DUMMYFUNCTION("""COMPUTED_VALUE"""),"conclave")</f>
        <v>conclave</v>
      </c>
      <c r="B3998" s="1" t="str">
        <f>IF(A3998&lt;&gt;"", VLOOKUP(A3998, imdb_netflix_v5!A$2:H$7370, 2, FALSE), "")</f>
        <v>Movie</v>
      </c>
      <c r="C3998" s="2" t="str">
        <f>IF(A3998&lt;&gt;"", VLOOKUP(A3998, imdb_netflix_v5!A$2:H$7370, 3, FALSE), "")</f>
        <v>Drama, Thriller</v>
      </c>
      <c r="D3998" s="2">
        <f>IF(A3998&lt;&gt;"", VLOOKUP(A3998, imdb_netflix_v5!A$2:H$7370, 4, FALSE), "")</f>
        <v>7.4</v>
      </c>
      <c r="E3998" s="2">
        <f>IF(A3998&lt;&gt;"", VLOOKUP(A3998, imdb_netflix_v5!A$2:H$7370, 5, FALSE), "")</f>
        <v>2024</v>
      </c>
      <c r="F3998" s="2" t="str">
        <f>IF(A3998&lt;&gt;"", VLOOKUP(A3998, imdb_netflix_v5!A$2:H$7370, 7, FALSE), "")</f>
        <v>NA</v>
      </c>
    </row>
    <row r="3999" ht="15.75" customHeight="1">
      <c r="A3999" s="1" t="str">
        <f>IFERROR(__xludf.DUMMYFUNCTION("""COMPUTED_VALUE"""),"sugar")</f>
        <v>sugar</v>
      </c>
      <c r="B3999" s="1" t="str">
        <f>IF(A3999&lt;&gt;"", VLOOKUP(A3999, imdb_netflix_v5!A$2:H$7370, 2, FALSE), "")</f>
        <v>TV Show</v>
      </c>
      <c r="C3999" s="2" t="str">
        <f>IF(A3999&lt;&gt;"", VLOOKUP(A3999, imdb_netflix_v5!A$2:H$7370, 3, FALSE), "")</f>
        <v>Crime, Drama, Mystery</v>
      </c>
      <c r="D3999" s="2">
        <f>IF(A3999&lt;&gt;"", VLOOKUP(A3999, imdb_netflix_v5!A$2:H$7370, 4, FALSE), "")</f>
        <v>7.4</v>
      </c>
      <c r="E3999" s="2">
        <f>IF(A3999&lt;&gt;"", VLOOKUP(A3999, imdb_netflix_v5!A$2:H$7370, 5, FALSE), "")</f>
        <v>2024</v>
      </c>
      <c r="F3999" s="2" t="str">
        <f>IF(A3999&lt;&gt;"", VLOOKUP(A3999, imdb_netflix_v5!A$2:H$7370, 7, FALSE), "")</f>
        <v>NA</v>
      </c>
    </row>
    <row r="4000" ht="15.75" customHeight="1">
      <c r="A4000" s="1" t="str">
        <f>IFERROR(__xludf.DUMMYFUNCTION("""COMPUTED_VALUE"""),"dark angel")</f>
        <v>dark angel</v>
      </c>
      <c r="B4000" s="1" t="str">
        <f>IF(A4000&lt;&gt;"", VLOOKUP(A4000, imdb_netflix_v5!A$2:H$7370, 2, FALSE), "")</f>
        <v>TV Show</v>
      </c>
      <c r="C4000" s="2" t="str">
        <f>IF(A4000&lt;&gt;"", VLOOKUP(A4000, imdb_netflix_v5!A$2:H$7370, 3, FALSE), "")</f>
        <v>Action, Drama, Mystery</v>
      </c>
      <c r="D4000" s="2">
        <f>IF(A4000&lt;&gt;"", VLOOKUP(A4000, imdb_netflix_v5!A$2:H$7370, 4, FALSE), "")</f>
        <v>7.4</v>
      </c>
      <c r="E4000" s="2">
        <f>IF(A4000&lt;&gt;"", VLOOKUP(A4000, imdb_netflix_v5!A$2:H$7370, 5, FALSE), "")</f>
        <v>2000</v>
      </c>
      <c r="F4000" s="2" t="str">
        <f>IF(A4000&lt;&gt;"", VLOOKUP(A4000, imdb_netflix_v5!A$2:H$7370, 7, FALSE), "")</f>
        <v>NA</v>
      </c>
    </row>
    <row r="4001" ht="15.75" customHeight="1">
      <c r="A4001" s="1" t="str">
        <f>IFERROR(__xludf.DUMMYFUNCTION("""COMPUTED_VALUE"""),"the greatest game ever played")</f>
        <v>the greatest game ever played</v>
      </c>
      <c r="B4001" s="1" t="str">
        <f>IF(A4001&lt;&gt;"", VLOOKUP(A4001, imdb_netflix_v5!A$2:H$7370, 2, FALSE), "")</f>
        <v>Movie</v>
      </c>
      <c r="C4001" s="2" t="str">
        <f>IF(A4001&lt;&gt;"", VLOOKUP(A4001, imdb_netflix_v5!A$2:H$7370, 3, FALSE), "")</f>
        <v>Biography, Drama, Sport</v>
      </c>
      <c r="D4001" s="2">
        <f>IF(A4001&lt;&gt;"", VLOOKUP(A4001, imdb_netflix_v5!A$2:H$7370, 4, FALSE), "")</f>
        <v>7.4</v>
      </c>
      <c r="E4001" s="2">
        <f>IF(A4001&lt;&gt;"", VLOOKUP(A4001, imdb_netflix_v5!A$2:H$7370, 5, FALSE), "")</f>
        <v>2005</v>
      </c>
      <c r="F4001" s="2" t="str">
        <f>IF(A4001&lt;&gt;"", VLOOKUP(A4001, imdb_netflix_v5!A$2:H$7370, 7, FALSE), "")</f>
        <v>NA</v>
      </c>
    </row>
    <row r="4002" ht="15.75" customHeight="1">
      <c r="A4002" s="1" t="str">
        <f>IFERROR(__xludf.DUMMYFUNCTION("""COMPUTED_VALUE"""),"the china syndrome")</f>
        <v>the china syndrome</v>
      </c>
      <c r="B4002" s="1" t="str">
        <f>IF(A4002&lt;&gt;"", VLOOKUP(A4002, imdb_netflix_v5!A$2:H$7370, 2, FALSE), "")</f>
        <v>Movie</v>
      </c>
      <c r="C4002" s="2" t="str">
        <f>IF(A4002&lt;&gt;"", VLOOKUP(A4002, imdb_netflix_v5!A$2:H$7370, 3, FALSE), "")</f>
        <v>Drama, Thriller</v>
      </c>
      <c r="D4002" s="2">
        <f>IF(A4002&lt;&gt;"", VLOOKUP(A4002, imdb_netflix_v5!A$2:H$7370, 4, FALSE), "")</f>
        <v>7.4</v>
      </c>
      <c r="E4002" s="2">
        <f>IF(A4002&lt;&gt;"", VLOOKUP(A4002, imdb_netflix_v5!A$2:H$7370, 5, FALSE), "")</f>
        <v>1979</v>
      </c>
      <c r="F4002" s="2" t="str">
        <f>IF(A4002&lt;&gt;"", VLOOKUP(A4002, imdb_netflix_v5!A$2:H$7370, 7, FALSE), "")</f>
        <v>NA</v>
      </c>
    </row>
    <row r="4003" ht="15.75" customHeight="1">
      <c r="A4003" s="1" t="str">
        <f>IFERROR(__xludf.DUMMYFUNCTION("""COMPUTED_VALUE"""),"slc punk!")</f>
        <v>slc punk!</v>
      </c>
      <c r="B4003" s="1" t="str">
        <f>IF(A4003&lt;&gt;"", VLOOKUP(A4003, imdb_netflix_v5!A$2:H$7370, 2, FALSE), "")</f>
        <v>Movie</v>
      </c>
      <c r="C4003" s="2" t="str">
        <f>IF(A4003&lt;&gt;"", VLOOKUP(A4003, imdb_netflix_v5!A$2:H$7370, 3, FALSE), "")</f>
        <v>Comedy, Drama, Music</v>
      </c>
      <c r="D4003" s="2">
        <f>IF(A4003&lt;&gt;"", VLOOKUP(A4003, imdb_netflix_v5!A$2:H$7370, 4, FALSE), "")</f>
        <v>7.4</v>
      </c>
      <c r="E4003" s="2">
        <f>IF(A4003&lt;&gt;"", VLOOKUP(A4003, imdb_netflix_v5!A$2:H$7370, 5, FALSE), "")</f>
        <v>1998</v>
      </c>
      <c r="F4003" s="2" t="str">
        <f>IF(A4003&lt;&gt;"", VLOOKUP(A4003, imdb_netflix_v5!A$2:H$7370, 7, FALSE), "")</f>
        <v>NA</v>
      </c>
    </row>
    <row r="4004" ht="15.75" customHeight="1">
      <c r="A4004" s="1" t="str">
        <f>IFERROR(__xludf.DUMMYFUNCTION("""COMPUTED_VALUE"""),"an affair to remember")</f>
        <v>an affair to remember</v>
      </c>
      <c r="B4004" s="1" t="str">
        <f>IF(A4004&lt;&gt;"", VLOOKUP(A4004, imdb_netflix_v5!A$2:H$7370, 2, FALSE), "")</f>
        <v>Movie</v>
      </c>
      <c r="C4004" s="2" t="str">
        <f>IF(A4004&lt;&gt;"", VLOOKUP(A4004, imdb_netflix_v5!A$2:H$7370, 3, FALSE), "")</f>
        <v>Drama, Romance</v>
      </c>
      <c r="D4004" s="2">
        <f>IF(A4004&lt;&gt;"", VLOOKUP(A4004, imdb_netflix_v5!A$2:H$7370, 4, FALSE), "")</f>
        <v>7.4</v>
      </c>
      <c r="E4004" s="2">
        <f>IF(A4004&lt;&gt;"", VLOOKUP(A4004, imdb_netflix_v5!A$2:H$7370, 5, FALSE), "")</f>
        <v>1957</v>
      </c>
      <c r="F4004" s="2" t="str">
        <f>IF(A4004&lt;&gt;"", VLOOKUP(A4004, imdb_netflix_v5!A$2:H$7370, 7, FALSE), "")</f>
        <v>NA</v>
      </c>
    </row>
    <row r="4005" ht="15.75" customHeight="1">
      <c r="A4005" s="1" t="str">
        <f>IFERROR(__xludf.DUMMYFUNCTION("""COMPUTED_VALUE"""),"tamasha")</f>
        <v>tamasha</v>
      </c>
      <c r="B4005" s="1" t="str">
        <f>IF(A4005&lt;&gt;"", VLOOKUP(A4005, imdb_netflix_v5!A$2:H$7370, 2, FALSE), "")</f>
        <v>Movie</v>
      </c>
      <c r="C4005" s="2" t="str">
        <f>IF(A4005&lt;&gt;"", VLOOKUP(A4005, imdb_netflix_v5!A$2:H$7370, 3, FALSE), "")</f>
        <v>Comedy, Drama, Romance</v>
      </c>
      <c r="D4005" s="2">
        <f>IF(A4005&lt;&gt;"", VLOOKUP(A4005, imdb_netflix_v5!A$2:H$7370, 4, FALSE), "")</f>
        <v>7.4</v>
      </c>
      <c r="E4005" s="2">
        <f>IF(A4005&lt;&gt;"", VLOOKUP(A4005, imdb_netflix_v5!A$2:H$7370, 5, FALSE), "")</f>
        <v>2015</v>
      </c>
      <c r="F4005" s="2" t="str">
        <f>IF(A4005&lt;&gt;"", VLOOKUP(A4005, imdb_netflix_v5!A$2:H$7370, 7, FALSE), "")</f>
        <v>NA</v>
      </c>
    </row>
    <row r="4006" ht="15.75" customHeight="1">
      <c r="A4006" s="1" t="str">
        <f>IFERROR(__xludf.DUMMYFUNCTION("""COMPUTED_VALUE"""),"lone star")</f>
        <v>lone star</v>
      </c>
      <c r="B4006" s="1" t="str">
        <f>IF(A4006&lt;&gt;"", VLOOKUP(A4006, imdb_netflix_v5!A$2:H$7370, 2, FALSE), "")</f>
        <v>Movie</v>
      </c>
      <c r="C4006" s="2" t="str">
        <f>IF(A4006&lt;&gt;"", VLOOKUP(A4006, imdb_netflix_v5!A$2:H$7370, 3, FALSE), "")</f>
        <v>Drama, Mystery, Western</v>
      </c>
      <c r="D4006" s="2">
        <f>IF(A4006&lt;&gt;"", VLOOKUP(A4006, imdb_netflix_v5!A$2:H$7370, 4, FALSE), "")</f>
        <v>7.4</v>
      </c>
      <c r="E4006" s="2">
        <f>IF(A4006&lt;&gt;"", VLOOKUP(A4006, imdb_netflix_v5!A$2:H$7370, 5, FALSE), "")</f>
        <v>1996</v>
      </c>
      <c r="F4006" s="2" t="str">
        <f>IF(A4006&lt;&gt;"", VLOOKUP(A4006, imdb_netflix_v5!A$2:H$7370, 7, FALSE), "")</f>
        <v>NA</v>
      </c>
    </row>
    <row r="4007" ht="15.75" customHeight="1">
      <c r="A4007" s="1" t="str">
        <f>IFERROR(__xludf.DUMMYFUNCTION("""COMPUTED_VALUE"""),"blindspotting")</f>
        <v>blindspotting</v>
      </c>
      <c r="B4007" s="1" t="str">
        <f>IF(A4007&lt;&gt;"", VLOOKUP(A4007, imdb_netflix_v5!A$2:H$7370, 2, FALSE), "")</f>
        <v>Movie</v>
      </c>
      <c r="C4007" s="2" t="str">
        <f>IF(A4007&lt;&gt;"", VLOOKUP(A4007, imdb_netflix_v5!A$2:H$7370, 3, FALSE), "")</f>
        <v>Comedy, Crime, Drama</v>
      </c>
      <c r="D4007" s="2">
        <f>IF(A4007&lt;&gt;"", VLOOKUP(A4007, imdb_netflix_v5!A$2:H$7370, 4, FALSE), "")</f>
        <v>7.4</v>
      </c>
      <c r="E4007" s="2">
        <f>IF(A4007&lt;&gt;"", VLOOKUP(A4007, imdb_netflix_v5!A$2:H$7370, 5, FALSE), "")</f>
        <v>2018</v>
      </c>
      <c r="F4007" s="2" t="str">
        <f>IF(A4007&lt;&gt;"", VLOOKUP(A4007, imdb_netflix_v5!A$2:H$7370, 7, FALSE), "")</f>
        <v>NA</v>
      </c>
    </row>
    <row r="4008" ht="15.75" customHeight="1">
      <c r="A4008" s="1" t="str">
        <f>IFERROR(__xludf.DUMMYFUNCTION("""COMPUTED_VALUE"""),"downton abbey a new era")</f>
        <v>downton abbey a new era</v>
      </c>
      <c r="B4008" s="1" t="str">
        <f>IF(A4008&lt;&gt;"", VLOOKUP(A4008, imdb_netflix_v5!A$2:H$7370, 2, FALSE), "")</f>
        <v>Movie</v>
      </c>
      <c r="C4008" s="2" t="str">
        <f>IF(A4008&lt;&gt;"", VLOOKUP(A4008, imdb_netflix_v5!A$2:H$7370, 3, FALSE), "")</f>
        <v>Drama, Romance</v>
      </c>
      <c r="D4008" s="2">
        <f>IF(A4008&lt;&gt;"", VLOOKUP(A4008, imdb_netflix_v5!A$2:H$7370, 4, FALSE), "")</f>
        <v>7.4</v>
      </c>
      <c r="E4008" s="2">
        <f>IF(A4008&lt;&gt;"", VLOOKUP(A4008, imdb_netflix_v5!A$2:H$7370, 5, FALSE), "")</f>
        <v>2022</v>
      </c>
      <c r="F4008" s="2" t="str">
        <f>IF(A4008&lt;&gt;"", VLOOKUP(A4008, imdb_netflix_v5!A$2:H$7370, 7, FALSE), "")</f>
        <v>NA</v>
      </c>
    </row>
    <row r="4009" ht="15.75" customHeight="1">
      <c r="A4009" s="1" t="str">
        <f>IFERROR(__xludf.DUMMYFUNCTION("""COMPUTED_VALUE"""),"the edukators")</f>
        <v>the edukators</v>
      </c>
      <c r="B4009" s="1" t="str">
        <f>IF(A4009&lt;&gt;"", VLOOKUP(A4009, imdb_netflix_v5!A$2:H$7370, 2, FALSE), "")</f>
        <v>Movie</v>
      </c>
      <c r="C4009" s="2" t="str">
        <f>IF(A4009&lt;&gt;"", VLOOKUP(A4009, imdb_netflix_v5!A$2:H$7370, 3, FALSE), "")</f>
        <v>Drama, Romance</v>
      </c>
      <c r="D4009" s="2">
        <f>IF(A4009&lt;&gt;"", VLOOKUP(A4009, imdb_netflix_v5!A$2:H$7370, 4, FALSE), "")</f>
        <v>7.4</v>
      </c>
      <c r="E4009" s="2">
        <f>IF(A4009&lt;&gt;"", VLOOKUP(A4009, imdb_netflix_v5!A$2:H$7370, 5, FALSE), "")</f>
        <v>2004</v>
      </c>
      <c r="F4009" s="2" t="str">
        <f>IF(A4009&lt;&gt;"", VLOOKUP(A4009, imdb_netflix_v5!A$2:H$7370, 7, FALSE), "")</f>
        <v>NA</v>
      </c>
    </row>
    <row r="4010" ht="15.75" customHeight="1">
      <c r="A4010" s="1" t="str">
        <f>IFERROR(__xludf.DUMMYFUNCTION("""COMPUTED_VALUE"""),"the wrong man")</f>
        <v>the wrong man</v>
      </c>
      <c r="B4010" s="1" t="str">
        <f>IF(A4010&lt;&gt;"", VLOOKUP(A4010, imdb_netflix_v5!A$2:H$7370, 2, FALSE), "")</f>
        <v>Movie</v>
      </c>
      <c r="C4010" s="2" t="str">
        <f>IF(A4010&lt;&gt;"", VLOOKUP(A4010, imdb_netflix_v5!A$2:H$7370, 3, FALSE), "")</f>
        <v>Drama, Film-Noir</v>
      </c>
      <c r="D4010" s="2">
        <f>IF(A4010&lt;&gt;"", VLOOKUP(A4010, imdb_netflix_v5!A$2:H$7370, 4, FALSE), "")</f>
        <v>7.4</v>
      </c>
      <c r="E4010" s="2">
        <f>IF(A4010&lt;&gt;"", VLOOKUP(A4010, imdb_netflix_v5!A$2:H$7370, 5, FALSE), "")</f>
        <v>1956</v>
      </c>
      <c r="F4010" s="2" t="str">
        <f>IF(A4010&lt;&gt;"", VLOOKUP(A4010, imdb_netflix_v5!A$2:H$7370, 7, FALSE), "")</f>
        <v>NA</v>
      </c>
    </row>
    <row r="4011" ht="15.75" customHeight="1">
      <c r="A4011" s="1" t="str">
        <f>IFERROR(__xludf.DUMMYFUNCTION("""COMPUTED_VALUE"""),"summer wars")</f>
        <v>summer wars</v>
      </c>
      <c r="B4011" s="1" t="str">
        <f>IF(A4011&lt;&gt;"", VLOOKUP(A4011, imdb_netflix_v5!A$2:H$7370, 2, FALSE), "")</f>
        <v>Movie</v>
      </c>
      <c r="C4011" s="2" t="str">
        <f>IF(A4011&lt;&gt;"", VLOOKUP(A4011, imdb_netflix_v5!A$2:H$7370, 3, FALSE), "")</f>
        <v>Action, Adventure, Animation</v>
      </c>
      <c r="D4011" s="2">
        <f>IF(A4011&lt;&gt;"", VLOOKUP(A4011, imdb_netflix_v5!A$2:H$7370, 4, FALSE), "")</f>
        <v>7.4</v>
      </c>
      <c r="E4011" s="2">
        <f>IF(A4011&lt;&gt;"", VLOOKUP(A4011, imdb_netflix_v5!A$2:H$7370, 5, FALSE), "")</f>
        <v>2009</v>
      </c>
      <c r="F4011" s="2" t="str">
        <f>IF(A4011&lt;&gt;"", VLOOKUP(A4011, imdb_netflix_v5!A$2:H$7370, 7, FALSE), "")</f>
        <v>NA</v>
      </c>
    </row>
    <row r="4012" ht="15.75" customHeight="1">
      <c r="A4012" s="1" t="str">
        <f>IFERROR(__xludf.DUMMYFUNCTION("""COMPUTED_VALUE"""),"painkiller")</f>
        <v>painkiller</v>
      </c>
      <c r="B4012" s="1" t="str">
        <f>IF(A4012&lt;&gt;"", VLOOKUP(A4012, imdb_netflix_v5!A$2:H$7370, 2, FALSE), "")</f>
        <v>TV Show</v>
      </c>
      <c r="C4012" s="2" t="str">
        <f>IF(A4012&lt;&gt;"", VLOOKUP(A4012, imdb_netflix_v5!A$2:H$7370, 3, FALSE), "")</f>
        <v>Crime, Drama</v>
      </c>
      <c r="D4012" s="2">
        <f>IF(A4012&lt;&gt;"", VLOOKUP(A4012, imdb_netflix_v5!A$2:H$7370, 4, FALSE), "")</f>
        <v>7.4</v>
      </c>
      <c r="E4012" s="2">
        <f>IF(A4012&lt;&gt;"", VLOOKUP(A4012, imdb_netflix_v5!A$2:H$7370, 5, FALSE), "")</f>
        <v>2023</v>
      </c>
      <c r="F4012" s="2">
        <f>IF(A4012&lt;&gt;"", VLOOKUP(A4012, imdb_netflix_v5!A$2:H$7370, 7, FALSE), "")</f>
        <v>10100000</v>
      </c>
    </row>
    <row r="4013" ht="15.75" customHeight="1">
      <c r="A4013" s="1" t="str">
        <f>IFERROR(__xludf.DUMMYFUNCTION("""COMPUTED_VALUE"""),"i killed my mother")</f>
        <v>i killed my mother</v>
      </c>
      <c r="B4013" s="1" t="str">
        <f>IF(A4013&lt;&gt;"", VLOOKUP(A4013, imdb_netflix_v5!A$2:H$7370, 2, FALSE), "")</f>
        <v>Movie</v>
      </c>
      <c r="C4013" s="2" t="str">
        <f>IF(A4013&lt;&gt;"", VLOOKUP(A4013, imdb_netflix_v5!A$2:H$7370, 3, FALSE), "")</f>
        <v>Drama, Romance</v>
      </c>
      <c r="D4013" s="2">
        <f>IF(A4013&lt;&gt;"", VLOOKUP(A4013, imdb_netflix_v5!A$2:H$7370, 4, FALSE), "")</f>
        <v>7.4</v>
      </c>
      <c r="E4013" s="2">
        <f>IF(A4013&lt;&gt;"", VLOOKUP(A4013, imdb_netflix_v5!A$2:H$7370, 5, FALSE), "")</f>
        <v>2009</v>
      </c>
      <c r="F4013" s="2" t="str">
        <f>IF(A4013&lt;&gt;"", VLOOKUP(A4013, imdb_netflix_v5!A$2:H$7370, 7, FALSE), "")</f>
        <v>NA</v>
      </c>
    </row>
    <row r="4014" ht="15.75" customHeight="1">
      <c r="A4014" s="1" t="str">
        <f>IFERROR(__xludf.DUMMYFUNCTION("""COMPUTED_VALUE"""),"never rarely sometimes always")</f>
        <v>never rarely sometimes always</v>
      </c>
      <c r="B4014" s="1" t="str">
        <f>IF(A4014&lt;&gt;"", VLOOKUP(A4014, imdb_netflix_v5!A$2:H$7370, 2, FALSE), "")</f>
        <v>Movie</v>
      </c>
      <c r="C4014" s="2" t="str">
        <f>IF(A4014&lt;&gt;"", VLOOKUP(A4014, imdb_netflix_v5!A$2:H$7370, 3, FALSE), "")</f>
        <v>Drama</v>
      </c>
      <c r="D4014" s="2">
        <f>IF(A4014&lt;&gt;"", VLOOKUP(A4014, imdb_netflix_v5!A$2:H$7370, 4, FALSE), "")</f>
        <v>7.4</v>
      </c>
      <c r="E4014" s="2">
        <f>IF(A4014&lt;&gt;"", VLOOKUP(A4014, imdb_netflix_v5!A$2:H$7370, 5, FALSE), "")</f>
        <v>2020</v>
      </c>
      <c r="F4014" s="2" t="str">
        <f>IF(A4014&lt;&gt;"", VLOOKUP(A4014, imdb_netflix_v5!A$2:H$7370, 7, FALSE), "")</f>
        <v>NA</v>
      </c>
    </row>
    <row r="4015" ht="15.75" customHeight="1">
      <c r="A4015" s="1" t="str">
        <f>IFERROR(__xludf.DUMMYFUNCTION("""COMPUTED_VALUE"""),"mesrine public enemy no. 1")</f>
        <v>mesrine public enemy no. 1</v>
      </c>
      <c r="B4015" s="1" t="str">
        <f>IF(A4015&lt;&gt;"", VLOOKUP(A4015, imdb_netflix_v5!A$2:H$7370, 2, FALSE), "")</f>
        <v>Movie</v>
      </c>
      <c r="C4015" s="2" t="str">
        <f>IF(A4015&lt;&gt;"", VLOOKUP(A4015, imdb_netflix_v5!A$2:H$7370, 3, FALSE), "")</f>
        <v>Action, Biography, Crime</v>
      </c>
      <c r="D4015" s="2">
        <f>IF(A4015&lt;&gt;"", VLOOKUP(A4015, imdb_netflix_v5!A$2:H$7370, 4, FALSE), "")</f>
        <v>7.4</v>
      </c>
      <c r="E4015" s="2">
        <f>IF(A4015&lt;&gt;"", VLOOKUP(A4015, imdb_netflix_v5!A$2:H$7370, 5, FALSE), "")</f>
        <v>2008</v>
      </c>
      <c r="F4015" s="2" t="str">
        <f>IF(A4015&lt;&gt;"", VLOOKUP(A4015, imdb_netflix_v5!A$2:H$7370, 7, FALSE), "")</f>
        <v>NA</v>
      </c>
    </row>
    <row r="4016" ht="15.75" customHeight="1">
      <c r="A4016" s="1" t="str">
        <f>IFERROR(__xludf.DUMMYFUNCTION("""COMPUTED_VALUE"""),"another year")</f>
        <v>another year</v>
      </c>
      <c r="B4016" s="1" t="str">
        <f>IF(A4016&lt;&gt;"", VLOOKUP(A4016, imdb_netflix_v5!A$2:H$7370, 2, FALSE), "")</f>
        <v>Movie</v>
      </c>
      <c r="C4016" s="2" t="str">
        <f>IF(A4016&lt;&gt;"", VLOOKUP(A4016, imdb_netflix_v5!A$2:H$7370, 3, FALSE), "")</f>
        <v>Comedy, Drama</v>
      </c>
      <c r="D4016" s="2">
        <f>IF(A4016&lt;&gt;"", VLOOKUP(A4016, imdb_netflix_v5!A$2:H$7370, 4, FALSE), "")</f>
        <v>7.4</v>
      </c>
      <c r="E4016" s="2">
        <f>IF(A4016&lt;&gt;"", VLOOKUP(A4016, imdb_netflix_v5!A$2:H$7370, 5, FALSE), "")</f>
        <v>2010</v>
      </c>
      <c r="F4016" s="2" t="str">
        <f>IF(A4016&lt;&gt;"", VLOOKUP(A4016, imdb_netflix_v5!A$2:H$7370, 7, FALSE), "")</f>
        <v>NA</v>
      </c>
    </row>
    <row r="4017" ht="15.75" customHeight="1">
      <c r="A4017" s="1" t="str">
        <f>IFERROR(__xludf.DUMMYFUNCTION("""COMPUTED_VALUE"""),"waiting for guffman")</f>
        <v>waiting for guffman</v>
      </c>
      <c r="B4017" s="1" t="str">
        <f>IF(A4017&lt;&gt;"", VLOOKUP(A4017, imdb_netflix_v5!A$2:H$7370, 2, FALSE), "")</f>
        <v>Movie</v>
      </c>
      <c r="C4017" s="2" t="str">
        <f>IF(A4017&lt;&gt;"", VLOOKUP(A4017, imdb_netflix_v5!A$2:H$7370, 3, FALSE), "")</f>
        <v>Comedy</v>
      </c>
      <c r="D4017" s="2">
        <f>IF(A4017&lt;&gt;"", VLOOKUP(A4017, imdb_netflix_v5!A$2:H$7370, 4, FALSE), "")</f>
        <v>7.4</v>
      </c>
      <c r="E4017" s="2">
        <f>IF(A4017&lt;&gt;"", VLOOKUP(A4017, imdb_netflix_v5!A$2:H$7370, 5, FALSE), "")</f>
        <v>1996</v>
      </c>
      <c r="F4017" s="2" t="str">
        <f>IF(A4017&lt;&gt;"", VLOOKUP(A4017, imdb_netflix_v5!A$2:H$7370, 7, FALSE), "")</f>
        <v>NA</v>
      </c>
    </row>
    <row r="4018" ht="15.75" customHeight="1">
      <c r="A4018" s="1" t="str">
        <f>IFERROR(__xludf.DUMMYFUNCTION("""COMPUTED_VALUE"""),"kyle xy")</f>
        <v>kyle xy</v>
      </c>
      <c r="B4018" s="1" t="str">
        <f>IF(A4018&lt;&gt;"", VLOOKUP(A4018, imdb_netflix_v5!A$2:H$7370, 2, FALSE), "")</f>
        <v>TV Show</v>
      </c>
      <c r="C4018" s="2" t="str">
        <f>IF(A4018&lt;&gt;"", VLOOKUP(A4018, imdb_netflix_v5!A$2:H$7370, 3, FALSE), "")</f>
        <v>Drama, Mystery, Romance</v>
      </c>
      <c r="D4018" s="2">
        <f>IF(A4018&lt;&gt;"", VLOOKUP(A4018, imdb_netflix_v5!A$2:H$7370, 4, FALSE), "")</f>
        <v>7.4</v>
      </c>
      <c r="E4018" s="2">
        <f>IF(A4018&lt;&gt;"", VLOOKUP(A4018, imdb_netflix_v5!A$2:H$7370, 5, FALSE), "")</f>
        <v>2006</v>
      </c>
      <c r="F4018" s="2" t="str">
        <f>IF(A4018&lt;&gt;"", VLOOKUP(A4018, imdb_netflix_v5!A$2:H$7370, 7, FALSE), "")</f>
        <v>NA</v>
      </c>
    </row>
    <row r="4019" ht="15.75" customHeight="1">
      <c r="A4019" s="1" t="str">
        <f>IFERROR(__xludf.DUMMYFUNCTION("""COMPUTED_VALUE"""),"kho gaye hum kahan")</f>
        <v>kho gaye hum kahan</v>
      </c>
      <c r="B4019" s="1" t="str">
        <f>IF(A4019&lt;&gt;"", VLOOKUP(A4019, imdb_netflix_v5!A$2:H$7370, 2, FALSE), "")</f>
        <v>Movie</v>
      </c>
      <c r="C4019" s="2" t="str">
        <f>IF(A4019&lt;&gt;"", VLOOKUP(A4019, imdb_netflix_v5!A$2:H$7370, 3, FALSE), "")</f>
        <v>Comedy, Drama, Romance</v>
      </c>
      <c r="D4019" s="2">
        <f>IF(A4019&lt;&gt;"", VLOOKUP(A4019, imdb_netflix_v5!A$2:H$7370, 4, FALSE), "")</f>
        <v>7.4</v>
      </c>
      <c r="E4019" s="2">
        <f>IF(A4019&lt;&gt;"", VLOOKUP(A4019, imdb_netflix_v5!A$2:H$7370, 5, FALSE), "")</f>
        <v>2023</v>
      </c>
      <c r="F4019" s="2" t="str">
        <f>IF(A4019&lt;&gt;"", VLOOKUP(A4019, imdb_netflix_v5!A$2:H$7370, 7, FALSE), "")</f>
        <v>NA</v>
      </c>
    </row>
    <row r="4020" ht="15.75" customHeight="1">
      <c r="A4020" s="1" t="str">
        <f>IFERROR(__xludf.DUMMYFUNCTION("""COMPUTED_VALUE"""),"rabbit-proof fence")</f>
        <v>rabbit-proof fence</v>
      </c>
      <c r="B4020" s="1" t="str">
        <f>IF(A4020&lt;&gt;"", VLOOKUP(A4020, imdb_netflix_v5!A$2:H$7370, 2, FALSE), "")</f>
        <v>Movie</v>
      </c>
      <c r="C4020" s="2" t="str">
        <f>IF(A4020&lt;&gt;"", VLOOKUP(A4020, imdb_netflix_v5!A$2:H$7370, 3, FALSE), "")</f>
        <v>Adventure, Biography, Drama</v>
      </c>
      <c r="D4020" s="2">
        <f>IF(A4020&lt;&gt;"", VLOOKUP(A4020, imdb_netflix_v5!A$2:H$7370, 4, FALSE), "")</f>
        <v>7.4</v>
      </c>
      <c r="E4020" s="2">
        <f>IF(A4020&lt;&gt;"", VLOOKUP(A4020, imdb_netflix_v5!A$2:H$7370, 5, FALSE), "")</f>
        <v>2002</v>
      </c>
      <c r="F4020" s="2" t="str">
        <f>IF(A4020&lt;&gt;"", VLOOKUP(A4020, imdb_netflix_v5!A$2:H$7370, 7, FALSE), "")</f>
        <v>NA</v>
      </c>
    </row>
    <row r="4021" ht="15.75" customHeight="1">
      <c r="A4021" s="1" t="str">
        <f>IFERROR(__xludf.DUMMYFUNCTION("""COMPUTED_VALUE"""),"the good lie")</f>
        <v>the good lie</v>
      </c>
      <c r="B4021" s="1" t="str">
        <f>IF(A4021&lt;&gt;"", VLOOKUP(A4021, imdb_netflix_v5!A$2:H$7370, 2, FALSE), "")</f>
        <v>Movie</v>
      </c>
      <c r="C4021" s="2" t="str">
        <f>IF(A4021&lt;&gt;"", VLOOKUP(A4021, imdb_netflix_v5!A$2:H$7370, 3, FALSE), "")</f>
        <v>Biography, Drama</v>
      </c>
      <c r="D4021" s="2">
        <f>IF(A4021&lt;&gt;"", VLOOKUP(A4021, imdb_netflix_v5!A$2:H$7370, 4, FALSE), "")</f>
        <v>7.4</v>
      </c>
      <c r="E4021" s="2">
        <f>IF(A4021&lt;&gt;"", VLOOKUP(A4021, imdb_netflix_v5!A$2:H$7370, 5, FALSE), "")</f>
        <v>2014</v>
      </c>
      <c r="F4021" s="2" t="str">
        <f>IF(A4021&lt;&gt;"", VLOOKUP(A4021, imdb_netflix_v5!A$2:H$7370, 7, FALSE), "")</f>
        <v>NA</v>
      </c>
    </row>
    <row r="4022" ht="15.75" customHeight="1">
      <c r="A4022" s="1" t="str">
        <f>IFERROR(__xludf.DUMMYFUNCTION("""COMPUTED_VALUE"""),"las vegas")</f>
        <v>las vegas</v>
      </c>
      <c r="B4022" s="1" t="str">
        <f>IF(A4022&lt;&gt;"", VLOOKUP(A4022, imdb_netflix_v5!A$2:H$7370, 2, FALSE), "")</f>
        <v>TV Show</v>
      </c>
      <c r="C4022" s="2" t="str">
        <f>IF(A4022&lt;&gt;"", VLOOKUP(A4022, imdb_netflix_v5!A$2:H$7370, 3, FALSE), "")</f>
        <v>Crime, Drama</v>
      </c>
      <c r="D4022" s="2">
        <f>IF(A4022&lt;&gt;"", VLOOKUP(A4022, imdb_netflix_v5!A$2:H$7370, 4, FALSE), "")</f>
        <v>7.4</v>
      </c>
      <c r="E4022" s="2">
        <f>IF(A4022&lt;&gt;"", VLOOKUP(A4022, imdb_netflix_v5!A$2:H$7370, 5, FALSE), "")</f>
        <v>2003</v>
      </c>
      <c r="F4022" s="2" t="str">
        <f>IF(A4022&lt;&gt;"", VLOOKUP(A4022, imdb_netflix_v5!A$2:H$7370, 7, FALSE), "")</f>
        <v>NA</v>
      </c>
    </row>
    <row r="4023" ht="15.75" customHeight="1">
      <c r="A4023" s="1" t="str">
        <f>IFERROR(__xludf.DUMMYFUNCTION("""COMPUTED_VALUE"""),"jesus christ superstar")</f>
        <v>jesus christ superstar</v>
      </c>
      <c r="B4023" s="1" t="str">
        <f>IF(A4023&lt;&gt;"", VLOOKUP(A4023, imdb_netflix_v5!A$2:H$7370, 2, FALSE), "")</f>
        <v>Movie</v>
      </c>
      <c r="C4023" s="2" t="str">
        <f>IF(A4023&lt;&gt;"", VLOOKUP(A4023, imdb_netflix_v5!A$2:H$7370, 3, FALSE), "")</f>
        <v>Drama, History, Musical</v>
      </c>
      <c r="D4023" s="2">
        <f>IF(A4023&lt;&gt;"", VLOOKUP(A4023, imdb_netflix_v5!A$2:H$7370, 4, FALSE), "")</f>
        <v>7.4</v>
      </c>
      <c r="E4023" s="2">
        <f>IF(A4023&lt;&gt;"", VLOOKUP(A4023, imdb_netflix_v5!A$2:H$7370, 5, FALSE), "")</f>
        <v>1973</v>
      </c>
      <c r="F4023" s="2" t="str">
        <f>IF(A4023&lt;&gt;"", VLOOKUP(A4023, imdb_netflix_v5!A$2:H$7370, 7, FALSE), "")</f>
        <v>NA</v>
      </c>
    </row>
    <row r="4024" ht="15.75" customHeight="1">
      <c r="A4024" s="1" t="str">
        <f>IFERROR(__xludf.DUMMYFUNCTION("""COMPUTED_VALUE"""),"a dogs journey")</f>
        <v>a dogs journey</v>
      </c>
      <c r="B4024" s="1" t="str">
        <f>IF(A4024&lt;&gt;"", VLOOKUP(A4024, imdb_netflix_v5!A$2:H$7370, 2, FALSE), "")</f>
        <v>Movie</v>
      </c>
      <c r="C4024" s="2" t="str">
        <f>IF(A4024&lt;&gt;"", VLOOKUP(A4024, imdb_netflix_v5!A$2:H$7370, 3, FALSE), "")</f>
        <v>Adventure, Comedy, Drama</v>
      </c>
      <c r="D4024" s="2">
        <f>IF(A4024&lt;&gt;"", VLOOKUP(A4024, imdb_netflix_v5!A$2:H$7370, 4, FALSE), "")</f>
        <v>7.4</v>
      </c>
      <c r="E4024" s="2">
        <f>IF(A4024&lt;&gt;"", VLOOKUP(A4024, imdb_netflix_v5!A$2:H$7370, 5, FALSE), "")</f>
        <v>2019</v>
      </c>
      <c r="F4024" s="2">
        <f>IF(A4024&lt;&gt;"", VLOOKUP(A4024, imdb_netflix_v5!A$2:H$7370, 7, FALSE), "")</f>
        <v>5350000</v>
      </c>
    </row>
    <row r="4025" ht="15.75" customHeight="1">
      <c r="A4025" s="1" t="str">
        <f>IFERROR(__xludf.DUMMYFUNCTION("""COMPUTED_VALUE"""),"cross of iron")</f>
        <v>cross of iron</v>
      </c>
      <c r="B4025" s="1" t="str">
        <f>IF(A4025&lt;&gt;"", VLOOKUP(A4025, imdb_netflix_v5!A$2:H$7370, 2, FALSE), "")</f>
        <v>Movie</v>
      </c>
      <c r="C4025" s="2" t="str">
        <f>IF(A4025&lt;&gt;"", VLOOKUP(A4025, imdb_netflix_v5!A$2:H$7370, 3, FALSE), "")</f>
        <v>Drama, War</v>
      </c>
      <c r="D4025" s="2">
        <f>IF(A4025&lt;&gt;"", VLOOKUP(A4025, imdb_netflix_v5!A$2:H$7370, 4, FALSE), "")</f>
        <v>7.4</v>
      </c>
      <c r="E4025" s="2">
        <f>IF(A4025&lt;&gt;"", VLOOKUP(A4025, imdb_netflix_v5!A$2:H$7370, 5, FALSE), "")</f>
        <v>1977</v>
      </c>
      <c r="F4025" s="2" t="str">
        <f>IF(A4025&lt;&gt;"", VLOOKUP(A4025, imdb_netflix_v5!A$2:H$7370, 7, FALSE), "")</f>
        <v>NA</v>
      </c>
    </row>
    <row r="4026" ht="15.75" customHeight="1">
      <c r="A4026" s="1" t="str">
        <f>IFERROR(__xludf.DUMMYFUNCTION("""COMPUTED_VALUE"""),"rurouni kenshin part i origins")</f>
        <v>rurouni kenshin part i origins</v>
      </c>
      <c r="B4026" s="1" t="str">
        <f>IF(A4026&lt;&gt;"", VLOOKUP(A4026, imdb_netflix_v5!A$2:H$7370, 2, FALSE), "")</f>
        <v>Movie</v>
      </c>
      <c r="C4026" s="2" t="str">
        <f>IF(A4026&lt;&gt;"", VLOOKUP(A4026, imdb_netflix_v5!A$2:H$7370, 3, FALSE), "")</f>
        <v>Action, Adventure, Drama</v>
      </c>
      <c r="D4026" s="2">
        <f>IF(A4026&lt;&gt;"", VLOOKUP(A4026, imdb_netflix_v5!A$2:H$7370, 4, FALSE), "")</f>
        <v>7.4</v>
      </c>
      <c r="E4026" s="2">
        <f>IF(A4026&lt;&gt;"", VLOOKUP(A4026, imdb_netflix_v5!A$2:H$7370, 5, FALSE), "")</f>
        <v>2012</v>
      </c>
      <c r="F4026" s="2" t="str">
        <f>IF(A4026&lt;&gt;"", VLOOKUP(A4026, imdb_netflix_v5!A$2:H$7370, 7, FALSE), "")</f>
        <v>NA</v>
      </c>
    </row>
    <row r="4027" ht="15.75" customHeight="1">
      <c r="A4027" s="1" t="str">
        <f>IFERROR(__xludf.DUMMYFUNCTION("""COMPUTED_VALUE"""),"a hidden life")</f>
        <v>a hidden life</v>
      </c>
      <c r="B4027" s="1" t="str">
        <f>IF(A4027&lt;&gt;"", VLOOKUP(A4027, imdb_netflix_v5!A$2:H$7370, 2, FALSE), "")</f>
        <v>Movie</v>
      </c>
      <c r="C4027" s="2" t="str">
        <f>IF(A4027&lt;&gt;"", VLOOKUP(A4027, imdb_netflix_v5!A$2:H$7370, 3, FALSE), "")</f>
        <v>Biography, Drama, Romance</v>
      </c>
      <c r="D4027" s="2">
        <f>IF(A4027&lt;&gt;"", VLOOKUP(A4027, imdb_netflix_v5!A$2:H$7370, 4, FALSE), "")</f>
        <v>7.4</v>
      </c>
      <c r="E4027" s="2">
        <f>IF(A4027&lt;&gt;"", VLOOKUP(A4027, imdb_netflix_v5!A$2:H$7370, 5, FALSE), "")</f>
        <v>2019</v>
      </c>
      <c r="F4027" s="2" t="str">
        <f>IF(A4027&lt;&gt;"", VLOOKUP(A4027, imdb_netflix_v5!A$2:H$7370, 7, FALSE), "")</f>
        <v>NA</v>
      </c>
    </row>
    <row r="4028" ht="15.75" customHeight="1">
      <c r="A4028" s="1" t="str">
        <f>IFERROR(__xludf.DUMMYFUNCTION("""COMPUTED_VALUE"""),"vigil")</f>
        <v>vigil</v>
      </c>
      <c r="B4028" s="1" t="str">
        <f>IF(A4028&lt;&gt;"", VLOOKUP(A4028, imdb_netflix_v5!A$2:H$7370, 2, FALSE), "")</f>
        <v>TV Show</v>
      </c>
      <c r="C4028" s="2" t="str">
        <f>IF(A4028&lt;&gt;"", VLOOKUP(A4028, imdb_netflix_v5!A$2:H$7370, 3, FALSE), "")</f>
        <v>Crime, Drama, Mystery</v>
      </c>
      <c r="D4028" s="2">
        <f>IF(A4028&lt;&gt;"", VLOOKUP(A4028, imdb_netflix_v5!A$2:H$7370, 4, FALSE), "")</f>
        <v>7.4</v>
      </c>
      <c r="E4028" s="2">
        <f>IF(A4028&lt;&gt;"", VLOOKUP(A4028, imdb_netflix_v5!A$2:H$7370, 5, FALSE), "")</f>
        <v>2021</v>
      </c>
      <c r="F4028" s="2" t="str">
        <f>IF(A4028&lt;&gt;"", VLOOKUP(A4028, imdb_netflix_v5!A$2:H$7370, 7, FALSE), "")</f>
        <v>NA</v>
      </c>
    </row>
    <row r="4029" ht="15.75" customHeight="1">
      <c r="A4029" s="1" t="str">
        <f>IFERROR(__xludf.DUMMYFUNCTION("""COMPUTED_VALUE"""),"jesus camp")</f>
        <v>jesus camp</v>
      </c>
      <c r="B4029" s="1" t="str">
        <f>IF(A4029&lt;&gt;"", VLOOKUP(A4029, imdb_netflix_v5!A$2:H$7370, 2, FALSE), "")</f>
        <v>Movie</v>
      </c>
      <c r="C4029" s="2" t="str">
        <f>IF(A4029&lt;&gt;"", VLOOKUP(A4029, imdb_netflix_v5!A$2:H$7370, 3, FALSE), "")</f>
        <v>Documentary</v>
      </c>
      <c r="D4029" s="2">
        <f>IF(A4029&lt;&gt;"", VLOOKUP(A4029, imdb_netflix_v5!A$2:H$7370, 4, FALSE), "")</f>
        <v>7.4</v>
      </c>
      <c r="E4029" s="2">
        <f>IF(A4029&lt;&gt;"", VLOOKUP(A4029, imdb_netflix_v5!A$2:H$7370, 5, FALSE), "")</f>
        <v>2006</v>
      </c>
      <c r="F4029" s="2" t="str">
        <f>IF(A4029&lt;&gt;"", VLOOKUP(A4029, imdb_netflix_v5!A$2:H$7370, 7, FALSE), "")</f>
        <v>NA</v>
      </c>
    </row>
    <row r="4030" ht="15.75" customHeight="1">
      <c r="A4030" s="1" t="str">
        <f>IFERROR(__xludf.DUMMYFUNCTION("""COMPUTED_VALUE"""),"the kid with a bike")</f>
        <v>the kid with a bike</v>
      </c>
      <c r="B4030" s="1" t="str">
        <f>IF(A4030&lt;&gt;"", VLOOKUP(A4030, imdb_netflix_v5!A$2:H$7370, 2, FALSE), "")</f>
        <v>Movie</v>
      </c>
      <c r="C4030" s="2" t="str">
        <f>IF(A4030&lt;&gt;"", VLOOKUP(A4030, imdb_netflix_v5!A$2:H$7370, 3, FALSE), "")</f>
        <v>Drama</v>
      </c>
      <c r="D4030" s="2">
        <f>IF(A4030&lt;&gt;"", VLOOKUP(A4030, imdb_netflix_v5!A$2:H$7370, 4, FALSE), "")</f>
        <v>7.4</v>
      </c>
      <c r="E4030" s="2">
        <f>IF(A4030&lt;&gt;"", VLOOKUP(A4030, imdb_netflix_v5!A$2:H$7370, 5, FALSE), "")</f>
        <v>2011</v>
      </c>
      <c r="F4030" s="2" t="str">
        <f>IF(A4030&lt;&gt;"", VLOOKUP(A4030, imdb_netflix_v5!A$2:H$7370, 7, FALSE), "")</f>
        <v>NA</v>
      </c>
    </row>
    <row r="4031" ht="15.75" customHeight="1">
      <c r="A4031" s="1" t="str">
        <f>IFERROR(__xludf.DUMMYFUNCTION("""COMPUTED_VALUE"""),"what maisie knew")</f>
        <v>what maisie knew</v>
      </c>
      <c r="B4031" s="1" t="str">
        <f>IF(A4031&lt;&gt;"", VLOOKUP(A4031, imdb_netflix_v5!A$2:H$7370, 2, FALSE), "")</f>
        <v>Movie</v>
      </c>
      <c r="C4031" s="2" t="str">
        <f>IF(A4031&lt;&gt;"", VLOOKUP(A4031, imdb_netflix_v5!A$2:H$7370, 3, FALSE), "")</f>
        <v>Drama</v>
      </c>
      <c r="D4031" s="2">
        <f>IF(A4031&lt;&gt;"", VLOOKUP(A4031, imdb_netflix_v5!A$2:H$7370, 4, FALSE), "")</f>
        <v>7.4</v>
      </c>
      <c r="E4031" s="2">
        <f>IF(A4031&lt;&gt;"", VLOOKUP(A4031, imdb_netflix_v5!A$2:H$7370, 5, FALSE), "")</f>
        <v>2012</v>
      </c>
      <c r="F4031" s="2" t="str">
        <f>IF(A4031&lt;&gt;"", VLOOKUP(A4031, imdb_netflix_v5!A$2:H$7370, 7, FALSE), "")</f>
        <v>NA</v>
      </c>
    </row>
    <row r="4032" ht="15.75" customHeight="1">
      <c r="A4032" s="1" t="str">
        <f>IFERROR(__xludf.DUMMYFUNCTION("""COMPUTED_VALUE"""),"this film is not yet rated")</f>
        <v>this film is not yet rated</v>
      </c>
      <c r="B4032" s="1" t="str">
        <f>IF(A4032&lt;&gt;"", VLOOKUP(A4032, imdb_netflix_v5!A$2:H$7370, 2, FALSE), "")</f>
        <v>Movie</v>
      </c>
      <c r="C4032" s="2" t="str">
        <f>IF(A4032&lt;&gt;"", VLOOKUP(A4032, imdb_netflix_v5!A$2:H$7370, 3, FALSE), "")</f>
        <v>Documentary</v>
      </c>
      <c r="D4032" s="2">
        <f>IF(A4032&lt;&gt;"", VLOOKUP(A4032, imdb_netflix_v5!A$2:H$7370, 4, FALSE), "")</f>
        <v>7.4</v>
      </c>
      <c r="E4032" s="2">
        <f>IF(A4032&lt;&gt;"", VLOOKUP(A4032, imdb_netflix_v5!A$2:H$7370, 5, FALSE), "")</f>
        <v>2006</v>
      </c>
      <c r="F4032" s="2" t="str">
        <f>IF(A4032&lt;&gt;"", VLOOKUP(A4032, imdb_netflix_v5!A$2:H$7370, 7, FALSE), "")</f>
        <v>NA</v>
      </c>
    </row>
    <row r="4033" ht="15.75" customHeight="1">
      <c r="A4033" s="1" t="str">
        <f>IFERROR(__xludf.DUMMYFUNCTION("""COMPUTED_VALUE"""),"jaane tu... ya jaane na")</f>
        <v>jaane tu... ya jaane na</v>
      </c>
      <c r="B4033" s="1" t="str">
        <f>IF(A4033&lt;&gt;"", VLOOKUP(A4033, imdb_netflix_v5!A$2:H$7370, 2, FALSE), "")</f>
        <v>Movie</v>
      </c>
      <c r="C4033" s="2" t="str">
        <f>IF(A4033&lt;&gt;"", VLOOKUP(A4033, imdb_netflix_v5!A$2:H$7370, 3, FALSE), "")</f>
        <v>Comedy, Drama, Romance</v>
      </c>
      <c r="D4033" s="2">
        <f>IF(A4033&lt;&gt;"", VLOOKUP(A4033, imdb_netflix_v5!A$2:H$7370, 4, FALSE), "")</f>
        <v>7.4</v>
      </c>
      <c r="E4033" s="2">
        <f>IF(A4033&lt;&gt;"", VLOOKUP(A4033, imdb_netflix_v5!A$2:H$7370, 5, FALSE), "")</f>
        <v>2008</v>
      </c>
      <c r="F4033" s="2" t="str">
        <f>IF(A4033&lt;&gt;"", VLOOKUP(A4033, imdb_netflix_v5!A$2:H$7370, 7, FALSE), "")</f>
        <v>NA</v>
      </c>
    </row>
    <row r="4034" ht="15.75" customHeight="1">
      <c r="A4034" s="1" t="str">
        <f>IFERROR(__xludf.DUMMYFUNCTION("""COMPUTED_VALUE"""),"yellow submarine")</f>
        <v>yellow submarine</v>
      </c>
      <c r="B4034" s="1" t="str">
        <f>IF(A4034&lt;&gt;"", VLOOKUP(A4034, imdb_netflix_v5!A$2:H$7370, 2, FALSE), "")</f>
        <v>Movie</v>
      </c>
      <c r="C4034" s="2" t="str">
        <f>IF(A4034&lt;&gt;"", VLOOKUP(A4034, imdb_netflix_v5!A$2:H$7370, 3, FALSE), "")</f>
        <v>Adventure, Animation, Comedy</v>
      </c>
      <c r="D4034" s="2">
        <f>IF(A4034&lt;&gt;"", VLOOKUP(A4034, imdb_netflix_v5!A$2:H$7370, 4, FALSE), "")</f>
        <v>7.4</v>
      </c>
      <c r="E4034" s="2">
        <f>IF(A4034&lt;&gt;"", VLOOKUP(A4034, imdb_netflix_v5!A$2:H$7370, 5, FALSE), "")</f>
        <v>1968</v>
      </c>
      <c r="F4034" s="2" t="str">
        <f>IF(A4034&lt;&gt;"", VLOOKUP(A4034, imdb_netflix_v5!A$2:H$7370, 7, FALSE), "")</f>
        <v>NA</v>
      </c>
    </row>
    <row r="4035" ht="15.75" customHeight="1">
      <c r="A4035" s="1" t="str">
        <f>IFERROR(__xludf.DUMMYFUNCTION("""COMPUTED_VALUE"""),"the nevers")</f>
        <v>the nevers</v>
      </c>
      <c r="B4035" s="1" t="str">
        <f>IF(A4035&lt;&gt;"", VLOOKUP(A4035, imdb_netflix_v5!A$2:H$7370, 2, FALSE), "")</f>
        <v>TV Show</v>
      </c>
      <c r="C4035" s="2" t="str">
        <f>IF(A4035&lt;&gt;"", VLOOKUP(A4035, imdb_netflix_v5!A$2:H$7370, 3, FALSE), "")</f>
        <v>Action, Drama, Fantasy</v>
      </c>
      <c r="D4035" s="2">
        <f>IF(A4035&lt;&gt;"", VLOOKUP(A4035, imdb_netflix_v5!A$2:H$7370, 4, FALSE), "")</f>
        <v>7.4</v>
      </c>
      <c r="E4035" s="2">
        <f>IF(A4035&lt;&gt;"", VLOOKUP(A4035, imdb_netflix_v5!A$2:H$7370, 5, FALSE), "")</f>
        <v>2021</v>
      </c>
      <c r="F4035" s="2" t="str">
        <f>IF(A4035&lt;&gt;"", VLOOKUP(A4035, imdb_netflix_v5!A$2:H$7370, 7, FALSE), "")</f>
        <v>NA</v>
      </c>
    </row>
    <row r="4036" ht="15.75" customHeight="1">
      <c r="A4036" s="1" t="str">
        <f>IFERROR(__xludf.DUMMYFUNCTION("""COMPUTED_VALUE"""),"the king and i")</f>
        <v>the king and i</v>
      </c>
      <c r="B4036" s="1" t="str">
        <f>IF(A4036&lt;&gt;"", VLOOKUP(A4036, imdb_netflix_v5!A$2:H$7370, 2, FALSE), "")</f>
        <v>Movie</v>
      </c>
      <c r="C4036" s="2" t="str">
        <f>IF(A4036&lt;&gt;"", VLOOKUP(A4036, imdb_netflix_v5!A$2:H$7370, 3, FALSE), "")</f>
        <v>Biography, Drama, Musical</v>
      </c>
      <c r="D4036" s="2">
        <f>IF(A4036&lt;&gt;"", VLOOKUP(A4036, imdb_netflix_v5!A$2:H$7370, 4, FALSE), "")</f>
        <v>7.4</v>
      </c>
      <c r="E4036" s="2">
        <f>IF(A4036&lt;&gt;"", VLOOKUP(A4036, imdb_netflix_v5!A$2:H$7370, 5, FALSE), "")</f>
        <v>1956</v>
      </c>
      <c r="F4036" s="2" t="str">
        <f>IF(A4036&lt;&gt;"", VLOOKUP(A4036, imdb_netflix_v5!A$2:H$7370, 7, FALSE), "")</f>
        <v>NA</v>
      </c>
    </row>
    <row r="4037" ht="15.75" customHeight="1">
      <c r="A4037" s="1" t="str">
        <f>IFERROR(__xludf.DUMMYFUNCTION("""COMPUTED_VALUE"""),"swamp thing")</f>
        <v>swamp thing</v>
      </c>
      <c r="B4037" s="1" t="str">
        <f>IF(A4037&lt;&gt;"", VLOOKUP(A4037, imdb_netflix_v5!A$2:H$7370, 2, FALSE), "")</f>
        <v>TV Show</v>
      </c>
      <c r="C4037" s="2" t="str">
        <f>IF(A4037&lt;&gt;"", VLOOKUP(A4037, imdb_netflix_v5!A$2:H$7370, 3, FALSE), "")</f>
        <v>Horror, Sci-Fi</v>
      </c>
      <c r="D4037" s="2">
        <f>IF(A4037&lt;&gt;"", VLOOKUP(A4037, imdb_netflix_v5!A$2:H$7370, 4, FALSE), "")</f>
        <v>7.4</v>
      </c>
      <c r="E4037" s="2">
        <f>IF(A4037&lt;&gt;"", VLOOKUP(A4037, imdb_netflix_v5!A$2:H$7370, 5, FALSE), "")</f>
        <v>2019</v>
      </c>
      <c r="F4037" s="2" t="str">
        <f>IF(A4037&lt;&gt;"", VLOOKUP(A4037, imdb_netflix_v5!A$2:H$7370, 7, FALSE), "")</f>
        <v>NA</v>
      </c>
    </row>
    <row r="4038" ht="15.75" customHeight="1">
      <c r="A4038" s="1" t="str">
        <f>IFERROR(__xludf.DUMMYFUNCTION("""COMPUTED_VALUE"""),"homecoming")</f>
        <v>homecoming</v>
      </c>
      <c r="B4038" s="1" t="str">
        <f>IF(A4038&lt;&gt;"", VLOOKUP(A4038, imdb_netflix_v5!A$2:H$7370, 2, FALSE), "")</f>
        <v>TV Show</v>
      </c>
      <c r="C4038" s="2" t="str">
        <f>IF(A4038&lt;&gt;"", VLOOKUP(A4038, imdb_netflix_v5!A$2:H$7370, 3, FALSE), "")</f>
        <v>Drama, Mystery, Thriller</v>
      </c>
      <c r="D4038" s="2">
        <f>IF(A4038&lt;&gt;"", VLOOKUP(A4038, imdb_netflix_v5!A$2:H$7370, 4, FALSE), "")</f>
        <v>7.4</v>
      </c>
      <c r="E4038" s="2">
        <f>IF(A4038&lt;&gt;"", VLOOKUP(A4038, imdb_netflix_v5!A$2:H$7370, 5, FALSE), "")</f>
        <v>2018</v>
      </c>
      <c r="F4038" s="2" t="str">
        <f>IF(A4038&lt;&gt;"", VLOOKUP(A4038, imdb_netflix_v5!A$2:H$7370, 7, FALSE), "")</f>
        <v>NA</v>
      </c>
    </row>
    <row r="4039" ht="15.75" customHeight="1">
      <c r="A4039" s="1" t="str">
        <f>IFERROR(__xludf.DUMMYFUNCTION("""COMPUTED_VALUE"""),"lockwood &amp; co.")</f>
        <v>lockwood &amp; co.</v>
      </c>
      <c r="B4039" s="1" t="str">
        <f>IF(A4039&lt;&gt;"", VLOOKUP(A4039, imdb_netflix_v5!A$2:H$7370, 2, FALSE), "")</f>
        <v>TV Show</v>
      </c>
      <c r="C4039" s="2" t="str">
        <f>IF(A4039&lt;&gt;"", VLOOKUP(A4039, imdb_netflix_v5!A$2:H$7370, 3, FALSE), "")</f>
        <v>Action, Adventure, Drama</v>
      </c>
      <c r="D4039" s="2">
        <f>IF(A4039&lt;&gt;"", VLOOKUP(A4039, imdb_netflix_v5!A$2:H$7370, 4, FALSE), "")</f>
        <v>7.4</v>
      </c>
      <c r="E4039" s="2">
        <f>IF(A4039&lt;&gt;"", VLOOKUP(A4039, imdb_netflix_v5!A$2:H$7370, 5, FALSE), "")</f>
        <v>2023</v>
      </c>
      <c r="F4039" s="2">
        <f>IF(A4039&lt;&gt;"", VLOOKUP(A4039, imdb_netflix_v5!A$2:H$7370, 7, FALSE), "")</f>
        <v>15370000</v>
      </c>
    </row>
    <row r="4040" ht="15.75" customHeight="1">
      <c r="A4040" s="1" t="str">
        <f>IFERROR(__xludf.DUMMYFUNCTION("""COMPUTED_VALUE"""),"harpers island")</f>
        <v>harpers island</v>
      </c>
      <c r="B4040" s="1" t="str">
        <f>IF(A4040&lt;&gt;"", VLOOKUP(A4040, imdb_netflix_v5!A$2:H$7370, 2, FALSE), "")</f>
        <v>TV Show</v>
      </c>
      <c r="C4040" s="2" t="str">
        <f>IF(A4040&lt;&gt;"", VLOOKUP(A4040, imdb_netflix_v5!A$2:H$7370, 3, FALSE), "")</f>
        <v>Drama, Horror, Mystery</v>
      </c>
      <c r="D4040" s="2">
        <f>IF(A4040&lt;&gt;"", VLOOKUP(A4040, imdb_netflix_v5!A$2:H$7370, 4, FALSE), "")</f>
        <v>7.4</v>
      </c>
      <c r="E4040" s="2">
        <f>IF(A4040&lt;&gt;"", VLOOKUP(A4040, imdb_netflix_v5!A$2:H$7370, 5, FALSE), "")</f>
        <v>2009</v>
      </c>
      <c r="F4040" s="2" t="str">
        <f>IF(A4040&lt;&gt;"", VLOOKUP(A4040, imdb_netflix_v5!A$2:H$7370, 7, FALSE), "")</f>
        <v>NA</v>
      </c>
    </row>
    <row r="4041" ht="15.75" customHeight="1">
      <c r="A4041" s="1" t="str">
        <f>IFERROR(__xludf.DUMMYFUNCTION("""COMPUTED_VALUE"""),"the duellists")</f>
        <v>the duellists</v>
      </c>
      <c r="B4041" s="1" t="str">
        <f>IF(A4041&lt;&gt;"", VLOOKUP(A4041, imdb_netflix_v5!A$2:H$7370, 2, FALSE), "")</f>
        <v>Movie</v>
      </c>
      <c r="C4041" s="2" t="str">
        <f>IF(A4041&lt;&gt;"", VLOOKUP(A4041, imdb_netflix_v5!A$2:H$7370, 3, FALSE), "")</f>
        <v>Drama, War</v>
      </c>
      <c r="D4041" s="2">
        <f>IF(A4041&lt;&gt;"", VLOOKUP(A4041, imdb_netflix_v5!A$2:H$7370, 4, FALSE), "")</f>
        <v>7.4</v>
      </c>
      <c r="E4041" s="2">
        <f>IF(A4041&lt;&gt;"", VLOOKUP(A4041, imdb_netflix_v5!A$2:H$7370, 5, FALSE), "")</f>
        <v>1977</v>
      </c>
      <c r="F4041" s="2" t="str">
        <f>IF(A4041&lt;&gt;"", VLOOKUP(A4041, imdb_netflix_v5!A$2:H$7370, 7, FALSE), "")</f>
        <v>NA</v>
      </c>
    </row>
    <row r="4042" ht="15.75" customHeight="1">
      <c r="A4042" s="1" t="str">
        <f>IFERROR(__xludf.DUMMYFUNCTION("""COMPUTED_VALUE"""),"broadway danny rose")</f>
        <v>broadway danny rose</v>
      </c>
      <c r="B4042" s="1" t="str">
        <f>IF(A4042&lt;&gt;"", VLOOKUP(A4042, imdb_netflix_v5!A$2:H$7370, 2, FALSE), "")</f>
        <v>Movie</v>
      </c>
      <c r="C4042" s="2" t="str">
        <f>IF(A4042&lt;&gt;"", VLOOKUP(A4042, imdb_netflix_v5!A$2:H$7370, 3, FALSE), "")</f>
        <v>Comedy</v>
      </c>
      <c r="D4042" s="2">
        <f>IF(A4042&lt;&gt;"", VLOOKUP(A4042, imdb_netflix_v5!A$2:H$7370, 4, FALSE), "")</f>
        <v>7.4</v>
      </c>
      <c r="E4042" s="2">
        <f>IF(A4042&lt;&gt;"", VLOOKUP(A4042, imdb_netflix_v5!A$2:H$7370, 5, FALSE), "")</f>
        <v>1984</v>
      </c>
      <c r="F4042" s="2" t="str">
        <f>IF(A4042&lt;&gt;"", VLOOKUP(A4042, imdb_netflix_v5!A$2:H$7370, 7, FALSE), "")</f>
        <v>NA</v>
      </c>
    </row>
    <row r="4043" ht="15.75" customHeight="1">
      <c r="A4043" s="1" t="str">
        <f>IFERROR(__xludf.DUMMYFUNCTION("""COMPUTED_VALUE"""),"quicksand")</f>
        <v>quicksand</v>
      </c>
      <c r="B4043" s="1" t="str">
        <f>IF(A4043&lt;&gt;"", VLOOKUP(A4043, imdb_netflix_v5!A$2:H$7370, 2, FALSE), "")</f>
        <v>TV Show</v>
      </c>
      <c r="C4043" s="2" t="str">
        <f>IF(A4043&lt;&gt;"", VLOOKUP(A4043, imdb_netflix_v5!A$2:H$7370, 3, FALSE), "")</f>
        <v>Crime, Drama, Mystery</v>
      </c>
      <c r="D4043" s="2">
        <f>IF(A4043&lt;&gt;"", VLOOKUP(A4043, imdb_netflix_v5!A$2:H$7370, 4, FALSE), "")</f>
        <v>7.4</v>
      </c>
      <c r="E4043" s="2">
        <f>IF(A4043&lt;&gt;"", VLOOKUP(A4043, imdb_netflix_v5!A$2:H$7370, 5, FALSE), "")</f>
        <v>2019</v>
      </c>
      <c r="F4043" s="2" t="str">
        <f>IF(A4043&lt;&gt;"", VLOOKUP(A4043, imdb_netflix_v5!A$2:H$7370, 7, FALSE), "")</f>
        <v>NA</v>
      </c>
    </row>
    <row r="4044" ht="15.75" customHeight="1">
      <c r="A4044" s="1" t="str">
        <f>IFERROR(__xludf.DUMMYFUNCTION("""COMPUTED_VALUE"""),"house of lies")</f>
        <v>house of lies</v>
      </c>
      <c r="B4044" s="1" t="str">
        <f>IF(A4044&lt;&gt;"", VLOOKUP(A4044, imdb_netflix_v5!A$2:H$7370, 2, FALSE), "")</f>
        <v>TV Show</v>
      </c>
      <c r="C4044" s="2" t="str">
        <f>IF(A4044&lt;&gt;"", VLOOKUP(A4044, imdb_netflix_v5!A$2:H$7370, 3, FALSE), "")</f>
        <v>Comedy, Drama</v>
      </c>
      <c r="D4044" s="2">
        <f>IF(A4044&lt;&gt;"", VLOOKUP(A4044, imdb_netflix_v5!A$2:H$7370, 4, FALSE), "")</f>
        <v>7.4</v>
      </c>
      <c r="E4044" s="2">
        <f>IF(A4044&lt;&gt;"", VLOOKUP(A4044, imdb_netflix_v5!A$2:H$7370, 5, FALSE), "")</f>
        <v>2012</v>
      </c>
      <c r="F4044" s="2" t="str">
        <f>IF(A4044&lt;&gt;"", VLOOKUP(A4044, imdb_netflix_v5!A$2:H$7370, 7, FALSE), "")</f>
        <v>NA</v>
      </c>
    </row>
    <row r="4045" ht="15.75" customHeight="1">
      <c r="A4045" s="1" t="str">
        <f>IFERROR(__xludf.DUMMYFUNCTION("""COMPUTED_VALUE"""),"immortal beloved")</f>
        <v>immortal beloved</v>
      </c>
      <c r="B4045" s="1" t="str">
        <f>IF(A4045&lt;&gt;"", VLOOKUP(A4045, imdb_netflix_v5!A$2:H$7370, 2, FALSE), "")</f>
        <v>Movie</v>
      </c>
      <c r="C4045" s="2" t="str">
        <f>IF(A4045&lt;&gt;"", VLOOKUP(A4045, imdb_netflix_v5!A$2:H$7370, 3, FALSE), "")</f>
        <v>Biography, Drama, Music</v>
      </c>
      <c r="D4045" s="2">
        <f>IF(A4045&lt;&gt;"", VLOOKUP(A4045, imdb_netflix_v5!A$2:H$7370, 4, FALSE), "")</f>
        <v>7.4</v>
      </c>
      <c r="E4045" s="2">
        <f>IF(A4045&lt;&gt;"", VLOOKUP(A4045, imdb_netflix_v5!A$2:H$7370, 5, FALSE), "")</f>
        <v>1994</v>
      </c>
      <c r="F4045" s="2" t="str">
        <f>IF(A4045&lt;&gt;"", VLOOKUP(A4045, imdb_netflix_v5!A$2:H$7370, 7, FALSE), "")</f>
        <v>NA</v>
      </c>
    </row>
    <row r="4046" ht="15.75" customHeight="1">
      <c r="A4046" s="1" t="str">
        <f>IFERROR(__xludf.DUMMYFUNCTION("""COMPUTED_VALUE"""),"no")</f>
        <v>no</v>
      </c>
      <c r="B4046" s="1" t="str">
        <f>IF(A4046&lt;&gt;"", VLOOKUP(A4046, imdb_netflix_v5!A$2:H$7370, 2, FALSE), "")</f>
        <v>Movie</v>
      </c>
      <c r="C4046" s="2" t="str">
        <f>IF(A4046&lt;&gt;"", VLOOKUP(A4046, imdb_netflix_v5!A$2:H$7370, 3, FALSE), "")</f>
        <v>Drama, History</v>
      </c>
      <c r="D4046" s="2">
        <f>IF(A4046&lt;&gt;"", VLOOKUP(A4046, imdb_netflix_v5!A$2:H$7370, 4, FALSE), "")</f>
        <v>7.4</v>
      </c>
      <c r="E4046" s="2">
        <f>IF(A4046&lt;&gt;"", VLOOKUP(A4046, imdb_netflix_v5!A$2:H$7370, 5, FALSE), "")</f>
        <v>2012</v>
      </c>
      <c r="F4046" s="2" t="str">
        <f>IF(A4046&lt;&gt;"", VLOOKUP(A4046, imdb_netflix_v5!A$2:H$7370, 7, FALSE), "")</f>
        <v>NA</v>
      </c>
    </row>
    <row r="4047" ht="15.75" customHeight="1">
      <c r="A4047" s="1" t="str">
        <f>IFERROR(__xludf.DUMMYFUNCTION("""COMPUTED_VALUE"""),"the tin drum")</f>
        <v>the tin drum</v>
      </c>
      <c r="B4047" s="1" t="str">
        <f>IF(A4047&lt;&gt;"", VLOOKUP(A4047, imdb_netflix_v5!A$2:H$7370, 2, FALSE), "")</f>
        <v>Movie</v>
      </c>
      <c r="C4047" s="2" t="str">
        <f>IF(A4047&lt;&gt;"", VLOOKUP(A4047, imdb_netflix_v5!A$2:H$7370, 3, FALSE), "")</f>
        <v>Drama, War</v>
      </c>
      <c r="D4047" s="2">
        <f>IF(A4047&lt;&gt;"", VLOOKUP(A4047, imdb_netflix_v5!A$2:H$7370, 4, FALSE), "")</f>
        <v>7.4</v>
      </c>
      <c r="E4047" s="2">
        <f>IF(A4047&lt;&gt;"", VLOOKUP(A4047, imdb_netflix_v5!A$2:H$7370, 5, FALSE), "")</f>
        <v>1979</v>
      </c>
      <c r="F4047" s="2" t="str">
        <f>IF(A4047&lt;&gt;"", VLOOKUP(A4047, imdb_netflix_v5!A$2:H$7370, 7, FALSE), "")</f>
        <v>NA</v>
      </c>
    </row>
    <row r="4048" ht="15.75" customHeight="1">
      <c r="A4048" s="1" t="str">
        <f>IFERROR(__xludf.DUMMYFUNCTION("""COMPUTED_VALUE"""),"badlapur")</f>
        <v>badlapur</v>
      </c>
      <c r="B4048" s="1" t="str">
        <f>IF(A4048&lt;&gt;"", VLOOKUP(A4048, imdb_netflix_v5!A$2:H$7370, 2, FALSE), "")</f>
        <v>Movie</v>
      </c>
      <c r="C4048" s="2" t="str">
        <f>IF(A4048&lt;&gt;"", VLOOKUP(A4048, imdb_netflix_v5!A$2:H$7370, 3, FALSE), "")</f>
        <v>Action, Crime, Drama</v>
      </c>
      <c r="D4048" s="2">
        <f>IF(A4048&lt;&gt;"", VLOOKUP(A4048, imdb_netflix_v5!A$2:H$7370, 4, FALSE), "")</f>
        <v>7.4</v>
      </c>
      <c r="E4048" s="2">
        <f>IF(A4048&lt;&gt;"", VLOOKUP(A4048, imdb_netflix_v5!A$2:H$7370, 5, FALSE), "")</f>
        <v>2015</v>
      </c>
      <c r="F4048" s="2" t="str">
        <f>IF(A4048&lt;&gt;"", VLOOKUP(A4048, imdb_netflix_v5!A$2:H$7370, 7, FALSE), "")</f>
        <v>NA</v>
      </c>
    </row>
    <row r="4049" ht="15.75" customHeight="1">
      <c r="A4049" s="1" t="str">
        <f>IFERROR(__xludf.DUMMYFUNCTION("""COMPUTED_VALUE"""),"days of being wild")</f>
        <v>days of being wild</v>
      </c>
      <c r="B4049" s="1" t="str">
        <f>IF(A4049&lt;&gt;"", VLOOKUP(A4049, imdb_netflix_v5!A$2:H$7370, 2, FALSE), "")</f>
        <v>Movie</v>
      </c>
      <c r="C4049" s="2" t="str">
        <f>IF(A4049&lt;&gt;"", VLOOKUP(A4049, imdb_netflix_v5!A$2:H$7370, 3, FALSE), "")</f>
        <v>Crime, Drama, Romance</v>
      </c>
      <c r="D4049" s="2">
        <f>IF(A4049&lt;&gt;"", VLOOKUP(A4049, imdb_netflix_v5!A$2:H$7370, 4, FALSE), "")</f>
        <v>7.4</v>
      </c>
      <c r="E4049" s="2">
        <f>IF(A4049&lt;&gt;"", VLOOKUP(A4049, imdb_netflix_v5!A$2:H$7370, 5, FALSE), "")</f>
        <v>1990</v>
      </c>
      <c r="F4049" s="2" t="str">
        <f>IF(A4049&lt;&gt;"", VLOOKUP(A4049, imdb_netflix_v5!A$2:H$7370, 7, FALSE), "")</f>
        <v>NA</v>
      </c>
    </row>
    <row r="4050" ht="15.75" customHeight="1">
      <c r="A4050" s="1" t="str">
        <f>IFERROR(__xludf.DUMMYFUNCTION("""COMPUTED_VALUE"""),"a better tomorrow")</f>
        <v>a better tomorrow</v>
      </c>
      <c r="B4050" s="1" t="str">
        <f>IF(A4050&lt;&gt;"", VLOOKUP(A4050, imdb_netflix_v5!A$2:H$7370, 2, FALSE), "")</f>
        <v>Movie</v>
      </c>
      <c r="C4050" s="2" t="str">
        <f>IF(A4050&lt;&gt;"", VLOOKUP(A4050, imdb_netflix_v5!A$2:H$7370, 3, FALSE), "")</f>
        <v>Action, Crime, Drama</v>
      </c>
      <c r="D4050" s="2">
        <f>IF(A4050&lt;&gt;"", VLOOKUP(A4050, imdb_netflix_v5!A$2:H$7370, 4, FALSE), "")</f>
        <v>7.4</v>
      </c>
      <c r="E4050" s="2">
        <f>IF(A4050&lt;&gt;"", VLOOKUP(A4050, imdb_netflix_v5!A$2:H$7370, 5, FALSE), "")</f>
        <v>1986</v>
      </c>
      <c r="F4050" s="2" t="str">
        <f>IF(A4050&lt;&gt;"", VLOOKUP(A4050, imdb_netflix_v5!A$2:H$7370, 7, FALSE), "")</f>
        <v>NA</v>
      </c>
    </row>
    <row r="4051" ht="15.75" customHeight="1">
      <c r="A4051" s="1" t="str">
        <f>IFERROR(__xludf.DUMMYFUNCTION("""COMPUTED_VALUE"""),"schumacher")</f>
        <v>schumacher</v>
      </c>
      <c r="B4051" s="1" t="str">
        <f>IF(A4051&lt;&gt;"", VLOOKUP(A4051, imdb_netflix_v5!A$2:H$7370, 2, FALSE), "")</f>
        <v>Movie</v>
      </c>
      <c r="C4051" s="2" t="str">
        <f>IF(A4051&lt;&gt;"", VLOOKUP(A4051, imdb_netflix_v5!A$2:H$7370, 3, FALSE), "")</f>
        <v>Biography, Documentary, Sport</v>
      </c>
      <c r="D4051" s="2">
        <f>IF(A4051&lt;&gt;"", VLOOKUP(A4051, imdb_netflix_v5!A$2:H$7370, 4, FALSE), "")</f>
        <v>7.4</v>
      </c>
      <c r="E4051" s="2">
        <f>IF(A4051&lt;&gt;"", VLOOKUP(A4051, imdb_netflix_v5!A$2:H$7370, 5, FALSE), "")</f>
        <v>2021</v>
      </c>
      <c r="F4051" s="2">
        <f>IF(A4051&lt;&gt;"", VLOOKUP(A4051, imdb_netflix_v5!A$2:H$7370, 7, FALSE), "")</f>
        <v>8040000</v>
      </c>
    </row>
    <row r="4052" ht="15.75" customHeight="1">
      <c r="A4052" s="1" t="str">
        <f>IFERROR(__xludf.DUMMYFUNCTION("""COMPUTED_VALUE"""),"my life without me")</f>
        <v>my life without me</v>
      </c>
      <c r="B4052" s="1" t="str">
        <f>IF(A4052&lt;&gt;"", VLOOKUP(A4052, imdb_netflix_v5!A$2:H$7370, 2, FALSE), "")</f>
        <v>Movie</v>
      </c>
      <c r="C4052" s="2" t="str">
        <f>IF(A4052&lt;&gt;"", VLOOKUP(A4052, imdb_netflix_v5!A$2:H$7370, 3, FALSE), "")</f>
        <v>Drama, Romance</v>
      </c>
      <c r="D4052" s="2">
        <f>IF(A4052&lt;&gt;"", VLOOKUP(A4052, imdb_netflix_v5!A$2:H$7370, 4, FALSE), "")</f>
        <v>7.4</v>
      </c>
      <c r="E4052" s="2">
        <f>IF(A4052&lt;&gt;"", VLOOKUP(A4052, imdb_netflix_v5!A$2:H$7370, 5, FALSE), "")</f>
        <v>2003</v>
      </c>
      <c r="F4052" s="2" t="str">
        <f>IF(A4052&lt;&gt;"", VLOOKUP(A4052, imdb_netflix_v5!A$2:H$7370, 7, FALSE), "")</f>
        <v>NA</v>
      </c>
    </row>
    <row r="4053" ht="15.75" customHeight="1">
      <c r="A4053" s="1" t="str">
        <f>IFERROR(__xludf.DUMMYFUNCTION("""COMPUTED_VALUE"""),"losers club")</f>
        <v>losers club</v>
      </c>
      <c r="B4053" s="1" t="str">
        <f>IF(A4053&lt;&gt;"", VLOOKUP(A4053, imdb_netflix_v5!A$2:H$7370, 2, FALSE), "")</f>
        <v>Movie</v>
      </c>
      <c r="C4053" s="2" t="str">
        <f>IF(A4053&lt;&gt;"", VLOOKUP(A4053, imdb_netflix_v5!A$2:H$7370, 3, FALSE), "")</f>
        <v>Drama, Romance</v>
      </c>
      <c r="D4053" s="2">
        <f>IF(A4053&lt;&gt;"", VLOOKUP(A4053, imdb_netflix_v5!A$2:H$7370, 4, FALSE), "")</f>
        <v>7.4</v>
      </c>
      <c r="E4053" s="2">
        <f>IF(A4053&lt;&gt;"", VLOOKUP(A4053, imdb_netflix_v5!A$2:H$7370, 5, FALSE), "")</f>
        <v>2011</v>
      </c>
      <c r="F4053" s="2" t="str">
        <f>IF(A4053&lt;&gt;"", VLOOKUP(A4053, imdb_netflix_v5!A$2:H$7370, 7, FALSE), "")</f>
        <v>NA</v>
      </c>
    </row>
    <row r="4054" ht="15.75" customHeight="1">
      <c r="A4054" s="1" t="str">
        <f>IFERROR(__xludf.DUMMYFUNCTION("""COMPUTED_VALUE"""),"amazing grace")</f>
        <v>amazing grace</v>
      </c>
      <c r="B4054" s="1" t="str">
        <f>IF(A4054&lt;&gt;"", VLOOKUP(A4054, imdb_netflix_v5!A$2:H$7370, 2, FALSE), "")</f>
        <v>Movie</v>
      </c>
      <c r="C4054" s="2" t="str">
        <f>IF(A4054&lt;&gt;"", VLOOKUP(A4054, imdb_netflix_v5!A$2:H$7370, 3, FALSE), "")</f>
        <v>Biography, Drama, History</v>
      </c>
      <c r="D4054" s="2">
        <f>IF(A4054&lt;&gt;"", VLOOKUP(A4054, imdb_netflix_v5!A$2:H$7370, 4, FALSE), "")</f>
        <v>7.4</v>
      </c>
      <c r="E4054" s="2">
        <f>IF(A4054&lt;&gt;"", VLOOKUP(A4054, imdb_netflix_v5!A$2:H$7370, 5, FALSE), "")</f>
        <v>2006</v>
      </c>
      <c r="F4054" s="2" t="str">
        <f>IF(A4054&lt;&gt;"", VLOOKUP(A4054, imdb_netflix_v5!A$2:H$7370, 7, FALSE), "")</f>
        <v>NA</v>
      </c>
    </row>
    <row r="4055" ht="15.75" customHeight="1">
      <c r="A4055" s="1" t="str">
        <f>IFERROR(__xludf.DUMMYFUNCTION("""COMPUTED_VALUE"""),"jhund")</f>
        <v>jhund</v>
      </c>
      <c r="B4055" s="1" t="str">
        <f>IF(A4055&lt;&gt;"", VLOOKUP(A4055, imdb_netflix_v5!A$2:H$7370, 2, FALSE), "")</f>
        <v>Movie</v>
      </c>
      <c r="C4055" s="2" t="str">
        <f>IF(A4055&lt;&gt;"", VLOOKUP(A4055, imdb_netflix_v5!A$2:H$7370, 3, FALSE), "")</f>
        <v>Biography, Drama, Sport</v>
      </c>
      <c r="D4055" s="2">
        <f>IF(A4055&lt;&gt;"", VLOOKUP(A4055, imdb_netflix_v5!A$2:H$7370, 4, FALSE), "")</f>
        <v>7.4</v>
      </c>
      <c r="E4055" s="2">
        <f>IF(A4055&lt;&gt;"", VLOOKUP(A4055, imdb_netflix_v5!A$2:H$7370, 5, FALSE), "")</f>
        <v>2022</v>
      </c>
      <c r="F4055" s="2" t="str">
        <f>IF(A4055&lt;&gt;"", VLOOKUP(A4055, imdb_netflix_v5!A$2:H$7370, 7, FALSE), "")</f>
        <v>NA</v>
      </c>
    </row>
    <row r="4056" ht="15.75" customHeight="1">
      <c r="A4056" s="1" t="str">
        <f>IFERROR(__xludf.DUMMYFUNCTION("""COMPUTED_VALUE"""),"they call me trinity")</f>
        <v>they call me trinity</v>
      </c>
      <c r="B4056" s="1" t="str">
        <f>IF(A4056&lt;&gt;"", VLOOKUP(A4056, imdb_netflix_v5!A$2:H$7370, 2, FALSE), "")</f>
        <v>Movie</v>
      </c>
      <c r="C4056" s="2" t="str">
        <f>IF(A4056&lt;&gt;"", VLOOKUP(A4056, imdb_netflix_v5!A$2:H$7370, 3, FALSE), "")</f>
        <v>Comedy, Western</v>
      </c>
      <c r="D4056" s="2">
        <f>IF(A4056&lt;&gt;"", VLOOKUP(A4056, imdb_netflix_v5!A$2:H$7370, 4, FALSE), "")</f>
        <v>7.4</v>
      </c>
      <c r="E4056" s="2">
        <f>IF(A4056&lt;&gt;"", VLOOKUP(A4056, imdb_netflix_v5!A$2:H$7370, 5, FALSE), "")</f>
        <v>1970</v>
      </c>
      <c r="F4056" s="2" t="str">
        <f>IF(A4056&lt;&gt;"", VLOOKUP(A4056, imdb_netflix_v5!A$2:H$7370, 7, FALSE), "")</f>
        <v>NA</v>
      </c>
    </row>
    <row r="4057" ht="15.75" customHeight="1">
      <c r="A4057" s="1" t="str">
        <f>IFERROR(__xludf.DUMMYFUNCTION("""COMPUTED_VALUE"""),"funny girl")</f>
        <v>funny girl</v>
      </c>
      <c r="B4057" s="1" t="str">
        <f>IF(A4057&lt;&gt;"", VLOOKUP(A4057, imdb_netflix_v5!A$2:H$7370, 2, FALSE), "")</f>
        <v>Movie</v>
      </c>
      <c r="C4057" s="2" t="str">
        <f>IF(A4057&lt;&gt;"", VLOOKUP(A4057, imdb_netflix_v5!A$2:H$7370, 3, FALSE), "")</f>
        <v>Biography, Comedy, Drama</v>
      </c>
      <c r="D4057" s="2">
        <f>IF(A4057&lt;&gt;"", VLOOKUP(A4057, imdb_netflix_v5!A$2:H$7370, 4, FALSE), "")</f>
        <v>7.4</v>
      </c>
      <c r="E4057" s="2">
        <f>IF(A4057&lt;&gt;"", VLOOKUP(A4057, imdb_netflix_v5!A$2:H$7370, 5, FALSE), "")</f>
        <v>1968</v>
      </c>
      <c r="F4057" s="2" t="str">
        <f>IF(A4057&lt;&gt;"", VLOOKUP(A4057, imdb_netflix_v5!A$2:H$7370, 7, FALSE), "")</f>
        <v>NA</v>
      </c>
    </row>
    <row r="4058" ht="15.75" customHeight="1">
      <c r="A4058" s="1" t="str">
        <f>IFERROR(__xludf.DUMMYFUNCTION("""COMPUTED_VALUE"""),"miss americana")</f>
        <v>miss americana</v>
      </c>
      <c r="B4058" s="1" t="str">
        <f>IF(A4058&lt;&gt;"", VLOOKUP(A4058, imdb_netflix_v5!A$2:H$7370, 2, FALSE), "")</f>
        <v>Movie</v>
      </c>
      <c r="C4058" s="2" t="str">
        <f>IF(A4058&lt;&gt;"", VLOOKUP(A4058, imdb_netflix_v5!A$2:H$7370, 3, FALSE), "")</f>
        <v>Biography, Documentary, Drama</v>
      </c>
      <c r="D4058" s="2">
        <f>IF(A4058&lt;&gt;"", VLOOKUP(A4058, imdb_netflix_v5!A$2:H$7370, 4, FALSE), "")</f>
        <v>7.4</v>
      </c>
      <c r="E4058" s="2">
        <f>IF(A4058&lt;&gt;"", VLOOKUP(A4058, imdb_netflix_v5!A$2:H$7370, 5, FALSE), "")</f>
        <v>2020</v>
      </c>
      <c r="F4058" s="2" t="str">
        <f>IF(A4058&lt;&gt;"", VLOOKUP(A4058, imdb_netflix_v5!A$2:H$7370, 7, FALSE), "")</f>
        <v>NA</v>
      </c>
    </row>
    <row r="4059" ht="15.75" customHeight="1">
      <c r="A4059" s="1" t="str">
        <f>IFERROR(__xludf.DUMMYFUNCTION("""COMPUTED_VALUE"""),"if....")</f>
        <v>if....</v>
      </c>
      <c r="B4059" s="1" t="str">
        <f>IF(A4059&lt;&gt;"", VLOOKUP(A4059, imdb_netflix_v5!A$2:H$7370, 2, FALSE), "")</f>
        <v>Movie</v>
      </c>
      <c r="C4059" s="2" t="str">
        <f>IF(A4059&lt;&gt;"", VLOOKUP(A4059, imdb_netflix_v5!A$2:H$7370, 3, FALSE), "")</f>
        <v>Crime, Drama</v>
      </c>
      <c r="D4059" s="2">
        <f>IF(A4059&lt;&gt;"", VLOOKUP(A4059, imdb_netflix_v5!A$2:H$7370, 4, FALSE), "")</f>
        <v>7.4</v>
      </c>
      <c r="E4059" s="2">
        <f>IF(A4059&lt;&gt;"", VLOOKUP(A4059, imdb_netflix_v5!A$2:H$7370, 5, FALSE), "")</f>
        <v>1968</v>
      </c>
      <c r="F4059" s="2" t="str">
        <f>IF(A4059&lt;&gt;"", VLOOKUP(A4059, imdb_netflix_v5!A$2:H$7370, 7, FALSE), "")</f>
        <v>NA</v>
      </c>
    </row>
    <row r="4060" ht="15.75" customHeight="1">
      <c r="A4060" s="1" t="str">
        <f>IFERROR(__xludf.DUMMYFUNCTION("""COMPUTED_VALUE"""),"wynonna earp")</f>
        <v>wynonna earp</v>
      </c>
      <c r="B4060" s="1" t="str">
        <f>IF(A4060&lt;&gt;"", VLOOKUP(A4060, imdb_netflix_v5!A$2:H$7370, 2, FALSE), "")</f>
        <v>TV Show</v>
      </c>
      <c r="C4060" s="2" t="str">
        <f>IF(A4060&lt;&gt;"", VLOOKUP(A4060, imdb_netflix_v5!A$2:H$7370, 3, FALSE), "")</f>
        <v>Action, Drama, Fantasy</v>
      </c>
      <c r="D4060" s="2">
        <f>IF(A4060&lt;&gt;"", VLOOKUP(A4060, imdb_netflix_v5!A$2:H$7370, 4, FALSE), "")</f>
        <v>7.4</v>
      </c>
      <c r="E4060" s="2">
        <f>IF(A4060&lt;&gt;"", VLOOKUP(A4060, imdb_netflix_v5!A$2:H$7370, 5, FALSE), "")</f>
        <v>2016</v>
      </c>
      <c r="F4060" s="2" t="str">
        <f>IF(A4060&lt;&gt;"", VLOOKUP(A4060, imdb_netflix_v5!A$2:H$7370, 7, FALSE), "")</f>
        <v>NA</v>
      </c>
    </row>
    <row r="4061" ht="15.75" customHeight="1">
      <c r="A4061" s="1" t="str">
        <f>IFERROR(__xludf.DUMMYFUNCTION("""COMPUTED_VALUE"""),"little manhattan")</f>
        <v>little manhattan</v>
      </c>
      <c r="B4061" s="1" t="str">
        <f>IF(A4061&lt;&gt;"", VLOOKUP(A4061, imdb_netflix_v5!A$2:H$7370, 2, FALSE), "")</f>
        <v>Movie</v>
      </c>
      <c r="C4061" s="2" t="str">
        <f>IF(A4061&lt;&gt;"", VLOOKUP(A4061, imdb_netflix_v5!A$2:H$7370, 3, FALSE), "")</f>
        <v>Comedy, Family, Romance</v>
      </c>
      <c r="D4061" s="2">
        <f>IF(A4061&lt;&gt;"", VLOOKUP(A4061, imdb_netflix_v5!A$2:H$7370, 4, FALSE), "")</f>
        <v>7.4</v>
      </c>
      <c r="E4061" s="2">
        <f>IF(A4061&lt;&gt;"", VLOOKUP(A4061, imdb_netflix_v5!A$2:H$7370, 5, FALSE), "")</f>
        <v>2005</v>
      </c>
      <c r="F4061" s="2" t="str">
        <f>IF(A4061&lt;&gt;"", VLOOKUP(A4061, imdb_netflix_v5!A$2:H$7370, 7, FALSE), "")</f>
        <v>NA</v>
      </c>
    </row>
    <row r="4062" ht="15.75" customHeight="1">
      <c r="A4062" s="1" t="str">
        <f>IFERROR(__xludf.DUMMYFUNCTION("""COMPUTED_VALUE"""),"together")</f>
        <v>together</v>
      </c>
      <c r="B4062" s="1" t="str">
        <f>IF(A4062&lt;&gt;"", VLOOKUP(A4062, imdb_netflix_v5!A$2:H$7370, 2, FALSE), "")</f>
        <v>Movie</v>
      </c>
      <c r="C4062" s="2" t="str">
        <f>IF(A4062&lt;&gt;"", VLOOKUP(A4062, imdb_netflix_v5!A$2:H$7370, 3, FALSE), "")</f>
        <v>Comedy, Drama, Romance</v>
      </c>
      <c r="D4062" s="2">
        <f>IF(A4062&lt;&gt;"", VLOOKUP(A4062, imdb_netflix_v5!A$2:H$7370, 4, FALSE), "")</f>
        <v>7.4</v>
      </c>
      <c r="E4062" s="2">
        <f>IF(A4062&lt;&gt;"", VLOOKUP(A4062, imdb_netflix_v5!A$2:H$7370, 5, FALSE), "")</f>
        <v>2000</v>
      </c>
      <c r="F4062" s="2" t="str">
        <f>IF(A4062&lt;&gt;"", VLOOKUP(A4062, imdb_netflix_v5!A$2:H$7370, 7, FALSE), "")</f>
        <v>NA</v>
      </c>
    </row>
    <row r="4063" ht="15.75" customHeight="1">
      <c r="A4063" s="1" t="str">
        <f>IFERROR(__xludf.DUMMYFUNCTION("""COMPUTED_VALUE"""),"restrepo")</f>
        <v>restrepo</v>
      </c>
      <c r="B4063" s="1" t="str">
        <f>IF(A4063&lt;&gt;"", VLOOKUP(A4063, imdb_netflix_v5!A$2:H$7370, 2, FALSE), "")</f>
        <v>Movie</v>
      </c>
      <c r="C4063" s="2" t="str">
        <f>IF(A4063&lt;&gt;"", VLOOKUP(A4063, imdb_netflix_v5!A$2:H$7370, 3, FALSE), "")</f>
        <v>Biography, Documentary, History</v>
      </c>
      <c r="D4063" s="2">
        <f>IF(A4063&lt;&gt;"", VLOOKUP(A4063, imdb_netflix_v5!A$2:H$7370, 4, FALSE), "")</f>
        <v>7.4</v>
      </c>
      <c r="E4063" s="2">
        <f>IF(A4063&lt;&gt;"", VLOOKUP(A4063, imdb_netflix_v5!A$2:H$7370, 5, FALSE), "")</f>
        <v>2010</v>
      </c>
      <c r="F4063" s="2" t="str">
        <f>IF(A4063&lt;&gt;"", VLOOKUP(A4063, imdb_netflix_v5!A$2:H$7370, 7, FALSE), "")</f>
        <v>NA</v>
      </c>
    </row>
    <row r="4064" ht="15.75" customHeight="1">
      <c r="A4064" s="1" t="str">
        <f>IFERROR(__xludf.DUMMYFUNCTION("""COMPUTED_VALUE"""),"sunflower")</f>
        <v>sunflower</v>
      </c>
      <c r="B4064" s="1" t="str">
        <f>IF(A4064&lt;&gt;"", VLOOKUP(A4064, imdb_netflix_v5!A$2:H$7370, 2, FALSE), "")</f>
        <v>TV Show</v>
      </c>
      <c r="C4064" s="2" t="str">
        <f>IF(A4064&lt;&gt;"", VLOOKUP(A4064, imdb_netflix_v5!A$2:H$7370, 3, FALSE), "")</f>
        <v>Comedy, Crime, Mystery</v>
      </c>
      <c r="D4064" s="2">
        <f>IF(A4064&lt;&gt;"", VLOOKUP(A4064, imdb_netflix_v5!A$2:H$7370, 4, FALSE), "")</f>
        <v>7.4</v>
      </c>
      <c r="E4064" s="2">
        <f>IF(A4064&lt;&gt;"", VLOOKUP(A4064, imdb_netflix_v5!A$2:H$7370, 5, FALSE), "")</f>
        <v>2021</v>
      </c>
      <c r="F4064" s="2" t="str">
        <f>IF(A4064&lt;&gt;"", VLOOKUP(A4064, imdb_netflix_v5!A$2:H$7370, 7, FALSE), "")</f>
        <v>NA</v>
      </c>
    </row>
    <row r="4065" ht="15.75" customHeight="1">
      <c r="A4065" s="1" t="str">
        <f>IFERROR(__xludf.DUMMYFUNCTION("""COMPUTED_VALUE"""),"foreign correspondent")</f>
        <v>foreign correspondent</v>
      </c>
      <c r="B4065" s="1" t="str">
        <f>IF(A4065&lt;&gt;"", VLOOKUP(A4065, imdb_netflix_v5!A$2:H$7370, 2, FALSE), "")</f>
        <v>Movie</v>
      </c>
      <c r="C4065" s="2" t="str">
        <f>IF(A4065&lt;&gt;"", VLOOKUP(A4065, imdb_netflix_v5!A$2:H$7370, 3, FALSE), "")</f>
        <v>Action, Romance, Thriller</v>
      </c>
      <c r="D4065" s="2">
        <f>IF(A4065&lt;&gt;"", VLOOKUP(A4065, imdb_netflix_v5!A$2:H$7370, 4, FALSE), "")</f>
        <v>7.4</v>
      </c>
      <c r="E4065" s="2">
        <f>IF(A4065&lt;&gt;"", VLOOKUP(A4065, imdb_netflix_v5!A$2:H$7370, 5, FALSE), "")</f>
        <v>1940</v>
      </c>
      <c r="F4065" s="2" t="str">
        <f>IF(A4065&lt;&gt;"", VLOOKUP(A4065, imdb_netflix_v5!A$2:H$7370, 7, FALSE), "")</f>
        <v>NA</v>
      </c>
    </row>
    <row r="4066" ht="15.75" customHeight="1">
      <c r="A4066" s="1" t="str">
        <f>IFERROR(__xludf.DUMMYFUNCTION("""COMPUTED_VALUE"""),"paradise now")</f>
        <v>paradise now</v>
      </c>
      <c r="B4066" s="1" t="str">
        <f>IF(A4066&lt;&gt;"", VLOOKUP(A4066, imdb_netflix_v5!A$2:H$7370, 2, FALSE), "")</f>
        <v>Movie</v>
      </c>
      <c r="C4066" s="2" t="str">
        <f>IF(A4066&lt;&gt;"", VLOOKUP(A4066, imdb_netflix_v5!A$2:H$7370, 3, FALSE), "")</f>
        <v>Crime, Drama, Thriller</v>
      </c>
      <c r="D4066" s="2">
        <f>IF(A4066&lt;&gt;"", VLOOKUP(A4066, imdb_netflix_v5!A$2:H$7370, 4, FALSE), "")</f>
        <v>7.4</v>
      </c>
      <c r="E4066" s="2">
        <f>IF(A4066&lt;&gt;"", VLOOKUP(A4066, imdb_netflix_v5!A$2:H$7370, 5, FALSE), "")</f>
        <v>2005</v>
      </c>
      <c r="F4066" s="2" t="str">
        <f>IF(A4066&lt;&gt;"", VLOOKUP(A4066, imdb_netflix_v5!A$2:H$7370, 7, FALSE), "")</f>
        <v>NA</v>
      </c>
    </row>
    <row r="4067" ht="15.75" customHeight="1">
      <c r="A4067" s="1" t="str">
        <f>IFERROR(__xludf.DUMMYFUNCTION("""COMPUTED_VALUE"""),"american factory")</f>
        <v>american factory</v>
      </c>
      <c r="B4067" s="1" t="str">
        <f>IF(A4067&lt;&gt;"", VLOOKUP(A4067, imdb_netflix_v5!A$2:H$7370, 2, FALSE), "")</f>
        <v>Movie</v>
      </c>
      <c r="C4067" s="2" t="str">
        <f>IF(A4067&lt;&gt;"", VLOOKUP(A4067, imdb_netflix_v5!A$2:H$7370, 3, FALSE), "")</f>
        <v>Documentary</v>
      </c>
      <c r="D4067" s="2">
        <f>IF(A4067&lt;&gt;"", VLOOKUP(A4067, imdb_netflix_v5!A$2:H$7370, 4, FALSE), "")</f>
        <v>7.4</v>
      </c>
      <c r="E4067" s="2">
        <f>IF(A4067&lt;&gt;"", VLOOKUP(A4067, imdb_netflix_v5!A$2:H$7370, 5, FALSE), "")</f>
        <v>2019</v>
      </c>
      <c r="F4067" s="2" t="str">
        <f>IF(A4067&lt;&gt;"", VLOOKUP(A4067, imdb_netflix_v5!A$2:H$7370, 7, FALSE), "")</f>
        <v>NA</v>
      </c>
    </row>
    <row r="4068" ht="15.75" customHeight="1">
      <c r="A4068" s="1" t="str">
        <f>IFERROR(__xludf.DUMMYFUNCTION("""COMPUTED_VALUE"""),"i")</f>
        <v>i</v>
      </c>
      <c r="B4068" s="1" t="str">
        <f>IF(A4068&lt;&gt;"", VLOOKUP(A4068, imdb_netflix_v5!A$2:H$7370, 2, FALSE), "")</f>
        <v>Movie</v>
      </c>
      <c r="C4068" s="2" t="str">
        <f>IF(A4068&lt;&gt;"", VLOOKUP(A4068, imdb_netflix_v5!A$2:H$7370, 3, FALSE), "")</f>
        <v>Action, Drama, Romance</v>
      </c>
      <c r="D4068" s="2">
        <f>IF(A4068&lt;&gt;"", VLOOKUP(A4068, imdb_netflix_v5!A$2:H$7370, 4, FALSE), "")</f>
        <v>7.4</v>
      </c>
      <c r="E4068" s="2">
        <f>IF(A4068&lt;&gt;"", VLOOKUP(A4068, imdb_netflix_v5!A$2:H$7370, 5, FALSE), "")</f>
        <v>2015</v>
      </c>
      <c r="F4068" s="2" t="str">
        <f>IF(A4068&lt;&gt;"", VLOOKUP(A4068, imdb_netflix_v5!A$2:H$7370, 7, FALSE), "")</f>
        <v>NA</v>
      </c>
    </row>
    <row r="4069" ht="15.75" customHeight="1">
      <c r="A4069" s="1" t="str">
        <f>IFERROR(__xludf.DUMMYFUNCTION("""COMPUTED_VALUE"""),"tales from the loop")</f>
        <v>tales from the loop</v>
      </c>
      <c r="B4069" s="1" t="str">
        <f>IF(A4069&lt;&gt;"", VLOOKUP(A4069, imdb_netflix_v5!A$2:H$7370, 2, FALSE), "")</f>
        <v>TV Show</v>
      </c>
      <c r="C4069" s="2" t="str">
        <f>IF(A4069&lt;&gt;"", VLOOKUP(A4069, imdb_netflix_v5!A$2:H$7370, 3, FALSE), "")</f>
        <v>Drama, Sci-Fi</v>
      </c>
      <c r="D4069" s="2">
        <f>IF(A4069&lt;&gt;"", VLOOKUP(A4069, imdb_netflix_v5!A$2:H$7370, 4, FALSE), "")</f>
        <v>7.4</v>
      </c>
      <c r="E4069" s="2">
        <f>IF(A4069&lt;&gt;"", VLOOKUP(A4069, imdb_netflix_v5!A$2:H$7370, 5, FALSE), "")</f>
        <v>2020</v>
      </c>
      <c r="F4069" s="2" t="str">
        <f>IF(A4069&lt;&gt;"", VLOOKUP(A4069, imdb_netflix_v5!A$2:H$7370, 7, FALSE), "")</f>
        <v>NA</v>
      </c>
    </row>
    <row r="4070" ht="15.75" customHeight="1">
      <c r="A4070" s="1" t="str">
        <f>IFERROR(__xludf.DUMMYFUNCTION("""COMPUTED_VALUE"""),"knife in the water")</f>
        <v>knife in the water</v>
      </c>
      <c r="B4070" s="1" t="str">
        <f>IF(A4070&lt;&gt;"", VLOOKUP(A4070, imdb_netflix_v5!A$2:H$7370, 2, FALSE), "")</f>
        <v>Movie</v>
      </c>
      <c r="C4070" s="2" t="str">
        <f>IF(A4070&lt;&gt;"", VLOOKUP(A4070, imdb_netflix_v5!A$2:H$7370, 3, FALSE), "")</f>
        <v>Drama, Thriller</v>
      </c>
      <c r="D4070" s="2">
        <f>IF(A4070&lt;&gt;"", VLOOKUP(A4070, imdb_netflix_v5!A$2:H$7370, 4, FALSE), "")</f>
        <v>7.4</v>
      </c>
      <c r="E4070" s="2">
        <f>IF(A4070&lt;&gt;"", VLOOKUP(A4070, imdb_netflix_v5!A$2:H$7370, 5, FALSE), "")</f>
        <v>1962</v>
      </c>
      <c r="F4070" s="2" t="str">
        <f>IF(A4070&lt;&gt;"", VLOOKUP(A4070, imdb_netflix_v5!A$2:H$7370, 7, FALSE), "")</f>
        <v>NA</v>
      </c>
    </row>
    <row r="4071" ht="15.75" customHeight="1">
      <c r="A4071" s="1" t="str">
        <f>IFERROR(__xludf.DUMMYFUNCTION("""COMPUTED_VALUE"""),"everything sucks!")</f>
        <v>everything sucks!</v>
      </c>
      <c r="B4071" s="1" t="str">
        <f>IF(A4071&lt;&gt;"", VLOOKUP(A4071, imdb_netflix_v5!A$2:H$7370, 2, FALSE), "")</f>
        <v>TV Show</v>
      </c>
      <c r="C4071" s="2" t="str">
        <f>IF(A4071&lt;&gt;"", VLOOKUP(A4071, imdb_netflix_v5!A$2:H$7370, 3, FALSE), "")</f>
        <v>Comedy, Drama</v>
      </c>
      <c r="D4071" s="2">
        <f>IF(A4071&lt;&gt;"", VLOOKUP(A4071, imdb_netflix_v5!A$2:H$7370, 4, FALSE), "")</f>
        <v>7.4</v>
      </c>
      <c r="E4071" s="2">
        <f>IF(A4071&lt;&gt;"", VLOOKUP(A4071, imdb_netflix_v5!A$2:H$7370, 5, FALSE), "")</f>
        <v>2018</v>
      </c>
      <c r="F4071" s="2" t="str">
        <f>IF(A4071&lt;&gt;"", VLOOKUP(A4071, imdb_netflix_v5!A$2:H$7370, 7, FALSE), "")</f>
        <v>NA</v>
      </c>
    </row>
    <row r="4072" ht="15.75" customHeight="1">
      <c r="A4072" s="1" t="str">
        <f>IFERROR(__xludf.DUMMYFUNCTION("""COMPUTED_VALUE"""),"digimon digital monsters")</f>
        <v>digimon digital monsters</v>
      </c>
      <c r="B4072" s="1" t="str">
        <f>IF(A4072&lt;&gt;"", VLOOKUP(A4072, imdb_netflix_v5!A$2:H$7370, 2, FALSE), "")</f>
        <v>TV Show</v>
      </c>
      <c r="C4072" s="2" t="str">
        <f>IF(A4072&lt;&gt;"", VLOOKUP(A4072, imdb_netflix_v5!A$2:H$7370, 3, FALSE), "")</f>
        <v>Action, Adventure, Animation</v>
      </c>
      <c r="D4072" s="2">
        <f>IF(A4072&lt;&gt;"", VLOOKUP(A4072, imdb_netflix_v5!A$2:H$7370, 4, FALSE), "")</f>
        <v>7.4</v>
      </c>
      <c r="E4072" s="2">
        <f>IF(A4072&lt;&gt;"", VLOOKUP(A4072, imdb_netflix_v5!A$2:H$7370, 5, FALSE), "")</f>
        <v>1999</v>
      </c>
      <c r="F4072" s="2" t="str">
        <f>IF(A4072&lt;&gt;"", VLOOKUP(A4072, imdb_netflix_v5!A$2:H$7370, 7, FALSE), "")</f>
        <v>NA</v>
      </c>
    </row>
    <row r="4073" ht="15.75" customHeight="1">
      <c r="A4073" s="1" t="str">
        <f>IFERROR(__xludf.DUMMYFUNCTION("""COMPUTED_VALUE"""),"the teachers lounge")</f>
        <v>the teachers lounge</v>
      </c>
      <c r="B4073" s="1" t="str">
        <f>IF(A4073&lt;&gt;"", VLOOKUP(A4073, imdb_netflix_v5!A$2:H$7370, 2, FALSE), "")</f>
        <v>Movie</v>
      </c>
      <c r="C4073" s="2" t="str">
        <f>IF(A4073&lt;&gt;"", VLOOKUP(A4073, imdb_netflix_v5!A$2:H$7370, 3, FALSE), "")</f>
        <v>Drama</v>
      </c>
      <c r="D4073" s="2">
        <f>IF(A4073&lt;&gt;"", VLOOKUP(A4073, imdb_netflix_v5!A$2:H$7370, 4, FALSE), "")</f>
        <v>7.4</v>
      </c>
      <c r="E4073" s="2">
        <f>IF(A4073&lt;&gt;"", VLOOKUP(A4073, imdb_netflix_v5!A$2:H$7370, 5, FALSE), "")</f>
        <v>2023</v>
      </c>
      <c r="F4073" s="2" t="str">
        <f>IF(A4073&lt;&gt;"", VLOOKUP(A4073, imdb_netflix_v5!A$2:H$7370, 7, FALSE), "")</f>
        <v>NA</v>
      </c>
    </row>
    <row r="4074" ht="15.75" customHeight="1">
      <c r="A4074" s="1" t="str">
        <f>IFERROR(__xludf.DUMMYFUNCTION("""COMPUTED_VALUE"""),"salvador")</f>
        <v>salvador</v>
      </c>
      <c r="B4074" s="1" t="str">
        <f>IF(A4074&lt;&gt;"", VLOOKUP(A4074, imdb_netflix_v5!A$2:H$7370, 2, FALSE), "")</f>
        <v>Movie</v>
      </c>
      <c r="C4074" s="2" t="str">
        <f>IF(A4074&lt;&gt;"", VLOOKUP(A4074, imdb_netflix_v5!A$2:H$7370, 3, FALSE), "")</f>
        <v>Drama, History, Thriller</v>
      </c>
      <c r="D4074" s="2">
        <f>IF(A4074&lt;&gt;"", VLOOKUP(A4074, imdb_netflix_v5!A$2:H$7370, 4, FALSE), "")</f>
        <v>7.4</v>
      </c>
      <c r="E4074" s="2">
        <f>IF(A4074&lt;&gt;"", VLOOKUP(A4074, imdb_netflix_v5!A$2:H$7370, 5, FALSE), "")</f>
        <v>1986</v>
      </c>
      <c r="F4074" s="2" t="str">
        <f>IF(A4074&lt;&gt;"", VLOOKUP(A4074, imdb_netflix_v5!A$2:H$7370, 7, FALSE), "")</f>
        <v>NA</v>
      </c>
    </row>
    <row r="4075" ht="15.75" customHeight="1">
      <c r="A4075" s="1" t="str">
        <f>IFERROR(__xludf.DUMMYFUNCTION("""COMPUTED_VALUE"""),"the postman always rings twice")</f>
        <v>the postman always rings twice</v>
      </c>
      <c r="B4075" s="1" t="str">
        <f>IF(A4075&lt;&gt;"", VLOOKUP(A4075, imdb_netflix_v5!A$2:H$7370, 2, FALSE), "")</f>
        <v>Movie</v>
      </c>
      <c r="C4075" s="2" t="str">
        <f>IF(A4075&lt;&gt;"", VLOOKUP(A4075, imdb_netflix_v5!A$2:H$7370, 3, FALSE), "")</f>
        <v>Crime, Drama, Film-Noir</v>
      </c>
      <c r="D4075" s="2">
        <f>IF(A4075&lt;&gt;"", VLOOKUP(A4075, imdb_netflix_v5!A$2:H$7370, 4, FALSE), "")</f>
        <v>7.4</v>
      </c>
      <c r="E4075" s="2">
        <f>IF(A4075&lt;&gt;"", VLOOKUP(A4075, imdb_netflix_v5!A$2:H$7370, 5, FALSE), "")</f>
        <v>1946</v>
      </c>
      <c r="F4075" s="2" t="str">
        <f>IF(A4075&lt;&gt;"", VLOOKUP(A4075, imdb_netflix_v5!A$2:H$7370, 7, FALSE), "")</f>
        <v>NA</v>
      </c>
    </row>
    <row r="4076" ht="15.75" customHeight="1">
      <c r="A4076" s="1" t="str">
        <f>IFERROR(__xludf.DUMMYFUNCTION("""COMPUTED_VALUE"""),"lean on me")</f>
        <v>lean on me</v>
      </c>
      <c r="B4076" s="1" t="str">
        <f>IF(A4076&lt;&gt;"", VLOOKUP(A4076, imdb_netflix_v5!A$2:H$7370, 2, FALSE), "")</f>
        <v>Movie</v>
      </c>
      <c r="C4076" s="2" t="str">
        <f>IF(A4076&lt;&gt;"", VLOOKUP(A4076, imdb_netflix_v5!A$2:H$7370, 3, FALSE), "")</f>
        <v>Biography, Drama</v>
      </c>
      <c r="D4076" s="2">
        <f>IF(A4076&lt;&gt;"", VLOOKUP(A4076, imdb_netflix_v5!A$2:H$7370, 4, FALSE), "")</f>
        <v>7.4</v>
      </c>
      <c r="E4076" s="2">
        <f>IF(A4076&lt;&gt;"", VLOOKUP(A4076, imdb_netflix_v5!A$2:H$7370, 5, FALSE), "")</f>
        <v>1989</v>
      </c>
      <c r="F4076" s="2" t="str">
        <f>IF(A4076&lt;&gt;"", VLOOKUP(A4076, imdb_netflix_v5!A$2:H$7370, 7, FALSE), "")</f>
        <v>NA</v>
      </c>
    </row>
    <row r="4077" ht="15.75" customHeight="1">
      <c r="A4077" s="1" t="str">
        <f>IFERROR(__xludf.DUMMYFUNCTION("""COMPUTED_VALUE"""),"adams rib")</f>
        <v>adams rib</v>
      </c>
      <c r="B4077" s="1" t="str">
        <f>IF(A4077&lt;&gt;"", VLOOKUP(A4077, imdb_netflix_v5!A$2:H$7370, 2, FALSE), "")</f>
        <v>Movie</v>
      </c>
      <c r="C4077" s="2" t="str">
        <f>IF(A4077&lt;&gt;"", VLOOKUP(A4077, imdb_netflix_v5!A$2:H$7370, 3, FALSE), "")</f>
        <v>Comedy, Romance</v>
      </c>
      <c r="D4077" s="2">
        <f>IF(A4077&lt;&gt;"", VLOOKUP(A4077, imdb_netflix_v5!A$2:H$7370, 4, FALSE), "")</f>
        <v>7.4</v>
      </c>
      <c r="E4077" s="2">
        <f>IF(A4077&lt;&gt;"", VLOOKUP(A4077, imdb_netflix_v5!A$2:H$7370, 5, FALSE), "")</f>
        <v>1949</v>
      </c>
      <c r="F4077" s="2" t="str">
        <f>IF(A4077&lt;&gt;"", VLOOKUP(A4077, imdb_netflix_v5!A$2:H$7370, 7, FALSE), "")</f>
        <v>NA</v>
      </c>
    </row>
    <row r="4078" ht="15.75" customHeight="1">
      <c r="A4078" s="1" t="str">
        <f>IFERROR(__xludf.DUMMYFUNCTION("""COMPUTED_VALUE"""),"kesari")</f>
        <v>kesari</v>
      </c>
      <c r="B4078" s="1" t="str">
        <f>IF(A4078&lt;&gt;"", VLOOKUP(A4078, imdb_netflix_v5!A$2:H$7370, 2, FALSE), "")</f>
        <v>Movie</v>
      </c>
      <c r="C4078" s="2" t="str">
        <f>IF(A4078&lt;&gt;"", VLOOKUP(A4078, imdb_netflix_v5!A$2:H$7370, 3, FALSE), "")</f>
        <v>Action, Drama, History</v>
      </c>
      <c r="D4078" s="2">
        <f>IF(A4078&lt;&gt;"", VLOOKUP(A4078, imdb_netflix_v5!A$2:H$7370, 4, FALSE), "")</f>
        <v>7.4</v>
      </c>
      <c r="E4078" s="2">
        <f>IF(A4078&lt;&gt;"", VLOOKUP(A4078, imdb_netflix_v5!A$2:H$7370, 5, FALSE), "")</f>
        <v>2019</v>
      </c>
      <c r="F4078" s="2" t="str">
        <f>IF(A4078&lt;&gt;"", VLOOKUP(A4078, imdb_netflix_v5!A$2:H$7370, 7, FALSE), "")</f>
        <v>NA</v>
      </c>
    </row>
    <row r="4079" ht="15.75" customHeight="1">
      <c r="A4079" s="1" t="str">
        <f>IFERROR(__xludf.DUMMYFUNCTION("""COMPUTED_VALUE"""),"tomboy")</f>
        <v>tomboy</v>
      </c>
      <c r="B4079" s="1" t="str">
        <f>IF(A4079&lt;&gt;"", VLOOKUP(A4079, imdb_netflix_v5!A$2:H$7370, 2, FALSE), "")</f>
        <v>Movie</v>
      </c>
      <c r="C4079" s="2" t="str">
        <f>IF(A4079&lt;&gt;"", VLOOKUP(A4079, imdb_netflix_v5!A$2:H$7370, 3, FALSE), "")</f>
        <v>Drama</v>
      </c>
      <c r="D4079" s="2">
        <f>IF(A4079&lt;&gt;"", VLOOKUP(A4079, imdb_netflix_v5!A$2:H$7370, 4, FALSE), "")</f>
        <v>7.4</v>
      </c>
      <c r="E4079" s="2">
        <f>IF(A4079&lt;&gt;"", VLOOKUP(A4079, imdb_netflix_v5!A$2:H$7370, 5, FALSE), "")</f>
        <v>2011</v>
      </c>
      <c r="F4079" s="2" t="str">
        <f>IF(A4079&lt;&gt;"", VLOOKUP(A4079, imdb_netflix_v5!A$2:H$7370, 7, FALSE), "")</f>
        <v>NA</v>
      </c>
    </row>
    <row r="4080" ht="15.75" customHeight="1">
      <c r="A4080" s="1" t="str">
        <f>IFERROR(__xludf.DUMMYFUNCTION("""COMPUTED_VALUE"""),"suburra")</f>
        <v>suburra</v>
      </c>
      <c r="B4080" s="1" t="str">
        <f>IF(A4080&lt;&gt;"", VLOOKUP(A4080, imdb_netflix_v5!A$2:H$7370, 2, FALSE), "")</f>
        <v>Movie</v>
      </c>
      <c r="C4080" s="2" t="str">
        <f>IF(A4080&lt;&gt;"", VLOOKUP(A4080, imdb_netflix_v5!A$2:H$7370, 3, FALSE), "")</f>
        <v>Action, Crime, Drama</v>
      </c>
      <c r="D4080" s="2">
        <f>IF(A4080&lt;&gt;"", VLOOKUP(A4080, imdb_netflix_v5!A$2:H$7370, 4, FALSE), "")</f>
        <v>7.4</v>
      </c>
      <c r="E4080" s="2">
        <f>IF(A4080&lt;&gt;"", VLOOKUP(A4080, imdb_netflix_v5!A$2:H$7370, 5, FALSE), "")</f>
        <v>2015</v>
      </c>
      <c r="F4080" s="2" t="str">
        <f>IF(A4080&lt;&gt;"", VLOOKUP(A4080, imdb_netflix_v5!A$2:H$7370, 7, FALSE), "")</f>
        <v>NA</v>
      </c>
    </row>
    <row r="4081" ht="15.75" customHeight="1">
      <c r="A4081" s="1" t="str">
        <f>IFERROR(__xludf.DUMMYFUNCTION("""COMPUTED_VALUE"""),"trainwreck woodstock 99")</f>
        <v>trainwreck woodstock 99</v>
      </c>
      <c r="B4081" s="1" t="str">
        <f>IF(A4081&lt;&gt;"", VLOOKUP(A4081, imdb_netflix_v5!A$2:H$7370, 2, FALSE), "")</f>
        <v>TV Show</v>
      </c>
      <c r="C4081" s="2" t="str">
        <f>IF(A4081&lt;&gt;"", VLOOKUP(A4081, imdb_netflix_v5!A$2:H$7370, 3, FALSE), "")</f>
        <v>Documentary, History, Music</v>
      </c>
      <c r="D4081" s="2">
        <f>IF(A4081&lt;&gt;"", VLOOKUP(A4081, imdb_netflix_v5!A$2:H$7370, 4, FALSE), "")</f>
        <v>7.4</v>
      </c>
      <c r="E4081" s="2">
        <f>IF(A4081&lt;&gt;"", VLOOKUP(A4081, imdb_netflix_v5!A$2:H$7370, 5, FALSE), "")</f>
        <v>2022</v>
      </c>
      <c r="F4081" s="2" t="str">
        <f>IF(A4081&lt;&gt;"", VLOOKUP(A4081, imdb_netflix_v5!A$2:H$7370, 7, FALSE), "")</f>
        <v>NA</v>
      </c>
    </row>
    <row r="4082" ht="15.75" customHeight="1">
      <c r="A4082" s="1" t="str">
        <f>IFERROR(__xludf.DUMMYFUNCTION("""COMPUTED_VALUE"""),"monica, o my darling")</f>
        <v>monica, o my darling</v>
      </c>
      <c r="B4082" s="1" t="str">
        <f>IF(A4082&lt;&gt;"", VLOOKUP(A4082, imdb_netflix_v5!A$2:H$7370, 2, FALSE), "")</f>
        <v>Movie</v>
      </c>
      <c r="C4082" s="2" t="str">
        <f>IF(A4082&lt;&gt;"", VLOOKUP(A4082, imdb_netflix_v5!A$2:H$7370, 3, FALSE), "")</f>
        <v>Comedy, Crime, Drama</v>
      </c>
      <c r="D4082" s="2">
        <f>IF(A4082&lt;&gt;"", VLOOKUP(A4082, imdb_netflix_v5!A$2:H$7370, 4, FALSE), "")</f>
        <v>7.4</v>
      </c>
      <c r="E4082" s="2">
        <f>IF(A4082&lt;&gt;"", VLOOKUP(A4082, imdb_netflix_v5!A$2:H$7370, 5, FALSE), "")</f>
        <v>2022</v>
      </c>
      <c r="F4082" s="2">
        <f>IF(A4082&lt;&gt;"", VLOOKUP(A4082, imdb_netflix_v5!A$2:H$7370, 7, FALSE), "")</f>
        <v>5840000</v>
      </c>
    </row>
    <row r="4083" ht="15.75" customHeight="1">
      <c r="A4083" s="1" t="str">
        <f>IFERROR(__xludf.DUMMYFUNCTION("""COMPUTED_VALUE"""),"jackie chan adventures")</f>
        <v>jackie chan adventures</v>
      </c>
      <c r="B4083" s="1" t="str">
        <f>IF(A4083&lt;&gt;"", VLOOKUP(A4083, imdb_netflix_v5!A$2:H$7370, 2, FALSE), "")</f>
        <v>TV Show</v>
      </c>
      <c r="C4083" s="2" t="str">
        <f>IF(A4083&lt;&gt;"", VLOOKUP(A4083, imdb_netflix_v5!A$2:H$7370, 3, FALSE), "")</f>
        <v>Action, Adventure, Animation</v>
      </c>
      <c r="D4083" s="2">
        <f>IF(A4083&lt;&gt;"", VLOOKUP(A4083, imdb_netflix_v5!A$2:H$7370, 4, FALSE), "")</f>
        <v>7.4</v>
      </c>
      <c r="E4083" s="2">
        <f>IF(A4083&lt;&gt;"", VLOOKUP(A4083, imdb_netflix_v5!A$2:H$7370, 5, FALSE), "")</f>
        <v>2000</v>
      </c>
      <c r="F4083" s="2" t="str">
        <f>IF(A4083&lt;&gt;"", VLOOKUP(A4083, imdb_netflix_v5!A$2:H$7370, 7, FALSE), "")</f>
        <v>NA</v>
      </c>
    </row>
    <row r="4084" ht="15.75" customHeight="1">
      <c r="A4084" s="1" t="str">
        <f>IFERROR(__xludf.DUMMYFUNCTION("""COMPUTED_VALUE"""),"bring me the head of alfredo garcia")</f>
        <v>bring me the head of alfredo garcia</v>
      </c>
      <c r="B4084" s="1" t="str">
        <f>IF(A4084&lt;&gt;"", VLOOKUP(A4084, imdb_netflix_v5!A$2:H$7370, 2, FALSE), "")</f>
        <v>Movie</v>
      </c>
      <c r="C4084" s="2" t="str">
        <f>IF(A4084&lt;&gt;"", VLOOKUP(A4084, imdb_netflix_v5!A$2:H$7370, 3, FALSE), "")</f>
        <v>Action, Crime, Drama</v>
      </c>
      <c r="D4084" s="2">
        <f>IF(A4084&lt;&gt;"", VLOOKUP(A4084, imdb_netflix_v5!A$2:H$7370, 4, FALSE), "")</f>
        <v>7.4</v>
      </c>
      <c r="E4084" s="2">
        <f>IF(A4084&lt;&gt;"", VLOOKUP(A4084, imdb_netflix_v5!A$2:H$7370, 5, FALSE), "")</f>
        <v>1974</v>
      </c>
      <c r="F4084" s="2" t="str">
        <f>IF(A4084&lt;&gt;"", VLOOKUP(A4084, imdb_netflix_v5!A$2:H$7370, 7, FALSE), "")</f>
        <v>NA</v>
      </c>
    </row>
    <row r="4085" ht="15.75" customHeight="1">
      <c r="A4085" s="1" t="str">
        <f>IFERROR(__xludf.DUMMYFUNCTION("""COMPUTED_VALUE"""),"akeelah and the bee")</f>
        <v>akeelah and the bee</v>
      </c>
      <c r="B4085" s="1" t="str">
        <f>IF(A4085&lt;&gt;"", VLOOKUP(A4085, imdb_netflix_v5!A$2:H$7370, 2, FALSE), "")</f>
        <v>Movie</v>
      </c>
      <c r="C4085" s="2" t="str">
        <f>IF(A4085&lt;&gt;"", VLOOKUP(A4085, imdb_netflix_v5!A$2:H$7370, 3, FALSE), "")</f>
        <v>Drama, Family</v>
      </c>
      <c r="D4085" s="2">
        <f>IF(A4085&lt;&gt;"", VLOOKUP(A4085, imdb_netflix_v5!A$2:H$7370, 4, FALSE), "")</f>
        <v>7.4</v>
      </c>
      <c r="E4085" s="2">
        <f>IF(A4085&lt;&gt;"", VLOOKUP(A4085, imdb_netflix_v5!A$2:H$7370, 5, FALSE), "")</f>
        <v>2006</v>
      </c>
      <c r="F4085" s="2" t="str">
        <f>IF(A4085&lt;&gt;"", VLOOKUP(A4085, imdb_netflix_v5!A$2:H$7370, 7, FALSE), "")</f>
        <v>NA</v>
      </c>
    </row>
    <row r="4086" ht="15.75" customHeight="1">
      <c r="A4086" s="1" t="str">
        <f>IFERROR(__xludf.DUMMYFUNCTION("""COMPUTED_VALUE"""),"rabbit hole")</f>
        <v>rabbit hole</v>
      </c>
      <c r="B4086" s="1" t="str">
        <f>IF(A4086&lt;&gt;"", VLOOKUP(A4086, imdb_netflix_v5!A$2:H$7370, 2, FALSE), "")</f>
        <v>TV Show</v>
      </c>
      <c r="C4086" s="2" t="str">
        <f>IF(A4086&lt;&gt;"", VLOOKUP(A4086, imdb_netflix_v5!A$2:H$7370, 3, FALSE), "")</f>
        <v>Action, Drama, Thriller</v>
      </c>
      <c r="D4086" s="2">
        <f>IF(A4086&lt;&gt;"", VLOOKUP(A4086, imdb_netflix_v5!A$2:H$7370, 4, FALSE), "")</f>
        <v>7.4</v>
      </c>
      <c r="E4086" s="2">
        <f>IF(A4086&lt;&gt;"", VLOOKUP(A4086, imdb_netflix_v5!A$2:H$7370, 5, FALSE), "")</f>
        <v>2023</v>
      </c>
      <c r="F4086" s="2" t="str">
        <f>IF(A4086&lt;&gt;"", VLOOKUP(A4086, imdb_netflix_v5!A$2:H$7370, 7, FALSE), "")</f>
        <v>NA</v>
      </c>
    </row>
    <row r="4087" ht="15.75" customHeight="1">
      <c r="A4087" s="1" t="str">
        <f>IFERROR(__xludf.DUMMYFUNCTION("""COMPUTED_VALUE"""),"shining girls")</f>
        <v>shining girls</v>
      </c>
      <c r="B4087" s="1" t="str">
        <f>IF(A4087&lt;&gt;"", VLOOKUP(A4087, imdb_netflix_v5!A$2:H$7370, 2, FALSE), "")</f>
        <v>TV Show</v>
      </c>
      <c r="C4087" s="2" t="str">
        <f>IF(A4087&lt;&gt;"", VLOOKUP(A4087, imdb_netflix_v5!A$2:H$7370, 3, FALSE), "")</f>
        <v>Crime, Drama, Mystery</v>
      </c>
      <c r="D4087" s="2">
        <f>IF(A4087&lt;&gt;"", VLOOKUP(A4087, imdb_netflix_v5!A$2:H$7370, 4, FALSE), "")</f>
        <v>7.4</v>
      </c>
      <c r="E4087" s="2">
        <f>IF(A4087&lt;&gt;"", VLOOKUP(A4087, imdb_netflix_v5!A$2:H$7370, 5, FALSE), "")</f>
        <v>2022</v>
      </c>
      <c r="F4087" s="2" t="str">
        <f>IF(A4087&lt;&gt;"", VLOOKUP(A4087, imdb_netflix_v5!A$2:H$7370, 7, FALSE), "")</f>
        <v>NA</v>
      </c>
    </row>
    <row r="4088" ht="15.75" customHeight="1">
      <c r="A4088" s="1" t="str">
        <f>IFERROR(__xludf.DUMMYFUNCTION("""COMPUTED_VALUE"""),"vampyr")</f>
        <v>vampyr</v>
      </c>
      <c r="B4088" s="1" t="str">
        <f>IF(A4088&lt;&gt;"", VLOOKUP(A4088, imdb_netflix_v5!A$2:H$7370, 2, FALSE), "")</f>
        <v>Movie</v>
      </c>
      <c r="C4088" s="2" t="str">
        <f>IF(A4088&lt;&gt;"", VLOOKUP(A4088, imdb_netflix_v5!A$2:H$7370, 3, FALSE), "")</f>
        <v>Fantasy, Horror</v>
      </c>
      <c r="D4088" s="2">
        <f>IF(A4088&lt;&gt;"", VLOOKUP(A4088, imdb_netflix_v5!A$2:H$7370, 4, FALSE), "")</f>
        <v>7.4</v>
      </c>
      <c r="E4088" s="2">
        <f>IF(A4088&lt;&gt;"", VLOOKUP(A4088, imdb_netflix_v5!A$2:H$7370, 5, FALSE), "")</f>
        <v>1932</v>
      </c>
      <c r="F4088" s="2" t="str">
        <f>IF(A4088&lt;&gt;"", VLOOKUP(A4088, imdb_netflix_v5!A$2:H$7370, 7, FALSE), "")</f>
        <v>NA</v>
      </c>
    </row>
    <row r="4089" ht="15.75" customHeight="1">
      <c r="A4089" s="1" t="str">
        <f>IFERROR(__xludf.DUMMYFUNCTION("""COMPUTED_VALUE"""),"the future diary")</f>
        <v>the future diary</v>
      </c>
      <c r="B4089" s="1" t="str">
        <f>IF(A4089&lt;&gt;"", VLOOKUP(A4089, imdb_netflix_v5!A$2:H$7370, 2, FALSE), "")</f>
        <v>TV Show</v>
      </c>
      <c r="C4089" s="2" t="str">
        <f>IF(A4089&lt;&gt;"", VLOOKUP(A4089, imdb_netflix_v5!A$2:H$7370, 3, FALSE), "")</f>
        <v>Action, Animation, Comedy</v>
      </c>
      <c r="D4089" s="2">
        <f>IF(A4089&lt;&gt;"", VLOOKUP(A4089, imdb_netflix_v5!A$2:H$7370, 4, FALSE), "")</f>
        <v>7.4</v>
      </c>
      <c r="E4089" s="2">
        <f>IF(A4089&lt;&gt;"", VLOOKUP(A4089, imdb_netflix_v5!A$2:H$7370, 5, FALSE), "")</f>
        <v>2011</v>
      </c>
      <c r="F4089" s="2" t="str">
        <f>IF(A4089&lt;&gt;"", VLOOKUP(A4089, imdb_netflix_v5!A$2:H$7370, 7, FALSE), "")</f>
        <v>NA</v>
      </c>
    </row>
    <row r="4090" ht="15.75" customHeight="1">
      <c r="A4090" s="1" t="str">
        <f>IFERROR(__xludf.DUMMYFUNCTION("""COMPUTED_VALUE"""),"shoot the piano player")</f>
        <v>shoot the piano player</v>
      </c>
      <c r="B4090" s="1" t="str">
        <f>IF(A4090&lt;&gt;"", VLOOKUP(A4090, imdb_netflix_v5!A$2:H$7370, 2, FALSE), "")</f>
        <v>Movie</v>
      </c>
      <c r="C4090" s="2" t="str">
        <f>IF(A4090&lt;&gt;"", VLOOKUP(A4090, imdb_netflix_v5!A$2:H$7370, 3, FALSE), "")</f>
        <v>Crime, Drama, Thriller</v>
      </c>
      <c r="D4090" s="2">
        <f>IF(A4090&lt;&gt;"", VLOOKUP(A4090, imdb_netflix_v5!A$2:H$7370, 4, FALSE), "")</f>
        <v>7.4</v>
      </c>
      <c r="E4090" s="2">
        <f>IF(A4090&lt;&gt;"", VLOOKUP(A4090, imdb_netflix_v5!A$2:H$7370, 5, FALSE), "")</f>
        <v>1960</v>
      </c>
      <c r="F4090" s="2" t="str">
        <f>IF(A4090&lt;&gt;"", VLOOKUP(A4090, imdb_netflix_v5!A$2:H$7370, 7, FALSE), "")</f>
        <v>NA</v>
      </c>
    </row>
    <row r="4091" ht="15.75" customHeight="1">
      <c r="A4091" s="1" t="str">
        <f>IFERROR(__xludf.DUMMYFUNCTION("""COMPUTED_VALUE"""),"the rider")</f>
        <v>the rider</v>
      </c>
      <c r="B4091" s="1" t="str">
        <f>IF(A4091&lt;&gt;"", VLOOKUP(A4091, imdb_netflix_v5!A$2:H$7370, 2, FALSE), "")</f>
        <v>Movie</v>
      </c>
      <c r="C4091" s="2" t="str">
        <f>IF(A4091&lt;&gt;"", VLOOKUP(A4091, imdb_netflix_v5!A$2:H$7370, 3, FALSE), "")</f>
        <v>Drama, Western</v>
      </c>
      <c r="D4091" s="2">
        <f>IF(A4091&lt;&gt;"", VLOOKUP(A4091, imdb_netflix_v5!A$2:H$7370, 4, FALSE), "")</f>
        <v>7.4</v>
      </c>
      <c r="E4091" s="2">
        <f>IF(A4091&lt;&gt;"", VLOOKUP(A4091, imdb_netflix_v5!A$2:H$7370, 5, FALSE), "")</f>
        <v>2017</v>
      </c>
      <c r="F4091" s="2" t="str">
        <f>IF(A4091&lt;&gt;"", VLOOKUP(A4091, imdb_netflix_v5!A$2:H$7370, 7, FALSE), "")</f>
        <v>NA</v>
      </c>
    </row>
    <row r="4092" ht="15.75" customHeight="1">
      <c r="A4092" s="1" t="str">
        <f>IFERROR(__xludf.DUMMYFUNCTION("""COMPUTED_VALUE"""),"aquarius")</f>
        <v>aquarius</v>
      </c>
      <c r="B4092" s="1" t="str">
        <f>IF(A4092&lt;&gt;"", VLOOKUP(A4092, imdb_netflix_v5!A$2:H$7370, 2, FALSE), "")</f>
        <v>Movie</v>
      </c>
      <c r="C4092" s="2" t="str">
        <f>IF(A4092&lt;&gt;"", VLOOKUP(A4092, imdb_netflix_v5!A$2:H$7370, 3, FALSE), "")</f>
        <v>Drama</v>
      </c>
      <c r="D4092" s="2">
        <f>IF(A4092&lt;&gt;"", VLOOKUP(A4092, imdb_netflix_v5!A$2:H$7370, 4, FALSE), "")</f>
        <v>7.4</v>
      </c>
      <c r="E4092" s="2">
        <f>IF(A4092&lt;&gt;"", VLOOKUP(A4092, imdb_netflix_v5!A$2:H$7370, 5, FALSE), "")</f>
        <v>2016</v>
      </c>
      <c r="F4092" s="2" t="str">
        <f>IF(A4092&lt;&gt;"", VLOOKUP(A4092, imdb_netflix_v5!A$2:H$7370, 7, FALSE), "")</f>
        <v>NA</v>
      </c>
    </row>
    <row r="4093" ht="15.75" customHeight="1">
      <c r="A4093" s="1" t="str">
        <f>IFERROR(__xludf.DUMMYFUNCTION("""COMPUTED_VALUE"""),"true story")</f>
        <v>true story</v>
      </c>
      <c r="B4093" s="1" t="str">
        <f>IF(A4093&lt;&gt;"", VLOOKUP(A4093, imdb_netflix_v5!A$2:H$7370, 2, FALSE), "")</f>
        <v>TV Show</v>
      </c>
      <c r="C4093" s="2" t="str">
        <f>IF(A4093&lt;&gt;"", VLOOKUP(A4093, imdb_netflix_v5!A$2:H$7370, 3, FALSE), "")</f>
        <v>Crime, Drama, Thriller</v>
      </c>
      <c r="D4093" s="2">
        <f>IF(A4093&lt;&gt;"", VLOOKUP(A4093, imdb_netflix_v5!A$2:H$7370, 4, FALSE), "")</f>
        <v>7.4</v>
      </c>
      <c r="E4093" s="2">
        <f>IF(A4093&lt;&gt;"", VLOOKUP(A4093, imdb_netflix_v5!A$2:H$7370, 5, FALSE), "")</f>
        <v>2021</v>
      </c>
      <c r="F4093" s="2">
        <f>IF(A4093&lt;&gt;"", VLOOKUP(A4093, imdb_netflix_v5!A$2:H$7370, 7, FALSE), "")</f>
        <v>12160000</v>
      </c>
    </row>
    <row r="4094" ht="15.75" customHeight="1">
      <c r="A4094" s="1" t="str">
        <f>IFERROR(__xludf.DUMMYFUNCTION("""COMPUTED_VALUE"""),"sliders")</f>
        <v>sliders</v>
      </c>
      <c r="B4094" s="1" t="str">
        <f>IF(A4094&lt;&gt;"", VLOOKUP(A4094, imdb_netflix_v5!A$2:H$7370, 2, FALSE), "")</f>
        <v>TV Show</v>
      </c>
      <c r="C4094" s="2" t="str">
        <f>IF(A4094&lt;&gt;"", VLOOKUP(A4094, imdb_netflix_v5!A$2:H$7370, 3, FALSE), "")</f>
        <v>Adventure, Fantasy, Sci-Fi</v>
      </c>
      <c r="D4094" s="2">
        <f>IF(A4094&lt;&gt;"", VLOOKUP(A4094, imdb_netflix_v5!A$2:H$7370, 4, FALSE), "")</f>
        <v>7.4</v>
      </c>
      <c r="E4094" s="2">
        <f>IF(A4094&lt;&gt;"", VLOOKUP(A4094, imdb_netflix_v5!A$2:H$7370, 5, FALSE), "")</f>
        <v>1995</v>
      </c>
      <c r="F4094" s="2" t="str">
        <f>IF(A4094&lt;&gt;"", VLOOKUP(A4094, imdb_netflix_v5!A$2:H$7370, 7, FALSE), "")</f>
        <v>NA</v>
      </c>
    </row>
    <row r="4095" ht="15.75" customHeight="1">
      <c r="A4095" s="1" t="str">
        <f>IFERROR(__xludf.DUMMYFUNCTION("""COMPUTED_VALUE"""),"cruel summer")</f>
        <v>cruel summer</v>
      </c>
      <c r="B4095" s="1" t="str">
        <f>IF(A4095&lt;&gt;"", VLOOKUP(A4095, imdb_netflix_v5!A$2:H$7370, 2, FALSE), "")</f>
        <v>TV Show</v>
      </c>
      <c r="C4095" s="2" t="str">
        <f>IF(A4095&lt;&gt;"", VLOOKUP(A4095, imdb_netflix_v5!A$2:H$7370, 3, FALSE), "")</f>
        <v>Drama, Mystery, Thriller</v>
      </c>
      <c r="D4095" s="2">
        <f>IF(A4095&lt;&gt;"", VLOOKUP(A4095, imdb_netflix_v5!A$2:H$7370, 4, FALSE), "")</f>
        <v>7.4</v>
      </c>
      <c r="E4095" s="2">
        <f>IF(A4095&lt;&gt;"", VLOOKUP(A4095, imdb_netflix_v5!A$2:H$7370, 5, FALSE), "")</f>
        <v>2021</v>
      </c>
      <c r="F4095" s="2" t="str">
        <f>IF(A4095&lt;&gt;"", VLOOKUP(A4095, imdb_netflix_v5!A$2:H$7370, 7, FALSE), "")</f>
        <v>NA</v>
      </c>
    </row>
    <row r="4096" ht="15.75" customHeight="1">
      <c r="A4096" s="1" t="str">
        <f>IFERROR(__xludf.DUMMYFUNCTION("""COMPUTED_VALUE"""),"crackdown")</f>
        <v>crackdown</v>
      </c>
      <c r="B4096" s="1" t="str">
        <f>IF(A4096&lt;&gt;"", VLOOKUP(A4096, imdb_netflix_v5!A$2:H$7370, 2, FALSE), "")</f>
        <v>TV Show</v>
      </c>
      <c r="C4096" s="2" t="str">
        <f>IF(A4096&lt;&gt;"", VLOOKUP(A4096, imdb_netflix_v5!A$2:H$7370, 3, FALSE), "")</f>
        <v>Action, Crime, Drama</v>
      </c>
      <c r="D4096" s="2">
        <f>IF(A4096&lt;&gt;"", VLOOKUP(A4096, imdb_netflix_v5!A$2:H$7370, 4, FALSE), "")</f>
        <v>7.4</v>
      </c>
      <c r="E4096" s="2">
        <f>IF(A4096&lt;&gt;"", VLOOKUP(A4096, imdb_netflix_v5!A$2:H$7370, 5, FALSE), "")</f>
        <v>2020</v>
      </c>
      <c r="F4096" s="2" t="str">
        <f>IF(A4096&lt;&gt;"", VLOOKUP(A4096, imdb_netflix_v5!A$2:H$7370, 7, FALSE), "")</f>
        <v>NA</v>
      </c>
    </row>
    <row r="4097" ht="15.75" customHeight="1">
      <c r="A4097" s="1" t="str">
        <f>IFERROR(__xludf.DUMMYFUNCTION("""COMPUTED_VALUE"""),"la belle époque")</f>
        <v>la belle époque</v>
      </c>
      <c r="B4097" s="1" t="str">
        <f>IF(A4097&lt;&gt;"", VLOOKUP(A4097, imdb_netflix_v5!A$2:H$7370, 2, FALSE), "")</f>
        <v>Movie</v>
      </c>
      <c r="C4097" s="2" t="str">
        <f>IF(A4097&lt;&gt;"", VLOOKUP(A4097, imdb_netflix_v5!A$2:H$7370, 3, FALSE), "")</f>
        <v>Comedy, Drama, Fantasy</v>
      </c>
      <c r="D4097" s="2">
        <f>IF(A4097&lt;&gt;"", VLOOKUP(A4097, imdb_netflix_v5!A$2:H$7370, 4, FALSE), "")</f>
        <v>7.4</v>
      </c>
      <c r="E4097" s="2">
        <f>IF(A4097&lt;&gt;"", VLOOKUP(A4097, imdb_netflix_v5!A$2:H$7370, 5, FALSE), "")</f>
        <v>2019</v>
      </c>
      <c r="F4097" s="2" t="str">
        <f>IF(A4097&lt;&gt;"", VLOOKUP(A4097, imdb_netflix_v5!A$2:H$7370, 7, FALSE), "")</f>
        <v>NA</v>
      </c>
    </row>
    <row r="4098" ht="15.75" customHeight="1">
      <c r="A4098" s="1" t="str">
        <f>IFERROR(__xludf.DUMMYFUNCTION("""COMPUTED_VALUE"""),"doug")</f>
        <v>doug</v>
      </c>
      <c r="B4098" s="1" t="str">
        <f>IF(A4098&lt;&gt;"", VLOOKUP(A4098, imdb_netflix_v5!A$2:H$7370, 2, FALSE), "")</f>
        <v>TV Show</v>
      </c>
      <c r="C4098" s="2" t="str">
        <f>IF(A4098&lt;&gt;"", VLOOKUP(A4098, imdb_netflix_v5!A$2:H$7370, 3, FALSE), "")</f>
        <v>Adventure, Animation, Drama</v>
      </c>
      <c r="D4098" s="2">
        <f>IF(A4098&lt;&gt;"", VLOOKUP(A4098, imdb_netflix_v5!A$2:H$7370, 4, FALSE), "")</f>
        <v>7.4</v>
      </c>
      <c r="E4098" s="2">
        <f>IF(A4098&lt;&gt;"", VLOOKUP(A4098, imdb_netflix_v5!A$2:H$7370, 5, FALSE), "")</f>
        <v>1991</v>
      </c>
      <c r="F4098" s="2" t="str">
        <f>IF(A4098&lt;&gt;"", VLOOKUP(A4098, imdb_netflix_v5!A$2:H$7370, 7, FALSE), "")</f>
        <v>NA</v>
      </c>
    </row>
    <row r="4099" ht="15.75" customHeight="1">
      <c r="A4099" s="1" t="str">
        <f>IFERROR(__xludf.DUMMYFUNCTION("""COMPUTED_VALUE"""),"journal 64")</f>
        <v>journal 64</v>
      </c>
      <c r="B4099" s="1" t="str">
        <f>IF(A4099&lt;&gt;"", VLOOKUP(A4099, imdb_netflix_v5!A$2:H$7370, 2, FALSE), "")</f>
        <v>Movie</v>
      </c>
      <c r="C4099" s="2" t="str">
        <f>IF(A4099&lt;&gt;"", VLOOKUP(A4099, imdb_netflix_v5!A$2:H$7370, 3, FALSE), "")</f>
        <v>Crime, Mystery, Thriller</v>
      </c>
      <c r="D4099" s="2">
        <f>IF(A4099&lt;&gt;"", VLOOKUP(A4099, imdb_netflix_v5!A$2:H$7370, 4, FALSE), "")</f>
        <v>7.4</v>
      </c>
      <c r="E4099" s="2">
        <f>IF(A4099&lt;&gt;"", VLOOKUP(A4099, imdb_netflix_v5!A$2:H$7370, 5, FALSE), "")</f>
        <v>2018</v>
      </c>
      <c r="F4099" s="2" t="str">
        <f>IF(A4099&lt;&gt;"", VLOOKUP(A4099, imdb_netflix_v5!A$2:H$7370, 7, FALSE), "")</f>
        <v>NA</v>
      </c>
    </row>
    <row r="4100" ht="15.75" customHeight="1">
      <c r="A4100" s="1" t="str">
        <f>IFERROR(__xludf.DUMMYFUNCTION("""COMPUTED_VALUE"""),"king of devils island")</f>
        <v>king of devils island</v>
      </c>
      <c r="B4100" s="1" t="str">
        <f>IF(A4100&lt;&gt;"", VLOOKUP(A4100, imdb_netflix_v5!A$2:H$7370, 2, FALSE), "")</f>
        <v>Movie</v>
      </c>
      <c r="C4100" s="2" t="str">
        <f>IF(A4100&lt;&gt;"", VLOOKUP(A4100, imdb_netflix_v5!A$2:H$7370, 3, FALSE), "")</f>
        <v>Drama</v>
      </c>
      <c r="D4100" s="2">
        <f>IF(A4100&lt;&gt;"", VLOOKUP(A4100, imdb_netflix_v5!A$2:H$7370, 4, FALSE), "")</f>
        <v>7.4</v>
      </c>
      <c r="E4100" s="2">
        <f>IF(A4100&lt;&gt;"", VLOOKUP(A4100, imdb_netflix_v5!A$2:H$7370, 5, FALSE), "")</f>
        <v>2010</v>
      </c>
      <c r="F4100" s="2" t="str">
        <f>IF(A4100&lt;&gt;"", VLOOKUP(A4100, imdb_netflix_v5!A$2:H$7370, 7, FALSE), "")</f>
        <v>NA</v>
      </c>
    </row>
    <row r="4101" ht="15.75" customHeight="1">
      <c r="A4101" s="1" t="str">
        <f>IFERROR(__xludf.DUMMYFUNCTION("""COMPUTED_VALUE"""),"fort apache")</f>
        <v>fort apache</v>
      </c>
      <c r="B4101" s="1" t="str">
        <f>IF(A4101&lt;&gt;"", VLOOKUP(A4101, imdb_netflix_v5!A$2:H$7370, 2, FALSE), "")</f>
        <v>Movie</v>
      </c>
      <c r="C4101" s="2" t="str">
        <f>IF(A4101&lt;&gt;"", VLOOKUP(A4101, imdb_netflix_v5!A$2:H$7370, 3, FALSE), "")</f>
        <v>Drama, Western</v>
      </c>
      <c r="D4101" s="2">
        <f>IF(A4101&lt;&gt;"", VLOOKUP(A4101, imdb_netflix_v5!A$2:H$7370, 4, FALSE), "")</f>
        <v>7.4</v>
      </c>
      <c r="E4101" s="2">
        <f>IF(A4101&lt;&gt;"", VLOOKUP(A4101, imdb_netflix_v5!A$2:H$7370, 5, FALSE), "")</f>
        <v>1948</v>
      </c>
      <c r="F4101" s="2" t="str">
        <f>IF(A4101&lt;&gt;"", VLOOKUP(A4101, imdb_netflix_v5!A$2:H$7370, 7, FALSE), "")</f>
        <v>NA</v>
      </c>
    </row>
    <row r="4102" ht="15.75" customHeight="1">
      <c r="A4102" s="1" t="str">
        <f>IFERROR(__xludf.DUMMYFUNCTION("""COMPUTED_VALUE"""),"straight from the heart")</f>
        <v>straight from the heart</v>
      </c>
      <c r="B4102" s="1" t="str">
        <f>IF(A4102&lt;&gt;"", VLOOKUP(A4102, imdb_netflix_v5!A$2:H$7370, 2, FALSE), "")</f>
        <v>Movie</v>
      </c>
      <c r="C4102" s="2" t="str">
        <f>IF(A4102&lt;&gt;"", VLOOKUP(A4102, imdb_netflix_v5!A$2:H$7370, 3, FALSE), "")</f>
        <v>Comedy, Drama, Musical</v>
      </c>
      <c r="D4102" s="2">
        <f>IF(A4102&lt;&gt;"", VLOOKUP(A4102, imdb_netflix_v5!A$2:H$7370, 4, FALSE), "")</f>
        <v>7.4</v>
      </c>
      <c r="E4102" s="2">
        <f>IF(A4102&lt;&gt;"", VLOOKUP(A4102, imdb_netflix_v5!A$2:H$7370, 5, FALSE), "")</f>
        <v>1999</v>
      </c>
      <c r="F4102" s="2" t="str">
        <f>IF(A4102&lt;&gt;"", VLOOKUP(A4102, imdb_netflix_v5!A$2:H$7370, 7, FALSE), "")</f>
        <v>NA</v>
      </c>
    </row>
    <row r="4103" ht="15.75" customHeight="1">
      <c r="A4103" s="1" t="str">
        <f>IFERROR(__xludf.DUMMYFUNCTION("""COMPUTED_VALUE"""),"guzaarish")</f>
        <v>guzaarish</v>
      </c>
      <c r="B4103" s="1" t="str">
        <f>IF(A4103&lt;&gt;"", VLOOKUP(A4103, imdb_netflix_v5!A$2:H$7370, 2, FALSE), "")</f>
        <v>Movie</v>
      </c>
      <c r="C4103" s="2" t="str">
        <f>IF(A4103&lt;&gt;"", VLOOKUP(A4103, imdb_netflix_v5!A$2:H$7370, 3, FALSE), "")</f>
        <v>Drama, Romance</v>
      </c>
      <c r="D4103" s="2">
        <f>IF(A4103&lt;&gt;"", VLOOKUP(A4103, imdb_netflix_v5!A$2:H$7370, 4, FALSE), "")</f>
        <v>7.4</v>
      </c>
      <c r="E4103" s="2">
        <f>IF(A4103&lt;&gt;"", VLOOKUP(A4103, imdb_netflix_v5!A$2:H$7370, 5, FALSE), "")</f>
        <v>2010</v>
      </c>
      <c r="F4103" s="2" t="str">
        <f>IF(A4103&lt;&gt;"", VLOOKUP(A4103, imdb_netflix_v5!A$2:H$7370, 7, FALSE), "")</f>
        <v>NA</v>
      </c>
    </row>
    <row r="4104" ht="15.75" customHeight="1">
      <c r="A4104" s="1" t="str">
        <f>IFERROR(__xludf.DUMMYFUNCTION("""COMPUTED_VALUE"""),"neds declassified school survival guide")</f>
        <v>neds declassified school survival guide</v>
      </c>
      <c r="B4104" s="1" t="str">
        <f>IF(A4104&lt;&gt;"", VLOOKUP(A4104, imdb_netflix_v5!A$2:H$7370, 2, FALSE), "")</f>
        <v>TV Show</v>
      </c>
      <c r="C4104" s="2" t="str">
        <f>IF(A4104&lt;&gt;"", VLOOKUP(A4104, imdb_netflix_v5!A$2:H$7370, 3, FALSE), "")</f>
        <v>Comedy, Family</v>
      </c>
      <c r="D4104" s="2">
        <f>IF(A4104&lt;&gt;"", VLOOKUP(A4104, imdb_netflix_v5!A$2:H$7370, 4, FALSE), "")</f>
        <v>7.4</v>
      </c>
      <c r="E4104" s="2">
        <f>IF(A4104&lt;&gt;"", VLOOKUP(A4104, imdb_netflix_v5!A$2:H$7370, 5, FALSE), "")</f>
        <v>2004</v>
      </c>
      <c r="F4104" s="2" t="str">
        <f>IF(A4104&lt;&gt;"", VLOOKUP(A4104, imdb_netflix_v5!A$2:H$7370, 7, FALSE), "")</f>
        <v>NA</v>
      </c>
    </row>
    <row r="4105" ht="15.75" customHeight="1">
      <c r="A4105" s="1" t="str">
        <f>IFERROR(__xludf.DUMMYFUNCTION("""COMPUTED_VALUE"""),"mortal kombat legends scorpions revenge")</f>
        <v>mortal kombat legends scorpions revenge</v>
      </c>
      <c r="B4105" s="1" t="str">
        <f>IF(A4105&lt;&gt;"", VLOOKUP(A4105, imdb_netflix_v5!A$2:H$7370, 2, FALSE), "")</f>
        <v>Movie</v>
      </c>
      <c r="C4105" s="2" t="str">
        <f>IF(A4105&lt;&gt;"", VLOOKUP(A4105, imdb_netflix_v5!A$2:H$7370, 3, FALSE), "")</f>
        <v>Action, Adventure, Animation</v>
      </c>
      <c r="D4105" s="2">
        <f>IF(A4105&lt;&gt;"", VLOOKUP(A4105, imdb_netflix_v5!A$2:H$7370, 4, FALSE), "")</f>
        <v>7.4</v>
      </c>
      <c r="E4105" s="2">
        <f>IF(A4105&lt;&gt;"", VLOOKUP(A4105, imdb_netflix_v5!A$2:H$7370, 5, FALSE), "")</f>
        <v>2020</v>
      </c>
      <c r="F4105" s="2" t="str">
        <f>IF(A4105&lt;&gt;"", VLOOKUP(A4105, imdb_netflix_v5!A$2:H$7370, 7, FALSE), "")</f>
        <v>NA</v>
      </c>
    </row>
    <row r="4106" ht="15.75" customHeight="1">
      <c r="A4106" s="1" t="str">
        <f>IFERROR(__xludf.DUMMYFUNCTION("""COMPUTED_VALUE"""),"bad monkey")</f>
        <v>bad monkey</v>
      </c>
      <c r="B4106" s="1" t="str">
        <f>IF(A4106&lt;&gt;"", VLOOKUP(A4106, imdb_netflix_v5!A$2:H$7370, 2, FALSE), "")</f>
        <v>TV Show</v>
      </c>
      <c r="C4106" s="2" t="str">
        <f>IF(A4106&lt;&gt;"", VLOOKUP(A4106, imdb_netflix_v5!A$2:H$7370, 3, FALSE), "")</f>
        <v>Comedy, Drama</v>
      </c>
      <c r="D4106" s="2">
        <f>IF(A4106&lt;&gt;"", VLOOKUP(A4106, imdb_netflix_v5!A$2:H$7370, 4, FALSE), "")</f>
        <v>7.4</v>
      </c>
      <c r="E4106" s="2">
        <f>IF(A4106&lt;&gt;"", VLOOKUP(A4106, imdb_netflix_v5!A$2:H$7370, 5, FALSE), "")</f>
        <v>2024</v>
      </c>
      <c r="F4106" s="2" t="str">
        <f>IF(A4106&lt;&gt;"", VLOOKUP(A4106, imdb_netflix_v5!A$2:H$7370, 7, FALSE), "")</f>
        <v>NA</v>
      </c>
    </row>
    <row r="4107" ht="15.75" customHeight="1">
      <c r="A4107" s="1" t="str">
        <f>IFERROR(__xludf.DUMMYFUNCTION("""COMPUTED_VALUE"""),"pillow talk")</f>
        <v>pillow talk</v>
      </c>
      <c r="B4107" s="1" t="str">
        <f>IF(A4107&lt;&gt;"", VLOOKUP(A4107, imdb_netflix_v5!A$2:H$7370, 2, FALSE), "")</f>
        <v>Movie</v>
      </c>
      <c r="C4107" s="2" t="str">
        <f>IF(A4107&lt;&gt;"", VLOOKUP(A4107, imdb_netflix_v5!A$2:H$7370, 3, FALSE), "")</f>
        <v>Comedy, Romance</v>
      </c>
      <c r="D4107" s="2">
        <f>IF(A4107&lt;&gt;"", VLOOKUP(A4107, imdb_netflix_v5!A$2:H$7370, 4, FALSE), "")</f>
        <v>7.4</v>
      </c>
      <c r="E4107" s="2">
        <f>IF(A4107&lt;&gt;"", VLOOKUP(A4107, imdb_netflix_v5!A$2:H$7370, 5, FALSE), "")</f>
        <v>1959</v>
      </c>
      <c r="F4107" s="2" t="str">
        <f>IF(A4107&lt;&gt;"", VLOOKUP(A4107, imdb_netflix_v5!A$2:H$7370, 7, FALSE), "")</f>
        <v>NA</v>
      </c>
    </row>
    <row r="4108" ht="15.75" customHeight="1">
      <c r="A4108" s="1" t="str">
        <f>IFERROR(__xludf.DUMMYFUNCTION("""COMPUTED_VALUE"""),"rudderless")</f>
        <v>rudderless</v>
      </c>
      <c r="B4108" s="1" t="str">
        <f>IF(A4108&lt;&gt;"", VLOOKUP(A4108, imdb_netflix_v5!A$2:H$7370, 2, FALSE), "")</f>
        <v>Movie</v>
      </c>
      <c r="C4108" s="2" t="str">
        <f>IF(A4108&lt;&gt;"", VLOOKUP(A4108, imdb_netflix_v5!A$2:H$7370, 3, FALSE), "")</f>
        <v>Comedy, Drama, Music</v>
      </c>
      <c r="D4108" s="2">
        <f>IF(A4108&lt;&gt;"", VLOOKUP(A4108, imdb_netflix_v5!A$2:H$7370, 4, FALSE), "")</f>
        <v>7.4</v>
      </c>
      <c r="E4108" s="2">
        <f>IF(A4108&lt;&gt;"", VLOOKUP(A4108, imdb_netflix_v5!A$2:H$7370, 5, FALSE), "")</f>
        <v>2014</v>
      </c>
      <c r="F4108" s="2" t="str">
        <f>IF(A4108&lt;&gt;"", VLOOKUP(A4108, imdb_netflix_v5!A$2:H$7370, 7, FALSE), "")</f>
        <v>NA</v>
      </c>
    </row>
    <row r="4109" ht="15.75" customHeight="1">
      <c r="A4109" s="1" t="str">
        <f>IFERROR(__xludf.DUMMYFUNCTION("""COMPUTED_VALUE"""),"raid")</f>
        <v>raid</v>
      </c>
      <c r="B4109" s="1" t="str">
        <f>IF(A4109&lt;&gt;"", VLOOKUP(A4109, imdb_netflix_v5!A$2:H$7370, 2, FALSE), "")</f>
        <v>Movie</v>
      </c>
      <c r="C4109" s="2" t="str">
        <f>IF(A4109&lt;&gt;"", VLOOKUP(A4109, imdb_netflix_v5!A$2:H$7370, 3, FALSE), "")</f>
        <v>Crime, Drama, Thriller</v>
      </c>
      <c r="D4109" s="2">
        <f>IF(A4109&lt;&gt;"", VLOOKUP(A4109, imdb_netflix_v5!A$2:H$7370, 4, FALSE), "")</f>
        <v>7.4</v>
      </c>
      <c r="E4109" s="2">
        <f>IF(A4109&lt;&gt;"", VLOOKUP(A4109, imdb_netflix_v5!A$2:H$7370, 5, FALSE), "")</f>
        <v>2018</v>
      </c>
      <c r="F4109" s="2" t="str">
        <f>IF(A4109&lt;&gt;"", VLOOKUP(A4109, imdb_netflix_v5!A$2:H$7370, 7, FALSE), "")</f>
        <v>NA</v>
      </c>
    </row>
    <row r="4110" ht="15.75" customHeight="1">
      <c r="A4110" s="1" t="str">
        <f>IFERROR(__xludf.DUMMYFUNCTION("""COMPUTED_VALUE"""),"the child")</f>
        <v>the child</v>
      </c>
      <c r="B4110" s="1" t="str">
        <f>IF(A4110&lt;&gt;"", VLOOKUP(A4110, imdb_netflix_v5!A$2:H$7370, 2, FALSE), "")</f>
        <v>Movie</v>
      </c>
      <c r="C4110" s="2" t="str">
        <f>IF(A4110&lt;&gt;"", VLOOKUP(A4110, imdb_netflix_v5!A$2:H$7370, 3, FALSE), "")</f>
        <v>Crime, Drama, Romance</v>
      </c>
      <c r="D4110" s="2">
        <f>IF(A4110&lt;&gt;"", VLOOKUP(A4110, imdb_netflix_v5!A$2:H$7370, 4, FALSE), "")</f>
        <v>7.4</v>
      </c>
      <c r="E4110" s="2">
        <f>IF(A4110&lt;&gt;"", VLOOKUP(A4110, imdb_netflix_v5!A$2:H$7370, 5, FALSE), "")</f>
        <v>2005</v>
      </c>
      <c r="F4110" s="2" t="str">
        <f>IF(A4110&lt;&gt;"", VLOOKUP(A4110, imdb_netflix_v5!A$2:H$7370, 7, FALSE), "")</f>
        <v>NA</v>
      </c>
    </row>
    <row r="4111" ht="15.75" customHeight="1">
      <c r="A4111" s="1" t="str">
        <f>IFERROR(__xludf.DUMMYFUNCTION("""COMPUTED_VALUE"""),"doctor")</f>
        <v>doctor</v>
      </c>
      <c r="B4111" s="1" t="str">
        <f>IF(A4111&lt;&gt;"", VLOOKUP(A4111, imdb_netflix_v5!A$2:H$7370, 2, FALSE), "")</f>
        <v>Movie</v>
      </c>
      <c r="C4111" s="2" t="str">
        <f>IF(A4111&lt;&gt;"", VLOOKUP(A4111, imdb_netflix_v5!A$2:H$7370, 3, FALSE), "")</f>
        <v>Action, Comedy, Crime</v>
      </c>
      <c r="D4111" s="2">
        <f>IF(A4111&lt;&gt;"", VLOOKUP(A4111, imdb_netflix_v5!A$2:H$7370, 4, FALSE), "")</f>
        <v>7.4</v>
      </c>
      <c r="E4111" s="2">
        <f>IF(A4111&lt;&gt;"", VLOOKUP(A4111, imdb_netflix_v5!A$2:H$7370, 5, FALSE), "")</f>
        <v>2021</v>
      </c>
      <c r="F4111" s="2" t="str">
        <f>IF(A4111&lt;&gt;"", VLOOKUP(A4111, imdb_netflix_v5!A$2:H$7370, 7, FALSE), "")</f>
        <v>NA</v>
      </c>
    </row>
    <row r="4112" ht="15.75" customHeight="1">
      <c r="A4112" s="1" t="str">
        <f>IFERROR(__xludf.DUMMYFUNCTION("""COMPUTED_VALUE"""),"the american friend")</f>
        <v>the american friend</v>
      </c>
      <c r="B4112" s="1" t="str">
        <f>IF(A4112&lt;&gt;"", VLOOKUP(A4112, imdb_netflix_v5!A$2:H$7370, 2, FALSE), "")</f>
        <v>Movie</v>
      </c>
      <c r="C4112" s="2" t="str">
        <f>IF(A4112&lt;&gt;"", VLOOKUP(A4112, imdb_netflix_v5!A$2:H$7370, 3, FALSE), "")</f>
        <v>Crime, Drama, Mystery</v>
      </c>
      <c r="D4112" s="2">
        <f>IF(A4112&lt;&gt;"", VLOOKUP(A4112, imdb_netflix_v5!A$2:H$7370, 4, FALSE), "")</f>
        <v>7.4</v>
      </c>
      <c r="E4112" s="2">
        <f>IF(A4112&lt;&gt;"", VLOOKUP(A4112, imdb_netflix_v5!A$2:H$7370, 5, FALSE), "")</f>
        <v>1977</v>
      </c>
      <c r="F4112" s="2" t="str">
        <f>IF(A4112&lt;&gt;"", VLOOKUP(A4112, imdb_netflix_v5!A$2:H$7370, 7, FALSE), "")</f>
        <v>NA</v>
      </c>
    </row>
    <row r="4113" ht="15.75" customHeight="1">
      <c r="A4113" s="1" t="str">
        <f>IFERROR(__xludf.DUMMYFUNCTION("""COMPUTED_VALUE"""),"queen margot")</f>
        <v>queen margot</v>
      </c>
      <c r="B4113" s="1" t="str">
        <f>IF(A4113&lt;&gt;"", VLOOKUP(A4113, imdb_netflix_v5!A$2:H$7370, 2, FALSE), "")</f>
        <v>Movie</v>
      </c>
      <c r="C4113" s="2" t="str">
        <f>IF(A4113&lt;&gt;"", VLOOKUP(A4113, imdb_netflix_v5!A$2:H$7370, 3, FALSE), "")</f>
        <v>Biography, Drama, History</v>
      </c>
      <c r="D4113" s="2">
        <f>IF(A4113&lt;&gt;"", VLOOKUP(A4113, imdb_netflix_v5!A$2:H$7370, 4, FALSE), "")</f>
        <v>7.4</v>
      </c>
      <c r="E4113" s="2">
        <f>IF(A4113&lt;&gt;"", VLOOKUP(A4113, imdb_netflix_v5!A$2:H$7370, 5, FALSE), "")</f>
        <v>1994</v>
      </c>
      <c r="F4113" s="2" t="str">
        <f>IF(A4113&lt;&gt;"", VLOOKUP(A4113, imdb_netflix_v5!A$2:H$7370, 7, FALSE), "")</f>
        <v>NA</v>
      </c>
    </row>
    <row r="4114" ht="15.75" customHeight="1">
      <c r="A4114" s="1" t="str">
        <f>IFERROR(__xludf.DUMMYFUNCTION("""COMPUTED_VALUE"""),"marianne")</f>
        <v>marianne</v>
      </c>
      <c r="B4114" s="1" t="str">
        <f>IF(A4114&lt;&gt;"", VLOOKUP(A4114, imdb_netflix_v5!A$2:H$7370, 2, FALSE), "")</f>
        <v>TV Show</v>
      </c>
      <c r="C4114" s="2" t="str">
        <f>IF(A4114&lt;&gt;"", VLOOKUP(A4114, imdb_netflix_v5!A$2:H$7370, 3, FALSE), "")</f>
        <v>Drama, Horror, Mystery</v>
      </c>
      <c r="D4114" s="2">
        <f>IF(A4114&lt;&gt;"", VLOOKUP(A4114, imdb_netflix_v5!A$2:H$7370, 4, FALSE), "")</f>
        <v>7.4</v>
      </c>
      <c r="E4114" s="2">
        <f>IF(A4114&lt;&gt;"", VLOOKUP(A4114, imdb_netflix_v5!A$2:H$7370, 5, FALSE), "")</f>
        <v>2019</v>
      </c>
      <c r="F4114" s="2" t="str">
        <f>IF(A4114&lt;&gt;"", VLOOKUP(A4114, imdb_netflix_v5!A$2:H$7370, 7, FALSE), "")</f>
        <v>NA</v>
      </c>
    </row>
    <row r="4115" ht="15.75" customHeight="1">
      <c r="A4115" s="1" t="str">
        <f>IFERROR(__xludf.DUMMYFUNCTION("""COMPUTED_VALUE"""),"queen of katwe")</f>
        <v>queen of katwe</v>
      </c>
      <c r="B4115" s="1" t="str">
        <f>IF(A4115&lt;&gt;"", VLOOKUP(A4115, imdb_netflix_v5!A$2:H$7370, 2, FALSE), "")</f>
        <v>Movie</v>
      </c>
      <c r="C4115" s="2" t="str">
        <f>IF(A4115&lt;&gt;"", VLOOKUP(A4115, imdb_netflix_v5!A$2:H$7370, 3, FALSE), "")</f>
        <v>Biography, Drama, Sport</v>
      </c>
      <c r="D4115" s="2">
        <f>IF(A4115&lt;&gt;"", VLOOKUP(A4115, imdb_netflix_v5!A$2:H$7370, 4, FALSE), "")</f>
        <v>7.4</v>
      </c>
      <c r="E4115" s="2">
        <f>IF(A4115&lt;&gt;"", VLOOKUP(A4115, imdb_netflix_v5!A$2:H$7370, 5, FALSE), "")</f>
        <v>2016</v>
      </c>
      <c r="F4115" s="2" t="str">
        <f>IF(A4115&lt;&gt;"", VLOOKUP(A4115, imdb_netflix_v5!A$2:H$7370, 7, FALSE), "")</f>
        <v>NA</v>
      </c>
    </row>
    <row r="4116" ht="15.75" customHeight="1">
      <c r="A4116" s="1" t="str">
        <f>IFERROR(__xludf.DUMMYFUNCTION("""COMPUTED_VALUE"""),"bharath ane nenu")</f>
        <v>bharath ane nenu</v>
      </c>
      <c r="B4116" s="1" t="str">
        <f>IF(A4116&lt;&gt;"", VLOOKUP(A4116, imdb_netflix_v5!A$2:H$7370, 2, FALSE), "")</f>
        <v>Movie</v>
      </c>
      <c r="C4116" s="2" t="str">
        <f>IF(A4116&lt;&gt;"", VLOOKUP(A4116, imdb_netflix_v5!A$2:H$7370, 3, FALSE), "")</f>
        <v>Action, Drama, Thriller</v>
      </c>
      <c r="D4116" s="2">
        <f>IF(A4116&lt;&gt;"", VLOOKUP(A4116, imdb_netflix_v5!A$2:H$7370, 4, FALSE), "")</f>
        <v>7.4</v>
      </c>
      <c r="E4116" s="2">
        <f>IF(A4116&lt;&gt;"", VLOOKUP(A4116, imdb_netflix_v5!A$2:H$7370, 5, FALSE), "")</f>
        <v>2018</v>
      </c>
      <c r="F4116" s="2" t="str">
        <f>IF(A4116&lt;&gt;"", VLOOKUP(A4116, imdb_netflix_v5!A$2:H$7370, 7, FALSE), "")</f>
        <v>NA</v>
      </c>
    </row>
    <row r="4117" ht="15.75" customHeight="1">
      <c r="A4117" s="1" t="str">
        <f>IFERROR(__xludf.DUMMYFUNCTION("""COMPUTED_VALUE"""),"once upon a time in mumbaai")</f>
        <v>once upon a time in mumbaai</v>
      </c>
      <c r="B4117" s="1" t="str">
        <f>IF(A4117&lt;&gt;"", VLOOKUP(A4117, imdb_netflix_v5!A$2:H$7370, 2, FALSE), "")</f>
        <v>Movie</v>
      </c>
      <c r="C4117" s="2" t="str">
        <f>IF(A4117&lt;&gt;"", VLOOKUP(A4117, imdb_netflix_v5!A$2:H$7370, 3, FALSE), "")</f>
        <v>Action, Crime, Drama</v>
      </c>
      <c r="D4117" s="2">
        <f>IF(A4117&lt;&gt;"", VLOOKUP(A4117, imdb_netflix_v5!A$2:H$7370, 4, FALSE), "")</f>
        <v>7.4</v>
      </c>
      <c r="E4117" s="2">
        <f>IF(A4117&lt;&gt;"", VLOOKUP(A4117, imdb_netflix_v5!A$2:H$7370, 5, FALSE), "")</f>
        <v>2010</v>
      </c>
      <c r="F4117" s="2" t="str">
        <f>IF(A4117&lt;&gt;"", VLOOKUP(A4117, imdb_netflix_v5!A$2:H$7370, 7, FALSE), "")</f>
        <v>NA</v>
      </c>
    </row>
    <row r="4118" ht="15.75" customHeight="1">
      <c r="A4118" s="1" t="str">
        <f>IFERROR(__xludf.DUMMYFUNCTION("""COMPUTED_VALUE"""),"petite maman")</f>
        <v>petite maman</v>
      </c>
      <c r="B4118" s="1" t="str">
        <f>IF(A4118&lt;&gt;"", VLOOKUP(A4118, imdb_netflix_v5!A$2:H$7370, 2, FALSE), "")</f>
        <v>Movie</v>
      </c>
      <c r="C4118" s="2" t="str">
        <f>IF(A4118&lt;&gt;"", VLOOKUP(A4118, imdb_netflix_v5!A$2:H$7370, 3, FALSE), "")</f>
        <v>Drama, Fantasy</v>
      </c>
      <c r="D4118" s="2">
        <f>IF(A4118&lt;&gt;"", VLOOKUP(A4118, imdb_netflix_v5!A$2:H$7370, 4, FALSE), "")</f>
        <v>7.4</v>
      </c>
      <c r="E4118" s="2">
        <f>IF(A4118&lt;&gt;"", VLOOKUP(A4118, imdb_netflix_v5!A$2:H$7370, 5, FALSE), "")</f>
        <v>2021</v>
      </c>
      <c r="F4118" s="2" t="str">
        <f>IF(A4118&lt;&gt;"", VLOOKUP(A4118, imdb_netflix_v5!A$2:H$7370, 7, FALSE), "")</f>
        <v>NA</v>
      </c>
    </row>
    <row r="4119" ht="15.75" customHeight="1">
      <c r="A4119" s="1" t="str">
        <f>IFERROR(__xludf.DUMMYFUNCTION("""COMPUTED_VALUE"""),"industry")</f>
        <v>industry</v>
      </c>
      <c r="B4119" s="1" t="str">
        <f>IF(A4119&lt;&gt;"", VLOOKUP(A4119, imdb_netflix_v5!A$2:H$7370, 2, FALSE), "")</f>
        <v>TV Show</v>
      </c>
      <c r="C4119" s="2" t="str">
        <f>IF(A4119&lt;&gt;"", VLOOKUP(A4119, imdb_netflix_v5!A$2:H$7370, 3, FALSE), "")</f>
        <v>Drama</v>
      </c>
      <c r="D4119" s="2">
        <f>IF(A4119&lt;&gt;"", VLOOKUP(A4119, imdb_netflix_v5!A$2:H$7370, 4, FALSE), "")</f>
        <v>7.4</v>
      </c>
      <c r="E4119" s="2">
        <f>IF(A4119&lt;&gt;"", VLOOKUP(A4119, imdb_netflix_v5!A$2:H$7370, 5, FALSE), "")</f>
        <v>2020</v>
      </c>
      <c r="F4119" s="2" t="str">
        <f>IF(A4119&lt;&gt;"", VLOOKUP(A4119, imdb_netflix_v5!A$2:H$7370, 7, FALSE), "")</f>
        <v>NA</v>
      </c>
    </row>
    <row r="4120" ht="15.75" customHeight="1">
      <c r="A4120" s="1" t="str">
        <f>IFERROR(__xludf.DUMMYFUNCTION("""COMPUTED_VALUE"""),"kaminey")</f>
        <v>kaminey</v>
      </c>
      <c r="B4120" s="1" t="str">
        <f>IF(A4120&lt;&gt;"", VLOOKUP(A4120, imdb_netflix_v5!A$2:H$7370, 2, FALSE), "")</f>
        <v>Movie</v>
      </c>
      <c r="C4120" s="2" t="str">
        <f>IF(A4120&lt;&gt;"", VLOOKUP(A4120, imdb_netflix_v5!A$2:H$7370, 3, FALSE), "")</f>
        <v>Action, Crime, Drama</v>
      </c>
      <c r="D4120" s="2">
        <f>IF(A4120&lt;&gt;"", VLOOKUP(A4120, imdb_netflix_v5!A$2:H$7370, 4, FALSE), "")</f>
        <v>7.4</v>
      </c>
      <c r="E4120" s="2">
        <f>IF(A4120&lt;&gt;"", VLOOKUP(A4120, imdb_netflix_v5!A$2:H$7370, 5, FALSE), "")</f>
        <v>2009</v>
      </c>
      <c r="F4120" s="2" t="str">
        <f>IF(A4120&lt;&gt;"", VLOOKUP(A4120, imdb_netflix_v5!A$2:H$7370, 7, FALSE), "")</f>
        <v>NA</v>
      </c>
    </row>
    <row r="4121" ht="15.75" customHeight="1">
      <c r="A4121" s="1" t="str">
        <f>IFERROR(__xludf.DUMMYFUNCTION("""COMPUTED_VALUE"""),"a.p. bio")</f>
        <v>a.p. bio</v>
      </c>
      <c r="B4121" s="1" t="str">
        <f>IF(A4121&lt;&gt;"", VLOOKUP(A4121, imdb_netflix_v5!A$2:H$7370, 2, FALSE), "")</f>
        <v>TV Show</v>
      </c>
      <c r="C4121" s="2" t="str">
        <f>IF(A4121&lt;&gt;"", VLOOKUP(A4121, imdb_netflix_v5!A$2:H$7370, 3, FALSE), "")</f>
        <v>Comedy</v>
      </c>
      <c r="D4121" s="2">
        <f>IF(A4121&lt;&gt;"", VLOOKUP(A4121, imdb_netflix_v5!A$2:H$7370, 4, FALSE), "")</f>
        <v>7.4</v>
      </c>
      <c r="E4121" s="2">
        <f>IF(A4121&lt;&gt;"", VLOOKUP(A4121, imdb_netflix_v5!A$2:H$7370, 5, FALSE), "")</f>
        <v>2018</v>
      </c>
      <c r="F4121" s="2" t="str">
        <f>IF(A4121&lt;&gt;"", VLOOKUP(A4121, imdb_netflix_v5!A$2:H$7370, 7, FALSE), "")</f>
        <v>NA</v>
      </c>
    </row>
    <row r="4122" ht="15.75" customHeight="1">
      <c r="A4122" s="1" t="str">
        <f>IFERROR(__xludf.DUMMYFUNCTION("""COMPUTED_VALUE"""),"two guys, a girl and a pizza place")</f>
        <v>two guys, a girl and a pizza place</v>
      </c>
      <c r="B4122" s="1" t="str">
        <f>IF(A4122&lt;&gt;"", VLOOKUP(A4122, imdb_netflix_v5!A$2:H$7370, 2, FALSE), "")</f>
        <v>TV Show</v>
      </c>
      <c r="C4122" s="2" t="str">
        <f>IF(A4122&lt;&gt;"", VLOOKUP(A4122, imdb_netflix_v5!A$2:H$7370, 3, FALSE), "")</f>
        <v>Comedy, Romance</v>
      </c>
      <c r="D4122" s="2">
        <f>IF(A4122&lt;&gt;"", VLOOKUP(A4122, imdb_netflix_v5!A$2:H$7370, 4, FALSE), "")</f>
        <v>7.4</v>
      </c>
      <c r="E4122" s="2">
        <f>IF(A4122&lt;&gt;"", VLOOKUP(A4122, imdb_netflix_v5!A$2:H$7370, 5, FALSE), "")</f>
        <v>1998</v>
      </c>
      <c r="F4122" s="2" t="str">
        <f>IF(A4122&lt;&gt;"", VLOOKUP(A4122, imdb_netflix_v5!A$2:H$7370, 7, FALSE), "")</f>
        <v>NA</v>
      </c>
    </row>
    <row r="4123" ht="15.75" customHeight="1">
      <c r="A4123" s="1" t="str">
        <f>IFERROR(__xludf.DUMMYFUNCTION("""COMPUTED_VALUE"""),"my lady jane")</f>
        <v>my lady jane</v>
      </c>
      <c r="B4123" s="1" t="str">
        <f>IF(A4123&lt;&gt;"", VLOOKUP(A4123, imdb_netflix_v5!A$2:H$7370, 2, FALSE), "")</f>
        <v>TV Show</v>
      </c>
      <c r="C4123" s="2" t="str">
        <f>IF(A4123&lt;&gt;"", VLOOKUP(A4123, imdb_netflix_v5!A$2:H$7370, 3, FALSE), "")</f>
        <v>Comedy, Drama, Fantasy</v>
      </c>
      <c r="D4123" s="2">
        <f>IF(A4123&lt;&gt;"", VLOOKUP(A4123, imdb_netflix_v5!A$2:H$7370, 4, FALSE), "")</f>
        <v>7.4</v>
      </c>
      <c r="E4123" s="2">
        <f>IF(A4123&lt;&gt;"", VLOOKUP(A4123, imdb_netflix_v5!A$2:H$7370, 5, FALSE), "")</f>
        <v>2024</v>
      </c>
      <c r="F4123" s="2" t="str">
        <f>IF(A4123&lt;&gt;"", VLOOKUP(A4123, imdb_netflix_v5!A$2:H$7370, 7, FALSE), "")</f>
        <v>NA</v>
      </c>
    </row>
    <row r="4124" ht="15.75" customHeight="1">
      <c r="A4124" s="1" t="str">
        <f>IFERROR(__xludf.DUMMYFUNCTION("""COMPUTED_VALUE"""),"red desert")</f>
        <v>red desert</v>
      </c>
      <c r="B4124" s="1" t="str">
        <f>IF(A4124&lt;&gt;"", VLOOKUP(A4124, imdb_netflix_v5!A$2:H$7370, 2, FALSE), "")</f>
        <v>Movie</v>
      </c>
      <c r="C4124" s="2" t="str">
        <f>IF(A4124&lt;&gt;"", VLOOKUP(A4124, imdb_netflix_v5!A$2:H$7370, 3, FALSE), "")</f>
        <v>Drama</v>
      </c>
      <c r="D4124" s="2">
        <f>IF(A4124&lt;&gt;"", VLOOKUP(A4124, imdb_netflix_v5!A$2:H$7370, 4, FALSE), "")</f>
        <v>7.4</v>
      </c>
      <c r="E4124" s="2">
        <f>IF(A4124&lt;&gt;"", VLOOKUP(A4124, imdb_netflix_v5!A$2:H$7370, 5, FALSE), "")</f>
        <v>1964</v>
      </c>
      <c r="F4124" s="2" t="str">
        <f>IF(A4124&lt;&gt;"", VLOOKUP(A4124, imdb_netflix_v5!A$2:H$7370, 7, FALSE), "")</f>
        <v>NA</v>
      </c>
    </row>
    <row r="4125" ht="15.75" customHeight="1">
      <c r="A4125" s="1" t="str">
        <f>IFERROR(__xludf.DUMMYFUNCTION("""COMPUTED_VALUE"""),"before the fall")</f>
        <v>before the fall</v>
      </c>
      <c r="B4125" s="1" t="str">
        <f>IF(A4125&lt;&gt;"", VLOOKUP(A4125, imdb_netflix_v5!A$2:H$7370, 2, FALSE), "")</f>
        <v>Movie</v>
      </c>
      <c r="C4125" s="2" t="str">
        <f>IF(A4125&lt;&gt;"", VLOOKUP(A4125, imdb_netflix_v5!A$2:H$7370, 3, FALSE), "")</f>
        <v>Drama, Sport, Thriller</v>
      </c>
      <c r="D4125" s="2">
        <f>IF(A4125&lt;&gt;"", VLOOKUP(A4125, imdb_netflix_v5!A$2:H$7370, 4, FALSE), "")</f>
        <v>7.4</v>
      </c>
      <c r="E4125" s="2">
        <f>IF(A4125&lt;&gt;"", VLOOKUP(A4125, imdb_netflix_v5!A$2:H$7370, 5, FALSE), "")</f>
        <v>2004</v>
      </c>
      <c r="F4125" s="2" t="str">
        <f>IF(A4125&lt;&gt;"", VLOOKUP(A4125, imdb_netflix_v5!A$2:H$7370, 7, FALSE), "")</f>
        <v>NA</v>
      </c>
    </row>
    <row r="4126" ht="15.75" customHeight="1">
      <c r="A4126" s="1" t="str">
        <f>IFERROR(__xludf.DUMMYFUNCTION("""COMPUTED_VALUE"""),"cave of forgotten dreams")</f>
        <v>cave of forgotten dreams</v>
      </c>
      <c r="B4126" s="1" t="str">
        <f>IF(A4126&lt;&gt;"", VLOOKUP(A4126, imdb_netflix_v5!A$2:H$7370, 2, FALSE), "")</f>
        <v>Movie</v>
      </c>
      <c r="C4126" s="2" t="str">
        <f>IF(A4126&lt;&gt;"", VLOOKUP(A4126, imdb_netflix_v5!A$2:H$7370, 3, FALSE), "")</f>
        <v>Documentary, History</v>
      </c>
      <c r="D4126" s="2">
        <f>IF(A4126&lt;&gt;"", VLOOKUP(A4126, imdb_netflix_v5!A$2:H$7370, 4, FALSE), "")</f>
        <v>7.4</v>
      </c>
      <c r="E4126" s="2">
        <f>IF(A4126&lt;&gt;"", VLOOKUP(A4126, imdb_netflix_v5!A$2:H$7370, 5, FALSE), "")</f>
        <v>2010</v>
      </c>
      <c r="F4126" s="2" t="str">
        <f>IF(A4126&lt;&gt;"", VLOOKUP(A4126, imdb_netflix_v5!A$2:H$7370, 7, FALSE), "")</f>
        <v>NA</v>
      </c>
    </row>
    <row r="4127" ht="15.75" customHeight="1">
      <c r="A4127" s="1" t="str">
        <f>IFERROR(__xludf.DUMMYFUNCTION("""COMPUTED_VALUE"""),"i dream of jeannie")</f>
        <v>i dream of jeannie</v>
      </c>
      <c r="B4127" s="1" t="str">
        <f>IF(A4127&lt;&gt;"", VLOOKUP(A4127, imdb_netflix_v5!A$2:H$7370, 2, FALSE), "")</f>
        <v>TV Show</v>
      </c>
      <c r="C4127" s="2" t="str">
        <f>IF(A4127&lt;&gt;"", VLOOKUP(A4127, imdb_netflix_v5!A$2:H$7370, 3, FALSE), "")</f>
        <v>Comedy, Family, Fantasy</v>
      </c>
      <c r="D4127" s="2">
        <f>IF(A4127&lt;&gt;"", VLOOKUP(A4127, imdb_netflix_v5!A$2:H$7370, 4, FALSE), "")</f>
        <v>7.4</v>
      </c>
      <c r="E4127" s="2">
        <f>IF(A4127&lt;&gt;"", VLOOKUP(A4127, imdb_netflix_v5!A$2:H$7370, 5, FALSE), "")</f>
        <v>1965</v>
      </c>
      <c r="F4127" s="2" t="str">
        <f>IF(A4127&lt;&gt;"", VLOOKUP(A4127, imdb_netflix_v5!A$2:H$7370, 7, FALSE), "")</f>
        <v>NA</v>
      </c>
    </row>
    <row r="4128" ht="15.75" customHeight="1">
      <c r="A4128" s="1" t="str">
        <f>IFERROR(__xludf.DUMMYFUNCTION("""COMPUTED_VALUE"""),"love 101")</f>
        <v>love 101</v>
      </c>
      <c r="B4128" s="1" t="str">
        <f>IF(A4128&lt;&gt;"", VLOOKUP(A4128, imdb_netflix_v5!A$2:H$7370, 2, FALSE), "")</f>
        <v>TV Show</v>
      </c>
      <c r="C4128" s="2" t="str">
        <f>IF(A4128&lt;&gt;"", VLOOKUP(A4128, imdb_netflix_v5!A$2:H$7370, 3, FALSE), "")</f>
        <v>Comedy, Drama, Romance</v>
      </c>
      <c r="D4128" s="2">
        <f>IF(A4128&lt;&gt;"", VLOOKUP(A4128, imdb_netflix_v5!A$2:H$7370, 4, FALSE), "")</f>
        <v>7.4</v>
      </c>
      <c r="E4128" s="2">
        <f>IF(A4128&lt;&gt;"", VLOOKUP(A4128, imdb_netflix_v5!A$2:H$7370, 5, FALSE), "")</f>
        <v>2020</v>
      </c>
      <c r="F4128" s="2">
        <f>IF(A4128&lt;&gt;"", VLOOKUP(A4128, imdb_netflix_v5!A$2:H$7370, 7, FALSE), "")</f>
        <v>12600000</v>
      </c>
    </row>
    <row r="4129" ht="15.75" customHeight="1">
      <c r="A4129" s="1" t="str">
        <f>IFERROR(__xludf.DUMMYFUNCTION("""COMPUTED_VALUE"""),"the professional")</f>
        <v>the professional</v>
      </c>
      <c r="B4129" s="1" t="str">
        <f>IF(A4129&lt;&gt;"", VLOOKUP(A4129, imdb_netflix_v5!A$2:H$7370, 2, FALSE), "")</f>
        <v>Movie</v>
      </c>
      <c r="C4129" s="2" t="str">
        <f>IF(A4129&lt;&gt;"", VLOOKUP(A4129, imdb_netflix_v5!A$2:H$7370, 3, FALSE), "")</f>
        <v>Action, Crime, Drama</v>
      </c>
      <c r="D4129" s="2">
        <f>IF(A4129&lt;&gt;"", VLOOKUP(A4129, imdb_netflix_v5!A$2:H$7370, 4, FALSE), "")</f>
        <v>7.4</v>
      </c>
      <c r="E4129" s="2">
        <f>IF(A4129&lt;&gt;"", VLOOKUP(A4129, imdb_netflix_v5!A$2:H$7370, 5, FALSE), "")</f>
        <v>1981</v>
      </c>
      <c r="F4129" s="2" t="str">
        <f>IF(A4129&lt;&gt;"", VLOOKUP(A4129, imdb_netflix_v5!A$2:H$7370, 7, FALSE), "")</f>
        <v>NA</v>
      </c>
    </row>
    <row r="4130" ht="15.75" customHeight="1">
      <c r="A4130" s="1" t="str">
        <f>IFERROR(__xludf.DUMMYFUNCTION("""COMPUTED_VALUE"""),"baghban")</f>
        <v>baghban</v>
      </c>
      <c r="B4130" s="1" t="str">
        <f>IF(A4130&lt;&gt;"", VLOOKUP(A4130, imdb_netflix_v5!A$2:H$7370, 2, FALSE), "")</f>
        <v>Movie</v>
      </c>
      <c r="C4130" s="2" t="str">
        <f>IF(A4130&lt;&gt;"", VLOOKUP(A4130, imdb_netflix_v5!A$2:H$7370, 3, FALSE), "")</f>
        <v>Drama, Romance</v>
      </c>
      <c r="D4130" s="2">
        <f>IF(A4130&lt;&gt;"", VLOOKUP(A4130, imdb_netflix_v5!A$2:H$7370, 4, FALSE), "")</f>
        <v>7.4</v>
      </c>
      <c r="E4130" s="2">
        <f>IF(A4130&lt;&gt;"", VLOOKUP(A4130, imdb_netflix_v5!A$2:H$7370, 5, FALSE), "")</f>
        <v>2003</v>
      </c>
      <c r="F4130" s="2" t="str">
        <f>IF(A4130&lt;&gt;"", VLOOKUP(A4130, imdb_netflix_v5!A$2:H$7370, 7, FALSE), "")</f>
        <v>NA</v>
      </c>
    </row>
    <row r="4131" ht="15.75" customHeight="1">
      <c r="A4131" s="1" t="str">
        <f>IFERROR(__xludf.DUMMYFUNCTION("""COMPUTED_VALUE"""),"masculine feminine")</f>
        <v>masculine feminine</v>
      </c>
      <c r="B4131" s="1" t="str">
        <f>IF(A4131&lt;&gt;"", VLOOKUP(A4131, imdb_netflix_v5!A$2:H$7370, 2, FALSE), "")</f>
        <v>Movie</v>
      </c>
      <c r="C4131" s="2" t="str">
        <f>IF(A4131&lt;&gt;"", VLOOKUP(A4131, imdb_netflix_v5!A$2:H$7370, 3, FALSE), "")</f>
        <v>Drama, Romance</v>
      </c>
      <c r="D4131" s="2">
        <f>IF(A4131&lt;&gt;"", VLOOKUP(A4131, imdb_netflix_v5!A$2:H$7370, 4, FALSE), "")</f>
        <v>7.4</v>
      </c>
      <c r="E4131" s="2">
        <f>IF(A4131&lt;&gt;"", VLOOKUP(A4131, imdb_netflix_v5!A$2:H$7370, 5, FALSE), "")</f>
        <v>1966</v>
      </c>
      <c r="F4131" s="2" t="str">
        <f>IF(A4131&lt;&gt;"", VLOOKUP(A4131, imdb_netflix_v5!A$2:H$7370, 7, FALSE), "")</f>
        <v>NA</v>
      </c>
    </row>
    <row r="4132" ht="15.75" customHeight="1">
      <c r="A4132" s="1" t="str">
        <f>IFERROR(__xludf.DUMMYFUNCTION("""COMPUTED_VALUE"""),"tru calling")</f>
        <v>tru calling</v>
      </c>
      <c r="B4132" s="1" t="str">
        <f>IF(A4132&lt;&gt;"", VLOOKUP(A4132, imdb_netflix_v5!A$2:H$7370, 2, FALSE), "")</f>
        <v>TV Show</v>
      </c>
      <c r="C4132" s="2" t="str">
        <f>IF(A4132&lt;&gt;"", VLOOKUP(A4132, imdb_netflix_v5!A$2:H$7370, 3, FALSE), "")</f>
        <v>Drama, Fantasy, Mystery</v>
      </c>
      <c r="D4132" s="2">
        <f>IF(A4132&lt;&gt;"", VLOOKUP(A4132, imdb_netflix_v5!A$2:H$7370, 4, FALSE), "")</f>
        <v>7.4</v>
      </c>
      <c r="E4132" s="2">
        <f>IF(A4132&lt;&gt;"", VLOOKUP(A4132, imdb_netflix_v5!A$2:H$7370, 5, FALSE), "")</f>
        <v>2003</v>
      </c>
      <c r="F4132" s="2" t="str">
        <f>IF(A4132&lt;&gt;"", VLOOKUP(A4132, imdb_netflix_v5!A$2:H$7370, 7, FALSE), "")</f>
        <v>NA</v>
      </c>
    </row>
    <row r="4133" ht="15.75" customHeight="1">
      <c r="A4133" s="1" t="str">
        <f>IFERROR(__xludf.DUMMYFUNCTION("""COMPUTED_VALUE"""),"gilligans island")</f>
        <v>gilligans island</v>
      </c>
      <c r="B4133" s="1" t="str">
        <f>IF(A4133&lt;&gt;"", VLOOKUP(A4133, imdb_netflix_v5!A$2:H$7370, 2, FALSE), "")</f>
        <v>TV Show</v>
      </c>
      <c r="C4133" s="2" t="str">
        <f>IF(A4133&lt;&gt;"", VLOOKUP(A4133, imdb_netflix_v5!A$2:H$7370, 3, FALSE), "")</f>
        <v>Comedy, Family</v>
      </c>
      <c r="D4133" s="2">
        <f>IF(A4133&lt;&gt;"", VLOOKUP(A4133, imdb_netflix_v5!A$2:H$7370, 4, FALSE), "")</f>
        <v>7.4</v>
      </c>
      <c r="E4133" s="2">
        <f>IF(A4133&lt;&gt;"", VLOOKUP(A4133, imdb_netflix_v5!A$2:H$7370, 5, FALSE), "")</f>
        <v>1964</v>
      </c>
      <c r="F4133" s="2" t="str">
        <f>IF(A4133&lt;&gt;"", VLOOKUP(A4133, imdb_netflix_v5!A$2:H$7370, 7, FALSE), "")</f>
        <v>NA</v>
      </c>
    </row>
    <row r="4134" ht="15.75" customHeight="1">
      <c r="A4134" s="1" t="str">
        <f>IFERROR(__xludf.DUMMYFUNCTION("""COMPUTED_VALUE"""),"robber")</f>
        <v>robber</v>
      </c>
      <c r="B4134" s="1" t="str">
        <f>IF(A4134&lt;&gt;"", VLOOKUP(A4134, imdb_netflix_v5!A$2:H$7370, 2, FALSE), "")</f>
        <v>Movie</v>
      </c>
      <c r="C4134" s="2" t="str">
        <f>IF(A4134&lt;&gt;"", VLOOKUP(A4134, imdb_netflix_v5!A$2:H$7370, 3, FALSE), "")</f>
        <v>Drama, Romance</v>
      </c>
      <c r="D4134" s="2">
        <f>IF(A4134&lt;&gt;"", VLOOKUP(A4134, imdb_netflix_v5!A$2:H$7370, 4, FALSE), "")</f>
        <v>7.4</v>
      </c>
      <c r="E4134" s="2">
        <f>IF(A4134&lt;&gt;"", VLOOKUP(A4134, imdb_netflix_v5!A$2:H$7370, 5, FALSE), "")</f>
        <v>2013</v>
      </c>
      <c r="F4134" s="2" t="str">
        <f>IF(A4134&lt;&gt;"", VLOOKUP(A4134, imdb_netflix_v5!A$2:H$7370, 7, FALSE), "")</f>
        <v>NA</v>
      </c>
    </row>
    <row r="4135" ht="15.75" customHeight="1">
      <c r="A4135" s="1" t="str">
        <f>IFERROR(__xludf.DUMMYFUNCTION("""COMPUTED_VALUE"""),"code m")</f>
        <v>code m</v>
      </c>
      <c r="B4135" s="1" t="str">
        <f>IF(A4135&lt;&gt;"", VLOOKUP(A4135, imdb_netflix_v5!A$2:H$7370, 2, FALSE), "")</f>
        <v>TV Show</v>
      </c>
      <c r="C4135" s="2" t="str">
        <f>IF(A4135&lt;&gt;"", VLOOKUP(A4135, imdb_netflix_v5!A$2:H$7370, 3, FALSE), "")</f>
        <v>Mystery, Thriller</v>
      </c>
      <c r="D4135" s="2">
        <f>IF(A4135&lt;&gt;"", VLOOKUP(A4135, imdb_netflix_v5!A$2:H$7370, 4, FALSE), "")</f>
        <v>7.4</v>
      </c>
      <c r="E4135" s="2">
        <f>IF(A4135&lt;&gt;"", VLOOKUP(A4135, imdb_netflix_v5!A$2:H$7370, 5, FALSE), "")</f>
        <v>2020</v>
      </c>
      <c r="F4135" s="2" t="str">
        <f>IF(A4135&lt;&gt;"", VLOOKUP(A4135, imdb_netflix_v5!A$2:H$7370, 7, FALSE), "")</f>
        <v>NA</v>
      </c>
    </row>
    <row r="4136" ht="15.75" customHeight="1">
      <c r="A4136" s="1" t="str">
        <f>IFERROR(__xludf.DUMMYFUNCTION("""COMPUTED_VALUE"""),"all the kings men")</f>
        <v>all the kings men</v>
      </c>
      <c r="B4136" s="1" t="str">
        <f>IF(A4136&lt;&gt;"", VLOOKUP(A4136, imdb_netflix_v5!A$2:H$7370, 2, FALSE), "")</f>
        <v>Movie</v>
      </c>
      <c r="C4136" s="2" t="str">
        <f>IF(A4136&lt;&gt;"", VLOOKUP(A4136, imdb_netflix_v5!A$2:H$7370, 3, FALSE), "")</f>
        <v>Drama, Film-Noir</v>
      </c>
      <c r="D4136" s="2">
        <f>IF(A4136&lt;&gt;"", VLOOKUP(A4136, imdb_netflix_v5!A$2:H$7370, 4, FALSE), "")</f>
        <v>7.4</v>
      </c>
      <c r="E4136" s="2">
        <f>IF(A4136&lt;&gt;"", VLOOKUP(A4136, imdb_netflix_v5!A$2:H$7370, 5, FALSE), "")</f>
        <v>1949</v>
      </c>
      <c r="F4136" s="2" t="str">
        <f>IF(A4136&lt;&gt;"", VLOOKUP(A4136, imdb_netflix_v5!A$2:H$7370, 7, FALSE), "")</f>
        <v>NA</v>
      </c>
    </row>
    <row r="4137" ht="15.75" customHeight="1">
      <c r="A4137" s="1" t="str">
        <f>IFERROR(__xludf.DUMMYFUNCTION("""COMPUTED_VALUE"""),"120 bpm")</f>
        <v>120 bpm</v>
      </c>
      <c r="B4137" s="1" t="str">
        <f>IF(A4137&lt;&gt;"", VLOOKUP(A4137, imdb_netflix_v5!A$2:H$7370, 2, FALSE), "")</f>
        <v>Movie</v>
      </c>
      <c r="C4137" s="2" t="str">
        <f>IF(A4137&lt;&gt;"", VLOOKUP(A4137, imdb_netflix_v5!A$2:H$7370, 3, FALSE), "")</f>
        <v>Drama</v>
      </c>
      <c r="D4137" s="2">
        <f>IF(A4137&lt;&gt;"", VLOOKUP(A4137, imdb_netflix_v5!A$2:H$7370, 4, FALSE), "")</f>
        <v>7.4</v>
      </c>
      <c r="E4137" s="2">
        <f>IF(A4137&lt;&gt;"", VLOOKUP(A4137, imdb_netflix_v5!A$2:H$7370, 5, FALSE), "")</f>
        <v>2017</v>
      </c>
      <c r="F4137" s="2" t="str">
        <f>IF(A4137&lt;&gt;"", VLOOKUP(A4137, imdb_netflix_v5!A$2:H$7370, 7, FALSE), "")</f>
        <v>NA</v>
      </c>
    </row>
    <row r="4138" ht="15.75" customHeight="1">
      <c r="A4138" s="1" t="str">
        <f>IFERROR(__xludf.DUMMYFUNCTION("""COMPUTED_VALUE"""),"khakee")</f>
        <v>khakee</v>
      </c>
      <c r="B4138" s="1" t="str">
        <f>IF(A4138&lt;&gt;"", VLOOKUP(A4138, imdb_netflix_v5!A$2:H$7370, 2, FALSE), "")</f>
        <v>Movie</v>
      </c>
      <c r="C4138" s="2" t="str">
        <f>IF(A4138&lt;&gt;"", VLOOKUP(A4138, imdb_netflix_v5!A$2:H$7370, 3, FALSE), "")</f>
        <v>Action, Crime, Drama</v>
      </c>
      <c r="D4138" s="2">
        <f>IF(A4138&lt;&gt;"", VLOOKUP(A4138, imdb_netflix_v5!A$2:H$7370, 4, FALSE), "")</f>
        <v>7.4</v>
      </c>
      <c r="E4138" s="2">
        <f>IF(A4138&lt;&gt;"", VLOOKUP(A4138, imdb_netflix_v5!A$2:H$7370, 5, FALSE), "")</f>
        <v>2004</v>
      </c>
      <c r="F4138" s="2" t="str">
        <f>IF(A4138&lt;&gt;"", VLOOKUP(A4138, imdb_netflix_v5!A$2:H$7370, 7, FALSE), "")</f>
        <v>NA</v>
      </c>
    </row>
    <row r="4139" ht="15.75" customHeight="1">
      <c r="A4139" s="1" t="str">
        <f>IFERROR(__xludf.DUMMYFUNCTION("""COMPUTED_VALUE"""),"mediterraneo")</f>
        <v>mediterraneo</v>
      </c>
      <c r="B4139" s="1" t="str">
        <f>IF(A4139&lt;&gt;"", VLOOKUP(A4139, imdb_netflix_v5!A$2:H$7370, 2, FALSE), "")</f>
        <v>Movie</v>
      </c>
      <c r="C4139" s="2" t="str">
        <f>IF(A4139&lt;&gt;"", VLOOKUP(A4139, imdb_netflix_v5!A$2:H$7370, 3, FALSE), "")</f>
        <v>Comedy, Drama, War</v>
      </c>
      <c r="D4139" s="2">
        <f>IF(A4139&lt;&gt;"", VLOOKUP(A4139, imdb_netflix_v5!A$2:H$7370, 4, FALSE), "")</f>
        <v>7.4</v>
      </c>
      <c r="E4139" s="2">
        <f>IF(A4139&lt;&gt;"", VLOOKUP(A4139, imdb_netflix_v5!A$2:H$7370, 5, FALSE), "")</f>
        <v>1991</v>
      </c>
      <c r="F4139" s="2" t="str">
        <f>IF(A4139&lt;&gt;"", VLOOKUP(A4139, imdb_netflix_v5!A$2:H$7370, 7, FALSE), "")</f>
        <v>NA</v>
      </c>
    </row>
    <row r="4140" ht="15.75" customHeight="1">
      <c r="A4140" s="1" t="str">
        <f>IFERROR(__xludf.DUMMYFUNCTION("""COMPUTED_VALUE"""),"north face")</f>
        <v>north face</v>
      </c>
      <c r="B4140" s="1" t="str">
        <f>IF(A4140&lt;&gt;"", VLOOKUP(A4140, imdb_netflix_v5!A$2:H$7370, 2, FALSE), "")</f>
        <v>Movie</v>
      </c>
      <c r="C4140" s="2" t="str">
        <f>IF(A4140&lt;&gt;"", VLOOKUP(A4140, imdb_netflix_v5!A$2:H$7370, 3, FALSE), "")</f>
        <v>Adventure, Biography, Drama</v>
      </c>
      <c r="D4140" s="2">
        <f>IF(A4140&lt;&gt;"", VLOOKUP(A4140, imdb_netflix_v5!A$2:H$7370, 4, FALSE), "")</f>
        <v>7.4</v>
      </c>
      <c r="E4140" s="2">
        <f>IF(A4140&lt;&gt;"", VLOOKUP(A4140, imdb_netflix_v5!A$2:H$7370, 5, FALSE), "")</f>
        <v>2008</v>
      </c>
      <c r="F4140" s="2" t="str">
        <f>IF(A4140&lt;&gt;"", VLOOKUP(A4140, imdb_netflix_v5!A$2:H$7370, 7, FALSE), "")</f>
        <v>NA</v>
      </c>
    </row>
    <row r="4141" ht="15.75" customHeight="1">
      <c r="A4141" s="1" t="str">
        <f>IFERROR(__xludf.DUMMYFUNCTION("""COMPUTED_VALUE"""),"the goodbye girl")</f>
        <v>the goodbye girl</v>
      </c>
      <c r="B4141" s="1" t="str">
        <f>IF(A4141&lt;&gt;"", VLOOKUP(A4141, imdb_netflix_v5!A$2:H$7370, 2, FALSE), "")</f>
        <v>Movie</v>
      </c>
      <c r="C4141" s="2" t="str">
        <f>IF(A4141&lt;&gt;"", VLOOKUP(A4141, imdb_netflix_v5!A$2:H$7370, 3, FALSE), "")</f>
        <v>Comedy, Drama, Romance</v>
      </c>
      <c r="D4141" s="2">
        <f>IF(A4141&lt;&gt;"", VLOOKUP(A4141, imdb_netflix_v5!A$2:H$7370, 4, FALSE), "")</f>
        <v>7.4</v>
      </c>
      <c r="E4141" s="2">
        <f>IF(A4141&lt;&gt;"", VLOOKUP(A4141, imdb_netflix_v5!A$2:H$7370, 5, FALSE), "")</f>
        <v>1977</v>
      </c>
      <c r="F4141" s="2" t="str">
        <f>IF(A4141&lt;&gt;"", VLOOKUP(A4141, imdb_netflix_v5!A$2:H$7370, 7, FALSE), "")</f>
        <v>NA</v>
      </c>
    </row>
    <row r="4142" ht="15.75" customHeight="1">
      <c r="A4142" s="1" t="str">
        <f>IFERROR(__xludf.DUMMYFUNCTION("""COMPUTED_VALUE"""),"arthur")</f>
        <v>arthur</v>
      </c>
      <c r="B4142" s="1" t="str">
        <f>IF(A4142&lt;&gt;"", VLOOKUP(A4142, imdb_netflix_v5!A$2:H$7370, 2, FALSE), "")</f>
        <v>TV Show</v>
      </c>
      <c r="C4142" s="2" t="str">
        <f>IF(A4142&lt;&gt;"", VLOOKUP(A4142, imdb_netflix_v5!A$2:H$7370, 3, FALSE), "")</f>
        <v>Adventure, Animation, Comedy</v>
      </c>
      <c r="D4142" s="2">
        <f>IF(A4142&lt;&gt;"", VLOOKUP(A4142, imdb_netflix_v5!A$2:H$7370, 4, FALSE), "")</f>
        <v>7.4</v>
      </c>
      <c r="E4142" s="2">
        <f>IF(A4142&lt;&gt;"", VLOOKUP(A4142, imdb_netflix_v5!A$2:H$7370, 5, FALSE), "")</f>
        <v>1996</v>
      </c>
      <c r="F4142" s="2" t="str">
        <f>IF(A4142&lt;&gt;"", VLOOKUP(A4142, imdb_netflix_v5!A$2:H$7370, 7, FALSE), "")</f>
        <v>NA</v>
      </c>
    </row>
    <row r="4143" ht="15.75" customHeight="1">
      <c r="A4143" s="1" t="str">
        <f>IFERROR(__xludf.DUMMYFUNCTION("""COMPUTED_VALUE"""),"you, the living")</f>
        <v>you, the living</v>
      </c>
      <c r="B4143" s="1" t="str">
        <f>IF(A4143&lt;&gt;"", VLOOKUP(A4143, imdb_netflix_v5!A$2:H$7370, 2, FALSE), "")</f>
        <v>Movie</v>
      </c>
      <c r="C4143" s="2" t="str">
        <f>IF(A4143&lt;&gt;"", VLOOKUP(A4143, imdb_netflix_v5!A$2:H$7370, 3, FALSE), "")</f>
        <v>Comedy, Drama, Music</v>
      </c>
      <c r="D4143" s="2">
        <f>IF(A4143&lt;&gt;"", VLOOKUP(A4143, imdb_netflix_v5!A$2:H$7370, 4, FALSE), "")</f>
        <v>7.4</v>
      </c>
      <c r="E4143" s="2">
        <f>IF(A4143&lt;&gt;"", VLOOKUP(A4143, imdb_netflix_v5!A$2:H$7370, 5, FALSE), "")</f>
        <v>2007</v>
      </c>
      <c r="F4143" s="2" t="str">
        <f>IF(A4143&lt;&gt;"", VLOOKUP(A4143, imdb_netflix_v5!A$2:H$7370, 7, FALSE), "")</f>
        <v>NA</v>
      </c>
    </row>
    <row r="4144" ht="15.75" customHeight="1">
      <c r="A4144" s="1" t="str">
        <f>IFERROR(__xludf.DUMMYFUNCTION("""COMPUTED_VALUE"""),"hot in cleveland")</f>
        <v>hot in cleveland</v>
      </c>
      <c r="B4144" s="1" t="str">
        <f>IF(A4144&lt;&gt;"", VLOOKUP(A4144, imdb_netflix_v5!A$2:H$7370, 2, FALSE), "")</f>
        <v>TV Show</v>
      </c>
      <c r="C4144" s="2" t="str">
        <f>IF(A4144&lt;&gt;"", VLOOKUP(A4144, imdb_netflix_v5!A$2:H$7370, 3, FALSE), "")</f>
        <v>Comedy</v>
      </c>
      <c r="D4144" s="2">
        <f>IF(A4144&lt;&gt;"", VLOOKUP(A4144, imdb_netflix_v5!A$2:H$7370, 4, FALSE), "")</f>
        <v>7.4</v>
      </c>
      <c r="E4144" s="2">
        <f>IF(A4144&lt;&gt;"", VLOOKUP(A4144, imdb_netflix_v5!A$2:H$7370, 5, FALSE), "")</f>
        <v>2010</v>
      </c>
      <c r="F4144" s="2" t="str">
        <f>IF(A4144&lt;&gt;"", VLOOKUP(A4144, imdb_netflix_v5!A$2:H$7370, 7, FALSE), "")</f>
        <v>NA</v>
      </c>
    </row>
    <row r="4145" ht="15.75" customHeight="1">
      <c r="A4145" s="1" t="str">
        <f>IFERROR(__xludf.DUMMYFUNCTION("""COMPUTED_VALUE"""),"castlevania nocturne")</f>
        <v>castlevania nocturne</v>
      </c>
      <c r="B4145" s="1" t="str">
        <f>IF(A4145&lt;&gt;"", VLOOKUP(A4145, imdb_netflix_v5!A$2:H$7370, 2, FALSE), "")</f>
        <v>TV Show</v>
      </c>
      <c r="C4145" s="2" t="str">
        <f>IF(A4145&lt;&gt;"", VLOOKUP(A4145, imdb_netflix_v5!A$2:H$7370, 3, FALSE), "")</f>
        <v>Action, Adventure, Animation</v>
      </c>
      <c r="D4145" s="2">
        <f>IF(A4145&lt;&gt;"", VLOOKUP(A4145, imdb_netflix_v5!A$2:H$7370, 4, FALSE), "")</f>
        <v>7.4</v>
      </c>
      <c r="E4145" s="2">
        <f>IF(A4145&lt;&gt;"", VLOOKUP(A4145, imdb_netflix_v5!A$2:H$7370, 5, FALSE), "")</f>
        <v>2023</v>
      </c>
      <c r="F4145" s="2">
        <f>IF(A4145&lt;&gt;"", VLOOKUP(A4145, imdb_netflix_v5!A$2:H$7370, 7, FALSE), "")</f>
        <v>6800000</v>
      </c>
    </row>
    <row r="4146" ht="15.75" customHeight="1">
      <c r="A4146" s="1" t="str">
        <f>IFERROR(__xludf.DUMMYFUNCTION("""COMPUTED_VALUE"""),"the bad seed")</f>
        <v>the bad seed</v>
      </c>
      <c r="B4146" s="1" t="str">
        <f>IF(A4146&lt;&gt;"", VLOOKUP(A4146, imdb_netflix_v5!A$2:H$7370, 2, FALSE), "")</f>
        <v>Movie</v>
      </c>
      <c r="C4146" s="2" t="str">
        <f>IF(A4146&lt;&gt;"", VLOOKUP(A4146, imdb_netflix_v5!A$2:H$7370, 3, FALSE), "")</f>
        <v>Drama, Horror, Thriller</v>
      </c>
      <c r="D4146" s="2">
        <f>IF(A4146&lt;&gt;"", VLOOKUP(A4146, imdb_netflix_v5!A$2:H$7370, 4, FALSE), "")</f>
        <v>7.4</v>
      </c>
      <c r="E4146" s="2">
        <f>IF(A4146&lt;&gt;"", VLOOKUP(A4146, imdb_netflix_v5!A$2:H$7370, 5, FALSE), "")</f>
        <v>1956</v>
      </c>
      <c r="F4146" s="2" t="str">
        <f>IF(A4146&lt;&gt;"", VLOOKUP(A4146, imdb_netflix_v5!A$2:H$7370, 7, FALSE), "")</f>
        <v>NA</v>
      </c>
    </row>
    <row r="4147" ht="15.75" customHeight="1">
      <c r="A4147" s="1" t="str">
        <f>IFERROR(__xludf.DUMMYFUNCTION("""COMPUTED_VALUE"""),"the cowboys")</f>
        <v>the cowboys</v>
      </c>
      <c r="B4147" s="1" t="str">
        <f>IF(A4147&lt;&gt;"", VLOOKUP(A4147, imdb_netflix_v5!A$2:H$7370, 2, FALSE), "")</f>
        <v>Movie</v>
      </c>
      <c r="C4147" s="2" t="str">
        <f>IF(A4147&lt;&gt;"", VLOOKUP(A4147, imdb_netflix_v5!A$2:H$7370, 3, FALSE), "")</f>
        <v>Adventure, Drama, Western</v>
      </c>
      <c r="D4147" s="2">
        <f>IF(A4147&lt;&gt;"", VLOOKUP(A4147, imdb_netflix_v5!A$2:H$7370, 4, FALSE), "")</f>
        <v>7.4</v>
      </c>
      <c r="E4147" s="2">
        <f>IF(A4147&lt;&gt;"", VLOOKUP(A4147, imdb_netflix_v5!A$2:H$7370, 5, FALSE), "")</f>
        <v>1972</v>
      </c>
      <c r="F4147" s="2" t="str">
        <f>IF(A4147&lt;&gt;"", VLOOKUP(A4147, imdb_netflix_v5!A$2:H$7370, 7, FALSE), "")</f>
        <v>NA</v>
      </c>
    </row>
    <row r="4148" ht="15.75" customHeight="1">
      <c r="A4148" s="1" t="str">
        <f>IFERROR(__xludf.DUMMYFUNCTION("""COMPUTED_VALUE"""),"shantaram")</f>
        <v>shantaram</v>
      </c>
      <c r="B4148" s="1" t="str">
        <f>IF(A4148&lt;&gt;"", VLOOKUP(A4148, imdb_netflix_v5!A$2:H$7370, 2, FALSE), "")</f>
        <v>TV Show</v>
      </c>
      <c r="C4148" s="2" t="str">
        <f>IF(A4148&lt;&gt;"", VLOOKUP(A4148, imdb_netflix_v5!A$2:H$7370, 3, FALSE), "")</f>
        <v>Action, Adventure, Crime</v>
      </c>
      <c r="D4148" s="2">
        <f>IF(A4148&lt;&gt;"", VLOOKUP(A4148, imdb_netflix_v5!A$2:H$7370, 4, FALSE), "")</f>
        <v>7.4</v>
      </c>
      <c r="E4148" s="2">
        <f>IF(A4148&lt;&gt;"", VLOOKUP(A4148, imdb_netflix_v5!A$2:H$7370, 5, FALSE), "")</f>
        <v>2022</v>
      </c>
      <c r="F4148" s="2" t="str">
        <f>IF(A4148&lt;&gt;"", VLOOKUP(A4148, imdb_netflix_v5!A$2:H$7370, 7, FALSE), "")</f>
        <v>NA</v>
      </c>
    </row>
    <row r="4149" ht="15.75" customHeight="1">
      <c r="A4149" s="1" t="str">
        <f>IFERROR(__xludf.DUMMYFUNCTION("""COMPUTED_VALUE"""),"the unknown woman")</f>
        <v>the unknown woman</v>
      </c>
      <c r="B4149" s="1" t="str">
        <f>IF(A4149&lt;&gt;"", VLOOKUP(A4149, imdb_netflix_v5!A$2:H$7370, 2, FALSE), "")</f>
        <v>Movie</v>
      </c>
      <c r="C4149" s="2" t="str">
        <f>IF(A4149&lt;&gt;"", VLOOKUP(A4149, imdb_netflix_v5!A$2:H$7370, 3, FALSE), "")</f>
        <v>Drama, Mystery, Thriller</v>
      </c>
      <c r="D4149" s="2">
        <f>IF(A4149&lt;&gt;"", VLOOKUP(A4149, imdb_netflix_v5!A$2:H$7370, 4, FALSE), "")</f>
        <v>7.4</v>
      </c>
      <c r="E4149" s="2">
        <f>IF(A4149&lt;&gt;"", VLOOKUP(A4149, imdb_netflix_v5!A$2:H$7370, 5, FALSE), "")</f>
        <v>2006</v>
      </c>
      <c r="F4149" s="2" t="str">
        <f>IF(A4149&lt;&gt;"", VLOOKUP(A4149, imdb_netflix_v5!A$2:H$7370, 7, FALSE), "")</f>
        <v>NA</v>
      </c>
    </row>
    <row r="4150" ht="15.75" customHeight="1">
      <c r="A4150" s="1" t="str">
        <f>IFERROR(__xludf.DUMMYFUNCTION("""COMPUTED_VALUE"""),"curse of the demon")</f>
        <v>curse of the demon</v>
      </c>
      <c r="B4150" s="1" t="str">
        <f>IF(A4150&lt;&gt;"", VLOOKUP(A4150, imdb_netflix_v5!A$2:H$7370, 2, FALSE), "")</f>
        <v>Movie</v>
      </c>
      <c r="C4150" s="2" t="str">
        <f>IF(A4150&lt;&gt;"", VLOOKUP(A4150, imdb_netflix_v5!A$2:H$7370, 3, FALSE), "")</f>
        <v>Fantasy, Horror, Mystery</v>
      </c>
      <c r="D4150" s="2">
        <f>IF(A4150&lt;&gt;"", VLOOKUP(A4150, imdb_netflix_v5!A$2:H$7370, 4, FALSE), "")</f>
        <v>7.4</v>
      </c>
      <c r="E4150" s="2">
        <f>IF(A4150&lt;&gt;"", VLOOKUP(A4150, imdb_netflix_v5!A$2:H$7370, 5, FALSE), "")</f>
        <v>1957</v>
      </c>
      <c r="F4150" s="2" t="str">
        <f>IF(A4150&lt;&gt;"", VLOOKUP(A4150, imdb_netflix_v5!A$2:H$7370, 7, FALSE), "")</f>
        <v>NA</v>
      </c>
    </row>
    <row r="4151" ht="15.75" customHeight="1">
      <c r="A4151" s="1" t="str">
        <f>IFERROR(__xludf.DUMMYFUNCTION("""COMPUTED_VALUE"""),"sweet sixteen")</f>
        <v>sweet sixteen</v>
      </c>
      <c r="B4151" s="1" t="str">
        <f>IF(A4151&lt;&gt;"", VLOOKUP(A4151, imdb_netflix_v5!A$2:H$7370, 2, FALSE), "")</f>
        <v>Movie</v>
      </c>
      <c r="C4151" s="2" t="str">
        <f>IF(A4151&lt;&gt;"", VLOOKUP(A4151, imdb_netflix_v5!A$2:H$7370, 3, FALSE), "")</f>
        <v>Crime, Drama</v>
      </c>
      <c r="D4151" s="2">
        <f>IF(A4151&lt;&gt;"", VLOOKUP(A4151, imdb_netflix_v5!A$2:H$7370, 4, FALSE), "")</f>
        <v>7.4</v>
      </c>
      <c r="E4151" s="2">
        <f>IF(A4151&lt;&gt;"", VLOOKUP(A4151, imdb_netflix_v5!A$2:H$7370, 5, FALSE), "")</f>
        <v>2002</v>
      </c>
      <c r="F4151" s="2" t="str">
        <f>IF(A4151&lt;&gt;"", VLOOKUP(A4151, imdb_netflix_v5!A$2:H$7370, 7, FALSE), "")</f>
        <v>NA</v>
      </c>
    </row>
    <row r="4152" ht="15.75" customHeight="1">
      <c r="A4152" s="1" t="str">
        <f>IFERROR(__xludf.DUMMYFUNCTION("""COMPUTED_VALUE"""),"im not scared")</f>
        <v>im not scared</v>
      </c>
      <c r="B4152" s="1" t="str">
        <f>IF(A4152&lt;&gt;"", VLOOKUP(A4152, imdb_netflix_v5!A$2:H$7370, 2, FALSE), "")</f>
        <v>Movie</v>
      </c>
      <c r="C4152" s="2" t="str">
        <f>IF(A4152&lt;&gt;"", VLOOKUP(A4152, imdb_netflix_v5!A$2:H$7370, 3, FALSE), "")</f>
        <v>Crime, Drama, Mystery</v>
      </c>
      <c r="D4152" s="2">
        <f>IF(A4152&lt;&gt;"", VLOOKUP(A4152, imdb_netflix_v5!A$2:H$7370, 4, FALSE), "")</f>
        <v>7.4</v>
      </c>
      <c r="E4152" s="2">
        <f>IF(A4152&lt;&gt;"", VLOOKUP(A4152, imdb_netflix_v5!A$2:H$7370, 5, FALSE), "")</f>
        <v>2003</v>
      </c>
      <c r="F4152" s="2" t="str">
        <f>IF(A4152&lt;&gt;"", VLOOKUP(A4152, imdb_netflix_v5!A$2:H$7370, 7, FALSE), "")</f>
        <v>NA</v>
      </c>
    </row>
    <row r="4153" ht="15.75" customHeight="1">
      <c r="A4153" s="1" t="str">
        <f>IFERROR(__xludf.DUMMYFUNCTION("""COMPUTED_VALUE"""),"the responder")</f>
        <v>the responder</v>
      </c>
      <c r="B4153" s="1" t="str">
        <f>IF(A4153&lt;&gt;"", VLOOKUP(A4153, imdb_netflix_v5!A$2:H$7370, 2, FALSE), "")</f>
        <v>TV Show</v>
      </c>
      <c r="C4153" s="2" t="str">
        <f>IF(A4153&lt;&gt;"", VLOOKUP(A4153, imdb_netflix_v5!A$2:H$7370, 3, FALSE), "")</f>
        <v>Crime, Drama, Thriller</v>
      </c>
      <c r="D4153" s="2">
        <f>IF(A4153&lt;&gt;"", VLOOKUP(A4153, imdb_netflix_v5!A$2:H$7370, 4, FALSE), "")</f>
        <v>7.4</v>
      </c>
      <c r="E4153" s="2">
        <f>IF(A4153&lt;&gt;"", VLOOKUP(A4153, imdb_netflix_v5!A$2:H$7370, 5, FALSE), "")</f>
        <v>2022</v>
      </c>
      <c r="F4153" s="2" t="str">
        <f>IF(A4153&lt;&gt;"", VLOOKUP(A4153, imdb_netflix_v5!A$2:H$7370, 7, FALSE), "")</f>
        <v>NA</v>
      </c>
    </row>
    <row r="4154" ht="15.75" customHeight="1">
      <c r="A4154" s="1" t="str">
        <f>IFERROR(__xludf.DUMMYFUNCTION("""COMPUTED_VALUE"""),"rosetta")</f>
        <v>rosetta</v>
      </c>
      <c r="B4154" s="1" t="str">
        <f>IF(A4154&lt;&gt;"", VLOOKUP(A4154, imdb_netflix_v5!A$2:H$7370, 2, FALSE), "")</f>
        <v>Movie</v>
      </c>
      <c r="C4154" s="2" t="str">
        <f>IF(A4154&lt;&gt;"", VLOOKUP(A4154, imdb_netflix_v5!A$2:H$7370, 3, FALSE), "")</f>
        <v>Drama</v>
      </c>
      <c r="D4154" s="2">
        <f>IF(A4154&lt;&gt;"", VLOOKUP(A4154, imdb_netflix_v5!A$2:H$7370, 4, FALSE), "")</f>
        <v>7.4</v>
      </c>
      <c r="E4154" s="2">
        <f>IF(A4154&lt;&gt;"", VLOOKUP(A4154, imdb_netflix_v5!A$2:H$7370, 5, FALSE), "")</f>
        <v>1999</v>
      </c>
      <c r="F4154" s="2" t="str">
        <f>IF(A4154&lt;&gt;"", VLOOKUP(A4154, imdb_netflix_v5!A$2:H$7370, 7, FALSE), "")</f>
        <v>NA</v>
      </c>
    </row>
    <row r="4155" ht="15.75" customHeight="1">
      <c r="A4155" s="1" t="str">
        <f>IFERROR(__xludf.DUMMYFUNCTION("""COMPUTED_VALUE"""),"the little drummer girl")</f>
        <v>the little drummer girl</v>
      </c>
      <c r="B4155" s="1" t="str">
        <f>IF(A4155&lt;&gt;"", VLOOKUP(A4155, imdb_netflix_v5!A$2:H$7370, 2, FALSE), "")</f>
        <v>TV Show</v>
      </c>
      <c r="C4155" s="2" t="str">
        <f>IF(A4155&lt;&gt;"", VLOOKUP(A4155, imdb_netflix_v5!A$2:H$7370, 3, FALSE), "")</f>
        <v>Drama, Thriller</v>
      </c>
      <c r="D4155" s="2">
        <f>IF(A4155&lt;&gt;"", VLOOKUP(A4155, imdb_netflix_v5!A$2:H$7370, 4, FALSE), "")</f>
        <v>7.4</v>
      </c>
      <c r="E4155" s="2">
        <f>IF(A4155&lt;&gt;"", VLOOKUP(A4155, imdb_netflix_v5!A$2:H$7370, 5, FALSE), "")</f>
        <v>2018</v>
      </c>
      <c r="F4155" s="2" t="str">
        <f>IF(A4155&lt;&gt;"", VLOOKUP(A4155, imdb_netflix_v5!A$2:H$7370, 7, FALSE), "")</f>
        <v>NA</v>
      </c>
    </row>
    <row r="4156" ht="15.75" customHeight="1">
      <c r="A4156" s="1" t="str">
        <f>IFERROR(__xludf.DUMMYFUNCTION("""COMPUTED_VALUE"""),"blue exorcist")</f>
        <v>blue exorcist</v>
      </c>
      <c r="B4156" s="1" t="str">
        <f>IF(A4156&lt;&gt;"", VLOOKUP(A4156, imdb_netflix_v5!A$2:H$7370, 2, FALSE), "")</f>
        <v>TV Show</v>
      </c>
      <c r="C4156" s="2" t="str">
        <f>IF(A4156&lt;&gt;"", VLOOKUP(A4156, imdb_netflix_v5!A$2:H$7370, 3, FALSE), "")</f>
        <v>Action, Animation, Drama</v>
      </c>
      <c r="D4156" s="2">
        <f>IF(A4156&lt;&gt;"", VLOOKUP(A4156, imdb_netflix_v5!A$2:H$7370, 4, FALSE), "")</f>
        <v>7.4</v>
      </c>
      <c r="E4156" s="2">
        <f>IF(A4156&lt;&gt;"", VLOOKUP(A4156, imdb_netflix_v5!A$2:H$7370, 5, FALSE), "")</f>
        <v>2011</v>
      </c>
      <c r="F4156" s="2" t="str">
        <f>IF(A4156&lt;&gt;"", VLOOKUP(A4156, imdb_netflix_v5!A$2:H$7370, 7, FALSE), "")</f>
        <v>NA</v>
      </c>
    </row>
    <row r="4157" ht="15.75" customHeight="1">
      <c r="A4157" s="1" t="str">
        <f>IFERROR(__xludf.DUMMYFUNCTION("""COMPUTED_VALUE"""),"bagdad cafe")</f>
        <v>bagdad cafe</v>
      </c>
      <c r="B4157" s="1" t="str">
        <f>IF(A4157&lt;&gt;"", VLOOKUP(A4157, imdb_netflix_v5!A$2:H$7370, 2, FALSE), "")</f>
        <v>Movie</v>
      </c>
      <c r="C4157" s="2" t="str">
        <f>IF(A4157&lt;&gt;"", VLOOKUP(A4157, imdb_netflix_v5!A$2:H$7370, 3, FALSE), "")</f>
        <v>Comedy, Drama</v>
      </c>
      <c r="D4157" s="2">
        <f>IF(A4157&lt;&gt;"", VLOOKUP(A4157, imdb_netflix_v5!A$2:H$7370, 4, FALSE), "")</f>
        <v>7.4</v>
      </c>
      <c r="E4157" s="2">
        <f>IF(A4157&lt;&gt;"", VLOOKUP(A4157, imdb_netflix_v5!A$2:H$7370, 5, FALSE), "")</f>
        <v>1987</v>
      </c>
      <c r="F4157" s="2" t="str">
        <f>IF(A4157&lt;&gt;"", VLOOKUP(A4157, imdb_netflix_v5!A$2:H$7370, 7, FALSE), "")</f>
        <v>NA</v>
      </c>
    </row>
    <row r="4158" ht="15.75" customHeight="1">
      <c r="A4158" s="1" t="str">
        <f>IFERROR(__xludf.DUMMYFUNCTION("""COMPUTED_VALUE"""),"animal crackers")</f>
        <v>animal crackers</v>
      </c>
      <c r="B4158" s="1" t="str">
        <f>IF(A4158&lt;&gt;"", VLOOKUP(A4158, imdb_netflix_v5!A$2:H$7370, 2, FALSE), "")</f>
        <v>Movie</v>
      </c>
      <c r="C4158" s="2" t="str">
        <f>IF(A4158&lt;&gt;"", VLOOKUP(A4158, imdb_netflix_v5!A$2:H$7370, 3, FALSE), "")</f>
        <v>Comedy, Family, Musical</v>
      </c>
      <c r="D4158" s="2">
        <f>IF(A4158&lt;&gt;"", VLOOKUP(A4158, imdb_netflix_v5!A$2:H$7370, 4, FALSE), "")</f>
        <v>7.4</v>
      </c>
      <c r="E4158" s="2">
        <f>IF(A4158&lt;&gt;"", VLOOKUP(A4158, imdb_netflix_v5!A$2:H$7370, 5, FALSE), "")</f>
        <v>1930</v>
      </c>
      <c r="F4158" s="2" t="str">
        <f>IF(A4158&lt;&gt;"", VLOOKUP(A4158, imdb_netflix_v5!A$2:H$7370, 7, FALSE), "")</f>
        <v>NA</v>
      </c>
    </row>
    <row r="4159" ht="15.75" customHeight="1">
      <c r="A4159" s="1" t="str">
        <f>IFERROR(__xludf.DUMMYFUNCTION("""COMPUTED_VALUE"""),"the playlist")</f>
        <v>the playlist</v>
      </c>
      <c r="B4159" s="1" t="str">
        <f>IF(A4159&lt;&gt;"", VLOOKUP(A4159, imdb_netflix_v5!A$2:H$7370, 2, FALSE), "")</f>
        <v>TV Show</v>
      </c>
      <c r="C4159" s="2" t="str">
        <f>IF(A4159&lt;&gt;"", VLOOKUP(A4159, imdb_netflix_v5!A$2:H$7370, 3, FALSE), "")</f>
        <v>Biography, Drama, Music</v>
      </c>
      <c r="D4159" s="2">
        <f>IF(A4159&lt;&gt;"", VLOOKUP(A4159, imdb_netflix_v5!A$2:H$7370, 4, FALSE), "")</f>
        <v>7.4</v>
      </c>
      <c r="E4159" s="2">
        <f>IF(A4159&lt;&gt;"", VLOOKUP(A4159, imdb_netflix_v5!A$2:H$7370, 5, FALSE), "")</f>
        <v>2022</v>
      </c>
      <c r="F4159" s="2">
        <f>IF(A4159&lt;&gt;"", VLOOKUP(A4159, imdb_netflix_v5!A$2:H$7370, 7, FALSE), "")</f>
        <v>10920000</v>
      </c>
    </row>
    <row r="4160" ht="15.75" customHeight="1">
      <c r="A4160" s="1" t="str">
        <f>IFERROR(__xludf.DUMMYFUNCTION("""COMPUTED_VALUE"""),"behzat ç. ankara is on fire")</f>
        <v>behzat ç. ankara is on fire</v>
      </c>
      <c r="B4160" s="1" t="str">
        <f>IF(A4160&lt;&gt;"", VLOOKUP(A4160, imdb_netflix_v5!A$2:H$7370, 2, FALSE), "")</f>
        <v>Movie</v>
      </c>
      <c r="C4160" s="2" t="str">
        <f>IF(A4160&lt;&gt;"", VLOOKUP(A4160, imdb_netflix_v5!A$2:H$7370, 3, FALSE), "")</f>
        <v>Action, Crime, Drama</v>
      </c>
      <c r="D4160" s="2">
        <f>IF(A4160&lt;&gt;"", VLOOKUP(A4160, imdb_netflix_v5!A$2:H$7370, 4, FALSE), "")</f>
        <v>7.4</v>
      </c>
      <c r="E4160" s="2">
        <f>IF(A4160&lt;&gt;"", VLOOKUP(A4160, imdb_netflix_v5!A$2:H$7370, 5, FALSE), "")</f>
        <v>2013</v>
      </c>
      <c r="F4160" s="2" t="str">
        <f>IF(A4160&lt;&gt;"", VLOOKUP(A4160, imdb_netflix_v5!A$2:H$7370, 7, FALSE), "")</f>
        <v>NA</v>
      </c>
    </row>
    <row r="4161" ht="15.75" customHeight="1">
      <c r="A4161" s="1" t="str">
        <f>IFERROR(__xludf.DUMMYFUNCTION("""COMPUTED_VALUE"""),"jezebel")</f>
        <v>jezebel</v>
      </c>
      <c r="B4161" s="1" t="str">
        <f>IF(A4161&lt;&gt;"", VLOOKUP(A4161, imdb_netflix_v5!A$2:H$7370, 2, FALSE), "")</f>
        <v>Movie</v>
      </c>
      <c r="C4161" s="2" t="str">
        <f>IF(A4161&lt;&gt;"", VLOOKUP(A4161, imdb_netflix_v5!A$2:H$7370, 3, FALSE), "")</f>
        <v>Drama, Romance</v>
      </c>
      <c r="D4161" s="2">
        <f>IF(A4161&lt;&gt;"", VLOOKUP(A4161, imdb_netflix_v5!A$2:H$7370, 4, FALSE), "")</f>
        <v>7.4</v>
      </c>
      <c r="E4161" s="2">
        <f>IF(A4161&lt;&gt;"", VLOOKUP(A4161, imdb_netflix_v5!A$2:H$7370, 5, FALSE), "")</f>
        <v>1938</v>
      </c>
      <c r="F4161" s="2" t="str">
        <f>IF(A4161&lt;&gt;"", VLOOKUP(A4161, imdb_netflix_v5!A$2:H$7370, 7, FALSE), "")</f>
        <v>NA</v>
      </c>
    </row>
    <row r="4162" ht="15.75" customHeight="1">
      <c r="A4162" s="1" t="str">
        <f>IFERROR(__xludf.DUMMYFUNCTION("""COMPUTED_VALUE"""),"macbeth")</f>
        <v>macbeth</v>
      </c>
      <c r="B4162" s="1" t="str">
        <f>IF(A4162&lt;&gt;"", VLOOKUP(A4162, imdb_netflix_v5!A$2:H$7370, 2, FALSE), "")</f>
        <v>Movie</v>
      </c>
      <c r="C4162" s="2" t="str">
        <f>IF(A4162&lt;&gt;"", VLOOKUP(A4162, imdb_netflix_v5!A$2:H$7370, 3, FALSE), "")</f>
        <v>Drama, History</v>
      </c>
      <c r="D4162" s="2">
        <f>IF(A4162&lt;&gt;"", VLOOKUP(A4162, imdb_netflix_v5!A$2:H$7370, 4, FALSE), "")</f>
        <v>7.4</v>
      </c>
      <c r="E4162" s="2">
        <f>IF(A4162&lt;&gt;"", VLOOKUP(A4162, imdb_netflix_v5!A$2:H$7370, 5, FALSE), "")</f>
        <v>1971</v>
      </c>
      <c r="F4162" s="2" t="str">
        <f>IF(A4162&lt;&gt;"", VLOOKUP(A4162, imdb_netflix_v5!A$2:H$7370, 7, FALSE), "")</f>
        <v>NA</v>
      </c>
    </row>
    <row r="4163" ht="15.75" customHeight="1">
      <c r="A4163" s="1" t="str">
        <f>IFERROR(__xludf.DUMMYFUNCTION("""COMPUTED_VALUE"""),"mars")</f>
        <v>mars</v>
      </c>
      <c r="B4163" s="1" t="str">
        <f>IF(A4163&lt;&gt;"", VLOOKUP(A4163, imdb_netflix_v5!A$2:H$7370, 2, FALSE), "")</f>
        <v>TV Show</v>
      </c>
      <c r="C4163" s="2" t="str">
        <f>IF(A4163&lt;&gt;"", VLOOKUP(A4163, imdb_netflix_v5!A$2:H$7370, 3, FALSE), "")</f>
        <v>Adventure, Drama, Sci-Fi</v>
      </c>
      <c r="D4163" s="2">
        <f>IF(A4163&lt;&gt;"", VLOOKUP(A4163, imdb_netflix_v5!A$2:H$7370, 4, FALSE), "")</f>
        <v>7.4</v>
      </c>
      <c r="E4163" s="2">
        <f>IF(A4163&lt;&gt;"", VLOOKUP(A4163, imdb_netflix_v5!A$2:H$7370, 5, FALSE), "")</f>
        <v>2016</v>
      </c>
      <c r="F4163" s="2" t="str">
        <f>IF(A4163&lt;&gt;"", VLOOKUP(A4163, imdb_netflix_v5!A$2:H$7370, 7, FALSE), "")</f>
        <v>NA</v>
      </c>
    </row>
    <row r="4164" ht="15.75" customHeight="1">
      <c r="A4164" s="1" t="str">
        <f>IFERROR(__xludf.DUMMYFUNCTION("""COMPUTED_VALUE"""),"ride the high country")</f>
        <v>ride the high country</v>
      </c>
      <c r="B4164" s="1" t="str">
        <f>IF(A4164&lt;&gt;"", VLOOKUP(A4164, imdb_netflix_v5!A$2:H$7370, 2, FALSE), "")</f>
        <v>Movie</v>
      </c>
      <c r="C4164" s="2" t="str">
        <f>IF(A4164&lt;&gt;"", VLOOKUP(A4164, imdb_netflix_v5!A$2:H$7370, 3, FALSE), "")</f>
        <v>Drama, Western</v>
      </c>
      <c r="D4164" s="2">
        <f>IF(A4164&lt;&gt;"", VLOOKUP(A4164, imdb_netflix_v5!A$2:H$7370, 4, FALSE), "")</f>
        <v>7.4</v>
      </c>
      <c r="E4164" s="2">
        <f>IF(A4164&lt;&gt;"", VLOOKUP(A4164, imdb_netflix_v5!A$2:H$7370, 5, FALSE), "")</f>
        <v>1962</v>
      </c>
      <c r="F4164" s="2" t="str">
        <f>IF(A4164&lt;&gt;"", VLOOKUP(A4164, imdb_netflix_v5!A$2:H$7370, 7, FALSE), "")</f>
        <v>NA</v>
      </c>
    </row>
    <row r="4165" ht="15.75" customHeight="1">
      <c r="A4165" s="1" t="str">
        <f>IFERROR(__xludf.DUMMYFUNCTION("""COMPUTED_VALUE"""),"the mad adventures of rabbi jacob")</f>
        <v>the mad adventures of rabbi jacob</v>
      </c>
      <c r="B4165" s="1" t="str">
        <f>IF(A4165&lt;&gt;"", VLOOKUP(A4165, imdb_netflix_v5!A$2:H$7370, 2, FALSE), "")</f>
        <v>Movie</v>
      </c>
      <c r="C4165" s="2" t="str">
        <f>IF(A4165&lt;&gt;"", VLOOKUP(A4165, imdb_netflix_v5!A$2:H$7370, 3, FALSE), "")</f>
        <v>Adventure, Comedy</v>
      </c>
      <c r="D4165" s="2">
        <f>IF(A4165&lt;&gt;"", VLOOKUP(A4165, imdb_netflix_v5!A$2:H$7370, 4, FALSE), "")</f>
        <v>7.4</v>
      </c>
      <c r="E4165" s="2">
        <f>IF(A4165&lt;&gt;"", VLOOKUP(A4165, imdb_netflix_v5!A$2:H$7370, 5, FALSE), "")</f>
        <v>1973</v>
      </c>
      <c r="F4165" s="2" t="str">
        <f>IF(A4165&lt;&gt;"", VLOOKUP(A4165, imdb_netflix_v5!A$2:H$7370, 7, FALSE), "")</f>
        <v>NA</v>
      </c>
    </row>
    <row r="4166" ht="15.75" customHeight="1">
      <c r="A4166" s="1" t="str">
        <f>IFERROR(__xludf.DUMMYFUNCTION("""COMPUTED_VALUE"""),"the glades")</f>
        <v>the glades</v>
      </c>
      <c r="B4166" s="1" t="str">
        <f>IF(A4166&lt;&gt;"", VLOOKUP(A4166, imdb_netflix_v5!A$2:H$7370, 2, FALSE), "")</f>
        <v>TV Show</v>
      </c>
      <c r="C4166" s="2" t="str">
        <f>IF(A4166&lt;&gt;"", VLOOKUP(A4166, imdb_netflix_v5!A$2:H$7370, 3, FALSE), "")</f>
        <v>Action, Crime, Drama</v>
      </c>
      <c r="D4166" s="2">
        <f>IF(A4166&lt;&gt;"", VLOOKUP(A4166, imdb_netflix_v5!A$2:H$7370, 4, FALSE), "")</f>
        <v>7.4</v>
      </c>
      <c r="E4166" s="2">
        <f>IF(A4166&lt;&gt;"", VLOOKUP(A4166, imdb_netflix_v5!A$2:H$7370, 5, FALSE), "")</f>
        <v>2010</v>
      </c>
      <c r="F4166" s="2" t="str">
        <f>IF(A4166&lt;&gt;"", VLOOKUP(A4166, imdb_netflix_v5!A$2:H$7370, 7, FALSE), "")</f>
        <v>NA</v>
      </c>
    </row>
    <row r="4167" ht="15.75" customHeight="1">
      <c r="A4167" s="1" t="str">
        <f>IFERROR(__xludf.DUMMYFUNCTION("""COMPUTED_VALUE"""),"schmigadoon!")</f>
        <v>schmigadoon!</v>
      </c>
      <c r="B4167" s="1" t="str">
        <f>IF(A4167&lt;&gt;"", VLOOKUP(A4167, imdb_netflix_v5!A$2:H$7370, 2, FALSE), "")</f>
        <v>TV Show</v>
      </c>
      <c r="C4167" s="2" t="str">
        <f>IF(A4167&lt;&gt;"", VLOOKUP(A4167, imdb_netflix_v5!A$2:H$7370, 3, FALSE), "")</f>
        <v>Comedy, Fantasy, Musical</v>
      </c>
      <c r="D4167" s="2">
        <f>IF(A4167&lt;&gt;"", VLOOKUP(A4167, imdb_netflix_v5!A$2:H$7370, 4, FALSE), "")</f>
        <v>7.4</v>
      </c>
      <c r="E4167" s="2">
        <f>IF(A4167&lt;&gt;"", VLOOKUP(A4167, imdb_netflix_v5!A$2:H$7370, 5, FALSE), "")</f>
        <v>2021</v>
      </c>
      <c r="F4167" s="2" t="str">
        <f>IF(A4167&lt;&gt;"", VLOOKUP(A4167, imdb_netflix_v5!A$2:H$7370, 7, FALSE), "")</f>
        <v>NA</v>
      </c>
    </row>
    <row r="4168" ht="15.75" customHeight="1">
      <c r="A4168" s="1" t="str">
        <f>IFERROR(__xludf.DUMMYFUNCTION("""COMPUTED_VALUE"""),"the taste of things")</f>
        <v>the taste of things</v>
      </c>
      <c r="B4168" s="1" t="str">
        <f>IF(A4168&lt;&gt;"", VLOOKUP(A4168, imdb_netflix_v5!A$2:H$7370, 2, FALSE), "")</f>
        <v>Movie</v>
      </c>
      <c r="C4168" s="2" t="str">
        <f>IF(A4168&lt;&gt;"", VLOOKUP(A4168, imdb_netflix_v5!A$2:H$7370, 3, FALSE), "")</f>
        <v>Drama, History, Romance</v>
      </c>
      <c r="D4168" s="2">
        <f>IF(A4168&lt;&gt;"", VLOOKUP(A4168, imdb_netflix_v5!A$2:H$7370, 4, FALSE), "")</f>
        <v>7.4</v>
      </c>
      <c r="E4168" s="2">
        <f>IF(A4168&lt;&gt;"", VLOOKUP(A4168, imdb_netflix_v5!A$2:H$7370, 5, FALSE), "")</f>
        <v>2023</v>
      </c>
      <c r="F4168" s="2" t="str">
        <f>IF(A4168&lt;&gt;"", VLOOKUP(A4168, imdb_netflix_v5!A$2:H$7370, 7, FALSE), "")</f>
        <v>NA</v>
      </c>
    </row>
    <row r="4169" ht="15.75" customHeight="1">
      <c r="A4169" s="1" t="str">
        <f>IFERROR(__xludf.DUMMYFUNCTION("""COMPUTED_VALUE"""),"khuda haafiz chapter 2 - agni pariksha")</f>
        <v>khuda haafiz chapter 2 - agni pariksha</v>
      </c>
      <c r="B4169" s="1" t="str">
        <f>IF(A4169&lt;&gt;"", VLOOKUP(A4169, imdb_netflix_v5!A$2:H$7370, 2, FALSE), "")</f>
        <v>Movie</v>
      </c>
      <c r="C4169" s="2" t="str">
        <f>IF(A4169&lt;&gt;"", VLOOKUP(A4169, imdb_netflix_v5!A$2:H$7370, 3, FALSE), "")</f>
        <v>Action, Crime, Drama</v>
      </c>
      <c r="D4169" s="2">
        <f>IF(A4169&lt;&gt;"", VLOOKUP(A4169, imdb_netflix_v5!A$2:H$7370, 4, FALSE), "")</f>
        <v>7.4</v>
      </c>
      <c r="E4169" s="2">
        <f>IF(A4169&lt;&gt;"", VLOOKUP(A4169, imdb_netflix_v5!A$2:H$7370, 5, FALSE), "")</f>
        <v>2022</v>
      </c>
      <c r="F4169" s="2" t="str">
        <f>IF(A4169&lt;&gt;"", VLOOKUP(A4169, imdb_netflix_v5!A$2:H$7370, 7, FALSE), "")</f>
        <v>NA</v>
      </c>
    </row>
    <row r="4170" ht="15.75" customHeight="1">
      <c r="A4170" s="1" t="str">
        <f>IFERROR(__xludf.DUMMYFUNCTION("""COMPUTED_VALUE"""),"total drama")</f>
        <v>total drama</v>
      </c>
      <c r="B4170" s="1" t="str">
        <f>IF(A4170&lt;&gt;"", VLOOKUP(A4170, imdb_netflix_v5!A$2:H$7370, 2, FALSE), "")</f>
        <v>TV Show</v>
      </c>
      <c r="C4170" s="2" t="str">
        <f>IF(A4170&lt;&gt;"", VLOOKUP(A4170, imdb_netflix_v5!A$2:H$7370, 3, FALSE), "")</f>
        <v>Action, Adventure, Animation</v>
      </c>
      <c r="D4170" s="2">
        <f>IF(A4170&lt;&gt;"", VLOOKUP(A4170, imdb_netflix_v5!A$2:H$7370, 4, FALSE), "")</f>
        <v>7.4</v>
      </c>
      <c r="E4170" s="2">
        <f>IF(A4170&lt;&gt;"", VLOOKUP(A4170, imdb_netflix_v5!A$2:H$7370, 5, FALSE), "")</f>
        <v>2007</v>
      </c>
      <c r="F4170" s="2" t="str">
        <f>IF(A4170&lt;&gt;"", VLOOKUP(A4170, imdb_netflix_v5!A$2:H$7370, 7, FALSE), "")</f>
        <v>NA</v>
      </c>
    </row>
    <row r="4171" ht="15.75" customHeight="1">
      <c r="A4171" s="1" t="str">
        <f>IFERROR(__xludf.DUMMYFUNCTION("""COMPUTED_VALUE"""),"a touch of spice")</f>
        <v>a touch of spice</v>
      </c>
      <c r="B4171" s="1" t="str">
        <f>IF(A4171&lt;&gt;"", VLOOKUP(A4171, imdb_netflix_v5!A$2:H$7370, 2, FALSE), "")</f>
        <v>Movie</v>
      </c>
      <c r="C4171" s="2" t="str">
        <f>IF(A4171&lt;&gt;"", VLOOKUP(A4171, imdb_netflix_v5!A$2:H$7370, 3, FALSE), "")</f>
        <v>Drama</v>
      </c>
      <c r="D4171" s="2">
        <f>IF(A4171&lt;&gt;"", VLOOKUP(A4171, imdb_netflix_v5!A$2:H$7370, 4, FALSE), "")</f>
        <v>7.4</v>
      </c>
      <c r="E4171" s="2">
        <f>IF(A4171&lt;&gt;"", VLOOKUP(A4171, imdb_netflix_v5!A$2:H$7370, 5, FALSE), "")</f>
        <v>2003</v>
      </c>
      <c r="F4171" s="2" t="str">
        <f>IF(A4171&lt;&gt;"", VLOOKUP(A4171, imdb_netflix_v5!A$2:H$7370, 7, FALSE), "")</f>
        <v>NA</v>
      </c>
    </row>
    <row r="4172" ht="15.75" customHeight="1">
      <c r="A4172" s="1" t="str">
        <f>IFERROR(__xludf.DUMMYFUNCTION("""COMPUTED_VALUE"""),"juliet of the spirits")</f>
        <v>juliet of the spirits</v>
      </c>
      <c r="B4172" s="1" t="str">
        <f>IF(A4172&lt;&gt;"", VLOOKUP(A4172, imdb_netflix_v5!A$2:H$7370, 2, FALSE), "")</f>
        <v>Movie</v>
      </c>
      <c r="C4172" s="2" t="str">
        <f>IF(A4172&lt;&gt;"", VLOOKUP(A4172, imdb_netflix_v5!A$2:H$7370, 3, FALSE), "")</f>
        <v>Comedy, Drama, Fantasy</v>
      </c>
      <c r="D4172" s="2">
        <f>IF(A4172&lt;&gt;"", VLOOKUP(A4172, imdb_netflix_v5!A$2:H$7370, 4, FALSE), "")</f>
        <v>7.4</v>
      </c>
      <c r="E4172" s="2">
        <f>IF(A4172&lt;&gt;"", VLOOKUP(A4172, imdb_netflix_v5!A$2:H$7370, 5, FALSE), "")</f>
        <v>1965</v>
      </c>
      <c r="F4172" s="2" t="str">
        <f>IF(A4172&lt;&gt;"", VLOOKUP(A4172, imdb_netflix_v5!A$2:H$7370, 7, FALSE), "")</f>
        <v>NA</v>
      </c>
    </row>
    <row r="4173" ht="15.75" customHeight="1">
      <c r="A4173" s="1" t="str">
        <f>IFERROR(__xludf.DUMMYFUNCTION("""COMPUTED_VALUE"""),"the princess and the warrior")</f>
        <v>the princess and the warrior</v>
      </c>
      <c r="B4173" s="1" t="str">
        <f>IF(A4173&lt;&gt;"", VLOOKUP(A4173, imdb_netflix_v5!A$2:H$7370, 2, FALSE), "")</f>
        <v>Movie</v>
      </c>
      <c r="C4173" s="2" t="str">
        <f>IF(A4173&lt;&gt;"", VLOOKUP(A4173, imdb_netflix_v5!A$2:H$7370, 3, FALSE), "")</f>
        <v>Drama, Mystery, Romance</v>
      </c>
      <c r="D4173" s="2">
        <f>IF(A4173&lt;&gt;"", VLOOKUP(A4173, imdb_netflix_v5!A$2:H$7370, 4, FALSE), "")</f>
        <v>7.4</v>
      </c>
      <c r="E4173" s="2">
        <f>IF(A4173&lt;&gt;"", VLOOKUP(A4173, imdb_netflix_v5!A$2:H$7370, 5, FALSE), "")</f>
        <v>2000</v>
      </c>
      <c r="F4173" s="2" t="str">
        <f>IF(A4173&lt;&gt;"", VLOOKUP(A4173, imdb_netflix_v5!A$2:H$7370, 7, FALSE), "")</f>
        <v>NA</v>
      </c>
    </row>
    <row r="4174" ht="15.75" customHeight="1">
      <c r="A4174" s="1" t="str">
        <f>IFERROR(__xludf.DUMMYFUNCTION("""COMPUTED_VALUE"""),"two for the road")</f>
        <v>two for the road</v>
      </c>
      <c r="B4174" s="1" t="str">
        <f>IF(A4174&lt;&gt;"", VLOOKUP(A4174, imdb_netflix_v5!A$2:H$7370, 2, FALSE), "")</f>
        <v>Movie</v>
      </c>
      <c r="C4174" s="2" t="str">
        <f>IF(A4174&lt;&gt;"", VLOOKUP(A4174, imdb_netflix_v5!A$2:H$7370, 3, FALSE), "")</f>
        <v>Comedy, Drama, Romance</v>
      </c>
      <c r="D4174" s="2">
        <f>IF(A4174&lt;&gt;"", VLOOKUP(A4174, imdb_netflix_v5!A$2:H$7370, 4, FALSE), "")</f>
        <v>7.4</v>
      </c>
      <c r="E4174" s="2">
        <f>IF(A4174&lt;&gt;"", VLOOKUP(A4174, imdb_netflix_v5!A$2:H$7370, 5, FALSE), "")</f>
        <v>1967</v>
      </c>
      <c r="F4174" s="2" t="str">
        <f>IF(A4174&lt;&gt;"", VLOOKUP(A4174, imdb_netflix_v5!A$2:H$7370, 7, FALSE), "")</f>
        <v>NA</v>
      </c>
    </row>
    <row r="4175" ht="15.75" customHeight="1">
      <c r="A4175" s="1" t="str">
        <f>IFERROR(__xludf.DUMMYFUNCTION("""COMPUTED_VALUE"""),"the thief of bagdad")</f>
        <v>the thief of bagdad</v>
      </c>
      <c r="B4175" s="1" t="str">
        <f>IF(A4175&lt;&gt;"", VLOOKUP(A4175, imdb_netflix_v5!A$2:H$7370, 2, FALSE), "")</f>
        <v>Movie</v>
      </c>
      <c r="C4175" s="2" t="str">
        <f>IF(A4175&lt;&gt;"", VLOOKUP(A4175, imdb_netflix_v5!A$2:H$7370, 3, FALSE), "")</f>
        <v>Adventure, Family, Fantasy</v>
      </c>
      <c r="D4175" s="2">
        <f>IF(A4175&lt;&gt;"", VLOOKUP(A4175, imdb_netflix_v5!A$2:H$7370, 4, FALSE), "")</f>
        <v>7.4</v>
      </c>
      <c r="E4175" s="2">
        <f>IF(A4175&lt;&gt;"", VLOOKUP(A4175, imdb_netflix_v5!A$2:H$7370, 5, FALSE), "")</f>
        <v>1940</v>
      </c>
      <c r="F4175" s="2" t="str">
        <f>IF(A4175&lt;&gt;"", VLOOKUP(A4175, imdb_netflix_v5!A$2:H$7370, 7, FALSE), "")</f>
        <v>NA</v>
      </c>
    </row>
    <row r="4176" ht="15.75" customHeight="1">
      <c r="A4176" s="1" t="str">
        <f>IFERROR(__xludf.DUMMYFUNCTION("""COMPUTED_VALUE"""),"lemonade")</f>
        <v>lemonade</v>
      </c>
      <c r="B4176" s="1" t="str">
        <f>IF(A4176&lt;&gt;"", VLOOKUP(A4176, imdb_netflix_v5!A$2:H$7370, 2, FALSE), "")</f>
        <v>Movie</v>
      </c>
      <c r="C4176" s="2" t="str">
        <f>IF(A4176&lt;&gt;"", VLOOKUP(A4176, imdb_netflix_v5!A$2:H$7370, 3, FALSE), "")</f>
        <v>Comedy, Drama</v>
      </c>
      <c r="D4176" s="2">
        <f>IF(A4176&lt;&gt;"", VLOOKUP(A4176, imdb_netflix_v5!A$2:H$7370, 4, FALSE), "")</f>
        <v>7.4</v>
      </c>
      <c r="E4176" s="2">
        <f>IF(A4176&lt;&gt;"", VLOOKUP(A4176, imdb_netflix_v5!A$2:H$7370, 5, FALSE), "")</f>
        <v>2015</v>
      </c>
      <c r="F4176" s="2" t="str">
        <f>IF(A4176&lt;&gt;"", VLOOKUP(A4176, imdb_netflix_v5!A$2:H$7370, 7, FALSE), "")</f>
        <v>NA</v>
      </c>
    </row>
    <row r="4177" ht="15.75" customHeight="1">
      <c r="A4177" s="1" t="str">
        <f>IFERROR(__xludf.DUMMYFUNCTION("""COMPUTED_VALUE"""),"cry freedom")</f>
        <v>cry freedom</v>
      </c>
      <c r="B4177" s="1" t="str">
        <f>IF(A4177&lt;&gt;"", VLOOKUP(A4177, imdb_netflix_v5!A$2:H$7370, 2, FALSE), "")</f>
        <v>Movie</v>
      </c>
      <c r="C4177" s="2" t="str">
        <f>IF(A4177&lt;&gt;"", VLOOKUP(A4177, imdb_netflix_v5!A$2:H$7370, 3, FALSE), "")</f>
        <v>Biography, Drama, History</v>
      </c>
      <c r="D4177" s="2">
        <f>IF(A4177&lt;&gt;"", VLOOKUP(A4177, imdb_netflix_v5!A$2:H$7370, 4, FALSE), "")</f>
        <v>7.4</v>
      </c>
      <c r="E4177" s="2">
        <f>IF(A4177&lt;&gt;"", VLOOKUP(A4177, imdb_netflix_v5!A$2:H$7370, 5, FALSE), "")</f>
        <v>1987</v>
      </c>
      <c r="F4177" s="2" t="str">
        <f>IF(A4177&lt;&gt;"", VLOOKUP(A4177, imdb_netflix_v5!A$2:H$7370, 7, FALSE), "")</f>
        <v>NA</v>
      </c>
    </row>
    <row r="4178" ht="15.75" customHeight="1">
      <c r="A4178" s="1" t="str">
        <f>IFERROR(__xludf.DUMMYFUNCTION("""COMPUTED_VALUE"""),"real time with bill maher")</f>
        <v>real time with bill maher</v>
      </c>
      <c r="B4178" s="1" t="str">
        <f>IF(A4178&lt;&gt;"", VLOOKUP(A4178, imdb_netflix_v5!A$2:H$7370, 2, FALSE), "")</f>
        <v>TV Show</v>
      </c>
      <c r="C4178" s="2" t="str">
        <f>IF(A4178&lt;&gt;"", VLOOKUP(A4178, imdb_netflix_v5!A$2:H$7370, 3, FALSE), "")</f>
        <v>Comedy, News, Talk-Show</v>
      </c>
      <c r="D4178" s="2">
        <f>IF(A4178&lt;&gt;"", VLOOKUP(A4178, imdb_netflix_v5!A$2:H$7370, 4, FALSE), "")</f>
        <v>7.4</v>
      </c>
      <c r="E4178" s="2">
        <f>IF(A4178&lt;&gt;"", VLOOKUP(A4178, imdb_netflix_v5!A$2:H$7370, 5, FALSE), "")</f>
        <v>2003</v>
      </c>
      <c r="F4178" s="2" t="str">
        <f>IF(A4178&lt;&gt;"", VLOOKUP(A4178, imdb_netflix_v5!A$2:H$7370, 7, FALSE), "")</f>
        <v>NA</v>
      </c>
    </row>
    <row r="4179" ht="15.75" customHeight="1">
      <c r="A4179" s="1" t="str">
        <f>IFERROR(__xludf.DUMMYFUNCTION("""COMPUTED_VALUE"""),"la mante")</f>
        <v>la mante</v>
      </c>
      <c r="B4179" s="1" t="str">
        <f>IF(A4179&lt;&gt;"", VLOOKUP(A4179, imdb_netflix_v5!A$2:H$7370, 2, FALSE), "")</f>
        <v>TV Show</v>
      </c>
      <c r="C4179" s="2" t="str">
        <f>IF(A4179&lt;&gt;"", VLOOKUP(A4179, imdb_netflix_v5!A$2:H$7370, 3, FALSE), "")</f>
        <v>Crime, Drama, Thriller</v>
      </c>
      <c r="D4179" s="2">
        <f>IF(A4179&lt;&gt;"", VLOOKUP(A4179, imdb_netflix_v5!A$2:H$7370, 4, FALSE), "")</f>
        <v>7.4</v>
      </c>
      <c r="E4179" s="2">
        <f>IF(A4179&lt;&gt;"", VLOOKUP(A4179, imdb_netflix_v5!A$2:H$7370, 5, FALSE), "")</f>
        <v>2017</v>
      </c>
      <c r="F4179" s="2" t="str">
        <f>IF(A4179&lt;&gt;"", VLOOKUP(A4179, imdb_netflix_v5!A$2:H$7370, 7, FALSE), "")</f>
        <v>NA</v>
      </c>
    </row>
    <row r="4180" ht="15.75" customHeight="1">
      <c r="A4180" s="1" t="str">
        <f>IFERROR(__xludf.DUMMYFUNCTION("""COMPUTED_VALUE"""),"monkey business")</f>
        <v>monkey business</v>
      </c>
      <c r="B4180" s="1" t="str">
        <f>IF(A4180&lt;&gt;"", VLOOKUP(A4180, imdb_netflix_v5!A$2:H$7370, 2, FALSE), "")</f>
        <v>Movie</v>
      </c>
      <c r="C4180" s="2" t="str">
        <f>IF(A4180&lt;&gt;"", VLOOKUP(A4180, imdb_netflix_v5!A$2:H$7370, 3, FALSE), "")</f>
        <v>Comedy, Family, Musical</v>
      </c>
      <c r="D4180" s="2">
        <f>IF(A4180&lt;&gt;"", VLOOKUP(A4180, imdb_netflix_v5!A$2:H$7370, 4, FALSE), "")</f>
        <v>7.4</v>
      </c>
      <c r="E4180" s="2">
        <f>IF(A4180&lt;&gt;"", VLOOKUP(A4180, imdb_netflix_v5!A$2:H$7370, 5, FALSE), "")</f>
        <v>1931</v>
      </c>
      <c r="F4180" s="2" t="str">
        <f>IF(A4180&lt;&gt;"", VLOOKUP(A4180, imdb_netflix_v5!A$2:H$7370, 7, FALSE), "")</f>
        <v>NA</v>
      </c>
    </row>
    <row r="4181" ht="15.75" customHeight="1">
      <c r="A4181" s="1" t="str">
        <f>IFERROR(__xludf.DUMMYFUNCTION("""COMPUTED_VALUE"""),"the black stallion")</f>
        <v>the black stallion</v>
      </c>
      <c r="B4181" s="1" t="str">
        <f>IF(A4181&lt;&gt;"", VLOOKUP(A4181, imdb_netflix_v5!A$2:H$7370, 2, FALSE), "")</f>
        <v>Movie</v>
      </c>
      <c r="C4181" s="2" t="str">
        <f>IF(A4181&lt;&gt;"", VLOOKUP(A4181, imdb_netflix_v5!A$2:H$7370, 3, FALSE), "")</f>
        <v>Adventure, Family, Sport</v>
      </c>
      <c r="D4181" s="2">
        <f>IF(A4181&lt;&gt;"", VLOOKUP(A4181, imdb_netflix_v5!A$2:H$7370, 4, FALSE), "")</f>
        <v>7.4</v>
      </c>
      <c r="E4181" s="2">
        <f>IF(A4181&lt;&gt;"", VLOOKUP(A4181, imdb_netflix_v5!A$2:H$7370, 5, FALSE), "")</f>
        <v>1979</v>
      </c>
      <c r="F4181" s="2" t="str">
        <f>IF(A4181&lt;&gt;"", VLOOKUP(A4181, imdb_netflix_v5!A$2:H$7370, 7, FALSE), "")</f>
        <v>NA</v>
      </c>
    </row>
    <row r="4182" ht="15.75" customHeight="1">
      <c r="A4182" s="1" t="str">
        <f>IFERROR(__xludf.DUMMYFUNCTION("""COMPUTED_VALUE"""),"even the rain")</f>
        <v>even the rain</v>
      </c>
      <c r="B4182" s="1" t="str">
        <f>IF(A4182&lt;&gt;"", VLOOKUP(A4182, imdb_netflix_v5!A$2:H$7370, 2, FALSE), "")</f>
        <v>Movie</v>
      </c>
      <c r="C4182" s="2" t="str">
        <f>IF(A4182&lt;&gt;"", VLOOKUP(A4182, imdb_netflix_v5!A$2:H$7370, 3, FALSE), "")</f>
        <v>Drama, History</v>
      </c>
      <c r="D4182" s="2">
        <f>IF(A4182&lt;&gt;"", VLOOKUP(A4182, imdb_netflix_v5!A$2:H$7370, 4, FALSE), "")</f>
        <v>7.4</v>
      </c>
      <c r="E4182" s="2">
        <f>IF(A4182&lt;&gt;"", VLOOKUP(A4182, imdb_netflix_v5!A$2:H$7370, 5, FALSE), "")</f>
        <v>2010</v>
      </c>
      <c r="F4182" s="2" t="str">
        <f>IF(A4182&lt;&gt;"", VLOOKUP(A4182, imdb_netflix_v5!A$2:H$7370, 7, FALSE), "")</f>
        <v>NA</v>
      </c>
    </row>
    <row r="4183" ht="15.75" customHeight="1">
      <c r="A4183" s="1" t="str">
        <f>IFERROR(__xludf.DUMMYFUNCTION("""COMPUTED_VALUE"""),"black spot")</f>
        <v>black spot</v>
      </c>
      <c r="B4183" s="1" t="str">
        <f>IF(A4183&lt;&gt;"", VLOOKUP(A4183, imdb_netflix_v5!A$2:H$7370, 2, FALSE), "")</f>
        <v>TV Show</v>
      </c>
      <c r="C4183" s="2" t="str">
        <f>IF(A4183&lt;&gt;"", VLOOKUP(A4183, imdb_netflix_v5!A$2:H$7370, 3, FALSE), "")</f>
        <v>Crime, Drama, Horror</v>
      </c>
      <c r="D4183" s="2">
        <f>IF(A4183&lt;&gt;"", VLOOKUP(A4183, imdb_netflix_v5!A$2:H$7370, 4, FALSE), "")</f>
        <v>7.4</v>
      </c>
      <c r="E4183" s="2">
        <f>IF(A4183&lt;&gt;"", VLOOKUP(A4183, imdb_netflix_v5!A$2:H$7370, 5, FALSE), "")</f>
        <v>2017</v>
      </c>
      <c r="F4183" s="2" t="str">
        <f>IF(A4183&lt;&gt;"", VLOOKUP(A4183, imdb_netflix_v5!A$2:H$7370, 7, FALSE), "")</f>
        <v>NA</v>
      </c>
    </row>
    <row r="4184" ht="15.75" customHeight="1">
      <c r="A4184" s="1" t="str">
        <f>IFERROR(__xludf.DUMMYFUNCTION("""COMPUTED_VALUE"""),"alice")</f>
        <v>alice</v>
      </c>
      <c r="B4184" s="1" t="str">
        <f>IF(A4184&lt;&gt;"", VLOOKUP(A4184, imdb_netflix_v5!A$2:H$7370, 2, FALSE), "")</f>
        <v>Movie</v>
      </c>
      <c r="C4184" s="2" t="str">
        <f>IF(A4184&lt;&gt;"", VLOOKUP(A4184, imdb_netflix_v5!A$2:H$7370, 3, FALSE), "")</f>
        <v>Adventure, Animation, Fantasy</v>
      </c>
      <c r="D4184" s="2">
        <f>IF(A4184&lt;&gt;"", VLOOKUP(A4184, imdb_netflix_v5!A$2:H$7370, 4, FALSE), "")</f>
        <v>7.4</v>
      </c>
      <c r="E4184" s="2">
        <f>IF(A4184&lt;&gt;"", VLOOKUP(A4184, imdb_netflix_v5!A$2:H$7370, 5, FALSE), "")</f>
        <v>1988</v>
      </c>
      <c r="F4184" s="2" t="str">
        <f>IF(A4184&lt;&gt;"", VLOOKUP(A4184, imdb_netflix_v5!A$2:H$7370, 7, FALSE), "")</f>
        <v>NA</v>
      </c>
    </row>
    <row r="4185" ht="15.75" customHeight="1">
      <c r="A4185" s="1" t="str">
        <f>IFERROR(__xludf.DUMMYFUNCTION("""COMPUTED_VALUE"""),"dookudu")</f>
        <v>dookudu</v>
      </c>
      <c r="B4185" s="1" t="str">
        <f>IF(A4185&lt;&gt;"", VLOOKUP(A4185, imdb_netflix_v5!A$2:H$7370, 2, FALSE), "")</f>
        <v>Movie</v>
      </c>
      <c r="C4185" s="2" t="str">
        <f>IF(A4185&lt;&gt;"", VLOOKUP(A4185, imdb_netflix_v5!A$2:H$7370, 3, FALSE), "")</f>
        <v>Action, Comedy, Drama</v>
      </c>
      <c r="D4185" s="2">
        <f>IF(A4185&lt;&gt;"", VLOOKUP(A4185, imdb_netflix_v5!A$2:H$7370, 4, FALSE), "")</f>
        <v>7.4</v>
      </c>
      <c r="E4185" s="2">
        <f>IF(A4185&lt;&gt;"", VLOOKUP(A4185, imdb_netflix_v5!A$2:H$7370, 5, FALSE), "")</f>
        <v>2011</v>
      </c>
      <c r="F4185" s="2" t="str">
        <f>IF(A4185&lt;&gt;"", VLOOKUP(A4185, imdb_netflix_v5!A$2:H$7370, 7, FALSE), "")</f>
        <v>NA</v>
      </c>
    </row>
    <row r="4186" ht="15.75" customHeight="1">
      <c r="A4186" s="1" t="str">
        <f>IFERROR(__xludf.DUMMYFUNCTION("""COMPUTED_VALUE"""),"hombre")</f>
        <v>hombre</v>
      </c>
      <c r="B4186" s="1" t="str">
        <f>IF(A4186&lt;&gt;"", VLOOKUP(A4186, imdb_netflix_v5!A$2:H$7370, 2, FALSE), "")</f>
        <v>Movie</v>
      </c>
      <c r="C4186" s="2" t="str">
        <f>IF(A4186&lt;&gt;"", VLOOKUP(A4186, imdb_netflix_v5!A$2:H$7370, 3, FALSE), "")</f>
        <v>Drama, Western</v>
      </c>
      <c r="D4186" s="2">
        <f>IF(A4186&lt;&gt;"", VLOOKUP(A4186, imdb_netflix_v5!A$2:H$7370, 4, FALSE), "")</f>
        <v>7.4</v>
      </c>
      <c r="E4186" s="2">
        <f>IF(A4186&lt;&gt;"", VLOOKUP(A4186, imdb_netflix_v5!A$2:H$7370, 5, FALSE), "")</f>
        <v>1967</v>
      </c>
      <c r="F4186" s="2" t="str">
        <f>IF(A4186&lt;&gt;"", VLOOKUP(A4186, imdb_netflix_v5!A$2:H$7370, 7, FALSE), "")</f>
        <v>NA</v>
      </c>
    </row>
    <row r="4187" ht="15.75" customHeight="1">
      <c r="A4187" s="1" t="str">
        <f>IFERROR(__xludf.DUMMYFUNCTION("""COMPUTED_VALUE"""),"aankhen")</f>
        <v>aankhen</v>
      </c>
      <c r="B4187" s="1" t="str">
        <f>IF(A4187&lt;&gt;"", VLOOKUP(A4187, imdb_netflix_v5!A$2:H$7370, 2, FALSE), "")</f>
        <v>Movie</v>
      </c>
      <c r="C4187" s="2" t="str">
        <f>IF(A4187&lt;&gt;"", VLOOKUP(A4187, imdb_netflix_v5!A$2:H$7370, 3, FALSE), "")</f>
        <v>Crime, Drama, Thriller</v>
      </c>
      <c r="D4187" s="2">
        <f>IF(A4187&lt;&gt;"", VLOOKUP(A4187, imdb_netflix_v5!A$2:H$7370, 4, FALSE), "")</f>
        <v>7.4</v>
      </c>
      <c r="E4187" s="2">
        <f>IF(A4187&lt;&gt;"", VLOOKUP(A4187, imdb_netflix_v5!A$2:H$7370, 5, FALSE), "")</f>
        <v>2002</v>
      </c>
      <c r="F4187" s="2" t="str">
        <f>IF(A4187&lt;&gt;"", VLOOKUP(A4187, imdb_netflix_v5!A$2:H$7370, 7, FALSE), "")</f>
        <v>NA</v>
      </c>
    </row>
    <row r="4188" ht="15.75" customHeight="1">
      <c r="A4188" s="1" t="str">
        <f>IFERROR(__xludf.DUMMYFUNCTION("""COMPUTED_VALUE"""),"the royals")</f>
        <v>the royals</v>
      </c>
      <c r="B4188" s="1" t="str">
        <f>IF(A4188&lt;&gt;"", VLOOKUP(A4188, imdb_netflix_v5!A$2:H$7370, 2, FALSE), "")</f>
        <v>TV Show</v>
      </c>
      <c r="C4188" s="2" t="str">
        <f>IF(A4188&lt;&gt;"", VLOOKUP(A4188, imdb_netflix_v5!A$2:H$7370, 3, FALSE), "")</f>
        <v>Drama</v>
      </c>
      <c r="D4188" s="2">
        <f>IF(A4188&lt;&gt;"", VLOOKUP(A4188, imdb_netflix_v5!A$2:H$7370, 4, FALSE), "")</f>
        <v>7.4</v>
      </c>
      <c r="E4188" s="2">
        <f>IF(A4188&lt;&gt;"", VLOOKUP(A4188, imdb_netflix_v5!A$2:H$7370, 5, FALSE), "")</f>
        <v>2015</v>
      </c>
      <c r="F4188" s="2" t="str">
        <f>IF(A4188&lt;&gt;"", VLOOKUP(A4188, imdb_netflix_v5!A$2:H$7370, 7, FALSE), "")</f>
        <v>NA</v>
      </c>
    </row>
    <row r="4189" ht="15.75" customHeight="1">
      <c r="A4189" s="1" t="str">
        <f>IFERROR(__xludf.DUMMYFUNCTION("""COMPUTED_VALUE"""),"places in the heart")</f>
        <v>places in the heart</v>
      </c>
      <c r="B4189" s="1" t="str">
        <f>IF(A4189&lt;&gt;"", VLOOKUP(A4189, imdb_netflix_v5!A$2:H$7370, 2, FALSE), "")</f>
        <v>Movie</v>
      </c>
      <c r="C4189" s="2" t="str">
        <f>IF(A4189&lt;&gt;"", VLOOKUP(A4189, imdb_netflix_v5!A$2:H$7370, 3, FALSE), "")</f>
        <v>Drama</v>
      </c>
      <c r="D4189" s="2">
        <f>IF(A4189&lt;&gt;"", VLOOKUP(A4189, imdb_netflix_v5!A$2:H$7370, 4, FALSE), "")</f>
        <v>7.4</v>
      </c>
      <c r="E4189" s="2">
        <f>IF(A4189&lt;&gt;"", VLOOKUP(A4189, imdb_netflix_v5!A$2:H$7370, 5, FALSE), "")</f>
        <v>1984</v>
      </c>
      <c r="F4189" s="2" t="str">
        <f>IF(A4189&lt;&gt;"", VLOOKUP(A4189, imdb_netflix_v5!A$2:H$7370, 7, FALSE), "")</f>
        <v>NA</v>
      </c>
    </row>
    <row r="4190" ht="15.75" customHeight="1">
      <c r="A4190" s="1" t="str">
        <f>IFERROR(__xludf.DUMMYFUNCTION("""COMPUTED_VALUE"""),"20 feet from stardom")</f>
        <v>20 feet from stardom</v>
      </c>
      <c r="B4190" s="1" t="str">
        <f>IF(A4190&lt;&gt;"", VLOOKUP(A4190, imdb_netflix_v5!A$2:H$7370, 2, FALSE), "")</f>
        <v>Movie</v>
      </c>
      <c r="C4190" s="2" t="str">
        <f>IF(A4190&lt;&gt;"", VLOOKUP(A4190, imdb_netflix_v5!A$2:H$7370, 3, FALSE), "")</f>
        <v>Biography, Documentary, History</v>
      </c>
      <c r="D4190" s="2">
        <f>IF(A4190&lt;&gt;"", VLOOKUP(A4190, imdb_netflix_v5!A$2:H$7370, 4, FALSE), "")</f>
        <v>7.4</v>
      </c>
      <c r="E4190" s="2">
        <f>IF(A4190&lt;&gt;"", VLOOKUP(A4190, imdb_netflix_v5!A$2:H$7370, 5, FALSE), "")</f>
        <v>2013</v>
      </c>
      <c r="F4190" s="2" t="str">
        <f>IF(A4190&lt;&gt;"", VLOOKUP(A4190, imdb_netflix_v5!A$2:H$7370, 7, FALSE), "")</f>
        <v>NA</v>
      </c>
    </row>
    <row r="4191" ht="15.75" customHeight="1">
      <c r="A4191" s="1" t="str">
        <f>IFERROR(__xludf.DUMMYFUNCTION("""COMPUTED_VALUE"""),"tpb afk the pirate bay away from keyboard")</f>
        <v>tpb afk the pirate bay away from keyboard</v>
      </c>
      <c r="B4191" s="1" t="str">
        <f>IF(A4191&lt;&gt;"", VLOOKUP(A4191, imdb_netflix_v5!A$2:H$7370, 2, FALSE), "")</f>
        <v>Movie</v>
      </c>
      <c r="C4191" s="2" t="str">
        <f>IF(A4191&lt;&gt;"", VLOOKUP(A4191, imdb_netflix_v5!A$2:H$7370, 3, FALSE), "")</f>
        <v>Documentary</v>
      </c>
      <c r="D4191" s="2">
        <f>IF(A4191&lt;&gt;"", VLOOKUP(A4191, imdb_netflix_v5!A$2:H$7370, 4, FALSE), "")</f>
        <v>7.4</v>
      </c>
      <c r="E4191" s="2">
        <f>IF(A4191&lt;&gt;"", VLOOKUP(A4191, imdb_netflix_v5!A$2:H$7370, 5, FALSE), "")</f>
        <v>2013</v>
      </c>
      <c r="F4191" s="2" t="str">
        <f>IF(A4191&lt;&gt;"", VLOOKUP(A4191, imdb_netflix_v5!A$2:H$7370, 7, FALSE), "")</f>
        <v>NA</v>
      </c>
    </row>
    <row r="4192" ht="15.75" customHeight="1">
      <c r="A4192" s="1" t="str">
        <f>IFERROR(__xludf.DUMMYFUNCTION("""COMPUTED_VALUE"""),"downfall the case against boeing")</f>
        <v>downfall the case against boeing</v>
      </c>
      <c r="B4192" s="1" t="str">
        <f>IF(A4192&lt;&gt;"", VLOOKUP(A4192, imdb_netflix_v5!A$2:H$7370, 2, FALSE), "")</f>
        <v>Movie</v>
      </c>
      <c r="C4192" s="2" t="str">
        <f>IF(A4192&lt;&gt;"", VLOOKUP(A4192, imdb_netflix_v5!A$2:H$7370, 3, FALSE), "")</f>
        <v>Documentary</v>
      </c>
      <c r="D4192" s="2">
        <f>IF(A4192&lt;&gt;"", VLOOKUP(A4192, imdb_netflix_v5!A$2:H$7370, 4, FALSE), "")</f>
        <v>7.4</v>
      </c>
      <c r="E4192" s="2">
        <f>IF(A4192&lt;&gt;"", VLOOKUP(A4192, imdb_netflix_v5!A$2:H$7370, 5, FALSE), "")</f>
        <v>2022</v>
      </c>
      <c r="F4192" s="2">
        <f>IF(A4192&lt;&gt;"", VLOOKUP(A4192, imdb_netflix_v5!A$2:H$7370, 7, FALSE), "")</f>
        <v>9910000</v>
      </c>
    </row>
    <row r="4193" ht="15.75" customHeight="1">
      <c r="A4193" s="1" t="str">
        <f>IFERROR(__xludf.DUMMYFUNCTION("""COMPUTED_VALUE"""),"saving face")</f>
        <v>saving face</v>
      </c>
      <c r="B4193" s="1" t="str">
        <f>IF(A4193&lt;&gt;"", VLOOKUP(A4193, imdb_netflix_v5!A$2:H$7370, 2, FALSE), "")</f>
        <v>Movie</v>
      </c>
      <c r="C4193" s="2" t="str">
        <f>IF(A4193&lt;&gt;"", VLOOKUP(A4193, imdb_netflix_v5!A$2:H$7370, 3, FALSE), "")</f>
        <v>Comedy, Drama, Romance</v>
      </c>
      <c r="D4193" s="2">
        <f>IF(A4193&lt;&gt;"", VLOOKUP(A4193, imdb_netflix_v5!A$2:H$7370, 4, FALSE), "")</f>
        <v>7.4</v>
      </c>
      <c r="E4193" s="2">
        <f>IF(A4193&lt;&gt;"", VLOOKUP(A4193, imdb_netflix_v5!A$2:H$7370, 5, FALSE), "")</f>
        <v>2004</v>
      </c>
      <c r="F4193" s="2" t="str">
        <f>IF(A4193&lt;&gt;"", VLOOKUP(A4193, imdb_netflix_v5!A$2:H$7370, 7, FALSE), "")</f>
        <v>NA</v>
      </c>
    </row>
    <row r="4194" ht="15.75" customHeight="1">
      <c r="A4194" s="1" t="str">
        <f>IFERROR(__xludf.DUMMYFUNCTION("""COMPUTED_VALUE"""),"takva a mans fear of god")</f>
        <v>takva a mans fear of god</v>
      </c>
      <c r="B4194" s="1" t="str">
        <f>IF(A4194&lt;&gt;"", VLOOKUP(A4194, imdb_netflix_v5!A$2:H$7370, 2, FALSE), "")</f>
        <v>Movie</v>
      </c>
      <c r="C4194" s="2" t="str">
        <f>IF(A4194&lt;&gt;"", VLOOKUP(A4194, imdb_netflix_v5!A$2:H$7370, 3, FALSE), "")</f>
        <v>Drama</v>
      </c>
      <c r="D4194" s="2">
        <f>IF(A4194&lt;&gt;"", VLOOKUP(A4194, imdb_netflix_v5!A$2:H$7370, 4, FALSE), "")</f>
        <v>7.4</v>
      </c>
      <c r="E4194" s="2">
        <f>IF(A4194&lt;&gt;"", VLOOKUP(A4194, imdb_netflix_v5!A$2:H$7370, 5, FALSE), "")</f>
        <v>2006</v>
      </c>
      <c r="F4194" s="2" t="str">
        <f>IF(A4194&lt;&gt;"", VLOOKUP(A4194, imdb_netflix_v5!A$2:H$7370, 7, FALSE), "")</f>
        <v>NA</v>
      </c>
    </row>
    <row r="4195" ht="15.75" customHeight="1">
      <c r="A4195" s="1" t="str">
        <f>IFERROR(__xludf.DUMMYFUNCTION("""COMPUTED_VALUE"""),"the diary of anne frank")</f>
        <v>the diary of anne frank</v>
      </c>
      <c r="B4195" s="1" t="str">
        <f>IF(A4195&lt;&gt;"", VLOOKUP(A4195, imdb_netflix_v5!A$2:H$7370, 2, FALSE), "")</f>
        <v>Movie</v>
      </c>
      <c r="C4195" s="2" t="str">
        <f>IF(A4195&lt;&gt;"", VLOOKUP(A4195, imdb_netflix_v5!A$2:H$7370, 3, FALSE), "")</f>
        <v>Biography, Drama, Family</v>
      </c>
      <c r="D4195" s="2">
        <f>IF(A4195&lt;&gt;"", VLOOKUP(A4195, imdb_netflix_v5!A$2:H$7370, 4, FALSE), "")</f>
        <v>7.4</v>
      </c>
      <c r="E4195" s="2">
        <f>IF(A4195&lt;&gt;"", VLOOKUP(A4195, imdb_netflix_v5!A$2:H$7370, 5, FALSE), "")</f>
        <v>1959</v>
      </c>
      <c r="F4195" s="2" t="str">
        <f>IF(A4195&lt;&gt;"", VLOOKUP(A4195, imdb_netflix_v5!A$2:H$7370, 7, FALSE), "")</f>
        <v>NA</v>
      </c>
    </row>
    <row r="4196" ht="15.75" customHeight="1">
      <c r="A4196" s="1" t="str">
        <f>IFERROR(__xludf.DUMMYFUNCTION("""COMPUTED_VALUE"""),"chachi 420")</f>
        <v>chachi 420</v>
      </c>
      <c r="B4196" s="1" t="str">
        <f>IF(A4196&lt;&gt;"", VLOOKUP(A4196, imdb_netflix_v5!A$2:H$7370, 2, FALSE), "")</f>
        <v>Movie</v>
      </c>
      <c r="C4196" s="2" t="str">
        <f>IF(A4196&lt;&gt;"", VLOOKUP(A4196, imdb_netflix_v5!A$2:H$7370, 3, FALSE), "")</f>
        <v>Comedy, Drama, Family</v>
      </c>
      <c r="D4196" s="2">
        <f>IF(A4196&lt;&gt;"", VLOOKUP(A4196, imdb_netflix_v5!A$2:H$7370, 4, FALSE), "")</f>
        <v>7.4</v>
      </c>
      <c r="E4196" s="2">
        <f>IF(A4196&lt;&gt;"", VLOOKUP(A4196, imdb_netflix_v5!A$2:H$7370, 5, FALSE), "")</f>
        <v>1997</v>
      </c>
      <c r="F4196" s="2" t="str">
        <f>IF(A4196&lt;&gt;"", VLOOKUP(A4196, imdb_netflix_v5!A$2:H$7370, 7, FALSE), "")</f>
        <v>NA</v>
      </c>
    </row>
    <row r="4197" ht="15.75" customHeight="1">
      <c r="A4197" s="1" t="str">
        <f>IFERROR(__xludf.DUMMYFUNCTION("""COMPUTED_VALUE"""),"hello ladies")</f>
        <v>hello ladies</v>
      </c>
      <c r="B4197" s="1" t="str">
        <f>IF(A4197&lt;&gt;"", VLOOKUP(A4197, imdb_netflix_v5!A$2:H$7370, 2, FALSE), "")</f>
        <v>TV Show</v>
      </c>
      <c r="C4197" s="2" t="str">
        <f>IF(A4197&lt;&gt;"", VLOOKUP(A4197, imdb_netflix_v5!A$2:H$7370, 3, FALSE), "")</f>
        <v>Comedy</v>
      </c>
      <c r="D4197" s="2">
        <f>IF(A4197&lt;&gt;"", VLOOKUP(A4197, imdb_netflix_v5!A$2:H$7370, 4, FALSE), "")</f>
        <v>7.4</v>
      </c>
      <c r="E4197" s="2">
        <f>IF(A4197&lt;&gt;"", VLOOKUP(A4197, imdb_netflix_v5!A$2:H$7370, 5, FALSE), "")</f>
        <v>2013</v>
      </c>
      <c r="F4197" s="2" t="str">
        <f>IF(A4197&lt;&gt;"", VLOOKUP(A4197, imdb_netflix_v5!A$2:H$7370, 7, FALSE), "")</f>
        <v>NA</v>
      </c>
    </row>
    <row r="4198" ht="15.75" customHeight="1">
      <c r="A4198" s="1" t="str">
        <f>IFERROR(__xludf.DUMMYFUNCTION("""COMPUTED_VALUE"""),"where do we go now?")</f>
        <v>where do we go now?</v>
      </c>
      <c r="B4198" s="1" t="str">
        <f>IF(A4198&lt;&gt;"", VLOOKUP(A4198, imdb_netflix_v5!A$2:H$7370, 2, FALSE), "")</f>
        <v>Movie</v>
      </c>
      <c r="C4198" s="2" t="str">
        <f>IF(A4198&lt;&gt;"", VLOOKUP(A4198, imdb_netflix_v5!A$2:H$7370, 3, FALSE), "")</f>
        <v>Comedy, Drama</v>
      </c>
      <c r="D4198" s="2">
        <f>IF(A4198&lt;&gt;"", VLOOKUP(A4198, imdb_netflix_v5!A$2:H$7370, 4, FALSE), "")</f>
        <v>7.4</v>
      </c>
      <c r="E4198" s="2">
        <f>IF(A4198&lt;&gt;"", VLOOKUP(A4198, imdb_netflix_v5!A$2:H$7370, 5, FALSE), "")</f>
        <v>2011</v>
      </c>
      <c r="F4198" s="2" t="str">
        <f>IF(A4198&lt;&gt;"", VLOOKUP(A4198, imdb_netflix_v5!A$2:H$7370, 7, FALSE), "")</f>
        <v>NA</v>
      </c>
    </row>
    <row r="4199" ht="15.75" customHeight="1">
      <c r="A4199" s="1" t="str">
        <f>IFERROR(__xludf.DUMMYFUNCTION("""COMPUTED_VALUE"""),"masters of horror")</f>
        <v>masters of horror</v>
      </c>
      <c r="B4199" s="1" t="str">
        <f>IF(A4199&lt;&gt;"", VLOOKUP(A4199, imdb_netflix_v5!A$2:H$7370, 2, FALSE), "")</f>
        <v>TV Show</v>
      </c>
      <c r="C4199" s="2" t="str">
        <f>IF(A4199&lt;&gt;"", VLOOKUP(A4199, imdb_netflix_v5!A$2:H$7370, 3, FALSE), "")</f>
        <v>Horror</v>
      </c>
      <c r="D4199" s="2">
        <f>IF(A4199&lt;&gt;"", VLOOKUP(A4199, imdb_netflix_v5!A$2:H$7370, 4, FALSE), "")</f>
        <v>7.4</v>
      </c>
      <c r="E4199" s="2">
        <f>IF(A4199&lt;&gt;"", VLOOKUP(A4199, imdb_netflix_v5!A$2:H$7370, 5, FALSE), "")</f>
        <v>2005</v>
      </c>
      <c r="F4199" s="2" t="str">
        <f>IF(A4199&lt;&gt;"", VLOOKUP(A4199, imdb_netflix_v5!A$2:H$7370, 7, FALSE), "")</f>
        <v>NA</v>
      </c>
    </row>
    <row r="4200" ht="15.75" customHeight="1">
      <c r="A4200" s="1" t="str">
        <f>IFERROR(__xludf.DUMMYFUNCTION("""COMPUTED_VALUE"""),"holding the man")</f>
        <v>holding the man</v>
      </c>
      <c r="B4200" s="1" t="str">
        <f>IF(A4200&lt;&gt;"", VLOOKUP(A4200, imdb_netflix_v5!A$2:H$7370, 2, FALSE), "")</f>
        <v>Movie</v>
      </c>
      <c r="C4200" s="2" t="str">
        <f>IF(A4200&lt;&gt;"", VLOOKUP(A4200, imdb_netflix_v5!A$2:H$7370, 3, FALSE), "")</f>
        <v>Biography, Drama, History</v>
      </c>
      <c r="D4200" s="2">
        <f>IF(A4200&lt;&gt;"", VLOOKUP(A4200, imdb_netflix_v5!A$2:H$7370, 4, FALSE), "")</f>
        <v>7.4</v>
      </c>
      <c r="E4200" s="2">
        <f>IF(A4200&lt;&gt;"", VLOOKUP(A4200, imdb_netflix_v5!A$2:H$7370, 5, FALSE), "")</f>
        <v>2015</v>
      </c>
      <c r="F4200" s="2" t="str">
        <f>IF(A4200&lt;&gt;"", VLOOKUP(A4200, imdb_netflix_v5!A$2:H$7370, 7, FALSE), "")</f>
        <v>NA</v>
      </c>
    </row>
    <row r="4201" ht="15.75" customHeight="1">
      <c r="A4201" s="1" t="str">
        <f>IFERROR(__xludf.DUMMYFUNCTION("""COMPUTED_VALUE"""),"legends")</f>
        <v>legends</v>
      </c>
      <c r="B4201" s="1" t="str">
        <f>IF(A4201&lt;&gt;"", VLOOKUP(A4201, imdb_netflix_v5!A$2:H$7370, 2, FALSE), "")</f>
        <v>TV Show</v>
      </c>
      <c r="C4201" s="2" t="str">
        <f>IF(A4201&lt;&gt;"", VLOOKUP(A4201, imdb_netflix_v5!A$2:H$7370, 3, FALSE), "")</f>
        <v>Action, Crime, Drama</v>
      </c>
      <c r="D4201" s="2">
        <f>IF(A4201&lt;&gt;"", VLOOKUP(A4201, imdb_netflix_v5!A$2:H$7370, 4, FALSE), "")</f>
        <v>7.4</v>
      </c>
      <c r="E4201" s="2">
        <f>IF(A4201&lt;&gt;"", VLOOKUP(A4201, imdb_netflix_v5!A$2:H$7370, 5, FALSE), "")</f>
        <v>2014</v>
      </c>
      <c r="F4201" s="2" t="str">
        <f>IF(A4201&lt;&gt;"", VLOOKUP(A4201, imdb_netflix_v5!A$2:H$7370, 7, FALSE), "")</f>
        <v>NA</v>
      </c>
    </row>
    <row r="4202" ht="15.75" customHeight="1">
      <c r="A4202" s="1" t="str">
        <f>IFERROR(__xludf.DUMMYFUNCTION("""COMPUTED_VALUE"""),"ordinary angels")</f>
        <v>ordinary angels</v>
      </c>
      <c r="B4202" s="1" t="str">
        <f>IF(A4202&lt;&gt;"", VLOOKUP(A4202, imdb_netflix_v5!A$2:H$7370, 2, FALSE), "")</f>
        <v>Movie</v>
      </c>
      <c r="C4202" s="2" t="str">
        <f>IF(A4202&lt;&gt;"", VLOOKUP(A4202, imdb_netflix_v5!A$2:H$7370, 3, FALSE), "")</f>
        <v>Drama</v>
      </c>
      <c r="D4202" s="2">
        <f>IF(A4202&lt;&gt;"", VLOOKUP(A4202, imdb_netflix_v5!A$2:H$7370, 4, FALSE), "")</f>
        <v>7.4</v>
      </c>
      <c r="E4202" s="2">
        <f>IF(A4202&lt;&gt;"", VLOOKUP(A4202, imdb_netflix_v5!A$2:H$7370, 5, FALSE), "")</f>
        <v>2024</v>
      </c>
      <c r="F4202" s="2" t="str">
        <f>IF(A4202&lt;&gt;"", VLOOKUP(A4202, imdb_netflix_v5!A$2:H$7370, 7, FALSE), "")</f>
        <v>NA</v>
      </c>
    </row>
    <row r="4203" ht="15.75" customHeight="1">
      <c r="A4203" s="1" t="str">
        <f>IFERROR(__xludf.DUMMYFUNCTION("""COMPUTED_VALUE"""),"snow cake")</f>
        <v>snow cake</v>
      </c>
      <c r="B4203" s="1" t="str">
        <f>IF(A4203&lt;&gt;"", VLOOKUP(A4203, imdb_netflix_v5!A$2:H$7370, 2, FALSE), "")</f>
        <v>Movie</v>
      </c>
      <c r="C4203" s="2" t="str">
        <f>IF(A4203&lt;&gt;"", VLOOKUP(A4203, imdb_netflix_v5!A$2:H$7370, 3, FALSE), "")</f>
        <v>Drama, Romance</v>
      </c>
      <c r="D4203" s="2">
        <f>IF(A4203&lt;&gt;"", VLOOKUP(A4203, imdb_netflix_v5!A$2:H$7370, 4, FALSE), "")</f>
        <v>7.4</v>
      </c>
      <c r="E4203" s="2">
        <f>IF(A4203&lt;&gt;"", VLOOKUP(A4203, imdb_netflix_v5!A$2:H$7370, 5, FALSE), "")</f>
        <v>2006</v>
      </c>
      <c r="F4203" s="2" t="str">
        <f>IF(A4203&lt;&gt;"", VLOOKUP(A4203, imdb_netflix_v5!A$2:H$7370, 7, FALSE), "")</f>
        <v>NA</v>
      </c>
    </row>
    <row r="4204" ht="15.75" customHeight="1">
      <c r="A4204" s="1" t="str">
        <f>IFERROR(__xludf.DUMMYFUNCTION("""COMPUTED_VALUE"""),"house of secrets the burari deaths")</f>
        <v>house of secrets the burari deaths</v>
      </c>
      <c r="B4204" s="1" t="str">
        <f>IF(A4204&lt;&gt;"", VLOOKUP(A4204, imdb_netflix_v5!A$2:H$7370, 2, FALSE), "")</f>
        <v>TV Show</v>
      </c>
      <c r="C4204" s="2" t="str">
        <f>IF(A4204&lt;&gt;"", VLOOKUP(A4204, imdb_netflix_v5!A$2:H$7370, 3, FALSE), "")</f>
        <v>Crime, Documentary, History</v>
      </c>
      <c r="D4204" s="2">
        <f>IF(A4204&lt;&gt;"", VLOOKUP(A4204, imdb_netflix_v5!A$2:H$7370, 4, FALSE), "")</f>
        <v>7.4</v>
      </c>
      <c r="E4204" s="2">
        <f>IF(A4204&lt;&gt;"", VLOOKUP(A4204, imdb_netflix_v5!A$2:H$7370, 5, FALSE), "")</f>
        <v>2021</v>
      </c>
      <c r="F4204" s="2">
        <f>IF(A4204&lt;&gt;"", VLOOKUP(A4204, imdb_netflix_v5!A$2:H$7370, 7, FALSE), "")</f>
        <v>9220000</v>
      </c>
    </row>
    <row r="4205" ht="15.75" customHeight="1">
      <c r="A4205" s="1" t="str">
        <f>IFERROR(__xludf.DUMMYFUNCTION("""COMPUTED_VALUE"""),"the night shift")</f>
        <v>the night shift</v>
      </c>
      <c r="B4205" s="1" t="str">
        <f>IF(A4205&lt;&gt;"", VLOOKUP(A4205, imdb_netflix_v5!A$2:H$7370, 2, FALSE), "")</f>
        <v>TV Show</v>
      </c>
      <c r="C4205" s="2" t="str">
        <f>IF(A4205&lt;&gt;"", VLOOKUP(A4205, imdb_netflix_v5!A$2:H$7370, 3, FALSE), "")</f>
        <v>Drama, Romance</v>
      </c>
      <c r="D4205" s="2">
        <f>IF(A4205&lt;&gt;"", VLOOKUP(A4205, imdb_netflix_v5!A$2:H$7370, 4, FALSE), "")</f>
        <v>7.4</v>
      </c>
      <c r="E4205" s="2">
        <f>IF(A4205&lt;&gt;"", VLOOKUP(A4205, imdb_netflix_v5!A$2:H$7370, 5, FALSE), "")</f>
        <v>2014</v>
      </c>
      <c r="F4205" s="2" t="str">
        <f>IF(A4205&lt;&gt;"", VLOOKUP(A4205, imdb_netflix_v5!A$2:H$7370, 7, FALSE), "")</f>
        <v>NA</v>
      </c>
    </row>
    <row r="4206" ht="15.75" customHeight="1">
      <c r="A4206" s="1" t="str">
        <f>IFERROR(__xludf.DUMMYFUNCTION("""COMPUTED_VALUE"""),"the secret life of words")</f>
        <v>the secret life of words</v>
      </c>
      <c r="B4206" s="1" t="str">
        <f>IF(A4206&lt;&gt;"", VLOOKUP(A4206, imdb_netflix_v5!A$2:H$7370, 2, FALSE), "")</f>
        <v>Movie</v>
      </c>
      <c r="C4206" s="2" t="str">
        <f>IF(A4206&lt;&gt;"", VLOOKUP(A4206, imdb_netflix_v5!A$2:H$7370, 3, FALSE), "")</f>
        <v>Drama, Romance</v>
      </c>
      <c r="D4206" s="2">
        <f>IF(A4206&lt;&gt;"", VLOOKUP(A4206, imdb_netflix_v5!A$2:H$7370, 4, FALSE), "")</f>
        <v>7.4</v>
      </c>
      <c r="E4206" s="2">
        <f>IF(A4206&lt;&gt;"", VLOOKUP(A4206, imdb_netflix_v5!A$2:H$7370, 5, FALSE), "")</f>
        <v>2005</v>
      </c>
      <c r="F4206" s="2" t="str">
        <f>IF(A4206&lt;&gt;"", VLOOKUP(A4206, imdb_netflix_v5!A$2:H$7370, 7, FALSE), "")</f>
        <v>NA</v>
      </c>
    </row>
    <row r="4207" ht="15.75" customHeight="1">
      <c r="A4207" s="1" t="str">
        <f>IFERROR(__xludf.DUMMYFUNCTION("""COMPUTED_VALUE"""),"life in a metro")</f>
        <v>life in a metro</v>
      </c>
      <c r="B4207" s="1" t="str">
        <f>IF(A4207&lt;&gt;"", VLOOKUP(A4207, imdb_netflix_v5!A$2:H$7370, 2, FALSE), "")</f>
        <v>Movie</v>
      </c>
      <c r="C4207" s="2" t="str">
        <f>IF(A4207&lt;&gt;"", VLOOKUP(A4207, imdb_netflix_v5!A$2:H$7370, 3, FALSE), "")</f>
        <v>Comedy, Drama, Musical</v>
      </c>
      <c r="D4207" s="2">
        <f>IF(A4207&lt;&gt;"", VLOOKUP(A4207, imdb_netflix_v5!A$2:H$7370, 4, FALSE), "")</f>
        <v>7.4</v>
      </c>
      <c r="E4207" s="2">
        <f>IF(A4207&lt;&gt;"", VLOOKUP(A4207, imdb_netflix_v5!A$2:H$7370, 5, FALSE), "")</f>
        <v>2007</v>
      </c>
      <c r="F4207" s="2" t="str">
        <f>IF(A4207&lt;&gt;"", VLOOKUP(A4207, imdb_netflix_v5!A$2:H$7370, 7, FALSE), "")</f>
        <v>NA</v>
      </c>
    </row>
    <row r="4208" ht="15.75" customHeight="1">
      <c r="A4208" s="1" t="str">
        <f>IFERROR(__xludf.DUMMYFUNCTION("""COMPUTED_VALUE"""),"sweet bean")</f>
        <v>sweet bean</v>
      </c>
      <c r="B4208" s="1" t="str">
        <f>IF(A4208&lt;&gt;"", VLOOKUP(A4208, imdb_netflix_v5!A$2:H$7370, 2, FALSE), "")</f>
        <v>Movie</v>
      </c>
      <c r="C4208" s="2" t="str">
        <f>IF(A4208&lt;&gt;"", VLOOKUP(A4208, imdb_netflix_v5!A$2:H$7370, 3, FALSE), "")</f>
        <v>Drama</v>
      </c>
      <c r="D4208" s="2">
        <f>IF(A4208&lt;&gt;"", VLOOKUP(A4208, imdb_netflix_v5!A$2:H$7370, 4, FALSE), "")</f>
        <v>7.4</v>
      </c>
      <c r="E4208" s="2">
        <f>IF(A4208&lt;&gt;"", VLOOKUP(A4208, imdb_netflix_v5!A$2:H$7370, 5, FALSE), "")</f>
        <v>2015</v>
      </c>
      <c r="F4208" s="2" t="str">
        <f>IF(A4208&lt;&gt;"", VLOOKUP(A4208, imdb_netflix_v5!A$2:H$7370, 7, FALSE), "")</f>
        <v>NA</v>
      </c>
    </row>
    <row r="4209" ht="15.75" customHeight="1">
      <c r="A4209" s="1" t="str">
        <f>IFERROR(__xludf.DUMMYFUNCTION("""COMPUTED_VALUE"""),"srikanth")</f>
        <v>srikanth</v>
      </c>
      <c r="B4209" s="1" t="str">
        <f>IF(A4209&lt;&gt;"", VLOOKUP(A4209, imdb_netflix_v5!A$2:H$7370, 2, FALSE), "")</f>
        <v>Movie</v>
      </c>
      <c r="C4209" s="2" t="str">
        <f>IF(A4209&lt;&gt;"", VLOOKUP(A4209, imdb_netflix_v5!A$2:H$7370, 3, FALSE), "")</f>
        <v>Biography, Drama</v>
      </c>
      <c r="D4209" s="2">
        <f>IF(A4209&lt;&gt;"", VLOOKUP(A4209, imdb_netflix_v5!A$2:H$7370, 4, FALSE), "")</f>
        <v>7.4</v>
      </c>
      <c r="E4209" s="2">
        <f>IF(A4209&lt;&gt;"", VLOOKUP(A4209, imdb_netflix_v5!A$2:H$7370, 5, FALSE), "")</f>
        <v>2024</v>
      </c>
      <c r="F4209" s="2" t="str">
        <f>IF(A4209&lt;&gt;"", VLOOKUP(A4209, imdb_netflix_v5!A$2:H$7370, 7, FALSE), "")</f>
        <v>NA</v>
      </c>
    </row>
    <row r="4210" ht="15.75" customHeight="1">
      <c r="A4210" s="1" t="str">
        <f>IFERROR(__xludf.DUMMYFUNCTION("""COMPUTED_VALUE"""),"after the storm")</f>
        <v>after the storm</v>
      </c>
      <c r="B4210" s="1" t="str">
        <f>IF(A4210&lt;&gt;"", VLOOKUP(A4210, imdb_netflix_v5!A$2:H$7370, 2, FALSE), "")</f>
        <v>Movie</v>
      </c>
      <c r="C4210" s="2" t="str">
        <f>IF(A4210&lt;&gt;"", VLOOKUP(A4210, imdb_netflix_v5!A$2:H$7370, 3, FALSE), "")</f>
        <v>Comedy, Drama</v>
      </c>
      <c r="D4210" s="2">
        <f>IF(A4210&lt;&gt;"", VLOOKUP(A4210, imdb_netflix_v5!A$2:H$7370, 4, FALSE), "")</f>
        <v>7.4</v>
      </c>
      <c r="E4210" s="2">
        <f>IF(A4210&lt;&gt;"", VLOOKUP(A4210, imdb_netflix_v5!A$2:H$7370, 5, FALSE), "")</f>
        <v>2016</v>
      </c>
      <c r="F4210" s="2" t="str">
        <f>IF(A4210&lt;&gt;"", VLOOKUP(A4210, imdb_netflix_v5!A$2:H$7370, 7, FALSE), "")</f>
        <v>NA</v>
      </c>
    </row>
    <row r="4211" ht="15.75" customHeight="1">
      <c r="A4211" s="1" t="str">
        <f>IFERROR(__xludf.DUMMYFUNCTION("""COMPUTED_VALUE"""),"persian lessons")</f>
        <v>persian lessons</v>
      </c>
      <c r="B4211" s="1" t="str">
        <f>IF(A4211&lt;&gt;"", VLOOKUP(A4211, imdb_netflix_v5!A$2:H$7370, 2, FALSE), "")</f>
        <v>Movie</v>
      </c>
      <c r="C4211" s="2" t="str">
        <f>IF(A4211&lt;&gt;"", VLOOKUP(A4211, imdb_netflix_v5!A$2:H$7370, 3, FALSE), "")</f>
        <v>Drama, War</v>
      </c>
      <c r="D4211" s="2">
        <f>IF(A4211&lt;&gt;"", VLOOKUP(A4211, imdb_netflix_v5!A$2:H$7370, 4, FALSE), "")</f>
        <v>7.4</v>
      </c>
      <c r="E4211" s="2">
        <f>IF(A4211&lt;&gt;"", VLOOKUP(A4211, imdb_netflix_v5!A$2:H$7370, 5, FALSE), "")</f>
        <v>2020</v>
      </c>
      <c r="F4211" s="2" t="str">
        <f>IF(A4211&lt;&gt;"", VLOOKUP(A4211, imdb_netflix_v5!A$2:H$7370, 7, FALSE), "")</f>
        <v>NA</v>
      </c>
    </row>
    <row r="4212" ht="15.75" customHeight="1">
      <c r="A4212" s="1" t="str">
        <f>IFERROR(__xludf.DUMMYFUNCTION("""COMPUTED_VALUE"""),"support your local sheriff!")</f>
        <v>support your local sheriff!</v>
      </c>
      <c r="B4212" s="1" t="str">
        <f>IF(A4212&lt;&gt;"", VLOOKUP(A4212, imdb_netflix_v5!A$2:H$7370, 2, FALSE), "")</f>
        <v>Movie</v>
      </c>
      <c r="C4212" s="2" t="str">
        <f>IF(A4212&lt;&gt;"", VLOOKUP(A4212, imdb_netflix_v5!A$2:H$7370, 3, FALSE), "")</f>
        <v>Comedy, Western</v>
      </c>
      <c r="D4212" s="2">
        <f>IF(A4212&lt;&gt;"", VLOOKUP(A4212, imdb_netflix_v5!A$2:H$7370, 4, FALSE), "")</f>
        <v>7.4</v>
      </c>
      <c r="E4212" s="2">
        <f>IF(A4212&lt;&gt;"", VLOOKUP(A4212, imdb_netflix_v5!A$2:H$7370, 5, FALSE), "")</f>
        <v>1969</v>
      </c>
      <c r="F4212" s="2" t="str">
        <f>IF(A4212&lt;&gt;"", VLOOKUP(A4212, imdb_netflix_v5!A$2:H$7370, 7, FALSE), "")</f>
        <v>NA</v>
      </c>
    </row>
    <row r="4213" ht="15.75" customHeight="1">
      <c r="A4213" s="1" t="str">
        <f>IFERROR(__xludf.DUMMYFUNCTION("""COMPUTED_VALUE"""),"tristana")</f>
        <v>tristana</v>
      </c>
      <c r="B4213" s="1" t="str">
        <f>IF(A4213&lt;&gt;"", VLOOKUP(A4213, imdb_netflix_v5!A$2:H$7370, 2, FALSE), "")</f>
        <v>Movie</v>
      </c>
      <c r="C4213" s="2" t="str">
        <f>IF(A4213&lt;&gt;"", VLOOKUP(A4213, imdb_netflix_v5!A$2:H$7370, 3, FALSE), "")</f>
        <v>Drama</v>
      </c>
      <c r="D4213" s="2">
        <f>IF(A4213&lt;&gt;"", VLOOKUP(A4213, imdb_netflix_v5!A$2:H$7370, 4, FALSE), "")</f>
        <v>7.4</v>
      </c>
      <c r="E4213" s="2">
        <f>IF(A4213&lt;&gt;"", VLOOKUP(A4213, imdb_netflix_v5!A$2:H$7370, 5, FALSE), "")</f>
        <v>1970</v>
      </c>
      <c r="F4213" s="2" t="str">
        <f>IF(A4213&lt;&gt;"", VLOOKUP(A4213, imdb_netflix_v5!A$2:H$7370, 7, FALSE), "")</f>
        <v>NA</v>
      </c>
    </row>
    <row r="4214" ht="15.75" customHeight="1">
      <c r="A4214" s="1" t="str">
        <f>IFERROR(__xludf.DUMMYFUNCTION("""COMPUTED_VALUE"""),"lawmen bass reeves")</f>
        <v>lawmen bass reeves</v>
      </c>
      <c r="B4214" s="1" t="str">
        <f>IF(A4214&lt;&gt;"", VLOOKUP(A4214, imdb_netflix_v5!A$2:H$7370, 2, FALSE), "")</f>
        <v>TV Show</v>
      </c>
      <c r="C4214" s="2" t="str">
        <f>IF(A4214&lt;&gt;"", VLOOKUP(A4214, imdb_netflix_v5!A$2:H$7370, 3, FALSE), "")</f>
        <v>Drama, Western</v>
      </c>
      <c r="D4214" s="2">
        <f>IF(A4214&lt;&gt;"", VLOOKUP(A4214, imdb_netflix_v5!A$2:H$7370, 4, FALSE), "")</f>
        <v>7.4</v>
      </c>
      <c r="E4214" s="2">
        <f>IF(A4214&lt;&gt;"", VLOOKUP(A4214, imdb_netflix_v5!A$2:H$7370, 5, FALSE), "")</f>
        <v>2023</v>
      </c>
      <c r="F4214" s="2" t="str">
        <f>IF(A4214&lt;&gt;"", VLOOKUP(A4214, imdb_netflix_v5!A$2:H$7370, 7, FALSE), "")</f>
        <v>NA</v>
      </c>
    </row>
    <row r="4215" ht="15.75" customHeight="1">
      <c r="A4215" s="1" t="str">
        <f>IFERROR(__xludf.DUMMYFUNCTION("""COMPUTED_VALUE"""),"in plain sight")</f>
        <v>in plain sight</v>
      </c>
      <c r="B4215" s="1" t="str">
        <f>IF(A4215&lt;&gt;"", VLOOKUP(A4215, imdb_netflix_v5!A$2:H$7370, 2, FALSE), "")</f>
        <v>TV Show</v>
      </c>
      <c r="C4215" s="2" t="str">
        <f>IF(A4215&lt;&gt;"", VLOOKUP(A4215, imdb_netflix_v5!A$2:H$7370, 3, FALSE), "")</f>
        <v>Crime, Drama, Mystery</v>
      </c>
      <c r="D4215" s="2">
        <f>IF(A4215&lt;&gt;"", VLOOKUP(A4215, imdb_netflix_v5!A$2:H$7370, 4, FALSE), "")</f>
        <v>7.4</v>
      </c>
      <c r="E4215" s="2">
        <f>IF(A4215&lt;&gt;"", VLOOKUP(A4215, imdb_netflix_v5!A$2:H$7370, 5, FALSE), "")</f>
        <v>2008</v>
      </c>
      <c r="F4215" s="2" t="str">
        <f>IF(A4215&lt;&gt;"", VLOOKUP(A4215, imdb_netflix_v5!A$2:H$7370, 7, FALSE), "")</f>
        <v>NA</v>
      </c>
    </row>
    <row r="4216" ht="15.75" customHeight="1">
      <c r="A4216" s="1" t="str">
        <f>IFERROR(__xludf.DUMMYFUNCTION("""COMPUTED_VALUE"""),"tyson")</f>
        <v>tyson</v>
      </c>
      <c r="B4216" s="1" t="str">
        <f>IF(A4216&lt;&gt;"", VLOOKUP(A4216, imdb_netflix_v5!A$2:H$7370, 2, FALSE), "")</f>
        <v>Movie</v>
      </c>
      <c r="C4216" s="2" t="str">
        <f>IF(A4216&lt;&gt;"", VLOOKUP(A4216, imdb_netflix_v5!A$2:H$7370, 3, FALSE), "")</f>
        <v>Biography, Documentary, Sport</v>
      </c>
      <c r="D4216" s="2">
        <f>IF(A4216&lt;&gt;"", VLOOKUP(A4216, imdb_netflix_v5!A$2:H$7370, 4, FALSE), "")</f>
        <v>7.4</v>
      </c>
      <c r="E4216" s="2">
        <f>IF(A4216&lt;&gt;"", VLOOKUP(A4216, imdb_netflix_v5!A$2:H$7370, 5, FALSE), "")</f>
        <v>2008</v>
      </c>
      <c r="F4216" s="2" t="str">
        <f>IF(A4216&lt;&gt;"", VLOOKUP(A4216, imdb_netflix_v5!A$2:H$7370, 7, FALSE), "")</f>
        <v>NA</v>
      </c>
    </row>
    <row r="4217" ht="15.75" customHeight="1">
      <c r="A4217" s="1" t="str">
        <f>IFERROR(__xludf.DUMMYFUNCTION("""COMPUTED_VALUE"""),"peepli [live]")</f>
        <v>peepli [live]</v>
      </c>
      <c r="B4217" s="1" t="str">
        <f>IF(A4217&lt;&gt;"", VLOOKUP(A4217, imdb_netflix_v5!A$2:H$7370, 2, FALSE), "")</f>
        <v>Movie</v>
      </c>
      <c r="C4217" s="2" t="str">
        <f>IF(A4217&lt;&gt;"", VLOOKUP(A4217, imdb_netflix_v5!A$2:H$7370, 3, FALSE), "")</f>
        <v>Comedy, Drama</v>
      </c>
      <c r="D4217" s="2">
        <f>IF(A4217&lt;&gt;"", VLOOKUP(A4217, imdb_netflix_v5!A$2:H$7370, 4, FALSE), "")</f>
        <v>7.4</v>
      </c>
      <c r="E4217" s="2">
        <f>IF(A4217&lt;&gt;"", VLOOKUP(A4217, imdb_netflix_v5!A$2:H$7370, 5, FALSE), "")</f>
        <v>2010</v>
      </c>
      <c r="F4217" s="2" t="str">
        <f>IF(A4217&lt;&gt;"", VLOOKUP(A4217, imdb_netflix_v5!A$2:H$7370, 7, FALSE), "")</f>
        <v>NA</v>
      </c>
    </row>
    <row r="4218" ht="15.75" customHeight="1">
      <c r="A4218" s="1" t="str">
        <f>IFERROR(__xludf.DUMMYFUNCTION("""COMPUTED_VALUE"""),"the band wagon")</f>
        <v>the band wagon</v>
      </c>
      <c r="B4218" s="1" t="str">
        <f>IF(A4218&lt;&gt;"", VLOOKUP(A4218, imdb_netflix_v5!A$2:H$7370, 2, FALSE), "")</f>
        <v>Movie</v>
      </c>
      <c r="C4218" s="2" t="str">
        <f>IF(A4218&lt;&gt;"", VLOOKUP(A4218, imdb_netflix_v5!A$2:H$7370, 3, FALSE), "")</f>
        <v>Comedy, Musical, Romance</v>
      </c>
      <c r="D4218" s="2">
        <f>IF(A4218&lt;&gt;"", VLOOKUP(A4218, imdb_netflix_v5!A$2:H$7370, 4, FALSE), "")</f>
        <v>7.4</v>
      </c>
      <c r="E4218" s="2">
        <f>IF(A4218&lt;&gt;"", VLOOKUP(A4218, imdb_netflix_v5!A$2:H$7370, 5, FALSE), "")</f>
        <v>1953</v>
      </c>
      <c r="F4218" s="2" t="str">
        <f>IF(A4218&lt;&gt;"", VLOOKUP(A4218, imdb_netflix_v5!A$2:H$7370, 7, FALSE), "")</f>
        <v>NA</v>
      </c>
    </row>
    <row r="4219" ht="15.75" customHeight="1">
      <c r="A4219" s="1" t="str">
        <f>IFERROR(__xludf.DUMMYFUNCTION("""COMPUTED_VALUE"""),"second chance")</f>
        <v>second chance</v>
      </c>
      <c r="B4219" s="1" t="str">
        <f>IF(A4219&lt;&gt;"", VLOOKUP(A4219, imdb_netflix_v5!A$2:H$7370, 2, FALSE), "")</f>
        <v>TV Show</v>
      </c>
      <c r="C4219" s="2" t="str">
        <f>IF(A4219&lt;&gt;"", VLOOKUP(A4219, imdb_netflix_v5!A$2:H$7370, 3, FALSE), "")</f>
        <v>Drama, Sci-Fi</v>
      </c>
      <c r="D4219" s="2">
        <f>IF(A4219&lt;&gt;"", VLOOKUP(A4219, imdb_netflix_v5!A$2:H$7370, 4, FALSE), "")</f>
        <v>7.4</v>
      </c>
      <c r="E4219" s="2">
        <f>IF(A4219&lt;&gt;"", VLOOKUP(A4219, imdb_netflix_v5!A$2:H$7370, 5, FALSE), "")</f>
        <v>2016</v>
      </c>
      <c r="F4219" s="2" t="str">
        <f>IF(A4219&lt;&gt;"", VLOOKUP(A4219, imdb_netflix_v5!A$2:H$7370, 7, FALSE), "")</f>
        <v>NA</v>
      </c>
    </row>
    <row r="4220" ht="15.75" customHeight="1">
      <c r="A4220" s="1" t="str">
        <f>IFERROR(__xludf.DUMMYFUNCTION("""COMPUTED_VALUE"""),"the resort")</f>
        <v>the resort</v>
      </c>
      <c r="B4220" s="1" t="str">
        <f>IF(A4220&lt;&gt;"", VLOOKUP(A4220, imdb_netflix_v5!A$2:H$7370, 2, FALSE), "")</f>
        <v>TV Show</v>
      </c>
      <c r="C4220" s="2" t="str">
        <f>IF(A4220&lt;&gt;"", VLOOKUP(A4220, imdb_netflix_v5!A$2:H$7370, 3, FALSE), "")</f>
        <v>Comedy, Mystery, Thriller</v>
      </c>
      <c r="D4220" s="2">
        <f>IF(A4220&lt;&gt;"", VLOOKUP(A4220, imdb_netflix_v5!A$2:H$7370, 4, FALSE), "")</f>
        <v>7.4</v>
      </c>
      <c r="E4220" s="2">
        <f>IF(A4220&lt;&gt;"", VLOOKUP(A4220, imdb_netflix_v5!A$2:H$7370, 5, FALSE), "")</f>
        <v>2022</v>
      </c>
      <c r="F4220" s="2" t="str">
        <f>IF(A4220&lt;&gt;"", VLOOKUP(A4220, imdb_netflix_v5!A$2:H$7370, 7, FALSE), "")</f>
        <v>NA</v>
      </c>
    </row>
    <row r="4221" ht="15.75" customHeight="1">
      <c r="A4221" s="1" t="str">
        <f>IFERROR(__xludf.DUMMYFUNCTION("""COMPUTED_VALUE"""),"wheres firuze?")</f>
        <v>wheres firuze?</v>
      </c>
      <c r="B4221" s="1" t="str">
        <f>IF(A4221&lt;&gt;"", VLOOKUP(A4221, imdb_netflix_v5!A$2:H$7370, 2, FALSE), "")</f>
        <v>Movie</v>
      </c>
      <c r="C4221" s="2" t="str">
        <f>IF(A4221&lt;&gt;"", VLOOKUP(A4221, imdb_netflix_v5!A$2:H$7370, 3, FALSE), "")</f>
        <v>Comedy, Music</v>
      </c>
      <c r="D4221" s="2">
        <f>IF(A4221&lt;&gt;"", VLOOKUP(A4221, imdb_netflix_v5!A$2:H$7370, 4, FALSE), "")</f>
        <v>7.4</v>
      </c>
      <c r="E4221" s="2">
        <f>IF(A4221&lt;&gt;"", VLOOKUP(A4221, imdb_netflix_v5!A$2:H$7370, 5, FALSE), "")</f>
        <v>2004</v>
      </c>
      <c r="F4221" s="2" t="str">
        <f>IF(A4221&lt;&gt;"", VLOOKUP(A4221, imdb_netflix_v5!A$2:H$7370, 7, FALSE), "")</f>
        <v>NA</v>
      </c>
    </row>
    <row r="4222" ht="15.75" customHeight="1">
      <c r="A4222" s="1" t="str">
        <f>IFERROR(__xludf.DUMMYFUNCTION("""COMPUTED_VALUE"""),"noises off...")</f>
        <v>noises off...</v>
      </c>
      <c r="B4222" s="1" t="str">
        <f>IF(A4222&lt;&gt;"", VLOOKUP(A4222, imdb_netflix_v5!A$2:H$7370, 2, FALSE), "")</f>
        <v>Movie</v>
      </c>
      <c r="C4222" s="2" t="str">
        <f>IF(A4222&lt;&gt;"", VLOOKUP(A4222, imdb_netflix_v5!A$2:H$7370, 3, FALSE), "")</f>
        <v>Comedy</v>
      </c>
      <c r="D4222" s="2">
        <f>IF(A4222&lt;&gt;"", VLOOKUP(A4222, imdb_netflix_v5!A$2:H$7370, 4, FALSE), "")</f>
        <v>7.4</v>
      </c>
      <c r="E4222" s="2">
        <f>IF(A4222&lt;&gt;"", VLOOKUP(A4222, imdb_netflix_v5!A$2:H$7370, 5, FALSE), "")</f>
        <v>1992</v>
      </c>
      <c r="F4222" s="2" t="str">
        <f>IF(A4222&lt;&gt;"", VLOOKUP(A4222, imdb_netflix_v5!A$2:H$7370, 7, FALSE), "")</f>
        <v>NA</v>
      </c>
    </row>
    <row r="4223" ht="15.75" customHeight="1">
      <c r="A4223" s="1" t="str">
        <f>IFERROR(__xludf.DUMMYFUNCTION("""COMPUTED_VALUE"""),"power book ii ghost")</f>
        <v>power book ii ghost</v>
      </c>
      <c r="B4223" s="1" t="str">
        <f>IF(A4223&lt;&gt;"", VLOOKUP(A4223, imdb_netflix_v5!A$2:H$7370, 2, FALSE), "")</f>
        <v>TV Show</v>
      </c>
      <c r="C4223" s="2" t="str">
        <f>IF(A4223&lt;&gt;"", VLOOKUP(A4223, imdb_netflix_v5!A$2:H$7370, 3, FALSE), "")</f>
        <v>Crime, Drama</v>
      </c>
      <c r="D4223" s="2">
        <f>IF(A4223&lt;&gt;"", VLOOKUP(A4223, imdb_netflix_v5!A$2:H$7370, 4, FALSE), "")</f>
        <v>7.4</v>
      </c>
      <c r="E4223" s="2">
        <f>IF(A4223&lt;&gt;"", VLOOKUP(A4223, imdb_netflix_v5!A$2:H$7370, 5, FALSE), "")</f>
        <v>2020</v>
      </c>
      <c r="F4223" s="2" t="str">
        <f>IF(A4223&lt;&gt;"", VLOOKUP(A4223, imdb_netflix_v5!A$2:H$7370, 7, FALSE), "")</f>
        <v>NA</v>
      </c>
    </row>
    <row r="4224" ht="15.75" customHeight="1">
      <c r="A4224" s="1" t="str">
        <f>IFERROR(__xludf.DUMMYFUNCTION("""COMPUTED_VALUE"""),"the wind will carry us")</f>
        <v>the wind will carry us</v>
      </c>
      <c r="B4224" s="1" t="str">
        <f>IF(A4224&lt;&gt;"", VLOOKUP(A4224, imdb_netflix_v5!A$2:H$7370, 2, FALSE), "")</f>
        <v>Movie</v>
      </c>
      <c r="C4224" s="2" t="str">
        <f>IF(A4224&lt;&gt;"", VLOOKUP(A4224, imdb_netflix_v5!A$2:H$7370, 3, FALSE), "")</f>
        <v>Drama</v>
      </c>
      <c r="D4224" s="2">
        <f>IF(A4224&lt;&gt;"", VLOOKUP(A4224, imdb_netflix_v5!A$2:H$7370, 4, FALSE), "")</f>
        <v>7.4</v>
      </c>
      <c r="E4224" s="2">
        <f>IF(A4224&lt;&gt;"", VLOOKUP(A4224, imdb_netflix_v5!A$2:H$7370, 5, FALSE), "")</f>
        <v>1999</v>
      </c>
      <c r="F4224" s="2" t="str">
        <f>IF(A4224&lt;&gt;"", VLOOKUP(A4224, imdb_netflix_v5!A$2:H$7370, 7, FALSE), "")</f>
        <v>NA</v>
      </c>
    </row>
    <row r="4225" ht="15.75" customHeight="1">
      <c r="A4225" s="1" t="str">
        <f>IFERROR(__xludf.DUMMYFUNCTION("""COMPUTED_VALUE"""),"dark victory")</f>
        <v>dark victory</v>
      </c>
      <c r="B4225" s="1" t="str">
        <f>IF(A4225&lt;&gt;"", VLOOKUP(A4225, imdb_netflix_v5!A$2:H$7370, 2, FALSE), "")</f>
        <v>Movie</v>
      </c>
      <c r="C4225" s="2" t="str">
        <f>IF(A4225&lt;&gt;"", VLOOKUP(A4225, imdb_netflix_v5!A$2:H$7370, 3, FALSE), "")</f>
        <v>Drama, Romance</v>
      </c>
      <c r="D4225" s="2">
        <f>IF(A4225&lt;&gt;"", VLOOKUP(A4225, imdb_netflix_v5!A$2:H$7370, 4, FALSE), "")</f>
        <v>7.4</v>
      </c>
      <c r="E4225" s="2">
        <f>IF(A4225&lt;&gt;"", VLOOKUP(A4225, imdb_netflix_v5!A$2:H$7370, 5, FALSE), "")</f>
        <v>1939</v>
      </c>
      <c r="F4225" s="2" t="str">
        <f>IF(A4225&lt;&gt;"", VLOOKUP(A4225, imdb_netflix_v5!A$2:H$7370, 7, FALSE), "")</f>
        <v>NA</v>
      </c>
    </row>
    <row r="4226" ht="15.75" customHeight="1">
      <c r="A4226" s="1" t="str">
        <f>IFERROR(__xludf.DUMMYFUNCTION("""COMPUTED_VALUE"""),"black orpheus")</f>
        <v>black orpheus</v>
      </c>
      <c r="B4226" s="1" t="str">
        <f>IF(A4226&lt;&gt;"", VLOOKUP(A4226, imdb_netflix_v5!A$2:H$7370, 2, FALSE), "")</f>
        <v>Movie</v>
      </c>
      <c r="C4226" s="2" t="str">
        <f>IF(A4226&lt;&gt;"", VLOOKUP(A4226, imdb_netflix_v5!A$2:H$7370, 3, FALSE), "")</f>
        <v>Drama, Musical, Romance</v>
      </c>
      <c r="D4226" s="2">
        <f>IF(A4226&lt;&gt;"", VLOOKUP(A4226, imdb_netflix_v5!A$2:H$7370, 4, FALSE), "")</f>
        <v>7.4</v>
      </c>
      <c r="E4226" s="2">
        <f>IF(A4226&lt;&gt;"", VLOOKUP(A4226, imdb_netflix_v5!A$2:H$7370, 5, FALSE), "")</f>
        <v>1959</v>
      </c>
      <c r="F4226" s="2" t="str">
        <f>IF(A4226&lt;&gt;"", VLOOKUP(A4226, imdb_netflix_v5!A$2:H$7370, 7, FALSE), "")</f>
        <v>NA</v>
      </c>
    </row>
    <row r="4227" ht="15.75" customHeight="1">
      <c r="A4227" s="1" t="str">
        <f>IFERROR(__xludf.DUMMYFUNCTION("""COMPUTED_VALUE"""),"the friends of eddie coyle")</f>
        <v>the friends of eddie coyle</v>
      </c>
      <c r="B4227" s="1" t="str">
        <f>IF(A4227&lt;&gt;"", VLOOKUP(A4227, imdb_netflix_v5!A$2:H$7370, 2, FALSE), "")</f>
        <v>Movie</v>
      </c>
      <c r="C4227" s="2" t="str">
        <f>IF(A4227&lt;&gt;"", VLOOKUP(A4227, imdb_netflix_v5!A$2:H$7370, 3, FALSE), "")</f>
        <v>Crime, Drama</v>
      </c>
      <c r="D4227" s="2">
        <f>IF(A4227&lt;&gt;"", VLOOKUP(A4227, imdb_netflix_v5!A$2:H$7370, 4, FALSE), "")</f>
        <v>7.4</v>
      </c>
      <c r="E4227" s="2">
        <f>IF(A4227&lt;&gt;"", VLOOKUP(A4227, imdb_netflix_v5!A$2:H$7370, 5, FALSE), "")</f>
        <v>1973</v>
      </c>
      <c r="F4227" s="2" t="str">
        <f>IF(A4227&lt;&gt;"", VLOOKUP(A4227, imdb_netflix_v5!A$2:H$7370, 7, FALSE), "")</f>
        <v>NA</v>
      </c>
    </row>
    <row r="4228" ht="15.75" customHeight="1">
      <c r="A4228" s="1" t="str">
        <f>IFERROR(__xludf.DUMMYFUNCTION("""COMPUTED_VALUE"""),"the enemy below")</f>
        <v>the enemy below</v>
      </c>
      <c r="B4228" s="1" t="str">
        <f>IF(A4228&lt;&gt;"", VLOOKUP(A4228, imdb_netflix_v5!A$2:H$7370, 2, FALSE), "")</f>
        <v>Movie</v>
      </c>
      <c r="C4228" s="2" t="str">
        <f>IF(A4228&lt;&gt;"", VLOOKUP(A4228, imdb_netflix_v5!A$2:H$7370, 3, FALSE), "")</f>
        <v>Action, Adventure, Drama</v>
      </c>
      <c r="D4228" s="2">
        <f>IF(A4228&lt;&gt;"", VLOOKUP(A4228, imdb_netflix_v5!A$2:H$7370, 4, FALSE), "")</f>
        <v>7.4</v>
      </c>
      <c r="E4228" s="2">
        <f>IF(A4228&lt;&gt;"", VLOOKUP(A4228, imdb_netflix_v5!A$2:H$7370, 5, FALSE), "")</f>
        <v>1957</v>
      </c>
      <c r="F4228" s="2" t="str">
        <f>IF(A4228&lt;&gt;"", VLOOKUP(A4228, imdb_netflix_v5!A$2:H$7370, 7, FALSE), "")</f>
        <v>NA</v>
      </c>
    </row>
    <row r="4229" ht="15.75" customHeight="1">
      <c r="A4229" s="1" t="str">
        <f>IFERROR(__xludf.DUMMYFUNCTION("""COMPUTED_VALUE"""),"the firemens ball")</f>
        <v>the firemens ball</v>
      </c>
      <c r="B4229" s="1" t="str">
        <f>IF(A4229&lt;&gt;"", VLOOKUP(A4229, imdb_netflix_v5!A$2:H$7370, 2, FALSE), "")</f>
        <v>Movie</v>
      </c>
      <c r="C4229" s="2" t="str">
        <f>IF(A4229&lt;&gt;"", VLOOKUP(A4229, imdb_netflix_v5!A$2:H$7370, 3, FALSE), "")</f>
        <v>Comedy, Drama</v>
      </c>
      <c r="D4229" s="2">
        <f>IF(A4229&lt;&gt;"", VLOOKUP(A4229, imdb_netflix_v5!A$2:H$7370, 4, FALSE), "")</f>
        <v>7.4</v>
      </c>
      <c r="E4229" s="2">
        <f>IF(A4229&lt;&gt;"", VLOOKUP(A4229, imdb_netflix_v5!A$2:H$7370, 5, FALSE), "")</f>
        <v>1967</v>
      </c>
      <c r="F4229" s="2" t="str">
        <f>IF(A4229&lt;&gt;"", VLOOKUP(A4229, imdb_netflix_v5!A$2:H$7370, 7, FALSE), "")</f>
        <v>NA</v>
      </c>
    </row>
    <row r="4230" ht="15.75" customHeight="1">
      <c r="A4230" s="1" t="str">
        <f>IFERROR(__xludf.DUMMYFUNCTION("""COMPUTED_VALUE"""),"trust")</f>
        <v>trust</v>
      </c>
      <c r="B4230" s="1" t="str">
        <f>IF(A4230&lt;&gt;"", VLOOKUP(A4230, imdb_netflix_v5!A$2:H$7370, 2, FALSE), "")</f>
        <v>Movie</v>
      </c>
      <c r="C4230" s="2" t="str">
        <f>IF(A4230&lt;&gt;"", VLOOKUP(A4230, imdb_netflix_v5!A$2:H$7370, 3, FALSE), "")</f>
        <v>Comedy, Crime, Drama</v>
      </c>
      <c r="D4230" s="2">
        <f>IF(A4230&lt;&gt;"", VLOOKUP(A4230, imdb_netflix_v5!A$2:H$7370, 4, FALSE), "")</f>
        <v>7.4</v>
      </c>
      <c r="E4230" s="2">
        <f>IF(A4230&lt;&gt;"", VLOOKUP(A4230, imdb_netflix_v5!A$2:H$7370, 5, FALSE), "")</f>
        <v>1990</v>
      </c>
      <c r="F4230" s="2" t="str">
        <f>IF(A4230&lt;&gt;"", VLOOKUP(A4230, imdb_netflix_v5!A$2:H$7370, 7, FALSE), "")</f>
        <v>NA</v>
      </c>
    </row>
    <row r="4231" ht="15.75" customHeight="1">
      <c r="A4231" s="1" t="str">
        <f>IFERROR(__xludf.DUMMYFUNCTION("""COMPUTED_VALUE"""),"home before dark")</f>
        <v>home before dark</v>
      </c>
      <c r="B4231" s="1" t="str">
        <f>IF(A4231&lt;&gt;"", VLOOKUP(A4231, imdb_netflix_v5!A$2:H$7370, 2, FALSE), "")</f>
        <v>TV Show</v>
      </c>
      <c r="C4231" s="2" t="str">
        <f>IF(A4231&lt;&gt;"", VLOOKUP(A4231, imdb_netflix_v5!A$2:H$7370, 3, FALSE), "")</f>
        <v>Crime, Drama, Mystery</v>
      </c>
      <c r="D4231" s="2">
        <f>IF(A4231&lt;&gt;"", VLOOKUP(A4231, imdb_netflix_v5!A$2:H$7370, 4, FALSE), "")</f>
        <v>7.4</v>
      </c>
      <c r="E4231" s="2">
        <f>IF(A4231&lt;&gt;"", VLOOKUP(A4231, imdb_netflix_v5!A$2:H$7370, 5, FALSE), "")</f>
        <v>2020</v>
      </c>
      <c r="F4231" s="2" t="str">
        <f>IF(A4231&lt;&gt;"", VLOOKUP(A4231, imdb_netflix_v5!A$2:H$7370, 7, FALSE), "")</f>
        <v>NA</v>
      </c>
    </row>
    <row r="4232" ht="15.75" customHeight="1">
      <c r="A4232" s="1" t="str">
        <f>IFERROR(__xludf.DUMMYFUNCTION("""COMPUTED_VALUE"""),"targets")</f>
        <v>targets</v>
      </c>
      <c r="B4232" s="1" t="str">
        <f>IF(A4232&lt;&gt;"", VLOOKUP(A4232, imdb_netflix_v5!A$2:H$7370, 2, FALSE), "")</f>
        <v>Movie</v>
      </c>
      <c r="C4232" s="2" t="str">
        <f>IF(A4232&lt;&gt;"", VLOOKUP(A4232, imdb_netflix_v5!A$2:H$7370, 3, FALSE), "")</f>
        <v>Crime, Drama, Thriller</v>
      </c>
      <c r="D4232" s="2">
        <f>IF(A4232&lt;&gt;"", VLOOKUP(A4232, imdb_netflix_v5!A$2:H$7370, 4, FALSE), "")</f>
        <v>7.4</v>
      </c>
      <c r="E4232" s="2">
        <f>IF(A4232&lt;&gt;"", VLOOKUP(A4232, imdb_netflix_v5!A$2:H$7370, 5, FALSE), "")</f>
        <v>1968</v>
      </c>
      <c r="F4232" s="2" t="str">
        <f>IF(A4232&lt;&gt;"", VLOOKUP(A4232, imdb_netflix_v5!A$2:H$7370, 7, FALSE), "")</f>
        <v>NA</v>
      </c>
    </row>
    <row r="4233" ht="15.75" customHeight="1">
      <c r="A4233" s="1" t="str">
        <f>IFERROR(__xludf.DUMMYFUNCTION("""COMPUTED_VALUE"""),"the bible")</f>
        <v>the bible</v>
      </c>
      <c r="B4233" s="1" t="str">
        <f>IF(A4233&lt;&gt;"", VLOOKUP(A4233, imdb_netflix_v5!A$2:H$7370, 2, FALSE), "")</f>
        <v>TV Show</v>
      </c>
      <c r="C4233" s="2" t="str">
        <f>IF(A4233&lt;&gt;"", VLOOKUP(A4233, imdb_netflix_v5!A$2:H$7370, 3, FALSE), "")</f>
        <v>Action, Drama, War</v>
      </c>
      <c r="D4233" s="2">
        <f>IF(A4233&lt;&gt;"", VLOOKUP(A4233, imdb_netflix_v5!A$2:H$7370, 4, FALSE), "")</f>
        <v>7.4</v>
      </c>
      <c r="E4233" s="2">
        <f>IF(A4233&lt;&gt;"", VLOOKUP(A4233, imdb_netflix_v5!A$2:H$7370, 5, FALSE), "")</f>
        <v>2013</v>
      </c>
      <c r="F4233" s="2" t="str">
        <f>IF(A4233&lt;&gt;"", VLOOKUP(A4233, imdb_netflix_v5!A$2:H$7370, 7, FALSE), "")</f>
        <v>NA</v>
      </c>
    </row>
    <row r="4234" ht="15.75" customHeight="1">
      <c r="A4234" s="1" t="str">
        <f>IFERROR(__xludf.DUMMYFUNCTION("""COMPUTED_VALUE"""),"hand of god")</f>
        <v>hand of god</v>
      </c>
      <c r="B4234" s="1" t="str">
        <f>IF(A4234&lt;&gt;"", VLOOKUP(A4234, imdb_netflix_v5!A$2:H$7370, 2, FALSE), "")</f>
        <v>TV Show</v>
      </c>
      <c r="C4234" s="2" t="str">
        <f>IF(A4234&lt;&gt;"", VLOOKUP(A4234, imdb_netflix_v5!A$2:H$7370, 3, FALSE), "")</f>
        <v>Crime, Drama</v>
      </c>
      <c r="D4234" s="2">
        <f>IF(A4234&lt;&gt;"", VLOOKUP(A4234, imdb_netflix_v5!A$2:H$7370, 4, FALSE), "")</f>
        <v>7.4</v>
      </c>
      <c r="E4234" s="2">
        <f>IF(A4234&lt;&gt;"", VLOOKUP(A4234, imdb_netflix_v5!A$2:H$7370, 5, FALSE), "")</f>
        <v>2014</v>
      </c>
      <c r="F4234" s="2" t="str">
        <f>IF(A4234&lt;&gt;"", VLOOKUP(A4234, imdb_netflix_v5!A$2:H$7370, 7, FALSE), "")</f>
        <v>NA</v>
      </c>
    </row>
    <row r="4235" ht="15.75" customHeight="1">
      <c r="A4235" s="1" t="str">
        <f>IFERROR(__xludf.DUMMYFUNCTION("""COMPUTED_VALUE"""),"the murders at white house farm")</f>
        <v>the murders at white house farm</v>
      </c>
      <c r="B4235" s="1" t="str">
        <f>IF(A4235&lt;&gt;"", VLOOKUP(A4235, imdb_netflix_v5!A$2:H$7370, 2, FALSE), "")</f>
        <v>TV Show</v>
      </c>
      <c r="C4235" s="2" t="str">
        <f>IF(A4235&lt;&gt;"", VLOOKUP(A4235, imdb_netflix_v5!A$2:H$7370, 3, FALSE), "")</f>
        <v>Biography, Crime, Drama</v>
      </c>
      <c r="D4235" s="2">
        <f>IF(A4235&lt;&gt;"", VLOOKUP(A4235, imdb_netflix_v5!A$2:H$7370, 4, FALSE), "")</f>
        <v>7.4</v>
      </c>
      <c r="E4235" s="2">
        <f>IF(A4235&lt;&gt;"", VLOOKUP(A4235, imdb_netflix_v5!A$2:H$7370, 5, FALSE), "")</f>
        <v>2020</v>
      </c>
      <c r="F4235" s="2" t="str">
        <f>IF(A4235&lt;&gt;"", VLOOKUP(A4235, imdb_netflix_v5!A$2:H$7370, 7, FALSE), "")</f>
        <v>NA</v>
      </c>
    </row>
    <row r="4236" ht="15.75" customHeight="1">
      <c r="A4236" s="1" t="str">
        <f>IFERROR(__xludf.DUMMYFUNCTION("""COMPUTED_VALUE"""),"dragon ball z broly - the legendary super saiyan")</f>
        <v>dragon ball z broly - the legendary super saiyan</v>
      </c>
      <c r="B4236" s="1" t="str">
        <f>IF(A4236&lt;&gt;"", VLOOKUP(A4236, imdb_netflix_v5!A$2:H$7370, 2, FALSE), "")</f>
        <v>Movie</v>
      </c>
      <c r="C4236" s="2" t="str">
        <f>IF(A4236&lt;&gt;"", VLOOKUP(A4236, imdb_netflix_v5!A$2:H$7370, 3, FALSE), "")</f>
        <v>Action, Animation, Fantasy</v>
      </c>
      <c r="D4236" s="2">
        <f>IF(A4236&lt;&gt;"", VLOOKUP(A4236, imdb_netflix_v5!A$2:H$7370, 4, FALSE), "")</f>
        <v>7.4</v>
      </c>
      <c r="E4236" s="2">
        <f>IF(A4236&lt;&gt;"", VLOOKUP(A4236, imdb_netflix_v5!A$2:H$7370, 5, FALSE), "")</f>
        <v>1993</v>
      </c>
      <c r="F4236" s="2" t="str">
        <f>IF(A4236&lt;&gt;"", VLOOKUP(A4236, imdb_netflix_v5!A$2:H$7370, 7, FALSE), "")</f>
        <v>NA</v>
      </c>
    </row>
    <row r="4237" ht="15.75" customHeight="1">
      <c r="A4237" s="1" t="str">
        <f>IFERROR(__xludf.DUMMYFUNCTION("""COMPUTED_VALUE"""),"love &amp; anarchy")</f>
        <v>love &amp; anarchy</v>
      </c>
      <c r="B4237" s="1" t="str">
        <f>IF(A4237&lt;&gt;"", VLOOKUP(A4237, imdb_netflix_v5!A$2:H$7370, 2, FALSE), "")</f>
        <v>TV Show</v>
      </c>
      <c r="C4237" s="2" t="str">
        <f>IF(A4237&lt;&gt;"", VLOOKUP(A4237, imdb_netflix_v5!A$2:H$7370, 3, FALSE), "")</f>
        <v>Comedy, Drama, Romance</v>
      </c>
      <c r="D4237" s="2">
        <f>IF(A4237&lt;&gt;"", VLOOKUP(A4237, imdb_netflix_v5!A$2:H$7370, 4, FALSE), "")</f>
        <v>7.4</v>
      </c>
      <c r="E4237" s="2">
        <f>IF(A4237&lt;&gt;"", VLOOKUP(A4237, imdb_netflix_v5!A$2:H$7370, 5, FALSE), "")</f>
        <v>2020</v>
      </c>
      <c r="F4237" s="2" t="str">
        <f>IF(A4237&lt;&gt;"", VLOOKUP(A4237, imdb_netflix_v5!A$2:H$7370, 7, FALSE), "")</f>
        <v>NA</v>
      </c>
    </row>
    <row r="4238" ht="15.75" customHeight="1">
      <c r="A4238" s="1" t="str">
        <f>IFERROR(__xludf.DUMMYFUNCTION("""COMPUTED_VALUE"""),"happening")</f>
        <v>happening</v>
      </c>
      <c r="B4238" s="1" t="str">
        <f>IF(A4238&lt;&gt;"", VLOOKUP(A4238, imdb_netflix_v5!A$2:H$7370, 2, FALSE), "")</f>
        <v>Movie</v>
      </c>
      <c r="C4238" s="2" t="str">
        <f>IF(A4238&lt;&gt;"", VLOOKUP(A4238, imdb_netflix_v5!A$2:H$7370, 3, FALSE), "")</f>
        <v>Drama</v>
      </c>
      <c r="D4238" s="2">
        <f>IF(A4238&lt;&gt;"", VLOOKUP(A4238, imdb_netflix_v5!A$2:H$7370, 4, FALSE), "")</f>
        <v>7.4</v>
      </c>
      <c r="E4238" s="2">
        <f>IF(A4238&lt;&gt;"", VLOOKUP(A4238, imdb_netflix_v5!A$2:H$7370, 5, FALSE), "")</f>
        <v>2021</v>
      </c>
      <c r="F4238" s="2" t="str">
        <f>IF(A4238&lt;&gt;"", VLOOKUP(A4238, imdb_netflix_v5!A$2:H$7370, 7, FALSE), "")</f>
        <v>NA</v>
      </c>
    </row>
    <row r="4239" ht="15.75" customHeight="1">
      <c r="A4239" s="1" t="str">
        <f>IFERROR(__xludf.DUMMYFUNCTION("""COMPUTED_VALUE"""),"largent")</f>
        <v>largent</v>
      </c>
      <c r="B4239" s="1" t="str">
        <f>IF(A4239&lt;&gt;"", VLOOKUP(A4239, imdb_netflix_v5!A$2:H$7370, 2, FALSE), "")</f>
        <v>Movie</v>
      </c>
      <c r="C4239" s="2" t="str">
        <f>IF(A4239&lt;&gt;"", VLOOKUP(A4239, imdb_netflix_v5!A$2:H$7370, 3, FALSE), "")</f>
        <v>Crime, Drama</v>
      </c>
      <c r="D4239" s="2">
        <f>IF(A4239&lt;&gt;"", VLOOKUP(A4239, imdb_netflix_v5!A$2:H$7370, 4, FALSE), "")</f>
        <v>7.4</v>
      </c>
      <c r="E4239" s="2">
        <f>IF(A4239&lt;&gt;"", VLOOKUP(A4239, imdb_netflix_v5!A$2:H$7370, 5, FALSE), "")</f>
        <v>1983</v>
      </c>
      <c r="F4239" s="2" t="str">
        <f>IF(A4239&lt;&gt;"", VLOOKUP(A4239, imdb_netflix_v5!A$2:H$7370, 7, FALSE), "")</f>
        <v>NA</v>
      </c>
    </row>
    <row r="4240" ht="15.75" customHeight="1">
      <c r="A4240" s="1" t="str">
        <f>IFERROR(__xludf.DUMMYFUNCTION("""COMPUTED_VALUE"""),"american housewife")</f>
        <v>american housewife</v>
      </c>
      <c r="B4240" s="1" t="str">
        <f>IF(A4240&lt;&gt;"", VLOOKUP(A4240, imdb_netflix_v5!A$2:H$7370, 2, FALSE), "")</f>
        <v>TV Show</v>
      </c>
      <c r="C4240" s="2" t="str">
        <f>IF(A4240&lt;&gt;"", VLOOKUP(A4240, imdb_netflix_v5!A$2:H$7370, 3, FALSE), "")</f>
        <v>Comedy</v>
      </c>
      <c r="D4240" s="2">
        <f>IF(A4240&lt;&gt;"", VLOOKUP(A4240, imdb_netflix_v5!A$2:H$7370, 4, FALSE), "")</f>
        <v>7.4</v>
      </c>
      <c r="E4240" s="2">
        <f>IF(A4240&lt;&gt;"", VLOOKUP(A4240, imdb_netflix_v5!A$2:H$7370, 5, FALSE), "")</f>
        <v>2016</v>
      </c>
      <c r="F4240" s="2" t="str">
        <f>IF(A4240&lt;&gt;"", VLOOKUP(A4240, imdb_netflix_v5!A$2:H$7370, 7, FALSE), "")</f>
        <v>NA</v>
      </c>
    </row>
    <row r="4241" ht="15.75" customHeight="1">
      <c r="A4241" s="1" t="str">
        <f>IFERROR(__xludf.DUMMYFUNCTION("""COMPUTED_VALUE"""),"20,000 days on earth")</f>
        <v>20,000 days on earth</v>
      </c>
      <c r="B4241" s="1" t="str">
        <f>IF(A4241&lt;&gt;"", VLOOKUP(A4241, imdb_netflix_v5!A$2:H$7370, 2, FALSE), "")</f>
        <v>Movie</v>
      </c>
      <c r="C4241" s="2" t="str">
        <f>IF(A4241&lt;&gt;"", VLOOKUP(A4241, imdb_netflix_v5!A$2:H$7370, 3, FALSE), "")</f>
        <v>Documentary, Drama, Music</v>
      </c>
      <c r="D4241" s="2">
        <f>IF(A4241&lt;&gt;"", VLOOKUP(A4241, imdb_netflix_v5!A$2:H$7370, 4, FALSE), "")</f>
        <v>7.4</v>
      </c>
      <c r="E4241" s="2">
        <f>IF(A4241&lt;&gt;"", VLOOKUP(A4241, imdb_netflix_v5!A$2:H$7370, 5, FALSE), "")</f>
        <v>2014</v>
      </c>
      <c r="F4241" s="2" t="str">
        <f>IF(A4241&lt;&gt;"", VLOOKUP(A4241, imdb_netflix_v5!A$2:H$7370, 7, FALSE), "")</f>
        <v>NA</v>
      </c>
    </row>
    <row r="4242" ht="15.75" customHeight="1">
      <c r="A4242" s="1" t="str">
        <f>IFERROR(__xludf.DUMMYFUNCTION("""COMPUTED_VALUE"""),"faces")</f>
        <v>faces</v>
      </c>
      <c r="B4242" s="1" t="str">
        <f>IF(A4242&lt;&gt;"", VLOOKUP(A4242, imdb_netflix_v5!A$2:H$7370, 2, FALSE), "")</f>
        <v>Movie</v>
      </c>
      <c r="C4242" s="2" t="str">
        <f>IF(A4242&lt;&gt;"", VLOOKUP(A4242, imdb_netflix_v5!A$2:H$7370, 3, FALSE), "")</f>
        <v>Drama</v>
      </c>
      <c r="D4242" s="2">
        <f>IF(A4242&lt;&gt;"", VLOOKUP(A4242, imdb_netflix_v5!A$2:H$7370, 4, FALSE), "")</f>
        <v>7.4</v>
      </c>
      <c r="E4242" s="2">
        <f>IF(A4242&lt;&gt;"", VLOOKUP(A4242, imdb_netflix_v5!A$2:H$7370, 5, FALSE), "")</f>
        <v>1968</v>
      </c>
      <c r="F4242" s="2" t="str">
        <f>IF(A4242&lt;&gt;"", VLOOKUP(A4242, imdb_netflix_v5!A$2:H$7370, 7, FALSE), "")</f>
        <v>NA</v>
      </c>
    </row>
    <row r="4243" ht="15.75" customHeight="1">
      <c r="A4243" s="1" t="str">
        <f>IFERROR(__xludf.DUMMYFUNCTION("""COMPUTED_VALUE"""),"the hound of the baskervilles")</f>
        <v>the hound of the baskervilles</v>
      </c>
      <c r="B4243" s="1" t="str">
        <f>IF(A4243&lt;&gt;"", VLOOKUP(A4243, imdb_netflix_v5!A$2:H$7370, 2, FALSE), "")</f>
        <v>Movie</v>
      </c>
      <c r="C4243" s="2" t="str">
        <f>IF(A4243&lt;&gt;"", VLOOKUP(A4243, imdb_netflix_v5!A$2:H$7370, 3, FALSE), "")</f>
        <v>Crime, Mystery, Thriller</v>
      </c>
      <c r="D4243" s="2">
        <f>IF(A4243&lt;&gt;"", VLOOKUP(A4243, imdb_netflix_v5!A$2:H$7370, 4, FALSE), "")</f>
        <v>7.4</v>
      </c>
      <c r="E4243" s="2">
        <f>IF(A4243&lt;&gt;"", VLOOKUP(A4243, imdb_netflix_v5!A$2:H$7370, 5, FALSE), "")</f>
        <v>1939</v>
      </c>
      <c r="F4243" s="2" t="str">
        <f>IF(A4243&lt;&gt;"", VLOOKUP(A4243, imdb_netflix_v5!A$2:H$7370, 7, FALSE), "")</f>
        <v>NA</v>
      </c>
    </row>
    <row r="4244" ht="15.75" customHeight="1">
      <c r="A4244" s="1" t="str">
        <f>IFERROR(__xludf.DUMMYFUNCTION("""COMPUTED_VALUE"""),"fantastic fungi")</f>
        <v>fantastic fungi</v>
      </c>
      <c r="B4244" s="1" t="str">
        <f>IF(A4244&lt;&gt;"", VLOOKUP(A4244, imdb_netflix_v5!A$2:H$7370, 2, FALSE), "")</f>
        <v>Movie</v>
      </c>
      <c r="C4244" s="2" t="str">
        <f>IF(A4244&lt;&gt;"", VLOOKUP(A4244, imdb_netflix_v5!A$2:H$7370, 3, FALSE), "")</f>
        <v>Documentary</v>
      </c>
      <c r="D4244" s="2">
        <f>IF(A4244&lt;&gt;"", VLOOKUP(A4244, imdb_netflix_v5!A$2:H$7370, 4, FALSE), "")</f>
        <v>7.4</v>
      </c>
      <c r="E4244" s="2">
        <f>IF(A4244&lt;&gt;"", VLOOKUP(A4244, imdb_netflix_v5!A$2:H$7370, 5, FALSE), "")</f>
        <v>2019</v>
      </c>
      <c r="F4244" s="2" t="str">
        <f>IF(A4244&lt;&gt;"", VLOOKUP(A4244, imdb_netflix_v5!A$2:H$7370, 7, FALSE), "")</f>
        <v>NA</v>
      </c>
    </row>
    <row r="4245" ht="15.75" customHeight="1">
      <c r="A4245" s="1" t="str">
        <f>IFERROR(__xludf.DUMMYFUNCTION("""COMPUTED_VALUE"""),"project runway")</f>
        <v>project runway</v>
      </c>
      <c r="B4245" s="1" t="str">
        <f>IF(A4245&lt;&gt;"", VLOOKUP(A4245, imdb_netflix_v5!A$2:H$7370, 2, FALSE), "")</f>
        <v>TV Show</v>
      </c>
      <c r="C4245" s="2" t="str">
        <f>IF(A4245&lt;&gt;"", VLOOKUP(A4245, imdb_netflix_v5!A$2:H$7370, 3, FALSE), "")</f>
        <v>Reality-TV</v>
      </c>
      <c r="D4245" s="2">
        <f>IF(A4245&lt;&gt;"", VLOOKUP(A4245, imdb_netflix_v5!A$2:H$7370, 4, FALSE), "")</f>
        <v>7.4</v>
      </c>
      <c r="E4245" s="2">
        <f>IF(A4245&lt;&gt;"", VLOOKUP(A4245, imdb_netflix_v5!A$2:H$7370, 5, FALSE), "")</f>
        <v>2004</v>
      </c>
      <c r="F4245" s="2" t="str">
        <f>IF(A4245&lt;&gt;"", VLOOKUP(A4245, imdb_netflix_v5!A$2:H$7370, 7, FALSE), "")</f>
        <v>NA</v>
      </c>
    </row>
    <row r="4246" ht="15.75" customHeight="1">
      <c r="A4246" s="1" t="str">
        <f>IFERROR(__xludf.DUMMYFUNCTION("""COMPUTED_VALUE"""),"how to become a tyrant")</f>
        <v>how to become a tyrant</v>
      </c>
      <c r="B4246" s="1" t="str">
        <f>IF(A4246&lt;&gt;"", VLOOKUP(A4246, imdb_netflix_v5!A$2:H$7370, 2, FALSE), "")</f>
        <v>TV Show</v>
      </c>
      <c r="C4246" s="2" t="str">
        <f>IF(A4246&lt;&gt;"", VLOOKUP(A4246, imdb_netflix_v5!A$2:H$7370, 3, FALSE), "")</f>
        <v>Biography, Documentary, History</v>
      </c>
      <c r="D4246" s="2">
        <f>IF(A4246&lt;&gt;"", VLOOKUP(A4246, imdb_netflix_v5!A$2:H$7370, 4, FALSE), "")</f>
        <v>7.4</v>
      </c>
      <c r="E4246" s="2">
        <f>IF(A4246&lt;&gt;"", VLOOKUP(A4246, imdb_netflix_v5!A$2:H$7370, 5, FALSE), "")</f>
        <v>2021</v>
      </c>
      <c r="F4246" s="2" t="str">
        <f>IF(A4246&lt;&gt;"", VLOOKUP(A4246, imdb_netflix_v5!A$2:H$7370, 7, FALSE), "")</f>
        <v>NA</v>
      </c>
    </row>
    <row r="4247" ht="15.75" customHeight="1">
      <c r="A4247" s="1" t="str">
        <f>IFERROR(__xludf.DUMMYFUNCTION("""COMPUTED_VALUE"""),"pollyanna")</f>
        <v>pollyanna</v>
      </c>
      <c r="B4247" s="1" t="str">
        <f>IF(A4247&lt;&gt;"", VLOOKUP(A4247, imdb_netflix_v5!A$2:H$7370, 2, FALSE), "")</f>
        <v>Movie</v>
      </c>
      <c r="C4247" s="2" t="str">
        <f>IF(A4247&lt;&gt;"", VLOOKUP(A4247, imdb_netflix_v5!A$2:H$7370, 3, FALSE), "")</f>
        <v>Comedy, Drama, Family</v>
      </c>
      <c r="D4247" s="2">
        <f>IF(A4247&lt;&gt;"", VLOOKUP(A4247, imdb_netflix_v5!A$2:H$7370, 4, FALSE), "")</f>
        <v>7.4</v>
      </c>
      <c r="E4247" s="2">
        <f>IF(A4247&lt;&gt;"", VLOOKUP(A4247, imdb_netflix_v5!A$2:H$7370, 5, FALSE), "")</f>
        <v>1960</v>
      </c>
      <c r="F4247" s="2" t="str">
        <f>IF(A4247&lt;&gt;"", VLOOKUP(A4247, imdb_netflix_v5!A$2:H$7370, 7, FALSE), "")</f>
        <v>NA</v>
      </c>
    </row>
    <row r="4248" ht="15.75" customHeight="1">
      <c r="A4248" s="1" t="str">
        <f>IFERROR(__xludf.DUMMYFUNCTION("""COMPUTED_VALUE"""),"the redeem team")</f>
        <v>the redeem team</v>
      </c>
      <c r="B4248" s="1" t="str">
        <f>IF(A4248&lt;&gt;"", VLOOKUP(A4248, imdb_netflix_v5!A$2:H$7370, 2, FALSE), "")</f>
        <v>Movie</v>
      </c>
      <c r="C4248" s="2" t="str">
        <f>IF(A4248&lt;&gt;"", VLOOKUP(A4248, imdb_netflix_v5!A$2:H$7370, 3, FALSE), "")</f>
        <v>Documentary, History, Sport</v>
      </c>
      <c r="D4248" s="2">
        <f>IF(A4248&lt;&gt;"", VLOOKUP(A4248, imdb_netflix_v5!A$2:H$7370, 4, FALSE), "")</f>
        <v>7.4</v>
      </c>
      <c r="E4248" s="2">
        <f>IF(A4248&lt;&gt;"", VLOOKUP(A4248, imdb_netflix_v5!A$2:H$7370, 5, FALSE), "")</f>
        <v>2022</v>
      </c>
      <c r="F4248" s="2">
        <f>IF(A4248&lt;&gt;"", VLOOKUP(A4248, imdb_netflix_v5!A$2:H$7370, 7, FALSE), "")</f>
        <v>10290000</v>
      </c>
    </row>
    <row r="4249" ht="15.75" customHeight="1">
      <c r="A4249" s="1" t="str">
        <f>IFERROR(__xludf.DUMMYFUNCTION("""COMPUTED_VALUE"""),"the specials")</f>
        <v>the specials</v>
      </c>
      <c r="B4249" s="1" t="str">
        <f>IF(A4249&lt;&gt;"", VLOOKUP(A4249, imdb_netflix_v5!A$2:H$7370, 2, FALSE), "")</f>
        <v>Movie</v>
      </c>
      <c r="C4249" s="2" t="str">
        <f>IF(A4249&lt;&gt;"", VLOOKUP(A4249, imdb_netflix_v5!A$2:H$7370, 3, FALSE), "")</f>
        <v>Comedy, Drama</v>
      </c>
      <c r="D4249" s="2">
        <f>IF(A4249&lt;&gt;"", VLOOKUP(A4249, imdb_netflix_v5!A$2:H$7370, 4, FALSE), "")</f>
        <v>7.4</v>
      </c>
      <c r="E4249" s="2">
        <f>IF(A4249&lt;&gt;"", VLOOKUP(A4249, imdb_netflix_v5!A$2:H$7370, 5, FALSE), "")</f>
        <v>2019</v>
      </c>
      <c r="F4249" s="2" t="str">
        <f>IF(A4249&lt;&gt;"", VLOOKUP(A4249, imdb_netflix_v5!A$2:H$7370, 7, FALSE), "")</f>
        <v>NA</v>
      </c>
    </row>
    <row r="4250" ht="15.75" customHeight="1">
      <c r="A4250" s="1" t="str">
        <f>IFERROR(__xludf.DUMMYFUNCTION("""COMPUTED_VALUE"""),"waiting for superman")</f>
        <v>waiting for superman</v>
      </c>
      <c r="B4250" s="1" t="str">
        <f>IF(A4250&lt;&gt;"", VLOOKUP(A4250, imdb_netflix_v5!A$2:H$7370, 2, FALSE), "")</f>
        <v>Movie</v>
      </c>
      <c r="C4250" s="2" t="str">
        <f>IF(A4250&lt;&gt;"", VLOOKUP(A4250, imdb_netflix_v5!A$2:H$7370, 3, FALSE), "")</f>
        <v>Documentary</v>
      </c>
      <c r="D4250" s="2">
        <f>IF(A4250&lt;&gt;"", VLOOKUP(A4250, imdb_netflix_v5!A$2:H$7370, 4, FALSE), "")</f>
        <v>7.4</v>
      </c>
      <c r="E4250" s="2">
        <f>IF(A4250&lt;&gt;"", VLOOKUP(A4250, imdb_netflix_v5!A$2:H$7370, 5, FALSE), "")</f>
        <v>2010</v>
      </c>
      <c r="F4250" s="2" t="str">
        <f>IF(A4250&lt;&gt;"", VLOOKUP(A4250, imdb_netflix_v5!A$2:H$7370, 7, FALSE), "")</f>
        <v>NA</v>
      </c>
    </row>
    <row r="4251" ht="15.75" customHeight="1">
      <c r="A4251" s="1" t="str">
        <f>IFERROR(__xludf.DUMMYFUNCTION("""COMPUTED_VALUE"""),"lost in austen")</f>
        <v>lost in austen</v>
      </c>
      <c r="B4251" s="1" t="str">
        <f>IF(A4251&lt;&gt;"", VLOOKUP(A4251, imdb_netflix_v5!A$2:H$7370, 2, FALSE), "")</f>
        <v>TV Show</v>
      </c>
      <c r="C4251" s="2" t="str">
        <f>IF(A4251&lt;&gt;"", VLOOKUP(A4251, imdb_netflix_v5!A$2:H$7370, 3, FALSE), "")</f>
        <v>Drama, Fantasy, Romance</v>
      </c>
      <c r="D4251" s="2">
        <f>IF(A4251&lt;&gt;"", VLOOKUP(A4251, imdb_netflix_v5!A$2:H$7370, 4, FALSE), "")</f>
        <v>7.4</v>
      </c>
      <c r="E4251" s="2">
        <f>IF(A4251&lt;&gt;"", VLOOKUP(A4251, imdb_netflix_v5!A$2:H$7370, 5, FALSE), "")</f>
        <v>2008</v>
      </c>
      <c r="F4251" s="2" t="str">
        <f>IF(A4251&lt;&gt;"", VLOOKUP(A4251, imdb_netflix_v5!A$2:H$7370, 7, FALSE), "")</f>
        <v>NA</v>
      </c>
    </row>
    <row r="4252" ht="15.75" customHeight="1">
      <c r="A4252" s="1" t="str">
        <f>IFERROR(__xludf.DUMMYFUNCTION("""COMPUTED_VALUE"""),"the dam busters")</f>
        <v>the dam busters</v>
      </c>
      <c r="B4252" s="1" t="str">
        <f>IF(A4252&lt;&gt;"", VLOOKUP(A4252, imdb_netflix_v5!A$2:H$7370, 2, FALSE), "")</f>
        <v>Movie</v>
      </c>
      <c r="C4252" s="2" t="str">
        <f>IF(A4252&lt;&gt;"", VLOOKUP(A4252, imdb_netflix_v5!A$2:H$7370, 3, FALSE), "")</f>
        <v>Drama, History, War</v>
      </c>
      <c r="D4252" s="2">
        <f>IF(A4252&lt;&gt;"", VLOOKUP(A4252, imdb_netflix_v5!A$2:H$7370, 4, FALSE), "")</f>
        <v>7.4</v>
      </c>
      <c r="E4252" s="2">
        <f>IF(A4252&lt;&gt;"", VLOOKUP(A4252, imdb_netflix_v5!A$2:H$7370, 5, FALSE), "")</f>
        <v>1955</v>
      </c>
      <c r="F4252" s="2" t="str">
        <f>IF(A4252&lt;&gt;"", VLOOKUP(A4252, imdb_netflix_v5!A$2:H$7370, 7, FALSE), "")</f>
        <v>NA</v>
      </c>
    </row>
    <row r="4253" ht="15.75" customHeight="1">
      <c r="A4253" s="1" t="str">
        <f>IFERROR(__xludf.DUMMYFUNCTION("""COMPUTED_VALUE"""),"marriage italian style")</f>
        <v>marriage italian style</v>
      </c>
      <c r="B4253" s="1" t="str">
        <f>IF(A4253&lt;&gt;"", VLOOKUP(A4253, imdb_netflix_v5!A$2:H$7370, 2, FALSE), "")</f>
        <v>Movie</v>
      </c>
      <c r="C4253" s="2" t="str">
        <f>IF(A4253&lt;&gt;"", VLOOKUP(A4253, imdb_netflix_v5!A$2:H$7370, 3, FALSE), "")</f>
        <v>Comedy, Drama, Romance</v>
      </c>
      <c r="D4253" s="2">
        <f>IF(A4253&lt;&gt;"", VLOOKUP(A4253, imdb_netflix_v5!A$2:H$7370, 4, FALSE), "")</f>
        <v>7.4</v>
      </c>
      <c r="E4253" s="2">
        <f>IF(A4253&lt;&gt;"", VLOOKUP(A4253, imdb_netflix_v5!A$2:H$7370, 5, FALSE), "")</f>
        <v>1964</v>
      </c>
      <c r="F4253" s="2" t="str">
        <f>IF(A4253&lt;&gt;"", VLOOKUP(A4253, imdb_netflix_v5!A$2:H$7370, 7, FALSE), "")</f>
        <v>NA</v>
      </c>
    </row>
    <row r="4254" ht="15.75" customHeight="1">
      <c r="A4254" s="1" t="str">
        <f>IFERROR(__xludf.DUMMYFUNCTION("""COMPUTED_VALUE"""),"p-valley")</f>
        <v>p-valley</v>
      </c>
      <c r="B4254" s="1" t="str">
        <f>IF(A4254&lt;&gt;"", VLOOKUP(A4254, imdb_netflix_v5!A$2:H$7370, 2, FALSE), "")</f>
        <v>TV Show</v>
      </c>
      <c r="C4254" s="2" t="str">
        <f>IF(A4254&lt;&gt;"", VLOOKUP(A4254, imdb_netflix_v5!A$2:H$7370, 3, FALSE), "")</f>
        <v>Crime, Drama, Romance</v>
      </c>
      <c r="D4254" s="2">
        <f>IF(A4254&lt;&gt;"", VLOOKUP(A4254, imdb_netflix_v5!A$2:H$7370, 4, FALSE), "")</f>
        <v>7.4</v>
      </c>
      <c r="E4254" s="2">
        <f>IF(A4254&lt;&gt;"", VLOOKUP(A4254, imdb_netflix_v5!A$2:H$7370, 5, FALSE), "")</f>
        <v>2020</v>
      </c>
      <c r="F4254" s="2" t="str">
        <f>IF(A4254&lt;&gt;"", VLOOKUP(A4254, imdb_netflix_v5!A$2:H$7370, 7, FALSE), "")</f>
        <v>NA</v>
      </c>
    </row>
    <row r="4255" ht="15.75" customHeight="1">
      <c r="A4255" s="1" t="str">
        <f>IFERROR(__xludf.DUMMYFUNCTION("""COMPUTED_VALUE"""),"84 charing cross road")</f>
        <v>84 charing cross road</v>
      </c>
      <c r="B4255" s="1" t="str">
        <f>IF(A4255&lt;&gt;"", VLOOKUP(A4255, imdb_netflix_v5!A$2:H$7370, 2, FALSE), "")</f>
        <v>Movie</v>
      </c>
      <c r="C4255" s="2" t="str">
        <f>IF(A4255&lt;&gt;"", VLOOKUP(A4255, imdb_netflix_v5!A$2:H$7370, 3, FALSE), "")</f>
        <v>Biography, Drama, Romance</v>
      </c>
      <c r="D4255" s="2">
        <f>IF(A4255&lt;&gt;"", VLOOKUP(A4255, imdb_netflix_v5!A$2:H$7370, 4, FALSE), "")</f>
        <v>7.4</v>
      </c>
      <c r="E4255" s="2">
        <f>IF(A4255&lt;&gt;"", VLOOKUP(A4255, imdb_netflix_v5!A$2:H$7370, 5, FALSE), "")</f>
        <v>1987</v>
      </c>
      <c r="F4255" s="2" t="str">
        <f>IF(A4255&lt;&gt;"", VLOOKUP(A4255, imdb_netflix_v5!A$2:H$7370, 7, FALSE), "")</f>
        <v>NA</v>
      </c>
    </row>
    <row r="4256" ht="15.75" customHeight="1">
      <c r="A4256" s="1" t="str">
        <f>IFERROR(__xludf.DUMMYFUNCTION("""COMPUTED_VALUE"""),"life is sweet")</f>
        <v>life is sweet</v>
      </c>
      <c r="B4256" s="1" t="str">
        <f>IF(A4256&lt;&gt;"", VLOOKUP(A4256, imdb_netflix_v5!A$2:H$7370, 2, FALSE), "")</f>
        <v>Movie</v>
      </c>
      <c r="C4256" s="2" t="str">
        <f>IF(A4256&lt;&gt;"", VLOOKUP(A4256, imdb_netflix_v5!A$2:H$7370, 3, FALSE), "")</f>
        <v>Comedy, Drama</v>
      </c>
      <c r="D4256" s="2">
        <f>IF(A4256&lt;&gt;"", VLOOKUP(A4256, imdb_netflix_v5!A$2:H$7370, 4, FALSE), "")</f>
        <v>7.4</v>
      </c>
      <c r="E4256" s="2">
        <f>IF(A4256&lt;&gt;"", VLOOKUP(A4256, imdb_netflix_v5!A$2:H$7370, 5, FALSE), "")</f>
        <v>1990</v>
      </c>
      <c r="F4256" s="2" t="str">
        <f>IF(A4256&lt;&gt;"", VLOOKUP(A4256, imdb_netflix_v5!A$2:H$7370, 7, FALSE), "")</f>
        <v>NA</v>
      </c>
    </row>
    <row r="4257" ht="15.75" customHeight="1">
      <c r="A4257" s="1" t="str">
        <f>IFERROR(__xludf.DUMMYFUNCTION("""COMPUTED_VALUE"""),"the road to guantanamo")</f>
        <v>the road to guantanamo</v>
      </c>
      <c r="B4257" s="1" t="str">
        <f>IF(A4257&lt;&gt;"", VLOOKUP(A4257, imdb_netflix_v5!A$2:H$7370, 2, FALSE), "")</f>
        <v>Movie</v>
      </c>
      <c r="C4257" s="2" t="str">
        <f>IF(A4257&lt;&gt;"", VLOOKUP(A4257, imdb_netflix_v5!A$2:H$7370, 3, FALSE), "")</f>
        <v>Drama, War</v>
      </c>
      <c r="D4257" s="2">
        <f>IF(A4257&lt;&gt;"", VLOOKUP(A4257, imdb_netflix_v5!A$2:H$7370, 4, FALSE), "")</f>
        <v>7.4</v>
      </c>
      <c r="E4257" s="2">
        <f>IF(A4257&lt;&gt;"", VLOOKUP(A4257, imdb_netflix_v5!A$2:H$7370, 5, FALSE), "")</f>
        <v>2006</v>
      </c>
      <c r="F4257" s="2" t="str">
        <f>IF(A4257&lt;&gt;"", VLOOKUP(A4257, imdb_netflix_v5!A$2:H$7370, 7, FALSE), "")</f>
        <v>NA</v>
      </c>
    </row>
    <row r="4258" ht="15.75" customHeight="1">
      <c r="A4258" s="1" t="str">
        <f>IFERROR(__xludf.DUMMYFUNCTION("""COMPUTED_VALUE"""),"woman at war")</f>
        <v>woman at war</v>
      </c>
      <c r="B4258" s="1" t="str">
        <f>IF(A4258&lt;&gt;"", VLOOKUP(A4258, imdb_netflix_v5!A$2:H$7370, 2, FALSE), "")</f>
        <v>Movie</v>
      </c>
      <c r="C4258" s="2" t="str">
        <f>IF(A4258&lt;&gt;"", VLOOKUP(A4258, imdb_netflix_v5!A$2:H$7370, 3, FALSE), "")</f>
        <v>Adventure, Comedy, Drama</v>
      </c>
      <c r="D4258" s="2">
        <f>IF(A4258&lt;&gt;"", VLOOKUP(A4258, imdb_netflix_v5!A$2:H$7370, 4, FALSE), "")</f>
        <v>7.4</v>
      </c>
      <c r="E4258" s="2">
        <f>IF(A4258&lt;&gt;"", VLOOKUP(A4258, imdb_netflix_v5!A$2:H$7370, 5, FALSE), "")</f>
        <v>2018</v>
      </c>
      <c r="F4258" s="2" t="str">
        <f>IF(A4258&lt;&gt;"", VLOOKUP(A4258, imdb_netflix_v5!A$2:H$7370, 7, FALSE), "")</f>
        <v>NA</v>
      </c>
    </row>
    <row r="4259" ht="15.75" customHeight="1">
      <c r="A4259" s="1" t="str">
        <f>IFERROR(__xludf.DUMMYFUNCTION("""COMPUTED_VALUE"""),"is it wrong to try to pick up girls in a dungeon?")</f>
        <v>is it wrong to try to pick up girls in a dungeon?</v>
      </c>
      <c r="B4259" s="1" t="str">
        <f>IF(A4259&lt;&gt;"", VLOOKUP(A4259, imdb_netflix_v5!A$2:H$7370, 2, FALSE), "")</f>
        <v>TV Show</v>
      </c>
      <c r="C4259" s="2" t="str">
        <f>IF(A4259&lt;&gt;"", VLOOKUP(A4259, imdb_netflix_v5!A$2:H$7370, 3, FALSE), "")</f>
        <v>Action, Adventure, Animation</v>
      </c>
      <c r="D4259" s="2">
        <f>IF(A4259&lt;&gt;"", VLOOKUP(A4259, imdb_netflix_v5!A$2:H$7370, 4, FALSE), "")</f>
        <v>7.4</v>
      </c>
      <c r="E4259" s="2">
        <f>IF(A4259&lt;&gt;"", VLOOKUP(A4259, imdb_netflix_v5!A$2:H$7370, 5, FALSE), "")</f>
        <v>2015</v>
      </c>
      <c r="F4259" s="2" t="str">
        <f>IF(A4259&lt;&gt;"", VLOOKUP(A4259, imdb_netflix_v5!A$2:H$7370, 7, FALSE), "")</f>
        <v>NA</v>
      </c>
    </row>
    <row r="4260" ht="15.75" customHeight="1">
      <c r="A4260" s="1" t="str">
        <f>IFERROR(__xludf.DUMMYFUNCTION("""COMPUTED_VALUE"""),"qayamat se qayamat tak")</f>
        <v>qayamat se qayamat tak</v>
      </c>
      <c r="B4260" s="1" t="str">
        <f>IF(A4260&lt;&gt;"", VLOOKUP(A4260, imdb_netflix_v5!A$2:H$7370, 2, FALSE), "")</f>
        <v>Movie</v>
      </c>
      <c r="C4260" s="2" t="str">
        <f>IF(A4260&lt;&gt;"", VLOOKUP(A4260, imdb_netflix_v5!A$2:H$7370, 3, FALSE), "")</f>
        <v>Drama, Musical, Romance</v>
      </c>
      <c r="D4260" s="2">
        <f>IF(A4260&lt;&gt;"", VLOOKUP(A4260, imdb_netflix_v5!A$2:H$7370, 4, FALSE), "")</f>
        <v>7.4</v>
      </c>
      <c r="E4260" s="2">
        <f>IF(A4260&lt;&gt;"", VLOOKUP(A4260, imdb_netflix_v5!A$2:H$7370, 5, FALSE), "")</f>
        <v>1988</v>
      </c>
      <c r="F4260" s="2" t="str">
        <f>IF(A4260&lt;&gt;"", VLOOKUP(A4260, imdb_netflix_v5!A$2:H$7370, 7, FALSE), "")</f>
        <v>NA</v>
      </c>
    </row>
    <row r="4261" ht="15.75" customHeight="1">
      <c r="A4261" s="1" t="str">
        <f>IFERROR(__xludf.DUMMYFUNCTION("""COMPUTED_VALUE"""),"island of lost souls")</f>
        <v>island of lost souls</v>
      </c>
      <c r="B4261" s="1" t="str">
        <f>IF(A4261&lt;&gt;"", VLOOKUP(A4261, imdb_netflix_v5!A$2:H$7370, 2, FALSE), "")</f>
        <v>Movie</v>
      </c>
      <c r="C4261" s="2" t="str">
        <f>IF(A4261&lt;&gt;"", VLOOKUP(A4261, imdb_netflix_v5!A$2:H$7370, 3, FALSE), "")</f>
        <v>Film-Noir, Horror, Sci-Fi</v>
      </c>
      <c r="D4261" s="2">
        <f>IF(A4261&lt;&gt;"", VLOOKUP(A4261, imdb_netflix_v5!A$2:H$7370, 4, FALSE), "")</f>
        <v>7.4</v>
      </c>
      <c r="E4261" s="2">
        <f>IF(A4261&lt;&gt;"", VLOOKUP(A4261, imdb_netflix_v5!A$2:H$7370, 5, FALSE), "")</f>
        <v>1932</v>
      </c>
      <c r="F4261" s="2" t="str">
        <f>IF(A4261&lt;&gt;"", VLOOKUP(A4261, imdb_netflix_v5!A$2:H$7370, 7, FALSE), "")</f>
        <v>NA</v>
      </c>
    </row>
    <row r="4262" ht="15.75" customHeight="1">
      <c r="A4262" s="1" t="str">
        <f>IFERROR(__xludf.DUMMYFUNCTION("""COMPUTED_VALUE"""),"a chinese ghost story")</f>
        <v>a chinese ghost story</v>
      </c>
      <c r="B4262" s="1" t="str">
        <f>IF(A4262&lt;&gt;"", VLOOKUP(A4262, imdb_netflix_v5!A$2:H$7370, 2, FALSE), "")</f>
        <v>Movie</v>
      </c>
      <c r="C4262" s="2" t="str">
        <f>IF(A4262&lt;&gt;"", VLOOKUP(A4262, imdb_netflix_v5!A$2:H$7370, 3, FALSE), "")</f>
        <v>Action, Fantasy, Horror</v>
      </c>
      <c r="D4262" s="2">
        <f>IF(A4262&lt;&gt;"", VLOOKUP(A4262, imdb_netflix_v5!A$2:H$7370, 4, FALSE), "")</f>
        <v>7.4</v>
      </c>
      <c r="E4262" s="2">
        <f>IF(A4262&lt;&gt;"", VLOOKUP(A4262, imdb_netflix_v5!A$2:H$7370, 5, FALSE), "")</f>
        <v>1987</v>
      </c>
      <c r="F4262" s="2" t="str">
        <f>IF(A4262&lt;&gt;"", VLOOKUP(A4262, imdb_netflix_v5!A$2:H$7370, 7, FALSE), "")</f>
        <v>NA</v>
      </c>
    </row>
    <row r="4263" ht="15.75" customHeight="1">
      <c r="A4263" s="1" t="str">
        <f>IFERROR(__xludf.DUMMYFUNCTION("""COMPUTED_VALUE"""),"the strange love of martha ivers")</f>
        <v>the strange love of martha ivers</v>
      </c>
      <c r="B4263" s="1" t="str">
        <f>IF(A4263&lt;&gt;"", VLOOKUP(A4263, imdb_netflix_v5!A$2:H$7370, 2, FALSE), "")</f>
        <v>Movie</v>
      </c>
      <c r="C4263" s="2" t="str">
        <f>IF(A4263&lt;&gt;"", VLOOKUP(A4263, imdb_netflix_v5!A$2:H$7370, 3, FALSE), "")</f>
        <v>Drama, Film-Noir, Romance</v>
      </c>
      <c r="D4263" s="2">
        <f>IF(A4263&lt;&gt;"", VLOOKUP(A4263, imdb_netflix_v5!A$2:H$7370, 4, FALSE), "")</f>
        <v>7.4</v>
      </c>
      <c r="E4263" s="2">
        <f>IF(A4263&lt;&gt;"", VLOOKUP(A4263, imdb_netflix_v5!A$2:H$7370, 5, FALSE), "")</f>
        <v>1946</v>
      </c>
      <c r="F4263" s="2" t="str">
        <f>IF(A4263&lt;&gt;"", VLOOKUP(A4263, imdb_netflix_v5!A$2:H$7370, 7, FALSE), "")</f>
        <v>NA</v>
      </c>
    </row>
    <row r="4264" ht="15.75" customHeight="1">
      <c r="A4264" s="1" t="str">
        <f>IFERROR(__xludf.DUMMYFUNCTION("""COMPUTED_VALUE"""),"see you up there")</f>
        <v>see you up there</v>
      </c>
      <c r="B4264" s="1" t="str">
        <f>IF(A4264&lt;&gt;"", VLOOKUP(A4264, imdb_netflix_v5!A$2:H$7370, 2, FALSE), "")</f>
        <v>Movie</v>
      </c>
      <c r="C4264" s="2" t="str">
        <f>IF(A4264&lt;&gt;"", VLOOKUP(A4264, imdb_netflix_v5!A$2:H$7370, 3, FALSE), "")</f>
        <v>Comedy, Crime, Drama</v>
      </c>
      <c r="D4264" s="2">
        <f>IF(A4264&lt;&gt;"", VLOOKUP(A4264, imdb_netflix_v5!A$2:H$7370, 4, FALSE), "")</f>
        <v>7.4</v>
      </c>
      <c r="E4264" s="2">
        <f>IF(A4264&lt;&gt;"", VLOOKUP(A4264, imdb_netflix_v5!A$2:H$7370, 5, FALSE), "")</f>
        <v>2017</v>
      </c>
      <c r="F4264" s="2" t="str">
        <f>IF(A4264&lt;&gt;"", VLOOKUP(A4264, imdb_netflix_v5!A$2:H$7370, 7, FALSE), "")</f>
        <v>NA</v>
      </c>
    </row>
    <row r="4265" ht="15.75" customHeight="1">
      <c r="A4265" s="1" t="str">
        <f>IFERROR(__xludf.DUMMYFUNCTION("""COMPUTED_VALUE"""),"sherwood")</f>
        <v>sherwood</v>
      </c>
      <c r="B4265" s="1" t="str">
        <f>IF(A4265&lt;&gt;"", VLOOKUP(A4265, imdb_netflix_v5!A$2:H$7370, 2, FALSE), "")</f>
        <v>TV Show</v>
      </c>
      <c r="C4265" s="2" t="str">
        <f>IF(A4265&lt;&gt;"", VLOOKUP(A4265, imdb_netflix_v5!A$2:H$7370, 3, FALSE), "")</f>
        <v>Crime, Drama, Mystery</v>
      </c>
      <c r="D4265" s="2">
        <f>IF(A4265&lt;&gt;"", VLOOKUP(A4265, imdb_netflix_v5!A$2:H$7370, 4, FALSE), "")</f>
        <v>7.4</v>
      </c>
      <c r="E4265" s="2">
        <f>IF(A4265&lt;&gt;"", VLOOKUP(A4265, imdb_netflix_v5!A$2:H$7370, 5, FALSE), "")</f>
        <v>2022</v>
      </c>
      <c r="F4265" s="2" t="str">
        <f>IF(A4265&lt;&gt;"", VLOOKUP(A4265, imdb_netflix_v5!A$2:H$7370, 7, FALSE), "")</f>
        <v>NA</v>
      </c>
    </row>
    <row r="4266" ht="15.75" customHeight="1">
      <c r="A4266" s="1" t="str">
        <f>IFERROR(__xludf.DUMMYFUNCTION("""COMPUTED_VALUE"""),"rurouni kenshin final chapter part ii - the beginning")</f>
        <v>rurouni kenshin final chapter part ii - the beginning</v>
      </c>
      <c r="B4266" s="1" t="str">
        <f>IF(A4266&lt;&gt;"", VLOOKUP(A4266, imdb_netflix_v5!A$2:H$7370, 2, FALSE), "")</f>
        <v>Movie</v>
      </c>
      <c r="C4266" s="2" t="str">
        <f>IF(A4266&lt;&gt;"", VLOOKUP(A4266, imdb_netflix_v5!A$2:H$7370, 3, FALSE), "")</f>
        <v>Action, Adventure, Drama</v>
      </c>
      <c r="D4266" s="2">
        <f>IF(A4266&lt;&gt;"", VLOOKUP(A4266, imdb_netflix_v5!A$2:H$7370, 4, FALSE), "")</f>
        <v>7.4</v>
      </c>
      <c r="E4266" s="2">
        <f>IF(A4266&lt;&gt;"", VLOOKUP(A4266, imdb_netflix_v5!A$2:H$7370, 5, FALSE), "")</f>
        <v>2021</v>
      </c>
      <c r="F4266" s="2" t="str">
        <f>IF(A4266&lt;&gt;"", VLOOKUP(A4266, imdb_netflix_v5!A$2:H$7370, 7, FALSE), "")</f>
        <v>NA</v>
      </c>
    </row>
    <row r="4267" ht="15.75" customHeight="1">
      <c r="A4267" s="1" t="str">
        <f>IFERROR(__xludf.DUMMYFUNCTION("""COMPUTED_VALUE"""),"goblin slayer")</f>
        <v>goblin slayer</v>
      </c>
      <c r="B4267" s="1" t="str">
        <f>IF(A4267&lt;&gt;"", VLOOKUP(A4267, imdb_netflix_v5!A$2:H$7370, 2, FALSE), "")</f>
        <v>TV Show</v>
      </c>
      <c r="C4267" s="2" t="str">
        <f>IF(A4267&lt;&gt;"", VLOOKUP(A4267, imdb_netflix_v5!A$2:H$7370, 3, FALSE), "")</f>
        <v>Action, Adventure, Animation</v>
      </c>
      <c r="D4267" s="2">
        <f>IF(A4267&lt;&gt;"", VLOOKUP(A4267, imdb_netflix_v5!A$2:H$7370, 4, FALSE), "")</f>
        <v>7.4</v>
      </c>
      <c r="E4267" s="2">
        <f>IF(A4267&lt;&gt;"", VLOOKUP(A4267, imdb_netflix_v5!A$2:H$7370, 5, FALSE), "")</f>
        <v>2018</v>
      </c>
      <c r="F4267" s="2" t="str">
        <f>IF(A4267&lt;&gt;"", VLOOKUP(A4267, imdb_netflix_v5!A$2:H$7370, 7, FALSE), "")</f>
        <v>NA</v>
      </c>
    </row>
    <row r="4268" ht="15.75" customHeight="1">
      <c r="A4268" s="1" t="str">
        <f>IFERROR(__xludf.DUMMYFUNCTION("""COMPUTED_VALUE"""),"20th century girl")</f>
        <v>20th century girl</v>
      </c>
      <c r="B4268" s="1" t="str">
        <f>IF(A4268&lt;&gt;"", VLOOKUP(A4268, imdb_netflix_v5!A$2:H$7370, 2, FALSE), "")</f>
        <v>Movie</v>
      </c>
      <c r="C4268" s="2" t="str">
        <f>IF(A4268&lt;&gt;"", VLOOKUP(A4268, imdb_netflix_v5!A$2:H$7370, 3, FALSE), "")</f>
        <v>Drama, Romance</v>
      </c>
      <c r="D4268" s="2">
        <f>IF(A4268&lt;&gt;"", VLOOKUP(A4268, imdb_netflix_v5!A$2:H$7370, 4, FALSE), "")</f>
        <v>7.4</v>
      </c>
      <c r="E4268" s="2">
        <f>IF(A4268&lt;&gt;"", VLOOKUP(A4268, imdb_netflix_v5!A$2:H$7370, 5, FALSE), "")</f>
        <v>2022</v>
      </c>
      <c r="F4268" s="2">
        <f>IF(A4268&lt;&gt;"", VLOOKUP(A4268, imdb_netflix_v5!A$2:H$7370, 7, FALSE), "")</f>
        <v>3060000</v>
      </c>
    </row>
    <row r="4269" ht="15.75" customHeight="1">
      <c r="A4269" s="1" t="str">
        <f>IFERROR(__xludf.DUMMYFUNCTION("""COMPUTED_VALUE"""),"were no angels")</f>
        <v>were no angels</v>
      </c>
      <c r="B4269" s="1" t="str">
        <f>IF(A4269&lt;&gt;"", VLOOKUP(A4269, imdb_netflix_v5!A$2:H$7370, 2, FALSE), "")</f>
        <v>Movie</v>
      </c>
      <c r="C4269" s="2" t="str">
        <f>IF(A4269&lt;&gt;"", VLOOKUP(A4269, imdb_netflix_v5!A$2:H$7370, 3, FALSE), "")</f>
        <v>Comedy, Crime, Romance</v>
      </c>
      <c r="D4269" s="2">
        <f>IF(A4269&lt;&gt;"", VLOOKUP(A4269, imdb_netflix_v5!A$2:H$7370, 4, FALSE), "")</f>
        <v>7.4</v>
      </c>
      <c r="E4269" s="2">
        <f>IF(A4269&lt;&gt;"", VLOOKUP(A4269, imdb_netflix_v5!A$2:H$7370, 5, FALSE), "")</f>
        <v>1955</v>
      </c>
      <c r="F4269" s="2" t="str">
        <f>IF(A4269&lt;&gt;"", VLOOKUP(A4269, imdb_netflix_v5!A$2:H$7370, 7, FALSE), "")</f>
        <v>NA</v>
      </c>
    </row>
    <row r="4270" ht="15.75" customHeight="1">
      <c r="A4270" s="1" t="str">
        <f>IFERROR(__xludf.DUMMYFUNCTION("""COMPUTED_VALUE"""),"that sugar film")</f>
        <v>that sugar film</v>
      </c>
      <c r="B4270" s="1" t="str">
        <f>IF(A4270&lt;&gt;"", VLOOKUP(A4270, imdb_netflix_v5!A$2:H$7370, 2, FALSE), "")</f>
        <v>Movie</v>
      </c>
      <c r="C4270" s="2" t="str">
        <f>IF(A4270&lt;&gt;"", VLOOKUP(A4270, imdb_netflix_v5!A$2:H$7370, 3, FALSE), "")</f>
        <v>Documentary</v>
      </c>
      <c r="D4270" s="2">
        <f>IF(A4270&lt;&gt;"", VLOOKUP(A4270, imdb_netflix_v5!A$2:H$7370, 4, FALSE), "")</f>
        <v>7.4</v>
      </c>
      <c r="E4270" s="2">
        <f>IF(A4270&lt;&gt;"", VLOOKUP(A4270, imdb_netflix_v5!A$2:H$7370, 5, FALSE), "")</f>
        <v>2014</v>
      </c>
      <c r="F4270" s="2" t="str">
        <f>IF(A4270&lt;&gt;"", VLOOKUP(A4270, imdb_netflix_v5!A$2:H$7370, 7, FALSE), "")</f>
        <v>NA</v>
      </c>
    </row>
    <row r="4271" ht="15.75" customHeight="1">
      <c r="A4271" s="1" t="str">
        <f>IFERROR(__xludf.DUMMYFUNCTION("""COMPUTED_VALUE"""),"ryans daughter")</f>
        <v>ryans daughter</v>
      </c>
      <c r="B4271" s="1" t="str">
        <f>IF(A4271&lt;&gt;"", VLOOKUP(A4271, imdb_netflix_v5!A$2:H$7370, 2, FALSE), "")</f>
        <v>Movie</v>
      </c>
      <c r="C4271" s="2" t="str">
        <f>IF(A4271&lt;&gt;"", VLOOKUP(A4271, imdb_netflix_v5!A$2:H$7370, 3, FALSE), "")</f>
        <v>Drama, Romance</v>
      </c>
      <c r="D4271" s="2">
        <f>IF(A4271&lt;&gt;"", VLOOKUP(A4271, imdb_netflix_v5!A$2:H$7370, 4, FALSE), "")</f>
        <v>7.4</v>
      </c>
      <c r="E4271" s="2">
        <f>IF(A4271&lt;&gt;"", VLOOKUP(A4271, imdb_netflix_v5!A$2:H$7370, 5, FALSE), "")</f>
        <v>1970</v>
      </c>
      <c r="F4271" s="2" t="str">
        <f>IF(A4271&lt;&gt;"", VLOOKUP(A4271, imdb_netflix_v5!A$2:H$7370, 7, FALSE), "")</f>
        <v>NA</v>
      </c>
    </row>
    <row r="4272" ht="15.75" customHeight="1">
      <c r="A4272" s="1" t="str">
        <f>IFERROR(__xludf.DUMMYFUNCTION("""COMPUTED_VALUE"""),"this gun for hire")</f>
        <v>this gun for hire</v>
      </c>
      <c r="B4272" s="1" t="str">
        <f>IF(A4272&lt;&gt;"", VLOOKUP(A4272, imdb_netflix_v5!A$2:H$7370, 2, FALSE), "")</f>
        <v>Movie</v>
      </c>
      <c r="C4272" s="2" t="str">
        <f>IF(A4272&lt;&gt;"", VLOOKUP(A4272, imdb_netflix_v5!A$2:H$7370, 3, FALSE), "")</f>
        <v>Crime, Drama, Film-Noir</v>
      </c>
      <c r="D4272" s="2">
        <f>IF(A4272&lt;&gt;"", VLOOKUP(A4272, imdb_netflix_v5!A$2:H$7370, 4, FALSE), "")</f>
        <v>7.4</v>
      </c>
      <c r="E4272" s="2">
        <f>IF(A4272&lt;&gt;"", VLOOKUP(A4272, imdb_netflix_v5!A$2:H$7370, 5, FALSE), "")</f>
        <v>1942</v>
      </c>
      <c r="F4272" s="2" t="str">
        <f>IF(A4272&lt;&gt;"", VLOOKUP(A4272, imdb_netflix_v5!A$2:H$7370, 7, FALSE), "")</f>
        <v>NA</v>
      </c>
    </row>
    <row r="4273" ht="15.75" customHeight="1">
      <c r="A4273" s="1" t="str">
        <f>IFERROR(__xludf.DUMMYFUNCTION("""COMPUTED_VALUE"""),"bed &amp; board")</f>
        <v>bed &amp; board</v>
      </c>
      <c r="B4273" s="1" t="str">
        <f>IF(A4273&lt;&gt;"", VLOOKUP(A4273, imdb_netflix_v5!A$2:H$7370, 2, FALSE), "")</f>
        <v>Movie</v>
      </c>
      <c r="C4273" s="2" t="str">
        <f>IF(A4273&lt;&gt;"", VLOOKUP(A4273, imdb_netflix_v5!A$2:H$7370, 3, FALSE), "")</f>
        <v>Comedy, Drama, Romance</v>
      </c>
      <c r="D4273" s="2">
        <f>IF(A4273&lt;&gt;"", VLOOKUP(A4273, imdb_netflix_v5!A$2:H$7370, 4, FALSE), "")</f>
        <v>7.4</v>
      </c>
      <c r="E4273" s="2">
        <f>IF(A4273&lt;&gt;"", VLOOKUP(A4273, imdb_netflix_v5!A$2:H$7370, 5, FALSE), "")</f>
        <v>1970</v>
      </c>
      <c r="F4273" s="2" t="str">
        <f>IF(A4273&lt;&gt;"", VLOOKUP(A4273, imdb_netflix_v5!A$2:H$7370, 7, FALSE), "")</f>
        <v>NA</v>
      </c>
    </row>
    <row r="4274" ht="15.75" customHeight="1">
      <c r="A4274" s="1" t="str">
        <f>IFERROR(__xludf.DUMMYFUNCTION("""COMPUTED_VALUE"""),"parades end")</f>
        <v>parades end</v>
      </c>
      <c r="B4274" s="1" t="str">
        <f>IF(A4274&lt;&gt;"", VLOOKUP(A4274, imdb_netflix_v5!A$2:H$7370, 2, FALSE), "")</f>
        <v>TV Show</v>
      </c>
      <c r="C4274" s="2" t="str">
        <f>IF(A4274&lt;&gt;"", VLOOKUP(A4274, imdb_netflix_v5!A$2:H$7370, 3, FALSE), "")</f>
        <v>Action, Drama, Romance</v>
      </c>
      <c r="D4274" s="2">
        <f>IF(A4274&lt;&gt;"", VLOOKUP(A4274, imdb_netflix_v5!A$2:H$7370, 4, FALSE), "")</f>
        <v>7.4</v>
      </c>
      <c r="E4274" s="2">
        <f>IF(A4274&lt;&gt;"", VLOOKUP(A4274, imdb_netflix_v5!A$2:H$7370, 5, FALSE), "")</f>
        <v>2012</v>
      </c>
      <c r="F4274" s="2" t="str">
        <f>IF(A4274&lt;&gt;"", VLOOKUP(A4274, imdb_netflix_v5!A$2:H$7370, 7, FALSE), "")</f>
        <v>NA</v>
      </c>
    </row>
    <row r="4275" ht="15.75" customHeight="1">
      <c r="A4275" s="1" t="str">
        <f>IFERROR(__xludf.DUMMYFUNCTION("""COMPUTED_VALUE"""),"call northside 777")</f>
        <v>call northside 777</v>
      </c>
      <c r="B4275" s="1" t="str">
        <f>IF(A4275&lt;&gt;"", VLOOKUP(A4275, imdb_netflix_v5!A$2:H$7370, 2, FALSE), "")</f>
        <v>Movie</v>
      </c>
      <c r="C4275" s="2" t="str">
        <f>IF(A4275&lt;&gt;"", VLOOKUP(A4275, imdb_netflix_v5!A$2:H$7370, 3, FALSE), "")</f>
        <v>Drama, Film-Noir</v>
      </c>
      <c r="D4275" s="2">
        <f>IF(A4275&lt;&gt;"", VLOOKUP(A4275, imdb_netflix_v5!A$2:H$7370, 4, FALSE), "")</f>
        <v>7.4</v>
      </c>
      <c r="E4275" s="2">
        <f>IF(A4275&lt;&gt;"", VLOOKUP(A4275, imdb_netflix_v5!A$2:H$7370, 5, FALSE), "")</f>
        <v>1948</v>
      </c>
      <c r="F4275" s="2" t="str">
        <f>IF(A4275&lt;&gt;"", VLOOKUP(A4275, imdb_netflix_v5!A$2:H$7370, 7, FALSE), "")</f>
        <v>NA</v>
      </c>
    </row>
    <row r="4276" ht="15.75" customHeight="1">
      <c r="A4276" s="1" t="str">
        <f>IFERROR(__xludf.DUMMYFUNCTION("""COMPUTED_VALUE"""),"impulse")</f>
        <v>impulse</v>
      </c>
      <c r="B4276" s="1" t="str">
        <f>IF(A4276&lt;&gt;"", VLOOKUP(A4276, imdb_netflix_v5!A$2:H$7370, 2, FALSE), "")</f>
        <v>TV Show</v>
      </c>
      <c r="C4276" s="2" t="str">
        <f>IF(A4276&lt;&gt;"", VLOOKUP(A4276, imdb_netflix_v5!A$2:H$7370, 3, FALSE), "")</f>
        <v>Action, Drama, Mystery</v>
      </c>
      <c r="D4276" s="2">
        <f>IF(A4276&lt;&gt;"", VLOOKUP(A4276, imdb_netflix_v5!A$2:H$7370, 4, FALSE), "")</f>
        <v>7.4</v>
      </c>
      <c r="E4276" s="2">
        <f>IF(A4276&lt;&gt;"", VLOOKUP(A4276, imdb_netflix_v5!A$2:H$7370, 5, FALSE), "")</f>
        <v>2018</v>
      </c>
      <c r="F4276" s="2" t="str">
        <f>IF(A4276&lt;&gt;"", VLOOKUP(A4276, imdb_netflix_v5!A$2:H$7370, 7, FALSE), "")</f>
        <v>NA</v>
      </c>
    </row>
    <row r="4277" ht="15.75" customHeight="1">
      <c r="A4277" s="1" t="str">
        <f>IFERROR(__xludf.DUMMYFUNCTION("""COMPUTED_VALUE"""),"an honest liar")</f>
        <v>an honest liar</v>
      </c>
      <c r="B4277" s="1" t="str">
        <f>IF(A4277&lt;&gt;"", VLOOKUP(A4277, imdb_netflix_v5!A$2:H$7370, 2, FALSE), "")</f>
        <v>Movie</v>
      </c>
      <c r="C4277" s="2" t="str">
        <f>IF(A4277&lt;&gt;"", VLOOKUP(A4277, imdb_netflix_v5!A$2:H$7370, 3, FALSE), "")</f>
        <v>Biography, Comedy, Documentary</v>
      </c>
      <c r="D4277" s="2">
        <f>IF(A4277&lt;&gt;"", VLOOKUP(A4277, imdb_netflix_v5!A$2:H$7370, 4, FALSE), "")</f>
        <v>7.4</v>
      </c>
      <c r="E4277" s="2">
        <f>IF(A4277&lt;&gt;"", VLOOKUP(A4277, imdb_netflix_v5!A$2:H$7370, 5, FALSE), "")</f>
        <v>2014</v>
      </c>
      <c r="F4277" s="2" t="str">
        <f>IF(A4277&lt;&gt;"", VLOOKUP(A4277, imdb_netflix_v5!A$2:H$7370, 7, FALSE), "")</f>
        <v>NA</v>
      </c>
    </row>
    <row r="4278" ht="15.75" customHeight="1">
      <c r="A4278" s="1" t="str">
        <f>IFERROR(__xludf.DUMMYFUNCTION("""COMPUTED_VALUE"""),"fortress of war")</f>
        <v>fortress of war</v>
      </c>
      <c r="B4278" s="1" t="str">
        <f>IF(A4278&lt;&gt;"", VLOOKUP(A4278, imdb_netflix_v5!A$2:H$7370, 2, FALSE), "")</f>
        <v>Movie</v>
      </c>
      <c r="C4278" s="2" t="str">
        <f>IF(A4278&lt;&gt;"", VLOOKUP(A4278, imdb_netflix_v5!A$2:H$7370, 3, FALSE), "")</f>
        <v>Action, Drama, War</v>
      </c>
      <c r="D4278" s="2">
        <f>IF(A4278&lt;&gt;"", VLOOKUP(A4278, imdb_netflix_v5!A$2:H$7370, 4, FALSE), "")</f>
        <v>7.4</v>
      </c>
      <c r="E4278" s="2">
        <f>IF(A4278&lt;&gt;"", VLOOKUP(A4278, imdb_netflix_v5!A$2:H$7370, 5, FALSE), "")</f>
        <v>2010</v>
      </c>
      <c r="F4278" s="2" t="str">
        <f>IF(A4278&lt;&gt;"", VLOOKUP(A4278, imdb_netflix_v5!A$2:H$7370, 7, FALSE), "")</f>
        <v>NA</v>
      </c>
    </row>
    <row r="4279" ht="15.75" customHeight="1">
      <c r="A4279" s="1" t="str">
        <f>IFERROR(__xludf.DUMMYFUNCTION("""COMPUTED_VALUE"""),"rangeela")</f>
        <v>rangeela</v>
      </c>
      <c r="B4279" s="1" t="str">
        <f>IF(A4279&lt;&gt;"", VLOOKUP(A4279, imdb_netflix_v5!A$2:H$7370, 2, FALSE), "")</f>
        <v>Movie</v>
      </c>
      <c r="C4279" s="2" t="str">
        <f>IF(A4279&lt;&gt;"", VLOOKUP(A4279, imdb_netflix_v5!A$2:H$7370, 3, FALSE), "")</f>
        <v>Comedy, Drama, Musical</v>
      </c>
      <c r="D4279" s="2">
        <f>IF(A4279&lt;&gt;"", VLOOKUP(A4279, imdb_netflix_v5!A$2:H$7370, 4, FALSE), "")</f>
        <v>7.4</v>
      </c>
      <c r="E4279" s="2">
        <f>IF(A4279&lt;&gt;"", VLOOKUP(A4279, imdb_netflix_v5!A$2:H$7370, 5, FALSE), "")</f>
        <v>1995</v>
      </c>
      <c r="F4279" s="2" t="str">
        <f>IF(A4279&lt;&gt;"", VLOOKUP(A4279, imdb_netflix_v5!A$2:H$7370, 7, FALSE), "")</f>
        <v>NA</v>
      </c>
    </row>
    <row r="4280" ht="15.75" customHeight="1">
      <c r="A4280" s="1" t="str">
        <f>IFERROR(__xludf.DUMMYFUNCTION("""COMPUTED_VALUE"""),"the confession killer")</f>
        <v>the confession killer</v>
      </c>
      <c r="B4280" s="1" t="str">
        <f>IF(A4280&lt;&gt;"", VLOOKUP(A4280, imdb_netflix_v5!A$2:H$7370, 2, FALSE), "")</f>
        <v>TV Show</v>
      </c>
      <c r="C4280" s="2" t="str">
        <f>IF(A4280&lt;&gt;"", VLOOKUP(A4280, imdb_netflix_v5!A$2:H$7370, 3, FALSE), "")</f>
        <v>Crime, Documentary</v>
      </c>
      <c r="D4280" s="2">
        <f>IF(A4280&lt;&gt;"", VLOOKUP(A4280, imdb_netflix_v5!A$2:H$7370, 4, FALSE), "")</f>
        <v>7.4</v>
      </c>
      <c r="E4280" s="2">
        <f>IF(A4280&lt;&gt;"", VLOOKUP(A4280, imdb_netflix_v5!A$2:H$7370, 5, FALSE), "")</f>
        <v>2019</v>
      </c>
      <c r="F4280" s="2" t="str">
        <f>IF(A4280&lt;&gt;"", VLOOKUP(A4280, imdb_netflix_v5!A$2:H$7370, 7, FALSE), "")</f>
        <v>NA</v>
      </c>
    </row>
    <row r="4281" ht="15.75" customHeight="1">
      <c r="A4281" s="1" t="str">
        <f>IFERROR(__xludf.DUMMYFUNCTION("""COMPUTED_VALUE"""),"the cuphead show!")</f>
        <v>the cuphead show!</v>
      </c>
      <c r="B4281" s="1" t="str">
        <f>IF(A4281&lt;&gt;"", VLOOKUP(A4281, imdb_netflix_v5!A$2:H$7370, 2, FALSE), "")</f>
        <v>TV Show</v>
      </c>
      <c r="C4281" s="2" t="str">
        <f>IF(A4281&lt;&gt;"", VLOOKUP(A4281, imdb_netflix_v5!A$2:H$7370, 3, FALSE), "")</f>
        <v>Action, Adventure, Animation</v>
      </c>
      <c r="D4281" s="2">
        <f>IF(A4281&lt;&gt;"", VLOOKUP(A4281, imdb_netflix_v5!A$2:H$7370, 4, FALSE), "")</f>
        <v>7.4</v>
      </c>
      <c r="E4281" s="2">
        <f>IF(A4281&lt;&gt;"", VLOOKUP(A4281, imdb_netflix_v5!A$2:H$7370, 5, FALSE), "")</f>
        <v>2022</v>
      </c>
      <c r="F4281" s="2">
        <f>IF(A4281&lt;&gt;"", VLOOKUP(A4281, imdb_netflix_v5!A$2:H$7370, 7, FALSE), "")</f>
        <v>11810000</v>
      </c>
    </row>
    <row r="4282" ht="15.75" customHeight="1">
      <c r="A4282" s="1" t="str">
        <f>IFERROR(__xludf.DUMMYFUNCTION("""COMPUTED_VALUE"""),"london spy")</f>
        <v>london spy</v>
      </c>
      <c r="B4282" s="1" t="str">
        <f>IF(A4282&lt;&gt;"", VLOOKUP(A4282, imdb_netflix_v5!A$2:H$7370, 2, FALSE), "")</f>
        <v>TV Show</v>
      </c>
      <c r="C4282" s="2" t="str">
        <f>IF(A4282&lt;&gt;"", VLOOKUP(A4282, imdb_netflix_v5!A$2:H$7370, 3, FALSE), "")</f>
        <v>Crime, Drama, Mystery</v>
      </c>
      <c r="D4282" s="2">
        <f>IF(A4282&lt;&gt;"", VLOOKUP(A4282, imdb_netflix_v5!A$2:H$7370, 4, FALSE), "")</f>
        <v>7.4</v>
      </c>
      <c r="E4282" s="2">
        <f>IF(A4282&lt;&gt;"", VLOOKUP(A4282, imdb_netflix_v5!A$2:H$7370, 5, FALSE), "")</f>
        <v>2015</v>
      </c>
      <c r="F4282" s="2" t="str">
        <f>IF(A4282&lt;&gt;"", VLOOKUP(A4282, imdb_netflix_v5!A$2:H$7370, 7, FALSE), "")</f>
        <v>NA</v>
      </c>
    </row>
    <row r="4283" ht="15.75" customHeight="1">
      <c r="A4283" s="1" t="str">
        <f>IFERROR(__xludf.DUMMYFUNCTION("""COMPUTED_VALUE"""),"straight time")</f>
        <v>straight time</v>
      </c>
      <c r="B4283" s="1" t="str">
        <f>IF(A4283&lt;&gt;"", VLOOKUP(A4283, imdb_netflix_v5!A$2:H$7370, 2, FALSE), "")</f>
        <v>Movie</v>
      </c>
      <c r="C4283" s="2" t="str">
        <f>IF(A4283&lt;&gt;"", VLOOKUP(A4283, imdb_netflix_v5!A$2:H$7370, 3, FALSE), "")</f>
        <v>Crime, Drama</v>
      </c>
      <c r="D4283" s="2">
        <f>IF(A4283&lt;&gt;"", VLOOKUP(A4283, imdb_netflix_v5!A$2:H$7370, 4, FALSE), "")</f>
        <v>7.4</v>
      </c>
      <c r="E4283" s="2">
        <f>IF(A4283&lt;&gt;"", VLOOKUP(A4283, imdb_netflix_v5!A$2:H$7370, 5, FALSE), "")</f>
        <v>1978</v>
      </c>
      <c r="F4283" s="2" t="str">
        <f>IF(A4283&lt;&gt;"", VLOOKUP(A4283, imdb_netflix_v5!A$2:H$7370, 7, FALSE), "")</f>
        <v>NA</v>
      </c>
    </row>
    <row r="4284" ht="15.75" customHeight="1">
      <c r="A4284" s="1" t="str">
        <f>IFERROR(__xludf.DUMMYFUNCTION("""COMPUTED_VALUE"""),"csi vegas")</f>
        <v>csi vegas</v>
      </c>
      <c r="B4284" s="1" t="str">
        <f>IF(A4284&lt;&gt;"", VLOOKUP(A4284, imdb_netflix_v5!A$2:H$7370, 2, FALSE), "")</f>
        <v>TV Show</v>
      </c>
      <c r="C4284" s="2" t="str">
        <f>IF(A4284&lt;&gt;"", VLOOKUP(A4284, imdb_netflix_v5!A$2:H$7370, 3, FALSE), "")</f>
        <v>Crime, Drama, Mystery</v>
      </c>
      <c r="D4284" s="2">
        <f>IF(A4284&lt;&gt;"", VLOOKUP(A4284, imdb_netflix_v5!A$2:H$7370, 4, FALSE), "")</f>
        <v>7.4</v>
      </c>
      <c r="E4284" s="2">
        <f>IF(A4284&lt;&gt;"", VLOOKUP(A4284, imdb_netflix_v5!A$2:H$7370, 5, FALSE), "")</f>
        <v>2021</v>
      </c>
      <c r="F4284" s="2" t="str">
        <f>IF(A4284&lt;&gt;"", VLOOKUP(A4284, imdb_netflix_v5!A$2:H$7370, 7, FALSE), "")</f>
        <v>NA</v>
      </c>
    </row>
    <row r="4285" ht="15.75" customHeight="1">
      <c r="A4285" s="1" t="str">
        <f>IFERROR(__xludf.DUMMYFUNCTION("""COMPUTED_VALUE"""),"i know where im going!")</f>
        <v>i know where im going!</v>
      </c>
      <c r="B4285" s="1" t="str">
        <f>IF(A4285&lt;&gt;"", VLOOKUP(A4285, imdb_netflix_v5!A$2:H$7370, 2, FALSE), "")</f>
        <v>Movie</v>
      </c>
      <c r="C4285" s="2" t="str">
        <f>IF(A4285&lt;&gt;"", VLOOKUP(A4285, imdb_netflix_v5!A$2:H$7370, 3, FALSE), "")</f>
        <v>Drama, Romance</v>
      </c>
      <c r="D4285" s="2">
        <f>IF(A4285&lt;&gt;"", VLOOKUP(A4285, imdb_netflix_v5!A$2:H$7370, 4, FALSE), "")</f>
        <v>7.4</v>
      </c>
      <c r="E4285" s="2">
        <f>IF(A4285&lt;&gt;"", VLOOKUP(A4285, imdb_netflix_v5!A$2:H$7370, 5, FALSE), "")</f>
        <v>1945</v>
      </c>
      <c r="F4285" s="2" t="str">
        <f>IF(A4285&lt;&gt;"", VLOOKUP(A4285, imdb_netflix_v5!A$2:H$7370, 7, FALSE), "")</f>
        <v>NA</v>
      </c>
    </row>
    <row r="4286" ht="15.75" customHeight="1">
      <c r="A4286" s="1" t="str">
        <f>IFERROR(__xludf.DUMMYFUNCTION("""COMPUTED_VALUE"""),"survive style 5+")</f>
        <v>survive style 5+</v>
      </c>
      <c r="B4286" s="1" t="str">
        <f>IF(A4286&lt;&gt;"", VLOOKUP(A4286, imdb_netflix_v5!A$2:H$7370, 2, FALSE), "")</f>
        <v>Movie</v>
      </c>
      <c r="C4286" s="2" t="str">
        <f>IF(A4286&lt;&gt;"", VLOOKUP(A4286, imdb_netflix_v5!A$2:H$7370, 3, FALSE), "")</f>
        <v>Comedy, Fantasy, Horror</v>
      </c>
      <c r="D4286" s="2">
        <f>IF(A4286&lt;&gt;"", VLOOKUP(A4286, imdb_netflix_v5!A$2:H$7370, 4, FALSE), "")</f>
        <v>7.4</v>
      </c>
      <c r="E4286" s="2">
        <f>IF(A4286&lt;&gt;"", VLOOKUP(A4286, imdb_netflix_v5!A$2:H$7370, 5, FALSE), "")</f>
        <v>2004</v>
      </c>
      <c r="F4286" s="2" t="str">
        <f>IF(A4286&lt;&gt;"", VLOOKUP(A4286, imdb_netflix_v5!A$2:H$7370, 7, FALSE), "")</f>
        <v>NA</v>
      </c>
    </row>
    <row r="4287" ht="15.75" customHeight="1">
      <c r="A4287" s="1" t="str">
        <f>IFERROR(__xludf.DUMMYFUNCTION("""COMPUTED_VALUE"""),"the damned")</f>
        <v>the damned</v>
      </c>
      <c r="B4287" s="1" t="str">
        <f>IF(A4287&lt;&gt;"", VLOOKUP(A4287, imdb_netflix_v5!A$2:H$7370, 2, FALSE), "")</f>
        <v>Movie</v>
      </c>
      <c r="C4287" s="2" t="str">
        <f>IF(A4287&lt;&gt;"", VLOOKUP(A4287, imdb_netflix_v5!A$2:H$7370, 3, FALSE), "")</f>
        <v>Drama, War</v>
      </c>
      <c r="D4287" s="2">
        <f>IF(A4287&lt;&gt;"", VLOOKUP(A4287, imdb_netflix_v5!A$2:H$7370, 4, FALSE), "")</f>
        <v>7.4</v>
      </c>
      <c r="E4287" s="2">
        <f>IF(A4287&lt;&gt;"", VLOOKUP(A4287, imdb_netflix_v5!A$2:H$7370, 5, FALSE), "")</f>
        <v>1969</v>
      </c>
      <c r="F4287" s="2" t="str">
        <f>IF(A4287&lt;&gt;"", VLOOKUP(A4287, imdb_netflix_v5!A$2:H$7370, 7, FALSE), "")</f>
        <v>NA</v>
      </c>
    </row>
    <row r="4288" ht="15.75" customHeight="1">
      <c r="A4288" s="1" t="str">
        <f>IFERROR(__xludf.DUMMYFUNCTION("""COMPUTED_VALUE"""),"maaveeran")</f>
        <v>maaveeran</v>
      </c>
      <c r="B4288" s="1" t="str">
        <f>IF(A4288&lt;&gt;"", VLOOKUP(A4288, imdb_netflix_v5!A$2:H$7370, 2, FALSE), "")</f>
        <v>Movie</v>
      </c>
      <c r="C4288" s="2" t="str">
        <f>IF(A4288&lt;&gt;"", VLOOKUP(A4288, imdb_netflix_v5!A$2:H$7370, 3, FALSE), "")</f>
        <v>Action, Comedy, Drama</v>
      </c>
      <c r="D4288" s="2">
        <f>IF(A4288&lt;&gt;"", VLOOKUP(A4288, imdb_netflix_v5!A$2:H$7370, 4, FALSE), "")</f>
        <v>7.4</v>
      </c>
      <c r="E4288" s="2">
        <f>IF(A4288&lt;&gt;"", VLOOKUP(A4288, imdb_netflix_v5!A$2:H$7370, 5, FALSE), "")</f>
        <v>2023</v>
      </c>
      <c r="F4288" s="2" t="str">
        <f>IF(A4288&lt;&gt;"", VLOOKUP(A4288, imdb_netflix_v5!A$2:H$7370, 7, FALSE), "")</f>
        <v>NA</v>
      </c>
    </row>
    <row r="4289" ht="15.75" customHeight="1">
      <c r="A4289" s="1" t="str">
        <f>IFERROR(__xludf.DUMMYFUNCTION("""COMPUTED_VALUE"""),"deception")</f>
        <v>deception</v>
      </c>
      <c r="B4289" s="1" t="str">
        <f>IF(A4289&lt;&gt;"", VLOOKUP(A4289, imdb_netflix_v5!A$2:H$7370, 2, FALSE), "")</f>
        <v>TV Show</v>
      </c>
      <c r="C4289" s="2" t="str">
        <f>IF(A4289&lt;&gt;"", VLOOKUP(A4289, imdb_netflix_v5!A$2:H$7370, 3, FALSE), "")</f>
        <v>Crime, Drama, Mystery</v>
      </c>
      <c r="D4289" s="2">
        <f>IF(A4289&lt;&gt;"", VLOOKUP(A4289, imdb_netflix_v5!A$2:H$7370, 4, FALSE), "")</f>
        <v>7.4</v>
      </c>
      <c r="E4289" s="2">
        <f>IF(A4289&lt;&gt;"", VLOOKUP(A4289, imdb_netflix_v5!A$2:H$7370, 5, FALSE), "")</f>
        <v>2018</v>
      </c>
      <c r="F4289" s="2" t="str">
        <f>IF(A4289&lt;&gt;"", VLOOKUP(A4289, imdb_netflix_v5!A$2:H$7370, 7, FALSE), "")</f>
        <v>NA</v>
      </c>
    </row>
    <row r="4290" ht="15.75" customHeight="1">
      <c r="A4290" s="1" t="str">
        <f>IFERROR(__xludf.DUMMYFUNCTION("""COMPUTED_VALUE"""),"secret city")</f>
        <v>secret city</v>
      </c>
      <c r="B4290" s="1" t="str">
        <f>IF(A4290&lt;&gt;"", VLOOKUP(A4290, imdb_netflix_v5!A$2:H$7370, 2, FALSE), "")</f>
        <v>TV Show</v>
      </c>
      <c r="C4290" s="2" t="str">
        <f>IF(A4290&lt;&gt;"", VLOOKUP(A4290, imdb_netflix_v5!A$2:H$7370, 3, FALSE), "")</f>
        <v>Mystery, Thriller</v>
      </c>
      <c r="D4290" s="2">
        <f>IF(A4290&lt;&gt;"", VLOOKUP(A4290, imdb_netflix_v5!A$2:H$7370, 4, FALSE), "")</f>
        <v>7.4</v>
      </c>
      <c r="E4290" s="2">
        <f>IF(A4290&lt;&gt;"", VLOOKUP(A4290, imdb_netflix_v5!A$2:H$7370, 5, FALSE), "")</f>
        <v>2016</v>
      </c>
      <c r="F4290" s="2" t="str">
        <f>IF(A4290&lt;&gt;"", VLOOKUP(A4290, imdb_netflix_v5!A$2:H$7370, 7, FALSE), "")</f>
        <v>NA</v>
      </c>
    </row>
    <row r="4291" ht="15.75" customHeight="1">
      <c r="A4291" s="1" t="str">
        <f>IFERROR(__xludf.DUMMYFUNCTION("""COMPUTED_VALUE"""),"the secret of roan inish")</f>
        <v>the secret of roan inish</v>
      </c>
      <c r="B4291" s="1" t="str">
        <f>IF(A4291&lt;&gt;"", VLOOKUP(A4291, imdb_netflix_v5!A$2:H$7370, 2, FALSE), "")</f>
        <v>Movie</v>
      </c>
      <c r="C4291" s="2" t="str">
        <f>IF(A4291&lt;&gt;"", VLOOKUP(A4291, imdb_netflix_v5!A$2:H$7370, 3, FALSE), "")</f>
        <v>Drama, Family, Fantasy</v>
      </c>
      <c r="D4291" s="2">
        <f>IF(A4291&lt;&gt;"", VLOOKUP(A4291, imdb_netflix_v5!A$2:H$7370, 4, FALSE), "")</f>
        <v>7.4</v>
      </c>
      <c r="E4291" s="2">
        <f>IF(A4291&lt;&gt;"", VLOOKUP(A4291, imdb_netflix_v5!A$2:H$7370, 5, FALSE), "")</f>
        <v>1994</v>
      </c>
      <c r="F4291" s="2" t="str">
        <f>IF(A4291&lt;&gt;"", VLOOKUP(A4291, imdb_netflix_v5!A$2:H$7370, 7, FALSE), "")</f>
        <v>NA</v>
      </c>
    </row>
    <row r="4292" ht="15.75" customHeight="1">
      <c r="A4292" s="1" t="str">
        <f>IFERROR(__xludf.DUMMYFUNCTION("""COMPUTED_VALUE"""),"zom 100 bucket list of the dead")</f>
        <v>zom 100 bucket list of the dead</v>
      </c>
      <c r="B4292" s="1" t="str">
        <f>IF(A4292&lt;&gt;"", VLOOKUP(A4292, imdb_netflix_v5!A$2:H$7370, 2, FALSE), "")</f>
        <v>TV Show</v>
      </c>
      <c r="C4292" s="2" t="str">
        <f>IF(A4292&lt;&gt;"", VLOOKUP(A4292, imdb_netflix_v5!A$2:H$7370, 3, FALSE), "")</f>
        <v>Action, Adventure, Animation</v>
      </c>
      <c r="D4292" s="2">
        <f>IF(A4292&lt;&gt;"", VLOOKUP(A4292, imdb_netflix_v5!A$2:H$7370, 4, FALSE), "")</f>
        <v>7.4</v>
      </c>
      <c r="E4292" s="2">
        <f>IF(A4292&lt;&gt;"", VLOOKUP(A4292, imdb_netflix_v5!A$2:H$7370, 5, FALSE), "")</f>
        <v>2023</v>
      </c>
      <c r="F4292" s="3">
        <f>IF(A4292&lt;&gt;"", VLOOKUP(A4292, imdb_netflix_v5!A$2:H$7370, 7, FALSE), "")</f>
        <v>2000000</v>
      </c>
    </row>
    <row r="4293" ht="15.75" customHeight="1">
      <c r="A4293" s="1" t="str">
        <f>IFERROR(__xludf.DUMMYFUNCTION("""COMPUTED_VALUE"""),"blackboard jungle")</f>
        <v>blackboard jungle</v>
      </c>
      <c r="B4293" s="1" t="str">
        <f>IF(A4293&lt;&gt;"", VLOOKUP(A4293, imdb_netflix_v5!A$2:H$7370, 2, FALSE), "")</f>
        <v>Movie</v>
      </c>
      <c r="C4293" s="2" t="str">
        <f>IF(A4293&lt;&gt;"", VLOOKUP(A4293, imdb_netflix_v5!A$2:H$7370, 3, FALSE), "")</f>
        <v>Crime, Drama</v>
      </c>
      <c r="D4293" s="2">
        <f>IF(A4293&lt;&gt;"", VLOOKUP(A4293, imdb_netflix_v5!A$2:H$7370, 4, FALSE), "")</f>
        <v>7.4</v>
      </c>
      <c r="E4293" s="2">
        <f>IF(A4293&lt;&gt;"", VLOOKUP(A4293, imdb_netflix_v5!A$2:H$7370, 5, FALSE), "")</f>
        <v>1955</v>
      </c>
      <c r="F4293" s="2" t="str">
        <f>IF(A4293&lt;&gt;"", VLOOKUP(A4293, imdb_netflix_v5!A$2:H$7370, 7, FALSE), "")</f>
        <v>NA</v>
      </c>
    </row>
    <row r="4294" ht="15.75" customHeight="1">
      <c r="A4294" s="1" t="str">
        <f>IFERROR(__xludf.DUMMYFUNCTION("""COMPUTED_VALUE"""),"a gentleman in moscow")</f>
        <v>a gentleman in moscow</v>
      </c>
      <c r="B4294" s="1" t="str">
        <f>IF(A4294&lt;&gt;"", VLOOKUP(A4294, imdb_netflix_v5!A$2:H$7370, 2, FALSE), "")</f>
        <v>TV Show</v>
      </c>
      <c r="C4294" s="2" t="str">
        <f>IF(A4294&lt;&gt;"", VLOOKUP(A4294, imdb_netflix_v5!A$2:H$7370, 3, FALSE), "")</f>
        <v>Drama, History, Thriller</v>
      </c>
      <c r="D4294" s="2">
        <f>IF(A4294&lt;&gt;"", VLOOKUP(A4294, imdb_netflix_v5!A$2:H$7370, 4, FALSE), "")</f>
        <v>7.4</v>
      </c>
      <c r="E4294" s="2">
        <f>IF(A4294&lt;&gt;"", VLOOKUP(A4294, imdb_netflix_v5!A$2:H$7370, 5, FALSE), "")</f>
        <v>2024</v>
      </c>
      <c r="F4294" s="2" t="str">
        <f>IF(A4294&lt;&gt;"", VLOOKUP(A4294, imdb_netflix_v5!A$2:H$7370, 7, FALSE), "")</f>
        <v>NA</v>
      </c>
    </row>
    <row r="4295" ht="15.75" customHeight="1">
      <c r="A4295" s="1" t="str">
        <f>IFERROR(__xludf.DUMMYFUNCTION("""COMPUTED_VALUE"""),"dragon ball z wrath of the dragon")</f>
        <v>dragon ball z wrath of the dragon</v>
      </c>
      <c r="B4295" s="1" t="str">
        <f>IF(A4295&lt;&gt;"", VLOOKUP(A4295, imdb_netflix_v5!A$2:H$7370, 2, FALSE), "")</f>
        <v>Movie</v>
      </c>
      <c r="C4295" s="2" t="str">
        <f>IF(A4295&lt;&gt;"", VLOOKUP(A4295, imdb_netflix_v5!A$2:H$7370, 3, FALSE), "")</f>
        <v>Action, Animation, Sci-Fi</v>
      </c>
      <c r="D4295" s="2">
        <f>IF(A4295&lt;&gt;"", VLOOKUP(A4295, imdb_netflix_v5!A$2:H$7370, 4, FALSE), "")</f>
        <v>7.4</v>
      </c>
      <c r="E4295" s="2">
        <f>IF(A4295&lt;&gt;"", VLOOKUP(A4295, imdb_netflix_v5!A$2:H$7370, 5, FALSE), "")</f>
        <v>1995</v>
      </c>
      <c r="F4295" s="2" t="str">
        <f>IF(A4295&lt;&gt;"", VLOOKUP(A4295, imdb_netflix_v5!A$2:H$7370, 7, FALSE), "")</f>
        <v>NA</v>
      </c>
    </row>
    <row r="4296" ht="15.75" customHeight="1">
      <c r="A4296" s="1" t="str">
        <f>IFERROR(__xludf.DUMMYFUNCTION("""COMPUTED_VALUE"""),"avengers age of ultron")</f>
        <v>avengers age of ultron</v>
      </c>
      <c r="B4296" s="1" t="str">
        <f>IF(A4296&lt;&gt;"", VLOOKUP(A4296, imdb_netflix_v5!A$2:H$7370, 2, FALSE), "")</f>
        <v>Movie</v>
      </c>
      <c r="C4296" s="2" t="str">
        <f>IF(A4296&lt;&gt;"", VLOOKUP(A4296, imdb_netflix_v5!A$2:H$7370, 3, FALSE), "")</f>
        <v>Action, Adventure, Sci-Fi</v>
      </c>
      <c r="D4296" s="2">
        <f>IF(A4296&lt;&gt;"", VLOOKUP(A4296, imdb_netflix_v5!A$2:H$7370, 4, FALSE), "")</f>
        <v>7.3</v>
      </c>
      <c r="E4296" s="2">
        <f>IF(A4296&lt;&gt;"", VLOOKUP(A4296, imdb_netflix_v5!A$2:H$7370, 5, FALSE), "")</f>
        <v>2015</v>
      </c>
      <c r="F4296" s="2" t="str">
        <f>IF(A4296&lt;&gt;"", VLOOKUP(A4296, imdb_netflix_v5!A$2:H$7370, 7, FALSE), "")</f>
        <v>NA</v>
      </c>
    </row>
    <row r="4297" ht="15.75" customHeight="1">
      <c r="A4297" s="1" t="str">
        <f>IFERROR(__xludf.DUMMYFUNCTION("""COMPUTED_VALUE"""),"black panther")</f>
        <v>black panther</v>
      </c>
      <c r="B4297" s="1" t="str">
        <f>IF(A4297&lt;&gt;"", VLOOKUP(A4297, imdb_netflix_v5!A$2:H$7370, 2, FALSE), "")</f>
        <v>Movie</v>
      </c>
      <c r="C4297" s="2" t="str">
        <f>IF(A4297&lt;&gt;"", VLOOKUP(A4297, imdb_netflix_v5!A$2:H$7370, 3, FALSE), "")</f>
        <v>Action, Adventure, Sci-Fi</v>
      </c>
      <c r="D4297" s="2">
        <f>IF(A4297&lt;&gt;"", VLOOKUP(A4297, imdb_netflix_v5!A$2:H$7370, 4, FALSE), "")</f>
        <v>7.3</v>
      </c>
      <c r="E4297" s="2">
        <f>IF(A4297&lt;&gt;"", VLOOKUP(A4297, imdb_netflix_v5!A$2:H$7370, 5, FALSE), "")</f>
        <v>2018</v>
      </c>
      <c r="F4297" s="2" t="str">
        <f>IF(A4297&lt;&gt;"", VLOOKUP(A4297, imdb_netflix_v5!A$2:H$7370, 7, FALSE), "")</f>
        <v>NA</v>
      </c>
    </row>
    <row r="4298" ht="15.75" customHeight="1">
      <c r="A4298" s="1" t="str">
        <f>IFERROR(__xludf.DUMMYFUNCTION("""COMPUTED_VALUE"""),"wonder woman")</f>
        <v>wonder woman</v>
      </c>
      <c r="B4298" s="1" t="str">
        <f>IF(A4298&lt;&gt;"", VLOOKUP(A4298, imdb_netflix_v5!A$2:H$7370, 2, FALSE), "")</f>
        <v>Movie</v>
      </c>
      <c r="C4298" s="2" t="str">
        <f>IF(A4298&lt;&gt;"", VLOOKUP(A4298, imdb_netflix_v5!A$2:H$7370, 3, FALSE), "")</f>
        <v>Action, Adventure, Fantasy</v>
      </c>
      <c r="D4298" s="2">
        <f>IF(A4298&lt;&gt;"", VLOOKUP(A4298, imdb_netflix_v5!A$2:H$7370, 4, FALSE), "")</f>
        <v>7.3</v>
      </c>
      <c r="E4298" s="2">
        <f>IF(A4298&lt;&gt;"", VLOOKUP(A4298, imdb_netflix_v5!A$2:H$7370, 5, FALSE), "")</f>
        <v>2017</v>
      </c>
      <c r="F4298" s="2" t="str">
        <f>IF(A4298&lt;&gt;"", VLOOKUP(A4298, imdb_netflix_v5!A$2:H$7370, 7, FALSE), "")</f>
        <v>NA</v>
      </c>
    </row>
    <row r="4299" ht="15.75" customHeight="1">
      <c r="A4299" s="1" t="str">
        <f>IFERROR(__xludf.DUMMYFUNCTION("""COMPUTED_VALUE"""),"it")</f>
        <v>it</v>
      </c>
      <c r="B4299" s="1" t="str">
        <f>IF(A4299&lt;&gt;"", VLOOKUP(A4299, imdb_netflix_v5!A$2:H$7370, 2, FALSE), "")</f>
        <v>Movie</v>
      </c>
      <c r="C4299" s="2" t="str">
        <f>IF(A4299&lt;&gt;"", VLOOKUP(A4299, imdb_netflix_v5!A$2:H$7370, 3, FALSE), "")</f>
        <v>Horror</v>
      </c>
      <c r="D4299" s="2">
        <f>IF(A4299&lt;&gt;"", VLOOKUP(A4299, imdb_netflix_v5!A$2:H$7370, 4, FALSE), "")</f>
        <v>7.3</v>
      </c>
      <c r="E4299" s="2">
        <f>IF(A4299&lt;&gt;"", VLOOKUP(A4299, imdb_netflix_v5!A$2:H$7370, 5, FALSE), "")</f>
        <v>2017</v>
      </c>
      <c r="F4299" s="2">
        <f>IF(A4299&lt;&gt;"", VLOOKUP(A4299, imdb_netflix_v5!A$2:H$7370, 7, FALSE), "")</f>
        <v>8350000</v>
      </c>
    </row>
    <row r="4300" ht="15.75" customHeight="1">
      <c r="A4300" s="1" t="str">
        <f>IFERROR(__xludf.DUMMYFUNCTION("""COMPUTED_VALUE"""),"men in black")</f>
        <v>men in black</v>
      </c>
      <c r="B4300" s="1" t="str">
        <f>IF(A4300&lt;&gt;"", VLOOKUP(A4300, imdb_netflix_v5!A$2:H$7370, 2, FALSE), "")</f>
        <v>Movie</v>
      </c>
      <c r="C4300" s="2" t="str">
        <f>IF(A4300&lt;&gt;"", VLOOKUP(A4300, imdb_netflix_v5!A$2:H$7370, 3, FALSE), "")</f>
        <v>Action, Adventure, Comedy</v>
      </c>
      <c r="D4300" s="2">
        <f>IF(A4300&lt;&gt;"", VLOOKUP(A4300, imdb_netflix_v5!A$2:H$7370, 4, FALSE), "")</f>
        <v>7.3</v>
      </c>
      <c r="E4300" s="2">
        <f>IF(A4300&lt;&gt;"", VLOOKUP(A4300, imdb_netflix_v5!A$2:H$7370, 5, FALSE), "")</f>
        <v>1997</v>
      </c>
      <c r="F4300" s="2" t="str">
        <f>IF(A4300&lt;&gt;"", VLOOKUP(A4300, imdb_netflix_v5!A$2:H$7370, 7, FALSE), "")</f>
        <v>NA</v>
      </c>
    </row>
    <row r="4301" ht="15.75" customHeight="1">
      <c r="A4301" s="1" t="str">
        <f>IFERROR(__xludf.DUMMYFUNCTION("""COMPUTED_VALUE"""),"tenet")</f>
        <v>tenet</v>
      </c>
      <c r="B4301" s="1" t="str">
        <f>IF(A4301&lt;&gt;"", VLOOKUP(A4301, imdb_netflix_v5!A$2:H$7370, 2, FALSE), "")</f>
        <v>Movie</v>
      </c>
      <c r="C4301" s="2" t="str">
        <f>IF(A4301&lt;&gt;"", VLOOKUP(A4301, imdb_netflix_v5!A$2:H$7370, 3, FALSE), "")</f>
        <v>Action, Sci-Fi, Thriller</v>
      </c>
      <c r="D4301" s="2">
        <f>IF(A4301&lt;&gt;"", VLOOKUP(A4301, imdb_netflix_v5!A$2:H$7370, 4, FALSE), "")</f>
        <v>7.3</v>
      </c>
      <c r="E4301" s="2">
        <f>IF(A4301&lt;&gt;"", VLOOKUP(A4301, imdb_netflix_v5!A$2:H$7370, 5, FALSE), "")</f>
        <v>2020</v>
      </c>
      <c r="F4301" s="2" t="str">
        <f>IF(A4301&lt;&gt;"", VLOOKUP(A4301, imdb_netflix_v5!A$2:H$7370, 7, FALSE), "")</f>
        <v>NA</v>
      </c>
    </row>
    <row r="4302" ht="15.75" customHeight="1">
      <c r="A4302" s="1" t="str">
        <f>IFERROR(__xludf.DUMMYFUNCTION("""COMPUTED_VALUE"""),"troy")</f>
        <v>troy</v>
      </c>
      <c r="B4302" s="1" t="str">
        <f>IF(A4302&lt;&gt;"", VLOOKUP(A4302, imdb_netflix_v5!A$2:H$7370, 2, FALSE), "")</f>
        <v>Movie</v>
      </c>
      <c r="C4302" s="2" t="str">
        <f>IF(A4302&lt;&gt;"", VLOOKUP(A4302, imdb_netflix_v5!A$2:H$7370, 3, FALSE), "")</f>
        <v>Adventure, Drama</v>
      </c>
      <c r="D4302" s="2">
        <f>IF(A4302&lt;&gt;"", VLOOKUP(A4302, imdb_netflix_v5!A$2:H$7370, 4, FALSE), "")</f>
        <v>7.3</v>
      </c>
      <c r="E4302" s="2">
        <f>IF(A4302&lt;&gt;"", VLOOKUP(A4302, imdb_netflix_v5!A$2:H$7370, 5, FALSE), "")</f>
        <v>2004</v>
      </c>
      <c r="F4302" s="2" t="str">
        <f>IF(A4302&lt;&gt;"", VLOOKUP(A4302, imdb_netflix_v5!A$2:H$7370, 7, FALSE), "")</f>
        <v>NA</v>
      </c>
    </row>
    <row r="4303" ht="15.75" customHeight="1">
      <c r="A4303" s="1" t="str">
        <f>IFERROR(__xludf.DUMMYFUNCTION("""COMPUTED_VALUE"""),"split")</f>
        <v>split</v>
      </c>
      <c r="B4303" s="1" t="str">
        <f>IF(A4303&lt;&gt;"", VLOOKUP(A4303, imdb_netflix_v5!A$2:H$7370, 2, FALSE), "")</f>
        <v>Movie</v>
      </c>
      <c r="C4303" s="2" t="str">
        <f>IF(A4303&lt;&gt;"", VLOOKUP(A4303, imdb_netflix_v5!A$2:H$7370, 3, FALSE), "")</f>
        <v>Horror, Thriller</v>
      </c>
      <c r="D4303" s="2">
        <f>IF(A4303&lt;&gt;"", VLOOKUP(A4303, imdb_netflix_v5!A$2:H$7370, 4, FALSE), "")</f>
        <v>7.3</v>
      </c>
      <c r="E4303" s="2">
        <f>IF(A4303&lt;&gt;"", VLOOKUP(A4303, imdb_netflix_v5!A$2:H$7370, 5, FALSE), "")</f>
        <v>2016</v>
      </c>
      <c r="F4303" s="2" t="str">
        <f>IF(A4303&lt;&gt;"", VLOOKUP(A4303, imdb_netflix_v5!A$2:H$7370, 7, FALSE), "")</f>
        <v>NA</v>
      </c>
    </row>
    <row r="4304" ht="15.75" customHeight="1">
      <c r="A4304" s="1" t="str">
        <f>IFERROR(__xludf.DUMMYFUNCTION("""COMPUTED_VALUE"""),"american sniper")</f>
        <v>american sniper</v>
      </c>
      <c r="B4304" s="1" t="str">
        <f>IF(A4304&lt;&gt;"", VLOOKUP(A4304, imdb_netflix_v5!A$2:H$7370, 2, FALSE), "")</f>
        <v>Movie</v>
      </c>
      <c r="C4304" s="2" t="str">
        <f>IF(A4304&lt;&gt;"", VLOOKUP(A4304, imdb_netflix_v5!A$2:H$7370, 3, FALSE), "")</f>
        <v>Action, Biography, Drama</v>
      </c>
      <c r="D4304" s="2">
        <f>IF(A4304&lt;&gt;"", VLOOKUP(A4304, imdb_netflix_v5!A$2:H$7370, 4, FALSE), "")</f>
        <v>7.3</v>
      </c>
      <c r="E4304" s="2">
        <f>IF(A4304&lt;&gt;"", VLOOKUP(A4304, imdb_netflix_v5!A$2:H$7370, 5, FALSE), "")</f>
        <v>2014</v>
      </c>
      <c r="F4304" s="2" t="str">
        <f>IF(A4304&lt;&gt;"", VLOOKUP(A4304, imdb_netflix_v5!A$2:H$7370, 7, FALSE), "")</f>
        <v>NA</v>
      </c>
    </row>
    <row r="4305" ht="15.75" customHeight="1">
      <c r="A4305" s="1" t="str">
        <f>IFERROR(__xludf.DUMMYFUNCTION("""COMPUTED_VALUE"""),"cars")</f>
        <v>cars</v>
      </c>
      <c r="B4305" s="1" t="str">
        <f>IF(A4305&lt;&gt;"", VLOOKUP(A4305, imdb_netflix_v5!A$2:H$7370, 2, FALSE), "")</f>
        <v>Movie</v>
      </c>
      <c r="C4305" s="2" t="str">
        <f>IF(A4305&lt;&gt;"", VLOOKUP(A4305, imdb_netflix_v5!A$2:H$7370, 3, FALSE), "")</f>
        <v>Adventure, Animation, Comedy</v>
      </c>
      <c r="D4305" s="2">
        <f>IF(A4305&lt;&gt;"", VLOOKUP(A4305, imdb_netflix_v5!A$2:H$7370, 4, FALSE), "")</f>
        <v>7.3</v>
      </c>
      <c r="E4305" s="2">
        <f>IF(A4305&lt;&gt;"", VLOOKUP(A4305, imdb_netflix_v5!A$2:H$7370, 5, FALSE), "")</f>
        <v>2006</v>
      </c>
      <c r="F4305" s="2" t="str">
        <f>IF(A4305&lt;&gt;"", VLOOKUP(A4305, imdb_netflix_v5!A$2:H$7370, 7, FALSE), "")</f>
        <v>NA</v>
      </c>
    </row>
    <row r="4306" ht="15.75" customHeight="1">
      <c r="A4306" s="1" t="str">
        <f>IFERROR(__xludf.DUMMYFUNCTION("""COMPUTED_VALUE"""),"bullet train")</f>
        <v>bullet train</v>
      </c>
      <c r="B4306" s="1" t="str">
        <f>IF(A4306&lt;&gt;"", VLOOKUP(A4306, imdb_netflix_v5!A$2:H$7370, 2, FALSE), "")</f>
        <v>Movie</v>
      </c>
      <c r="C4306" s="2" t="str">
        <f>IF(A4306&lt;&gt;"", VLOOKUP(A4306, imdb_netflix_v5!A$2:H$7370, 3, FALSE), "")</f>
        <v>Action, Comedy, Thriller</v>
      </c>
      <c r="D4306" s="2">
        <f>IF(A4306&lt;&gt;"", VLOOKUP(A4306, imdb_netflix_v5!A$2:H$7370, 4, FALSE), "")</f>
        <v>7.3</v>
      </c>
      <c r="E4306" s="2">
        <f>IF(A4306&lt;&gt;"", VLOOKUP(A4306, imdb_netflix_v5!A$2:H$7370, 5, FALSE), "")</f>
        <v>2022</v>
      </c>
      <c r="F4306" s="2">
        <f>IF(A4306&lt;&gt;"", VLOOKUP(A4306, imdb_netflix_v5!A$2:H$7370, 7, FALSE), "")</f>
        <v>6940000</v>
      </c>
    </row>
    <row r="4307" ht="15.75" customHeight="1">
      <c r="A4307" s="1" t="str">
        <f>IFERROR(__xludf.DUMMYFUNCTION("""COMPUTED_VALUE"""),"no time to die")</f>
        <v>no time to die</v>
      </c>
      <c r="B4307" s="1" t="str">
        <f>IF(A4307&lt;&gt;"", VLOOKUP(A4307, imdb_netflix_v5!A$2:H$7370, 2, FALSE), "")</f>
        <v>Movie</v>
      </c>
      <c r="C4307" s="2" t="str">
        <f>IF(A4307&lt;&gt;"", VLOOKUP(A4307, imdb_netflix_v5!A$2:H$7370, 3, FALSE), "")</f>
        <v>Action, Adventure, Thriller</v>
      </c>
      <c r="D4307" s="2">
        <f>IF(A4307&lt;&gt;"", VLOOKUP(A4307, imdb_netflix_v5!A$2:H$7370, 4, FALSE), "")</f>
        <v>7.3</v>
      </c>
      <c r="E4307" s="2">
        <f>IF(A4307&lt;&gt;"", VLOOKUP(A4307, imdb_netflix_v5!A$2:H$7370, 5, FALSE), "")</f>
        <v>2021</v>
      </c>
      <c r="F4307" s="2" t="str">
        <f>IF(A4307&lt;&gt;"", VLOOKUP(A4307, imdb_netflix_v5!A$2:H$7370, 7, FALSE), "")</f>
        <v>NA</v>
      </c>
    </row>
    <row r="4308" ht="15.75" customHeight="1">
      <c r="A4308" s="1" t="str">
        <f>IFERROR(__xludf.DUMMYFUNCTION("""COMPUTED_VALUE"""),"the shape of water")</f>
        <v>the shape of water</v>
      </c>
      <c r="B4308" s="1" t="str">
        <f>IF(A4308&lt;&gt;"", VLOOKUP(A4308, imdb_netflix_v5!A$2:H$7370, 2, FALSE), "")</f>
        <v>Movie</v>
      </c>
      <c r="C4308" s="2" t="str">
        <f>IF(A4308&lt;&gt;"", VLOOKUP(A4308, imdb_netflix_v5!A$2:H$7370, 3, FALSE), "")</f>
        <v>Drama, Fantasy, Romance</v>
      </c>
      <c r="D4308" s="2">
        <f>IF(A4308&lt;&gt;"", VLOOKUP(A4308, imdb_netflix_v5!A$2:H$7370, 4, FALSE), "")</f>
        <v>7.3</v>
      </c>
      <c r="E4308" s="2">
        <f>IF(A4308&lt;&gt;"", VLOOKUP(A4308, imdb_netflix_v5!A$2:H$7370, 5, FALSE), "")</f>
        <v>2017</v>
      </c>
      <c r="F4308" s="2" t="str">
        <f>IF(A4308&lt;&gt;"", VLOOKUP(A4308, imdb_netflix_v5!A$2:H$7370, 7, FALSE), "")</f>
        <v>NA</v>
      </c>
    </row>
    <row r="4309" ht="15.75" customHeight="1">
      <c r="A4309" s="1" t="str">
        <f>IFERROR(__xludf.DUMMYFUNCTION("""COMPUTED_VALUE"""),"unbreakable")</f>
        <v>unbreakable</v>
      </c>
      <c r="B4309" s="1" t="str">
        <f>IF(A4309&lt;&gt;"", VLOOKUP(A4309, imdb_netflix_v5!A$2:H$7370, 2, FALSE), "")</f>
        <v>Movie</v>
      </c>
      <c r="C4309" s="2" t="str">
        <f>IF(A4309&lt;&gt;"", VLOOKUP(A4309, imdb_netflix_v5!A$2:H$7370, 3, FALSE), "")</f>
        <v>Drama, Mystery, Sci-Fi</v>
      </c>
      <c r="D4309" s="2">
        <f>IF(A4309&lt;&gt;"", VLOOKUP(A4309, imdb_netflix_v5!A$2:H$7370, 4, FALSE), "")</f>
        <v>7.3</v>
      </c>
      <c r="E4309" s="2">
        <f>IF(A4309&lt;&gt;"", VLOOKUP(A4309, imdb_netflix_v5!A$2:H$7370, 5, FALSE), "")</f>
        <v>2000</v>
      </c>
      <c r="F4309" s="2" t="str">
        <f>IF(A4309&lt;&gt;"", VLOOKUP(A4309, imdb_netflix_v5!A$2:H$7370, 7, FALSE), "")</f>
        <v>NA</v>
      </c>
    </row>
    <row r="4310" ht="15.75" customHeight="1">
      <c r="A4310" s="1" t="str">
        <f>IFERROR(__xludf.DUMMYFUNCTION("""COMPUTED_VALUE"""),"despicable me 2")</f>
        <v>despicable me 2</v>
      </c>
      <c r="B4310" s="1" t="str">
        <f>IF(A4310&lt;&gt;"", VLOOKUP(A4310, imdb_netflix_v5!A$2:H$7370, 2, FALSE), "")</f>
        <v>Movie</v>
      </c>
      <c r="C4310" s="2" t="str">
        <f>IF(A4310&lt;&gt;"", VLOOKUP(A4310, imdb_netflix_v5!A$2:H$7370, 3, FALSE), "")</f>
        <v>Adventure, Animation, Comedy</v>
      </c>
      <c r="D4310" s="2">
        <f>IF(A4310&lt;&gt;"", VLOOKUP(A4310, imdb_netflix_v5!A$2:H$7370, 4, FALSE), "")</f>
        <v>7.3</v>
      </c>
      <c r="E4310" s="2">
        <f>IF(A4310&lt;&gt;"", VLOOKUP(A4310, imdb_netflix_v5!A$2:H$7370, 5, FALSE), "")</f>
        <v>2013</v>
      </c>
      <c r="F4310" s="2">
        <f>IF(A4310&lt;&gt;"", VLOOKUP(A4310, imdb_netflix_v5!A$2:H$7370, 7, FALSE), "")</f>
        <v>5500000</v>
      </c>
    </row>
    <row r="4311" ht="15.75" customHeight="1">
      <c r="A4311" s="1" t="str">
        <f>IFERROR(__xludf.DUMMYFUNCTION("""COMPUTED_VALUE"""),"dumb and dumber")</f>
        <v>dumb and dumber</v>
      </c>
      <c r="B4311" s="1" t="str">
        <f>IF(A4311&lt;&gt;"", VLOOKUP(A4311, imdb_netflix_v5!A$2:H$7370, 2, FALSE), "")</f>
        <v>Movie</v>
      </c>
      <c r="C4311" s="2" t="str">
        <f>IF(A4311&lt;&gt;"", VLOOKUP(A4311, imdb_netflix_v5!A$2:H$7370, 3, FALSE), "")</f>
        <v>Comedy</v>
      </c>
      <c r="D4311" s="2">
        <f>IF(A4311&lt;&gt;"", VLOOKUP(A4311, imdb_netflix_v5!A$2:H$7370, 4, FALSE), "")</f>
        <v>7.3</v>
      </c>
      <c r="E4311" s="2">
        <f>IF(A4311&lt;&gt;"", VLOOKUP(A4311, imdb_netflix_v5!A$2:H$7370, 5, FALSE), "")</f>
        <v>1994</v>
      </c>
      <c r="F4311" s="2" t="str">
        <f>IF(A4311&lt;&gt;"", VLOOKUP(A4311, imdb_netflix_v5!A$2:H$7370, 7, FALSE), "")</f>
        <v>NA</v>
      </c>
    </row>
    <row r="4312" ht="15.75" customHeight="1">
      <c r="A4312" s="1" t="str">
        <f>IFERROR(__xludf.DUMMYFUNCTION("""COMPUTED_VALUE"""),"fast five")</f>
        <v>fast five</v>
      </c>
      <c r="B4312" s="1" t="str">
        <f>IF(A4312&lt;&gt;"", VLOOKUP(A4312, imdb_netflix_v5!A$2:H$7370, 2, FALSE), "")</f>
        <v>Movie</v>
      </c>
      <c r="C4312" s="2" t="str">
        <f>IF(A4312&lt;&gt;"", VLOOKUP(A4312, imdb_netflix_v5!A$2:H$7370, 3, FALSE), "")</f>
        <v>Action, Crime, Thriller</v>
      </c>
      <c r="D4312" s="2">
        <f>IF(A4312&lt;&gt;"", VLOOKUP(A4312, imdb_netflix_v5!A$2:H$7370, 4, FALSE), "")</f>
        <v>7.3</v>
      </c>
      <c r="E4312" s="2">
        <f>IF(A4312&lt;&gt;"", VLOOKUP(A4312, imdb_netflix_v5!A$2:H$7370, 5, FALSE), "")</f>
        <v>2011</v>
      </c>
      <c r="F4312" s="2" t="str">
        <f>IF(A4312&lt;&gt;"", VLOOKUP(A4312, imdb_netflix_v5!A$2:H$7370, 7, FALSE), "")</f>
        <v>NA</v>
      </c>
    </row>
    <row r="4313" ht="15.75" customHeight="1">
      <c r="A4313" s="1" t="str">
        <f>IFERROR(__xludf.DUMMYFUNCTION("""COMPUTED_VALUE"""),"face/off")</f>
        <v>face/off</v>
      </c>
      <c r="B4313" s="1" t="str">
        <f>IF(A4313&lt;&gt;"", VLOOKUP(A4313, imdb_netflix_v5!A$2:H$7370, 2, FALSE), "")</f>
        <v>Movie</v>
      </c>
      <c r="C4313" s="2" t="str">
        <f>IF(A4313&lt;&gt;"", VLOOKUP(A4313, imdb_netflix_v5!A$2:H$7370, 3, FALSE), "")</f>
        <v>Action, Crime, Sci-Fi</v>
      </c>
      <c r="D4313" s="2">
        <f>IF(A4313&lt;&gt;"", VLOOKUP(A4313, imdb_netflix_v5!A$2:H$7370, 4, FALSE), "")</f>
        <v>7.3</v>
      </c>
      <c r="E4313" s="2">
        <f>IF(A4313&lt;&gt;"", VLOOKUP(A4313, imdb_netflix_v5!A$2:H$7370, 5, FALSE), "")</f>
        <v>1997</v>
      </c>
      <c r="F4313" s="2" t="str">
        <f>IF(A4313&lt;&gt;"", VLOOKUP(A4313, imdb_netflix_v5!A$2:H$7370, 7, FALSE), "")</f>
        <v>NA</v>
      </c>
    </row>
    <row r="4314" ht="15.75" customHeight="1">
      <c r="A4314" s="1" t="str">
        <f>IFERROR(__xludf.DUMMYFUNCTION("""COMPUTED_VALUE"""),"10 things i hate about you")</f>
        <v>10 things i hate about you</v>
      </c>
      <c r="B4314" s="1" t="str">
        <f>IF(A4314&lt;&gt;"", VLOOKUP(A4314, imdb_netflix_v5!A$2:H$7370, 2, FALSE), "")</f>
        <v>Movie</v>
      </c>
      <c r="C4314" s="2" t="str">
        <f>IF(A4314&lt;&gt;"", VLOOKUP(A4314, imdb_netflix_v5!A$2:H$7370, 3, FALSE), "")</f>
        <v>Comedy, Drama, Romance</v>
      </c>
      <c r="D4314" s="2">
        <f>IF(A4314&lt;&gt;"", VLOOKUP(A4314, imdb_netflix_v5!A$2:H$7370, 4, FALSE), "")</f>
        <v>7.3</v>
      </c>
      <c r="E4314" s="2">
        <f>IF(A4314&lt;&gt;"", VLOOKUP(A4314, imdb_netflix_v5!A$2:H$7370, 5, FALSE), "")</f>
        <v>1999</v>
      </c>
      <c r="F4314" s="2" t="str">
        <f>IF(A4314&lt;&gt;"", VLOOKUP(A4314, imdb_netflix_v5!A$2:H$7370, 7, FALSE), "")</f>
        <v>NA</v>
      </c>
    </row>
    <row r="4315" ht="15.75" customHeight="1">
      <c r="A4315" s="1" t="str">
        <f>IFERROR(__xludf.DUMMYFUNCTION("""COMPUTED_VALUE"""),"hereditary")</f>
        <v>hereditary</v>
      </c>
      <c r="B4315" s="1" t="str">
        <f>IF(A4315&lt;&gt;"", VLOOKUP(A4315, imdb_netflix_v5!A$2:H$7370, 2, FALSE), "")</f>
        <v>Movie</v>
      </c>
      <c r="C4315" s="2" t="str">
        <f>IF(A4315&lt;&gt;"", VLOOKUP(A4315, imdb_netflix_v5!A$2:H$7370, 3, FALSE), "")</f>
        <v>Drama, Horror, Mystery</v>
      </c>
      <c r="D4315" s="2">
        <f>IF(A4315&lt;&gt;"", VLOOKUP(A4315, imdb_netflix_v5!A$2:H$7370, 4, FALSE), "")</f>
        <v>7.3</v>
      </c>
      <c r="E4315" s="2">
        <f>IF(A4315&lt;&gt;"", VLOOKUP(A4315, imdb_netflix_v5!A$2:H$7370, 5, FALSE), "")</f>
        <v>2018</v>
      </c>
      <c r="F4315" s="2" t="str">
        <f>IF(A4315&lt;&gt;"", VLOOKUP(A4315, imdb_netflix_v5!A$2:H$7370, 7, FALSE), "")</f>
        <v>NA</v>
      </c>
    </row>
    <row r="4316" ht="15.75" customHeight="1">
      <c r="A4316" s="1" t="str">
        <f>IFERROR(__xludf.DUMMYFUNCTION("""COMPUTED_VALUE"""),"speed")</f>
        <v>speed</v>
      </c>
      <c r="B4316" s="1" t="str">
        <f>IF(A4316&lt;&gt;"", VLOOKUP(A4316, imdb_netflix_v5!A$2:H$7370, 2, FALSE), "")</f>
        <v>Movie</v>
      </c>
      <c r="C4316" s="2" t="str">
        <f>IF(A4316&lt;&gt;"", VLOOKUP(A4316, imdb_netflix_v5!A$2:H$7370, 3, FALSE), "")</f>
        <v>Action, Adventure, Thriller</v>
      </c>
      <c r="D4316" s="2">
        <f>IF(A4316&lt;&gt;"", VLOOKUP(A4316, imdb_netflix_v5!A$2:H$7370, 4, FALSE), "")</f>
        <v>7.3</v>
      </c>
      <c r="E4316" s="2">
        <f>IF(A4316&lt;&gt;"", VLOOKUP(A4316, imdb_netflix_v5!A$2:H$7370, 5, FALSE), "")</f>
        <v>1994</v>
      </c>
      <c r="F4316" s="2" t="str">
        <f>IF(A4316&lt;&gt;"", VLOOKUP(A4316, imdb_netflix_v5!A$2:H$7370, 7, FALSE), "")</f>
        <v>NA</v>
      </c>
    </row>
    <row r="4317" ht="15.75" customHeight="1">
      <c r="A4317" s="1" t="str">
        <f>IFERROR(__xludf.DUMMYFUNCTION("""COMPUTED_VALUE"""),"sleepy hollow")</f>
        <v>sleepy hollow</v>
      </c>
      <c r="B4317" s="1" t="str">
        <f>IF(A4317&lt;&gt;"", VLOOKUP(A4317, imdb_netflix_v5!A$2:H$7370, 2, FALSE), "")</f>
        <v>Movie</v>
      </c>
      <c r="C4317" s="2" t="str">
        <f>IF(A4317&lt;&gt;"", VLOOKUP(A4317, imdb_netflix_v5!A$2:H$7370, 3, FALSE), "")</f>
        <v>Fantasy, Horror, Mystery</v>
      </c>
      <c r="D4317" s="2">
        <f>IF(A4317&lt;&gt;"", VLOOKUP(A4317, imdb_netflix_v5!A$2:H$7370, 4, FALSE), "")</f>
        <v>7.3</v>
      </c>
      <c r="E4317" s="2">
        <f>IF(A4317&lt;&gt;"", VLOOKUP(A4317, imdb_netflix_v5!A$2:H$7370, 5, FALSE), "")</f>
        <v>1999</v>
      </c>
      <c r="F4317" s="2" t="str">
        <f>IF(A4317&lt;&gt;"", VLOOKUP(A4317, imdb_netflix_v5!A$2:H$7370, 7, FALSE), "")</f>
        <v>NA</v>
      </c>
    </row>
    <row r="4318" ht="15.75" customHeight="1">
      <c r="A4318" s="1" t="str">
        <f>IFERROR(__xludf.DUMMYFUNCTION("""COMPUTED_VALUE"""),"sweeney todd the demon barber of fleet street")</f>
        <v>sweeney todd the demon barber of fleet street</v>
      </c>
      <c r="B4318" s="1" t="str">
        <f>IF(A4318&lt;&gt;"", VLOOKUP(A4318, imdb_netflix_v5!A$2:H$7370, 2, FALSE), "")</f>
        <v>Movie</v>
      </c>
      <c r="C4318" s="2" t="str">
        <f>IF(A4318&lt;&gt;"", VLOOKUP(A4318, imdb_netflix_v5!A$2:H$7370, 3, FALSE), "")</f>
        <v>Drama, Horror, Musical</v>
      </c>
      <c r="D4318" s="2">
        <f>IF(A4318&lt;&gt;"", VLOOKUP(A4318, imdb_netflix_v5!A$2:H$7370, 4, FALSE), "")</f>
        <v>7.3</v>
      </c>
      <c r="E4318" s="2">
        <f>IF(A4318&lt;&gt;"", VLOOKUP(A4318, imdb_netflix_v5!A$2:H$7370, 5, FALSE), "")</f>
        <v>2007</v>
      </c>
      <c r="F4318" s="2" t="str">
        <f>IF(A4318&lt;&gt;"", VLOOKUP(A4318, imdb_netflix_v5!A$2:H$7370, 7, FALSE), "")</f>
        <v>NA</v>
      </c>
    </row>
    <row r="4319" ht="15.75" customHeight="1">
      <c r="A4319" s="1" t="str">
        <f>IFERROR(__xludf.DUMMYFUNCTION("""COMPUTED_VALUE"""),"flight")</f>
        <v>flight</v>
      </c>
      <c r="B4319" s="1" t="str">
        <f>IF(A4319&lt;&gt;"", VLOOKUP(A4319, imdb_netflix_v5!A$2:H$7370, 2, FALSE), "")</f>
        <v>Movie</v>
      </c>
      <c r="C4319" s="2" t="str">
        <f>IF(A4319&lt;&gt;"", VLOOKUP(A4319, imdb_netflix_v5!A$2:H$7370, 3, FALSE), "")</f>
        <v>Drama, Thriller</v>
      </c>
      <c r="D4319" s="2">
        <f>IF(A4319&lt;&gt;"", VLOOKUP(A4319, imdb_netflix_v5!A$2:H$7370, 4, FALSE), "")</f>
        <v>7.3</v>
      </c>
      <c r="E4319" s="2">
        <f>IF(A4319&lt;&gt;"", VLOOKUP(A4319, imdb_netflix_v5!A$2:H$7370, 5, FALSE), "")</f>
        <v>2012</v>
      </c>
      <c r="F4319" s="2">
        <f>IF(A4319&lt;&gt;"", VLOOKUP(A4319, imdb_netflix_v5!A$2:H$7370, 7, FALSE), "")</f>
        <v>10710000</v>
      </c>
    </row>
    <row r="4320" ht="15.75" customHeight="1">
      <c r="A4320" s="1" t="str">
        <f>IFERROR(__xludf.DUMMYFUNCTION("""COMPUTED_VALUE"""),"the simpsons movie")</f>
        <v>the simpsons movie</v>
      </c>
      <c r="B4320" s="1" t="str">
        <f>IF(A4320&lt;&gt;"", VLOOKUP(A4320, imdb_netflix_v5!A$2:H$7370, 2, FALSE), "")</f>
        <v>Movie</v>
      </c>
      <c r="C4320" s="2" t="str">
        <f>IF(A4320&lt;&gt;"", VLOOKUP(A4320, imdb_netflix_v5!A$2:H$7370, 3, FALSE), "")</f>
        <v>Adventure, Animation, Comedy</v>
      </c>
      <c r="D4320" s="2">
        <f>IF(A4320&lt;&gt;"", VLOOKUP(A4320, imdb_netflix_v5!A$2:H$7370, 4, FALSE), "")</f>
        <v>7.3</v>
      </c>
      <c r="E4320" s="2">
        <f>IF(A4320&lt;&gt;"", VLOOKUP(A4320, imdb_netflix_v5!A$2:H$7370, 5, FALSE), "")</f>
        <v>2007</v>
      </c>
      <c r="F4320" s="2" t="str">
        <f>IF(A4320&lt;&gt;"", VLOOKUP(A4320, imdb_netflix_v5!A$2:H$7370, 7, FALSE), "")</f>
        <v>NA</v>
      </c>
    </row>
    <row r="4321" ht="15.75" customHeight="1">
      <c r="A4321" s="1" t="str">
        <f>IFERROR(__xludf.DUMMYFUNCTION("""COMPUTED_VALUE"""),"equilibrium")</f>
        <v>equilibrium</v>
      </c>
      <c r="B4321" s="1" t="str">
        <f>IF(A4321&lt;&gt;"", VLOOKUP(A4321, imdb_netflix_v5!A$2:H$7370, 2, FALSE), "")</f>
        <v>Movie</v>
      </c>
      <c r="C4321" s="2" t="str">
        <f>IF(A4321&lt;&gt;"", VLOOKUP(A4321, imdb_netflix_v5!A$2:H$7370, 3, FALSE), "")</f>
        <v>Action, Drama, Sci-Fi</v>
      </c>
      <c r="D4321" s="2">
        <f>IF(A4321&lt;&gt;"", VLOOKUP(A4321, imdb_netflix_v5!A$2:H$7370, 4, FALSE), "")</f>
        <v>7.3</v>
      </c>
      <c r="E4321" s="2">
        <f>IF(A4321&lt;&gt;"", VLOOKUP(A4321, imdb_netflix_v5!A$2:H$7370, 5, FALSE), "")</f>
        <v>2002</v>
      </c>
      <c r="F4321" s="2" t="str">
        <f>IF(A4321&lt;&gt;"", VLOOKUP(A4321, imdb_netflix_v5!A$2:H$7370, 7, FALSE), "")</f>
        <v>NA</v>
      </c>
    </row>
    <row r="4322" ht="15.75" customHeight="1">
      <c r="A4322" s="1" t="str">
        <f>IFERROR(__xludf.DUMMYFUNCTION("""COMPUTED_VALUE"""),"the secret life of walter mitty")</f>
        <v>the secret life of walter mitty</v>
      </c>
      <c r="B4322" s="1" t="str">
        <f>IF(A4322&lt;&gt;"", VLOOKUP(A4322, imdb_netflix_v5!A$2:H$7370, 2, FALSE), "")</f>
        <v>Movie</v>
      </c>
      <c r="C4322" s="2" t="str">
        <f>IF(A4322&lt;&gt;"", VLOOKUP(A4322, imdb_netflix_v5!A$2:H$7370, 3, FALSE), "")</f>
        <v>Adventure, Comedy, Drama</v>
      </c>
      <c r="D4322" s="2">
        <f>IF(A4322&lt;&gt;"", VLOOKUP(A4322, imdb_netflix_v5!A$2:H$7370, 4, FALSE), "")</f>
        <v>7.3</v>
      </c>
      <c r="E4322" s="2">
        <f>IF(A4322&lt;&gt;"", VLOOKUP(A4322, imdb_netflix_v5!A$2:H$7370, 5, FALSE), "")</f>
        <v>2013</v>
      </c>
      <c r="F4322" s="2" t="str">
        <f>IF(A4322&lt;&gt;"", VLOOKUP(A4322, imdb_netflix_v5!A$2:H$7370, 7, FALSE), "")</f>
        <v>NA</v>
      </c>
    </row>
    <row r="4323" ht="15.75" customHeight="1">
      <c r="A4323" s="1" t="str">
        <f>IFERROR(__xludf.DUMMYFUNCTION("""COMPUTED_VALUE"""),"the accountant")</f>
        <v>the accountant</v>
      </c>
      <c r="B4323" s="1" t="str">
        <f>IF(A4323&lt;&gt;"", VLOOKUP(A4323, imdb_netflix_v5!A$2:H$7370, 2, FALSE), "")</f>
        <v>Movie</v>
      </c>
      <c r="C4323" s="2" t="str">
        <f>IF(A4323&lt;&gt;"", VLOOKUP(A4323, imdb_netflix_v5!A$2:H$7370, 3, FALSE), "")</f>
        <v>Action, Crime, Drama</v>
      </c>
      <c r="D4323" s="2">
        <f>IF(A4323&lt;&gt;"", VLOOKUP(A4323, imdb_netflix_v5!A$2:H$7370, 4, FALSE), "")</f>
        <v>7.3</v>
      </c>
      <c r="E4323" s="2">
        <f>IF(A4323&lt;&gt;"", VLOOKUP(A4323, imdb_netflix_v5!A$2:H$7370, 5, FALSE), "")</f>
        <v>2016</v>
      </c>
      <c r="F4323" s="2" t="str">
        <f>IF(A4323&lt;&gt;"", VLOOKUP(A4323, imdb_netflix_v5!A$2:H$7370, 7, FALSE), "")</f>
        <v>NA</v>
      </c>
    </row>
    <row r="4324" ht="15.75" customHeight="1">
      <c r="A4324" s="1" t="str">
        <f>IFERROR(__xludf.DUMMYFUNCTION("""COMPUTED_VALUE"""),"kung fu panda 2")</f>
        <v>kung fu panda 2</v>
      </c>
      <c r="B4324" s="1" t="str">
        <f>IF(A4324&lt;&gt;"", VLOOKUP(A4324, imdb_netflix_v5!A$2:H$7370, 2, FALSE), "")</f>
        <v>Movie</v>
      </c>
      <c r="C4324" s="2" t="str">
        <f>IF(A4324&lt;&gt;"", VLOOKUP(A4324, imdb_netflix_v5!A$2:H$7370, 3, FALSE), "")</f>
        <v>Action, Adventure, Animation</v>
      </c>
      <c r="D4324" s="2">
        <f>IF(A4324&lt;&gt;"", VLOOKUP(A4324, imdb_netflix_v5!A$2:H$7370, 4, FALSE), "")</f>
        <v>7.3</v>
      </c>
      <c r="E4324" s="2">
        <f>IF(A4324&lt;&gt;"", VLOOKUP(A4324, imdb_netflix_v5!A$2:H$7370, 5, FALSE), "")</f>
        <v>2011</v>
      </c>
      <c r="F4324" s="2" t="str">
        <f>IF(A4324&lt;&gt;"", VLOOKUP(A4324, imdb_netflix_v5!A$2:H$7370, 7, FALSE), "")</f>
        <v>NA</v>
      </c>
    </row>
    <row r="4325" ht="15.75" customHeight="1">
      <c r="A4325" s="1" t="str">
        <f>IFERROR(__xludf.DUMMYFUNCTION("""COMPUTED_VALUE"""),"starship troopers")</f>
        <v>starship troopers</v>
      </c>
      <c r="B4325" s="1" t="str">
        <f>IF(A4325&lt;&gt;"", VLOOKUP(A4325, imdb_netflix_v5!A$2:H$7370, 2, FALSE), "")</f>
        <v>Movie</v>
      </c>
      <c r="C4325" s="2" t="str">
        <f>IF(A4325&lt;&gt;"", VLOOKUP(A4325, imdb_netflix_v5!A$2:H$7370, 3, FALSE), "")</f>
        <v>Action, Adventure, Sci-Fi</v>
      </c>
      <c r="D4325" s="2">
        <f>IF(A4325&lt;&gt;"", VLOOKUP(A4325, imdb_netflix_v5!A$2:H$7370, 4, FALSE), "")</f>
        <v>7.3</v>
      </c>
      <c r="E4325" s="2">
        <f>IF(A4325&lt;&gt;"", VLOOKUP(A4325, imdb_netflix_v5!A$2:H$7370, 5, FALSE), "")</f>
        <v>1997</v>
      </c>
      <c r="F4325" s="2" t="str">
        <f>IF(A4325&lt;&gt;"", VLOOKUP(A4325, imdb_netflix_v5!A$2:H$7370, 7, FALSE), "")</f>
        <v>NA</v>
      </c>
    </row>
    <row r="4326" ht="15.75" customHeight="1">
      <c r="A4326" s="1" t="str">
        <f>IFERROR(__xludf.DUMMYFUNCTION("""COMPUTED_VALUE"""),"kingdom of heaven")</f>
        <v>kingdom of heaven</v>
      </c>
      <c r="B4326" s="1" t="str">
        <f>IF(A4326&lt;&gt;"", VLOOKUP(A4326, imdb_netflix_v5!A$2:H$7370, 2, FALSE), "")</f>
        <v>Movie</v>
      </c>
      <c r="C4326" s="2" t="str">
        <f>IF(A4326&lt;&gt;"", VLOOKUP(A4326, imdb_netflix_v5!A$2:H$7370, 3, FALSE), "")</f>
        <v>Action, Adventure, Drama</v>
      </c>
      <c r="D4326" s="2">
        <f>IF(A4326&lt;&gt;"", VLOOKUP(A4326, imdb_netflix_v5!A$2:H$7370, 4, FALSE), "")</f>
        <v>7.3</v>
      </c>
      <c r="E4326" s="2">
        <f>IF(A4326&lt;&gt;"", VLOOKUP(A4326, imdb_netflix_v5!A$2:H$7370, 5, FALSE), "")</f>
        <v>2005</v>
      </c>
      <c r="F4326" s="2" t="str">
        <f>IF(A4326&lt;&gt;"", VLOOKUP(A4326, imdb_netflix_v5!A$2:H$7370, 7, FALSE), "")</f>
        <v>NA</v>
      </c>
    </row>
    <row r="4327" ht="15.75" customHeight="1">
      <c r="A4327" s="1" t="str">
        <f>IFERROR(__xludf.DUMMYFUNCTION("""COMPUTED_VALUE"""),"the conjuring 2")</f>
        <v>the conjuring 2</v>
      </c>
      <c r="B4327" s="1" t="str">
        <f>IF(A4327&lt;&gt;"", VLOOKUP(A4327, imdb_netflix_v5!A$2:H$7370, 2, FALSE), "")</f>
        <v>Movie</v>
      </c>
      <c r="C4327" s="2" t="str">
        <f>IF(A4327&lt;&gt;"", VLOOKUP(A4327, imdb_netflix_v5!A$2:H$7370, 3, FALSE), "")</f>
        <v>Horror, Mystery, Thriller</v>
      </c>
      <c r="D4327" s="2">
        <f>IF(A4327&lt;&gt;"", VLOOKUP(A4327, imdb_netflix_v5!A$2:H$7370, 4, FALSE), "")</f>
        <v>7.3</v>
      </c>
      <c r="E4327" s="2">
        <f>IF(A4327&lt;&gt;"", VLOOKUP(A4327, imdb_netflix_v5!A$2:H$7370, 5, FALSE), "")</f>
        <v>2016</v>
      </c>
      <c r="F4327" s="2" t="str">
        <f>IF(A4327&lt;&gt;"", VLOOKUP(A4327, imdb_netflix_v5!A$2:H$7370, 7, FALSE), "")</f>
        <v>NA</v>
      </c>
    </row>
    <row r="4328" ht="15.75" customHeight="1">
      <c r="A4328" s="1" t="str">
        <f>IFERROR(__xludf.DUMMYFUNCTION("""COMPUTED_VALUE"""),"el camino")</f>
        <v>el camino</v>
      </c>
      <c r="B4328" s="1" t="str">
        <f>IF(A4328&lt;&gt;"", VLOOKUP(A4328, imdb_netflix_v5!A$2:H$7370, 2, FALSE), "")</f>
        <v>Movie</v>
      </c>
      <c r="C4328" s="2" t="str">
        <f>IF(A4328&lt;&gt;"", VLOOKUP(A4328, imdb_netflix_v5!A$2:H$7370, 3, FALSE), "")</f>
        <v>Action, Crime, Drama</v>
      </c>
      <c r="D4328" s="2">
        <f>IF(A4328&lt;&gt;"", VLOOKUP(A4328, imdb_netflix_v5!A$2:H$7370, 4, FALSE), "")</f>
        <v>7.3</v>
      </c>
      <c r="E4328" s="2">
        <f>IF(A4328&lt;&gt;"", VLOOKUP(A4328, imdb_netflix_v5!A$2:H$7370, 5, FALSE), "")</f>
        <v>2019</v>
      </c>
      <c r="F4328" s="2" t="str">
        <f>IF(A4328&lt;&gt;"", VLOOKUP(A4328, imdb_netflix_v5!A$2:H$7370, 7, FALSE), "")</f>
        <v>NA</v>
      </c>
    </row>
    <row r="4329" ht="15.75" customHeight="1">
      <c r="A4329" s="1" t="str">
        <f>IFERROR(__xludf.DUMMYFUNCTION("""COMPUTED_VALUE"""),"alita battle angel")</f>
        <v>alita battle angel</v>
      </c>
      <c r="B4329" s="1" t="str">
        <f>IF(A4329&lt;&gt;"", VLOOKUP(A4329, imdb_netflix_v5!A$2:H$7370, 2, FALSE), "")</f>
        <v>Movie</v>
      </c>
      <c r="C4329" s="2" t="str">
        <f>IF(A4329&lt;&gt;"", VLOOKUP(A4329, imdb_netflix_v5!A$2:H$7370, 3, FALSE), "")</f>
        <v>Action, Adventure, Sci-Fi</v>
      </c>
      <c r="D4329" s="2">
        <f>IF(A4329&lt;&gt;"", VLOOKUP(A4329, imdb_netflix_v5!A$2:H$7370, 4, FALSE), "")</f>
        <v>7.3</v>
      </c>
      <c r="E4329" s="2">
        <f>IF(A4329&lt;&gt;"", VLOOKUP(A4329, imdb_netflix_v5!A$2:H$7370, 5, FALSE), "")</f>
        <v>2019</v>
      </c>
      <c r="F4329" s="2" t="str">
        <f>IF(A4329&lt;&gt;"", VLOOKUP(A4329, imdb_netflix_v5!A$2:H$7370, 7, FALSE), "")</f>
        <v>NA</v>
      </c>
    </row>
    <row r="4330" ht="15.75" customHeight="1">
      <c r="A4330" s="1" t="str">
        <f>IFERROR(__xludf.DUMMYFUNCTION("""COMPUTED_VALUE"""),"megamind")</f>
        <v>megamind</v>
      </c>
      <c r="B4330" s="1" t="str">
        <f>IF(A4330&lt;&gt;"", VLOOKUP(A4330, imdb_netflix_v5!A$2:H$7370, 2, FALSE), "")</f>
        <v>Movie</v>
      </c>
      <c r="C4330" s="2" t="str">
        <f>IF(A4330&lt;&gt;"", VLOOKUP(A4330, imdb_netflix_v5!A$2:H$7370, 3, FALSE), "")</f>
        <v>Action, Adventure, Animation</v>
      </c>
      <c r="D4330" s="2">
        <f>IF(A4330&lt;&gt;"", VLOOKUP(A4330, imdb_netflix_v5!A$2:H$7370, 4, FALSE), "")</f>
        <v>7.3</v>
      </c>
      <c r="E4330" s="2">
        <f>IF(A4330&lt;&gt;"", VLOOKUP(A4330, imdb_netflix_v5!A$2:H$7370, 5, FALSE), "")</f>
        <v>2010</v>
      </c>
      <c r="F4330" s="2" t="str">
        <f>IF(A4330&lt;&gt;"", VLOOKUP(A4330, imdb_netflix_v5!A$2:H$7370, 7, FALSE), "")</f>
        <v>NA</v>
      </c>
    </row>
    <row r="4331" ht="15.75" customHeight="1">
      <c r="A4331" s="1" t="str">
        <f>IFERROR(__xludf.DUMMYFUNCTION("""COMPUTED_VALUE"""),"rango")</f>
        <v>rango</v>
      </c>
      <c r="B4331" s="1" t="str">
        <f>IF(A4331&lt;&gt;"", VLOOKUP(A4331, imdb_netflix_v5!A$2:H$7370, 2, FALSE), "")</f>
        <v>Movie</v>
      </c>
      <c r="C4331" s="2" t="str">
        <f>IF(A4331&lt;&gt;"", VLOOKUP(A4331, imdb_netflix_v5!A$2:H$7370, 3, FALSE), "")</f>
        <v>Action, Adventure, Animation</v>
      </c>
      <c r="D4331" s="2">
        <f>IF(A4331&lt;&gt;"", VLOOKUP(A4331, imdb_netflix_v5!A$2:H$7370, 4, FALSE), "")</f>
        <v>7.3</v>
      </c>
      <c r="E4331" s="2">
        <f>IF(A4331&lt;&gt;"", VLOOKUP(A4331, imdb_netflix_v5!A$2:H$7370, 5, FALSE), "")</f>
        <v>2011</v>
      </c>
      <c r="F4331" s="2" t="str">
        <f>IF(A4331&lt;&gt;"", VLOOKUP(A4331, imdb_netflix_v5!A$2:H$7370, 7, FALSE), "")</f>
        <v>NA</v>
      </c>
    </row>
    <row r="4332" ht="15.75" customHeight="1">
      <c r="A4332" s="1" t="str">
        <f>IFERROR(__xludf.DUMMYFUNCTION("""COMPUTED_VALUE"""),"the place beyond the pines")</f>
        <v>the place beyond the pines</v>
      </c>
      <c r="B4332" s="1" t="str">
        <f>IF(A4332&lt;&gt;"", VLOOKUP(A4332, imdb_netflix_v5!A$2:H$7370, 2, FALSE), "")</f>
        <v>Movie</v>
      </c>
      <c r="C4332" s="2" t="str">
        <f>IF(A4332&lt;&gt;"", VLOOKUP(A4332, imdb_netflix_v5!A$2:H$7370, 3, FALSE), "")</f>
        <v>Crime, Drama, Thriller</v>
      </c>
      <c r="D4332" s="2">
        <f>IF(A4332&lt;&gt;"", VLOOKUP(A4332, imdb_netflix_v5!A$2:H$7370, 4, FALSE), "")</f>
        <v>7.3</v>
      </c>
      <c r="E4332" s="2">
        <f>IF(A4332&lt;&gt;"", VLOOKUP(A4332, imdb_netflix_v5!A$2:H$7370, 5, FALSE), "")</f>
        <v>2012</v>
      </c>
      <c r="F4332" s="2" t="str">
        <f>IF(A4332&lt;&gt;"", VLOOKUP(A4332, imdb_netflix_v5!A$2:H$7370, 7, FALSE), "")</f>
        <v>NA</v>
      </c>
    </row>
    <row r="4333" ht="15.75" customHeight="1">
      <c r="A4333" s="1" t="str">
        <f>IFERROR(__xludf.DUMMYFUNCTION("""COMPUTED_VALUE"""),"jerry maguire")</f>
        <v>jerry maguire</v>
      </c>
      <c r="B4333" s="1" t="str">
        <f>IF(A4333&lt;&gt;"", VLOOKUP(A4333, imdb_netflix_v5!A$2:H$7370, 2, FALSE), "")</f>
        <v>Movie</v>
      </c>
      <c r="C4333" s="2" t="str">
        <f>IF(A4333&lt;&gt;"", VLOOKUP(A4333, imdb_netflix_v5!A$2:H$7370, 3, FALSE), "")</f>
        <v>Comedy, Drama, Romance</v>
      </c>
      <c r="D4333" s="2">
        <f>IF(A4333&lt;&gt;"", VLOOKUP(A4333, imdb_netflix_v5!A$2:H$7370, 4, FALSE), "")</f>
        <v>7.3</v>
      </c>
      <c r="E4333" s="2">
        <f>IF(A4333&lt;&gt;"", VLOOKUP(A4333, imdb_netflix_v5!A$2:H$7370, 5, FALSE), "")</f>
        <v>1996</v>
      </c>
      <c r="F4333" s="2" t="str">
        <f>IF(A4333&lt;&gt;"", VLOOKUP(A4333, imdb_netflix_v5!A$2:H$7370, 7, FALSE), "")</f>
        <v>NA</v>
      </c>
    </row>
    <row r="4334" ht="15.75" customHeight="1">
      <c r="A4334" s="1" t="str">
        <f>IFERROR(__xludf.DUMMYFUNCTION("""COMPUTED_VALUE"""),"true lies")</f>
        <v>true lies</v>
      </c>
      <c r="B4334" s="1" t="str">
        <f>IF(A4334&lt;&gt;"", VLOOKUP(A4334, imdb_netflix_v5!A$2:H$7370, 2, FALSE), "")</f>
        <v>Movie</v>
      </c>
      <c r="C4334" s="2" t="str">
        <f>IF(A4334&lt;&gt;"", VLOOKUP(A4334, imdb_netflix_v5!A$2:H$7370, 3, FALSE), "")</f>
        <v>Action, Comedy, Thriller</v>
      </c>
      <c r="D4334" s="2">
        <f>IF(A4334&lt;&gt;"", VLOOKUP(A4334, imdb_netflix_v5!A$2:H$7370, 4, FALSE), "")</f>
        <v>7.3</v>
      </c>
      <c r="E4334" s="2">
        <f>IF(A4334&lt;&gt;"", VLOOKUP(A4334, imdb_netflix_v5!A$2:H$7370, 5, FALSE), "")</f>
        <v>1994</v>
      </c>
      <c r="F4334" s="2" t="str">
        <f>IF(A4334&lt;&gt;"", VLOOKUP(A4334, imdb_netflix_v5!A$2:H$7370, 7, FALSE), "")</f>
        <v>NA</v>
      </c>
    </row>
    <row r="4335" ht="15.75" customHeight="1">
      <c r="A4335" s="1" t="str">
        <f>IFERROR(__xludf.DUMMYFUNCTION("""COMPUTED_VALUE"""),"moon knight")</f>
        <v>moon knight</v>
      </c>
      <c r="B4335" s="1" t="str">
        <f>IF(A4335&lt;&gt;"", VLOOKUP(A4335, imdb_netflix_v5!A$2:H$7370, 2, FALSE), "")</f>
        <v>TV Show</v>
      </c>
      <c r="C4335" s="2" t="str">
        <f>IF(A4335&lt;&gt;"", VLOOKUP(A4335, imdb_netflix_v5!A$2:H$7370, 3, FALSE), "")</f>
        <v>Action, Adventure, Fantasy</v>
      </c>
      <c r="D4335" s="2">
        <f>IF(A4335&lt;&gt;"", VLOOKUP(A4335, imdb_netflix_v5!A$2:H$7370, 4, FALSE), "")</f>
        <v>7.3</v>
      </c>
      <c r="E4335" s="2">
        <f>IF(A4335&lt;&gt;"", VLOOKUP(A4335, imdb_netflix_v5!A$2:H$7370, 5, FALSE), "")</f>
        <v>2022</v>
      </c>
      <c r="F4335" s="2" t="str">
        <f>IF(A4335&lt;&gt;"", VLOOKUP(A4335, imdb_netflix_v5!A$2:H$7370, 7, FALSE), "")</f>
        <v>NA</v>
      </c>
    </row>
    <row r="4336" ht="15.75" customHeight="1">
      <c r="A4336" s="1" t="str">
        <f>IFERROR(__xludf.DUMMYFUNCTION("""COMPUTED_VALUE"""),"lincoln")</f>
        <v>lincoln</v>
      </c>
      <c r="B4336" s="1" t="str">
        <f>IF(A4336&lt;&gt;"", VLOOKUP(A4336, imdb_netflix_v5!A$2:H$7370, 2, FALSE), "")</f>
        <v>Movie</v>
      </c>
      <c r="C4336" s="2" t="str">
        <f>IF(A4336&lt;&gt;"", VLOOKUP(A4336, imdb_netflix_v5!A$2:H$7370, 3, FALSE), "")</f>
        <v>Biography, Drama, History</v>
      </c>
      <c r="D4336" s="2">
        <f>IF(A4336&lt;&gt;"", VLOOKUP(A4336, imdb_netflix_v5!A$2:H$7370, 4, FALSE), "")</f>
        <v>7.3</v>
      </c>
      <c r="E4336" s="2">
        <f>IF(A4336&lt;&gt;"", VLOOKUP(A4336, imdb_netflix_v5!A$2:H$7370, 5, FALSE), "")</f>
        <v>2012</v>
      </c>
      <c r="F4336" s="2" t="str">
        <f>IF(A4336&lt;&gt;"", VLOOKUP(A4336, imdb_netflix_v5!A$2:H$7370, 7, FALSE), "")</f>
        <v>NA</v>
      </c>
    </row>
    <row r="4337" ht="15.75" customHeight="1">
      <c r="A4337" s="1" t="str">
        <f>IFERROR(__xludf.DUMMYFUNCTION("""COMPUTED_VALUE"""),"cruella")</f>
        <v>cruella</v>
      </c>
      <c r="B4337" s="1" t="str">
        <f>IF(A4337&lt;&gt;"", VLOOKUP(A4337, imdb_netflix_v5!A$2:H$7370, 2, FALSE), "")</f>
        <v>Movie</v>
      </c>
      <c r="C4337" s="2" t="str">
        <f>IF(A4337&lt;&gt;"", VLOOKUP(A4337, imdb_netflix_v5!A$2:H$7370, 3, FALSE), "")</f>
        <v>Adventure, Comedy, Crime</v>
      </c>
      <c r="D4337" s="2">
        <f>IF(A4337&lt;&gt;"", VLOOKUP(A4337, imdb_netflix_v5!A$2:H$7370, 4, FALSE), "")</f>
        <v>7.3</v>
      </c>
      <c r="E4337" s="2">
        <f>IF(A4337&lt;&gt;"", VLOOKUP(A4337, imdb_netflix_v5!A$2:H$7370, 5, FALSE), "")</f>
        <v>2021</v>
      </c>
      <c r="F4337" s="2" t="str">
        <f>IF(A4337&lt;&gt;"", VLOOKUP(A4337, imdb_netflix_v5!A$2:H$7370, 7, FALSE), "")</f>
        <v>NA</v>
      </c>
    </row>
    <row r="4338" ht="15.75" customHeight="1">
      <c r="A4338" s="1" t="str">
        <f>IFERROR(__xludf.DUMMYFUNCTION("""COMPUTED_VALUE"""),"identity")</f>
        <v>identity</v>
      </c>
      <c r="B4338" s="1" t="str">
        <f>IF(A4338&lt;&gt;"", VLOOKUP(A4338, imdb_netflix_v5!A$2:H$7370, 2, FALSE), "")</f>
        <v>Movie</v>
      </c>
      <c r="C4338" s="2" t="str">
        <f>IF(A4338&lt;&gt;"", VLOOKUP(A4338, imdb_netflix_v5!A$2:H$7370, 3, FALSE), "")</f>
        <v>Mystery, Thriller</v>
      </c>
      <c r="D4338" s="2">
        <f>IF(A4338&lt;&gt;"", VLOOKUP(A4338, imdb_netflix_v5!A$2:H$7370, 4, FALSE), "")</f>
        <v>7.3</v>
      </c>
      <c r="E4338" s="2">
        <f>IF(A4338&lt;&gt;"", VLOOKUP(A4338, imdb_netflix_v5!A$2:H$7370, 5, FALSE), "")</f>
        <v>2003</v>
      </c>
      <c r="F4338" s="2" t="str">
        <f>IF(A4338&lt;&gt;"", VLOOKUP(A4338, imdb_netflix_v5!A$2:H$7370, 7, FALSE), "")</f>
        <v>NA</v>
      </c>
    </row>
    <row r="4339" ht="15.75" customHeight="1">
      <c r="A4339" s="1" t="str">
        <f>IFERROR(__xludf.DUMMYFUNCTION("""COMPUTED_VALUE"""),"southpaw")</f>
        <v>southpaw</v>
      </c>
      <c r="B4339" s="1" t="str">
        <f>IF(A4339&lt;&gt;"", VLOOKUP(A4339, imdb_netflix_v5!A$2:H$7370, 2, FALSE), "")</f>
        <v>Movie</v>
      </c>
      <c r="C4339" s="2" t="str">
        <f>IF(A4339&lt;&gt;"", VLOOKUP(A4339, imdb_netflix_v5!A$2:H$7370, 3, FALSE), "")</f>
        <v>Drama, Sport</v>
      </c>
      <c r="D4339" s="2">
        <f>IF(A4339&lt;&gt;"", VLOOKUP(A4339, imdb_netflix_v5!A$2:H$7370, 4, FALSE), "")</f>
        <v>7.3</v>
      </c>
      <c r="E4339" s="2">
        <f>IF(A4339&lt;&gt;"", VLOOKUP(A4339, imdb_netflix_v5!A$2:H$7370, 5, FALSE), "")</f>
        <v>2015</v>
      </c>
      <c r="F4339" s="2" t="str">
        <f>IF(A4339&lt;&gt;"", VLOOKUP(A4339, imdb_netflix_v5!A$2:H$7370, 7, FALSE), "")</f>
        <v>NA</v>
      </c>
    </row>
    <row r="4340" ht="15.75" customHeight="1">
      <c r="A4340" s="1" t="str">
        <f>IFERROR(__xludf.DUMMYFUNCTION("""COMPUTED_VALUE"""),"enemy of the state")</f>
        <v>enemy of the state</v>
      </c>
      <c r="B4340" s="1" t="str">
        <f>IF(A4340&lt;&gt;"", VLOOKUP(A4340, imdb_netflix_v5!A$2:H$7370, 2, FALSE), "")</f>
        <v>Movie</v>
      </c>
      <c r="C4340" s="2" t="str">
        <f>IF(A4340&lt;&gt;"", VLOOKUP(A4340, imdb_netflix_v5!A$2:H$7370, 3, FALSE), "")</f>
        <v>Action, Thriller</v>
      </c>
      <c r="D4340" s="2">
        <f>IF(A4340&lt;&gt;"", VLOOKUP(A4340, imdb_netflix_v5!A$2:H$7370, 4, FALSE), "")</f>
        <v>7.3</v>
      </c>
      <c r="E4340" s="2">
        <f>IF(A4340&lt;&gt;"", VLOOKUP(A4340, imdb_netflix_v5!A$2:H$7370, 5, FALSE), "")</f>
        <v>1998</v>
      </c>
      <c r="F4340" s="2" t="str">
        <f>IF(A4340&lt;&gt;"", VLOOKUP(A4340, imdb_netflix_v5!A$2:H$7370, 7, FALSE), "")</f>
        <v>NA</v>
      </c>
    </row>
    <row r="4341" ht="15.75" customHeight="1">
      <c r="A4341" s="1" t="str">
        <f>IFERROR(__xludf.DUMMYFUNCTION("""COMPUTED_VALUE"""),"hercules")</f>
        <v>hercules</v>
      </c>
      <c r="B4341" s="1" t="str">
        <f>IF(A4341&lt;&gt;"", VLOOKUP(A4341, imdb_netflix_v5!A$2:H$7370, 2, FALSE), "")</f>
        <v>Movie</v>
      </c>
      <c r="C4341" s="2" t="str">
        <f>IF(A4341&lt;&gt;"", VLOOKUP(A4341, imdb_netflix_v5!A$2:H$7370, 3, FALSE), "")</f>
        <v>Action, Adventure, Animation</v>
      </c>
      <c r="D4341" s="2">
        <f>IF(A4341&lt;&gt;"", VLOOKUP(A4341, imdb_netflix_v5!A$2:H$7370, 4, FALSE), "")</f>
        <v>7.3</v>
      </c>
      <c r="E4341" s="2">
        <f>IF(A4341&lt;&gt;"", VLOOKUP(A4341, imdb_netflix_v5!A$2:H$7370, 5, FALSE), "")</f>
        <v>1997</v>
      </c>
      <c r="F4341" s="2" t="str">
        <f>IF(A4341&lt;&gt;"", VLOOKUP(A4341, imdb_netflix_v5!A$2:H$7370, 7, FALSE), "")</f>
        <v>NA</v>
      </c>
    </row>
    <row r="4342" ht="15.75" customHeight="1">
      <c r="A4342" s="1" t="str">
        <f>IFERROR(__xludf.DUMMYFUNCTION("""COMPUTED_VALUE"""),"gremlins")</f>
        <v>gremlins</v>
      </c>
      <c r="B4342" s="1" t="str">
        <f>IF(A4342&lt;&gt;"", VLOOKUP(A4342, imdb_netflix_v5!A$2:H$7370, 2, FALSE), "")</f>
        <v>Movie</v>
      </c>
      <c r="C4342" s="2" t="str">
        <f>IF(A4342&lt;&gt;"", VLOOKUP(A4342, imdb_netflix_v5!A$2:H$7370, 3, FALSE), "")</f>
        <v>Comedy, Fantasy, Horror</v>
      </c>
      <c r="D4342" s="2">
        <f>IF(A4342&lt;&gt;"", VLOOKUP(A4342, imdb_netflix_v5!A$2:H$7370, 4, FALSE), "")</f>
        <v>7.3</v>
      </c>
      <c r="E4342" s="2">
        <f>IF(A4342&lt;&gt;"", VLOOKUP(A4342, imdb_netflix_v5!A$2:H$7370, 5, FALSE), "")</f>
        <v>1984</v>
      </c>
      <c r="F4342" s="2" t="str">
        <f>IF(A4342&lt;&gt;"", VLOOKUP(A4342, imdb_netflix_v5!A$2:H$7370, 7, FALSE), "")</f>
        <v>NA</v>
      </c>
    </row>
    <row r="4343" ht="15.75" customHeight="1">
      <c r="A4343" s="1" t="str">
        <f>IFERROR(__xludf.DUMMYFUNCTION("""COMPUTED_VALUE"""),"the descendants")</f>
        <v>the descendants</v>
      </c>
      <c r="B4343" s="1" t="str">
        <f>IF(A4343&lt;&gt;"", VLOOKUP(A4343, imdb_netflix_v5!A$2:H$7370, 2, FALSE), "")</f>
        <v>Movie</v>
      </c>
      <c r="C4343" s="2" t="str">
        <f>IF(A4343&lt;&gt;"", VLOOKUP(A4343, imdb_netflix_v5!A$2:H$7370, 3, FALSE), "")</f>
        <v>Comedy, Drama</v>
      </c>
      <c r="D4343" s="2">
        <f>IF(A4343&lt;&gt;"", VLOOKUP(A4343, imdb_netflix_v5!A$2:H$7370, 4, FALSE), "")</f>
        <v>7.3</v>
      </c>
      <c r="E4343" s="2">
        <f>IF(A4343&lt;&gt;"", VLOOKUP(A4343, imdb_netflix_v5!A$2:H$7370, 5, FALSE), "")</f>
        <v>2011</v>
      </c>
      <c r="F4343" s="2" t="str">
        <f>IF(A4343&lt;&gt;"", VLOOKUP(A4343, imdb_netflix_v5!A$2:H$7370, 7, FALSE), "")</f>
        <v>NA</v>
      </c>
    </row>
    <row r="4344" ht="15.75" customHeight="1">
      <c r="A4344" s="1" t="str">
        <f>IFERROR(__xludf.DUMMYFUNCTION("""COMPUTED_VALUE"""),"tarzan")</f>
        <v>tarzan</v>
      </c>
      <c r="B4344" s="1" t="str">
        <f>IF(A4344&lt;&gt;"", VLOOKUP(A4344, imdb_netflix_v5!A$2:H$7370, 2, FALSE), "")</f>
        <v>Movie</v>
      </c>
      <c r="C4344" s="2" t="str">
        <f>IF(A4344&lt;&gt;"", VLOOKUP(A4344, imdb_netflix_v5!A$2:H$7370, 3, FALSE), "")</f>
        <v>Adventure, Animation, Comedy</v>
      </c>
      <c r="D4344" s="2">
        <f>IF(A4344&lt;&gt;"", VLOOKUP(A4344, imdb_netflix_v5!A$2:H$7370, 4, FALSE), "")</f>
        <v>7.3</v>
      </c>
      <c r="E4344" s="2">
        <f>IF(A4344&lt;&gt;"", VLOOKUP(A4344, imdb_netflix_v5!A$2:H$7370, 5, FALSE), "")</f>
        <v>1999</v>
      </c>
      <c r="F4344" s="2" t="str">
        <f>IF(A4344&lt;&gt;"", VLOOKUP(A4344, imdb_netflix_v5!A$2:H$7370, 7, FALSE), "")</f>
        <v>NA</v>
      </c>
    </row>
    <row r="4345" ht="15.75" customHeight="1">
      <c r="A4345" s="1" t="str">
        <f>IFERROR(__xludf.DUMMYFUNCTION("""COMPUTED_VALUE"""),"the karate kid")</f>
        <v>the karate kid</v>
      </c>
      <c r="B4345" s="1" t="str">
        <f>IF(A4345&lt;&gt;"", VLOOKUP(A4345, imdb_netflix_v5!A$2:H$7370, 2, FALSE), "")</f>
        <v>Movie</v>
      </c>
      <c r="C4345" s="2" t="str">
        <f>IF(A4345&lt;&gt;"", VLOOKUP(A4345, imdb_netflix_v5!A$2:H$7370, 3, FALSE), "")</f>
        <v>Action, Drama, Family</v>
      </c>
      <c r="D4345" s="2">
        <f>IF(A4345&lt;&gt;"", VLOOKUP(A4345, imdb_netflix_v5!A$2:H$7370, 4, FALSE), "")</f>
        <v>7.3</v>
      </c>
      <c r="E4345" s="2">
        <f>IF(A4345&lt;&gt;"", VLOOKUP(A4345, imdb_netflix_v5!A$2:H$7370, 5, FALSE), "")</f>
        <v>1984</v>
      </c>
      <c r="F4345" s="2" t="str">
        <f>IF(A4345&lt;&gt;"", VLOOKUP(A4345, imdb_netflix_v5!A$2:H$7370, 7, FALSE), "")</f>
        <v>NA</v>
      </c>
    </row>
    <row r="4346" ht="15.75" customHeight="1">
      <c r="A4346" s="1" t="str">
        <f>IFERROR(__xludf.DUMMYFUNCTION("""COMPUTED_VALUE"""),"big")</f>
        <v>big</v>
      </c>
      <c r="B4346" s="1" t="str">
        <f>IF(A4346&lt;&gt;"", VLOOKUP(A4346, imdb_netflix_v5!A$2:H$7370, 2, FALSE), "")</f>
        <v>Movie</v>
      </c>
      <c r="C4346" s="2" t="str">
        <f>IF(A4346&lt;&gt;"", VLOOKUP(A4346, imdb_netflix_v5!A$2:H$7370, 3, FALSE), "")</f>
        <v>Comedy, Drama, Fantasy</v>
      </c>
      <c r="D4346" s="2">
        <f>IF(A4346&lt;&gt;"", VLOOKUP(A4346, imdb_netflix_v5!A$2:H$7370, 4, FALSE), "")</f>
        <v>7.3</v>
      </c>
      <c r="E4346" s="2">
        <f>IF(A4346&lt;&gt;"", VLOOKUP(A4346, imdb_netflix_v5!A$2:H$7370, 5, FALSE), "")</f>
        <v>1988</v>
      </c>
      <c r="F4346" s="2" t="str">
        <f>IF(A4346&lt;&gt;"", VLOOKUP(A4346, imdb_netflix_v5!A$2:H$7370, 7, FALSE), "")</f>
        <v>NA</v>
      </c>
    </row>
    <row r="4347" ht="15.75" customHeight="1">
      <c r="A4347" s="1" t="str">
        <f>IFERROR(__xludf.DUMMYFUNCTION("""COMPUTED_VALUE"""),"elvis")</f>
        <v>elvis</v>
      </c>
      <c r="B4347" s="1" t="str">
        <f>IF(A4347&lt;&gt;"", VLOOKUP(A4347, imdb_netflix_v5!A$2:H$7370, 2, FALSE), "")</f>
        <v>Movie</v>
      </c>
      <c r="C4347" s="2" t="str">
        <f>IF(A4347&lt;&gt;"", VLOOKUP(A4347, imdb_netflix_v5!A$2:H$7370, 3, FALSE), "")</f>
        <v>Biography, Drama, Music</v>
      </c>
      <c r="D4347" s="2">
        <f>IF(A4347&lt;&gt;"", VLOOKUP(A4347, imdb_netflix_v5!A$2:H$7370, 4, FALSE), "")</f>
        <v>7.3</v>
      </c>
      <c r="E4347" s="2">
        <f>IF(A4347&lt;&gt;"", VLOOKUP(A4347, imdb_netflix_v5!A$2:H$7370, 5, FALSE), "")</f>
        <v>2022</v>
      </c>
      <c r="F4347" s="2" t="str">
        <f>IF(A4347&lt;&gt;"", VLOOKUP(A4347, imdb_netflix_v5!A$2:H$7370, 7, FALSE), "")</f>
        <v>NA</v>
      </c>
    </row>
    <row r="4348" ht="15.75" customHeight="1">
      <c r="A4348" s="1" t="str">
        <f>IFERROR(__xludf.DUMMYFUNCTION("""COMPUTED_VALUE"""),"chef")</f>
        <v>chef</v>
      </c>
      <c r="B4348" s="1" t="str">
        <f>IF(A4348&lt;&gt;"", VLOOKUP(A4348, imdb_netflix_v5!A$2:H$7370, 2, FALSE), "")</f>
        <v>Movie</v>
      </c>
      <c r="C4348" s="2" t="str">
        <f>IF(A4348&lt;&gt;"", VLOOKUP(A4348, imdb_netflix_v5!A$2:H$7370, 3, FALSE), "")</f>
        <v>Adventure, Comedy, Drama</v>
      </c>
      <c r="D4348" s="2">
        <f>IF(A4348&lt;&gt;"", VLOOKUP(A4348, imdb_netflix_v5!A$2:H$7370, 4, FALSE), "")</f>
        <v>7.3</v>
      </c>
      <c r="E4348" s="2">
        <f>IF(A4348&lt;&gt;"", VLOOKUP(A4348, imdb_netflix_v5!A$2:H$7370, 5, FALSE), "")</f>
        <v>2014</v>
      </c>
      <c r="F4348" s="2" t="str">
        <f>IF(A4348&lt;&gt;"", VLOOKUP(A4348, imdb_netflix_v5!A$2:H$7370, 7, FALSE), "")</f>
        <v>NA</v>
      </c>
    </row>
    <row r="4349" ht="15.75" customHeight="1">
      <c r="A4349" s="1" t="str">
        <f>IFERROR(__xludf.DUMMYFUNCTION("""COMPUTED_VALUE"""),"rocky ii")</f>
        <v>rocky ii</v>
      </c>
      <c r="B4349" s="1" t="str">
        <f>IF(A4349&lt;&gt;"", VLOOKUP(A4349, imdb_netflix_v5!A$2:H$7370, 2, FALSE), "")</f>
        <v>Movie</v>
      </c>
      <c r="C4349" s="2" t="str">
        <f>IF(A4349&lt;&gt;"", VLOOKUP(A4349, imdb_netflix_v5!A$2:H$7370, 3, FALSE), "")</f>
        <v>Drama, Sport</v>
      </c>
      <c r="D4349" s="2">
        <f>IF(A4349&lt;&gt;"", VLOOKUP(A4349, imdb_netflix_v5!A$2:H$7370, 4, FALSE), "")</f>
        <v>7.3</v>
      </c>
      <c r="E4349" s="2">
        <f>IF(A4349&lt;&gt;"", VLOOKUP(A4349, imdb_netflix_v5!A$2:H$7370, 5, FALSE), "")</f>
        <v>1979</v>
      </c>
      <c r="F4349" s="2" t="str">
        <f>IF(A4349&lt;&gt;"", VLOOKUP(A4349, imdb_netflix_v5!A$2:H$7370, 7, FALSE), "")</f>
        <v>NA</v>
      </c>
    </row>
    <row r="4350" ht="15.75" customHeight="1">
      <c r="A4350" s="1" t="str">
        <f>IFERROR(__xludf.DUMMYFUNCTION("""COMPUTED_VALUE"""),"dogma")</f>
        <v>dogma</v>
      </c>
      <c r="B4350" s="1" t="str">
        <f>IF(A4350&lt;&gt;"", VLOOKUP(A4350, imdb_netflix_v5!A$2:H$7370, 2, FALSE), "")</f>
        <v>Movie</v>
      </c>
      <c r="C4350" s="2" t="str">
        <f>IF(A4350&lt;&gt;"", VLOOKUP(A4350, imdb_netflix_v5!A$2:H$7370, 3, FALSE), "")</f>
        <v>Adventure, Comedy, Drama</v>
      </c>
      <c r="D4350" s="2">
        <f>IF(A4350&lt;&gt;"", VLOOKUP(A4350, imdb_netflix_v5!A$2:H$7370, 4, FALSE), "")</f>
        <v>7.3</v>
      </c>
      <c r="E4350" s="2">
        <f>IF(A4350&lt;&gt;"", VLOOKUP(A4350, imdb_netflix_v5!A$2:H$7370, 5, FALSE), "")</f>
        <v>1999</v>
      </c>
      <c r="F4350" s="2" t="str">
        <f>IF(A4350&lt;&gt;"", VLOOKUP(A4350, imdb_netflix_v5!A$2:H$7370, 7, FALSE), "")</f>
        <v>NA</v>
      </c>
    </row>
    <row r="4351" ht="15.75" customHeight="1">
      <c r="A4351" s="1" t="str">
        <f>IFERROR(__xludf.DUMMYFUNCTION("""COMPUTED_VALUE"""),"revolutionary road")</f>
        <v>revolutionary road</v>
      </c>
      <c r="B4351" s="1" t="str">
        <f>IF(A4351&lt;&gt;"", VLOOKUP(A4351, imdb_netflix_v5!A$2:H$7370, 2, FALSE), "")</f>
        <v>Movie</v>
      </c>
      <c r="C4351" s="2" t="str">
        <f>IF(A4351&lt;&gt;"", VLOOKUP(A4351, imdb_netflix_v5!A$2:H$7370, 3, FALSE), "")</f>
        <v>Drama, Romance</v>
      </c>
      <c r="D4351" s="2">
        <f>IF(A4351&lt;&gt;"", VLOOKUP(A4351, imdb_netflix_v5!A$2:H$7370, 4, FALSE), "")</f>
        <v>7.3</v>
      </c>
      <c r="E4351" s="2">
        <f>IF(A4351&lt;&gt;"", VLOOKUP(A4351, imdb_netflix_v5!A$2:H$7370, 5, FALSE), "")</f>
        <v>2008</v>
      </c>
      <c r="F4351" s="2" t="str">
        <f>IF(A4351&lt;&gt;"", VLOOKUP(A4351, imdb_netflix_v5!A$2:H$7370, 7, FALSE), "")</f>
        <v>NA</v>
      </c>
    </row>
    <row r="4352" ht="15.75" customHeight="1">
      <c r="A4352" s="1" t="str">
        <f>IFERROR(__xludf.DUMMYFUNCTION("""COMPUTED_VALUE"""),"doctor sleep")</f>
        <v>doctor sleep</v>
      </c>
      <c r="B4352" s="1" t="str">
        <f>IF(A4352&lt;&gt;"", VLOOKUP(A4352, imdb_netflix_v5!A$2:H$7370, 2, FALSE), "")</f>
        <v>Movie</v>
      </c>
      <c r="C4352" s="2" t="str">
        <f>IF(A4352&lt;&gt;"", VLOOKUP(A4352, imdb_netflix_v5!A$2:H$7370, 3, FALSE), "")</f>
        <v>Drama, Fantasy, Horror</v>
      </c>
      <c r="D4352" s="2">
        <f>IF(A4352&lt;&gt;"", VLOOKUP(A4352, imdb_netflix_v5!A$2:H$7370, 4, FALSE), "")</f>
        <v>7.3</v>
      </c>
      <c r="E4352" s="2">
        <f>IF(A4352&lt;&gt;"", VLOOKUP(A4352, imdb_netflix_v5!A$2:H$7370, 5, FALSE), "")</f>
        <v>2019</v>
      </c>
      <c r="F4352" s="2" t="str">
        <f>IF(A4352&lt;&gt;"", VLOOKUP(A4352, imdb_netflix_v5!A$2:H$7370, 7, FALSE), "")</f>
        <v>NA</v>
      </c>
    </row>
    <row r="4353" ht="15.75" customHeight="1">
      <c r="A4353" s="1" t="str">
        <f>IFERROR(__xludf.DUMMYFUNCTION("""COMPUTED_VALUE"""),"a walk to remember")</f>
        <v>a walk to remember</v>
      </c>
      <c r="B4353" s="1" t="str">
        <f>IF(A4353&lt;&gt;"", VLOOKUP(A4353, imdb_netflix_v5!A$2:H$7370, 2, FALSE), "")</f>
        <v>Movie</v>
      </c>
      <c r="C4353" s="2" t="str">
        <f>IF(A4353&lt;&gt;"", VLOOKUP(A4353, imdb_netflix_v5!A$2:H$7370, 3, FALSE), "")</f>
        <v>Drama, Romance</v>
      </c>
      <c r="D4353" s="2">
        <f>IF(A4353&lt;&gt;"", VLOOKUP(A4353, imdb_netflix_v5!A$2:H$7370, 4, FALSE), "")</f>
        <v>7.3</v>
      </c>
      <c r="E4353" s="2">
        <f>IF(A4353&lt;&gt;"", VLOOKUP(A4353, imdb_netflix_v5!A$2:H$7370, 5, FALSE), "")</f>
        <v>2002</v>
      </c>
      <c r="F4353" s="2" t="str">
        <f>IF(A4353&lt;&gt;"", VLOOKUP(A4353, imdb_netflix_v5!A$2:H$7370, 7, FALSE), "")</f>
        <v>NA</v>
      </c>
    </row>
    <row r="4354" ht="15.75" customHeight="1">
      <c r="A4354" s="1" t="str">
        <f>IFERROR(__xludf.DUMMYFUNCTION("""COMPUTED_VALUE"""),"girl, interrupted")</f>
        <v>girl, interrupted</v>
      </c>
      <c r="B4354" s="1" t="str">
        <f>IF(A4354&lt;&gt;"", VLOOKUP(A4354, imdb_netflix_v5!A$2:H$7370, 2, FALSE), "")</f>
        <v>Movie</v>
      </c>
      <c r="C4354" s="2" t="str">
        <f>IF(A4354&lt;&gt;"", VLOOKUP(A4354, imdb_netflix_v5!A$2:H$7370, 3, FALSE), "")</f>
        <v>Biography, Drama</v>
      </c>
      <c r="D4354" s="2">
        <f>IF(A4354&lt;&gt;"", VLOOKUP(A4354, imdb_netflix_v5!A$2:H$7370, 4, FALSE), "")</f>
        <v>7.3</v>
      </c>
      <c r="E4354" s="2">
        <f>IF(A4354&lt;&gt;"", VLOOKUP(A4354, imdb_netflix_v5!A$2:H$7370, 5, FALSE), "")</f>
        <v>1999</v>
      </c>
      <c r="F4354" s="2" t="str">
        <f>IF(A4354&lt;&gt;"", VLOOKUP(A4354, imdb_netflix_v5!A$2:H$7370, 7, FALSE), "")</f>
        <v>NA</v>
      </c>
    </row>
    <row r="4355" ht="15.75" customHeight="1">
      <c r="A4355" s="1" t="str">
        <f>IFERROR(__xludf.DUMMYFUNCTION("""COMPUTED_VALUE"""),"lilo &amp; stitch")</f>
        <v>lilo &amp; stitch</v>
      </c>
      <c r="B4355" s="1" t="str">
        <f>IF(A4355&lt;&gt;"", VLOOKUP(A4355, imdb_netflix_v5!A$2:H$7370, 2, FALSE), "")</f>
        <v>Movie</v>
      </c>
      <c r="C4355" s="2" t="str">
        <f>IF(A4355&lt;&gt;"", VLOOKUP(A4355, imdb_netflix_v5!A$2:H$7370, 3, FALSE), "")</f>
        <v>Adventure, Animation, Comedy</v>
      </c>
      <c r="D4355" s="2">
        <f>IF(A4355&lt;&gt;"", VLOOKUP(A4355, imdb_netflix_v5!A$2:H$7370, 4, FALSE), "")</f>
        <v>7.3</v>
      </c>
      <c r="E4355" s="2">
        <f>IF(A4355&lt;&gt;"", VLOOKUP(A4355, imdb_netflix_v5!A$2:H$7370, 5, FALSE), "")</f>
        <v>2002</v>
      </c>
      <c r="F4355" s="2" t="str">
        <f>IF(A4355&lt;&gt;"", VLOOKUP(A4355, imdb_netflix_v5!A$2:H$7370, 7, FALSE), "")</f>
        <v>NA</v>
      </c>
    </row>
    <row r="4356" ht="15.75" customHeight="1">
      <c r="A4356" s="1" t="str">
        <f>IFERROR(__xludf.DUMMYFUNCTION("""COMPUTED_VALUE"""),"blue valentine")</f>
        <v>blue valentine</v>
      </c>
      <c r="B4356" s="1" t="str">
        <f>IF(A4356&lt;&gt;"", VLOOKUP(A4356, imdb_netflix_v5!A$2:H$7370, 2, FALSE), "")</f>
        <v>Movie</v>
      </c>
      <c r="C4356" s="2" t="str">
        <f>IF(A4356&lt;&gt;"", VLOOKUP(A4356, imdb_netflix_v5!A$2:H$7370, 3, FALSE), "")</f>
        <v>Drama, Romance</v>
      </c>
      <c r="D4356" s="2">
        <f>IF(A4356&lt;&gt;"", VLOOKUP(A4356, imdb_netflix_v5!A$2:H$7370, 4, FALSE), "")</f>
        <v>7.3</v>
      </c>
      <c r="E4356" s="2">
        <f>IF(A4356&lt;&gt;"", VLOOKUP(A4356, imdb_netflix_v5!A$2:H$7370, 5, FALSE), "")</f>
        <v>2010</v>
      </c>
      <c r="F4356" s="2" t="str">
        <f>IF(A4356&lt;&gt;"", VLOOKUP(A4356, imdb_netflix_v5!A$2:H$7370, 7, FALSE), "")</f>
        <v>NA</v>
      </c>
    </row>
    <row r="4357" ht="15.75" customHeight="1">
      <c r="A4357" s="1" t="str">
        <f>IFERROR(__xludf.DUMMYFUNCTION("""COMPUTED_VALUE"""),"blue jasmine")</f>
        <v>blue jasmine</v>
      </c>
      <c r="B4357" s="1" t="str">
        <f>IF(A4357&lt;&gt;"", VLOOKUP(A4357, imdb_netflix_v5!A$2:H$7370, 2, FALSE), "")</f>
        <v>Movie</v>
      </c>
      <c r="C4357" s="2" t="str">
        <f>IF(A4357&lt;&gt;"", VLOOKUP(A4357, imdb_netflix_v5!A$2:H$7370, 3, FALSE), "")</f>
        <v>Comedy, Drama, Romance</v>
      </c>
      <c r="D4357" s="2">
        <f>IF(A4357&lt;&gt;"", VLOOKUP(A4357, imdb_netflix_v5!A$2:H$7370, 4, FALSE), "")</f>
        <v>7.3</v>
      </c>
      <c r="E4357" s="2">
        <f>IF(A4357&lt;&gt;"", VLOOKUP(A4357, imdb_netflix_v5!A$2:H$7370, 5, FALSE), "")</f>
        <v>2013</v>
      </c>
      <c r="F4357" s="2" t="str">
        <f>IF(A4357&lt;&gt;"", VLOOKUP(A4357, imdb_netflix_v5!A$2:H$7370, 7, FALSE), "")</f>
        <v>NA</v>
      </c>
    </row>
    <row r="4358" ht="15.75" customHeight="1">
      <c r="A4358" s="1" t="str">
        <f>IFERROR(__xludf.DUMMYFUNCTION("""COMPUTED_VALUE"""),"the next three days")</f>
        <v>the next three days</v>
      </c>
      <c r="B4358" s="1" t="str">
        <f>IF(A4358&lt;&gt;"", VLOOKUP(A4358, imdb_netflix_v5!A$2:H$7370, 2, FALSE), "")</f>
        <v>Movie</v>
      </c>
      <c r="C4358" s="2" t="str">
        <f>IF(A4358&lt;&gt;"", VLOOKUP(A4358, imdb_netflix_v5!A$2:H$7370, 3, FALSE), "")</f>
        <v>Action, Crime, Drama</v>
      </c>
      <c r="D4358" s="2">
        <f>IF(A4358&lt;&gt;"", VLOOKUP(A4358, imdb_netflix_v5!A$2:H$7370, 4, FALSE), "")</f>
        <v>7.3</v>
      </c>
      <c r="E4358" s="2">
        <f>IF(A4358&lt;&gt;"", VLOOKUP(A4358, imdb_netflix_v5!A$2:H$7370, 5, FALSE), "")</f>
        <v>2010</v>
      </c>
      <c r="F4358" s="2" t="str">
        <f>IF(A4358&lt;&gt;"", VLOOKUP(A4358, imdb_netflix_v5!A$2:H$7370, 7, FALSE), "")</f>
        <v>NA</v>
      </c>
    </row>
    <row r="4359" ht="15.75" customHeight="1">
      <c r="A4359" s="1" t="str">
        <f>IFERROR(__xludf.DUMMYFUNCTION("""COMPUTED_VALUE"""),"point break")</f>
        <v>point break</v>
      </c>
      <c r="B4359" s="1" t="str">
        <f>IF(A4359&lt;&gt;"", VLOOKUP(A4359, imdb_netflix_v5!A$2:H$7370, 2, FALSE), "")</f>
        <v>Movie</v>
      </c>
      <c r="C4359" s="2" t="str">
        <f>IF(A4359&lt;&gt;"", VLOOKUP(A4359, imdb_netflix_v5!A$2:H$7370, 3, FALSE), "")</f>
        <v>Action, Crime, Thriller</v>
      </c>
      <c r="D4359" s="2">
        <f>IF(A4359&lt;&gt;"", VLOOKUP(A4359, imdb_netflix_v5!A$2:H$7370, 4, FALSE), "")</f>
        <v>7.3</v>
      </c>
      <c r="E4359" s="2">
        <f>IF(A4359&lt;&gt;"", VLOOKUP(A4359, imdb_netflix_v5!A$2:H$7370, 5, FALSE), "")</f>
        <v>1991</v>
      </c>
      <c r="F4359" s="2" t="str">
        <f>IF(A4359&lt;&gt;"", VLOOKUP(A4359, imdb_netflix_v5!A$2:H$7370, 7, FALSE), "")</f>
        <v>NA</v>
      </c>
    </row>
    <row r="4360" ht="15.75" customHeight="1">
      <c r="A4360" s="1" t="str">
        <f>IFERROR(__xludf.DUMMYFUNCTION("""COMPUTED_VALUE"""),"first man")</f>
        <v>first man</v>
      </c>
      <c r="B4360" s="1" t="str">
        <f>IF(A4360&lt;&gt;"", VLOOKUP(A4360, imdb_netflix_v5!A$2:H$7370, 2, FALSE), "")</f>
        <v>Movie</v>
      </c>
      <c r="C4360" s="2" t="str">
        <f>IF(A4360&lt;&gt;"", VLOOKUP(A4360, imdb_netflix_v5!A$2:H$7370, 3, FALSE), "")</f>
        <v>Biography, Drama, History</v>
      </c>
      <c r="D4360" s="2">
        <f>IF(A4360&lt;&gt;"", VLOOKUP(A4360, imdb_netflix_v5!A$2:H$7370, 4, FALSE), "")</f>
        <v>7.3</v>
      </c>
      <c r="E4360" s="2">
        <f>IF(A4360&lt;&gt;"", VLOOKUP(A4360, imdb_netflix_v5!A$2:H$7370, 5, FALSE), "")</f>
        <v>2018</v>
      </c>
      <c r="F4360" s="2" t="str">
        <f>IF(A4360&lt;&gt;"", VLOOKUP(A4360, imdb_netflix_v5!A$2:H$7370, 7, FALSE), "")</f>
        <v>NA</v>
      </c>
    </row>
    <row r="4361" ht="15.75" customHeight="1">
      <c r="A4361" s="1" t="str">
        <f>IFERROR(__xludf.DUMMYFUNCTION("""COMPUTED_VALUE"""),"rocketman")</f>
        <v>rocketman</v>
      </c>
      <c r="B4361" s="1" t="str">
        <f>IF(A4361&lt;&gt;"", VLOOKUP(A4361, imdb_netflix_v5!A$2:H$7370, 2, FALSE), "")</f>
        <v>Movie</v>
      </c>
      <c r="C4361" s="2" t="str">
        <f>IF(A4361&lt;&gt;"", VLOOKUP(A4361, imdb_netflix_v5!A$2:H$7370, 3, FALSE), "")</f>
        <v>Biography, Drama, Music</v>
      </c>
      <c r="D4361" s="2">
        <f>IF(A4361&lt;&gt;"", VLOOKUP(A4361, imdb_netflix_v5!A$2:H$7370, 4, FALSE), "")</f>
        <v>7.3</v>
      </c>
      <c r="E4361" s="2">
        <f>IF(A4361&lt;&gt;"", VLOOKUP(A4361, imdb_netflix_v5!A$2:H$7370, 5, FALSE), "")</f>
        <v>2019</v>
      </c>
      <c r="F4361" s="2" t="str">
        <f>IF(A4361&lt;&gt;"", VLOOKUP(A4361, imdb_netflix_v5!A$2:H$7370, 7, FALSE), "")</f>
        <v>NA</v>
      </c>
    </row>
    <row r="4362" ht="15.75" customHeight="1">
      <c r="A4362" s="1" t="str">
        <f>IFERROR(__xludf.DUMMYFUNCTION("""COMPUTED_VALUE"""),"layer cake")</f>
        <v>layer cake</v>
      </c>
      <c r="B4362" s="1" t="str">
        <f>IF(A4362&lt;&gt;"", VLOOKUP(A4362, imdb_netflix_v5!A$2:H$7370, 2, FALSE), "")</f>
        <v>Movie</v>
      </c>
      <c r="C4362" s="2" t="str">
        <f>IF(A4362&lt;&gt;"", VLOOKUP(A4362, imdb_netflix_v5!A$2:H$7370, 3, FALSE), "")</f>
        <v>Crime, Drama, Thriller</v>
      </c>
      <c r="D4362" s="2">
        <f>IF(A4362&lt;&gt;"", VLOOKUP(A4362, imdb_netflix_v5!A$2:H$7370, 4, FALSE), "")</f>
        <v>7.3</v>
      </c>
      <c r="E4362" s="2">
        <f>IF(A4362&lt;&gt;"", VLOOKUP(A4362, imdb_netflix_v5!A$2:H$7370, 5, FALSE), "")</f>
        <v>2004</v>
      </c>
      <c r="F4362" s="2" t="str">
        <f>IF(A4362&lt;&gt;"", VLOOKUP(A4362, imdb_netflix_v5!A$2:H$7370, 7, FALSE), "")</f>
        <v>NA</v>
      </c>
    </row>
    <row r="4363" ht="15.75" customHeight="1">
      <c r="A4363" s="1" t="str">
        <f>IFERROR(__xludf.DUMMYFUNCTION("""COMPUTED_VALUE"""),"lethal weapon 2")</f>
        <v>lethal weapon 2</v>
      </c>
      <c r="B4363" s="1" t="str">
        <f>IF(A4363&lt;&gt;"", VLOOKUP(A4363, imdb_netflix_v5!A$2:H$7370, 2, FALSE), "")</f>
        <v>Movie</v>
      </c>
      <c r="C4363" s="2" t="str">
        <f>IF(A4363&lt;&gt;"", VLOOKUP(A4363, imdb_netflix_v5!A$2:H$7370, 3, FALSE), "")</f>
        <v>Action, Crime, Thriller</v>
      </c>
      <c r="D4363" s="2">
        <f>IF(A4363&lt;&gt;"", VLOOKUP(A4363, imdb_netflix_v5!A$2:H$7370, 4, FALSE), "")</f>
        <v>7.3</v>
      </c>
      <c r="E4363" s="2">
        <f>IF(A4363&lt;&gt;"", VLOOKUP(A4363, imdb_netflix_v5!A$2:H$7370, 5, FALSE), "")</f>
        <v>1989</v>
      </c>
      <c r="F4363" s="2" t="str">
        <f>IF(A4363&lt;&gt;"", VLOOKUP(A4363, imdb_netflix_v5!A$2:H$7370, 7, FALSE), "")</f>
        <v>NA</v>
      </c>
    </row>
    <row r="4364" ht="15.75" customHeight="1">
      <c r="A4364" s="1" t="str">
        <f>IFERROR(__xludf.DUMMYFUNCTION("""COMPUTED_VALUE"""),"triangle of sadness")</f>
        <v>triangle of sadness</v>
      </c>
      <c r="B4364" s="1" t="str">
        <f>IF(A4364&lt;&gt;"", VLOOKUP(A4364, imdb_netflix_v5!A$2:H$7370, 2, FALSE), "")</f>
        <v>Movie</v>
      </c>
      <c r="C4364" s="2" t="str">
        <f>IF(A4364&lt;&gt;"", VLOOKUP(A4364, imdb_netflix_v5!A$2:H$7370, 3, FALSE), "")</f>
        <v>Comedy, Drama</v>
      </c>
      <c r="D4364" s="2">
        <f>IF(A4364&lt;&gt;"", VLOOKUP(A4364, imdb_netflix_v5!A$2:H$7370, 4, FALSE), "")</f>
        <v>7.3</v>
      </c>
      <c r="E4364" s="2">
        <f>IF(A4364&lt;&gt;"", VLOOKUP(A4364, imdb_netflix_v5!A$2:H$7370, 5, FALSE), "")</f>
        <v>2022</v>
      </c>
      <c r="F4364" s="2" t="str">
        <f>IF(A4364&lt;&gt;"", VLOOKUP(A4364, imdb_netflix_v5!A$2:H$7370, 7, FALSE), "")</f>
        <v>NA</v>
      </c>
    </row>
    <row r="4365" ht="15.75" customHeight="1">
      <c r="A4365" s="1" t="str">
        <f>IFERROR(__xludf.DUMMYFUNCTION("""COMPUTED_VALUE"""),"the last duel")</f>
        <v>the last duel</v>
      </c>
      <c r="B4365" s="1" t="str">
        <f>IF(A4365&lt;&gt;"", VLOOKUP(A4365, imdb_netflix_v5!A$2:H$7370, 2, FALSE), "")</f>
        <v>Movie</v>
      </c>
      <c r="C4365" s="2" t="str">
        <f>IF(A4365&lt;&gt;"", VLOOKUP(A4365, imdb_netflix_v5!A$2:H$7370, 3, FALSE), "")</f>
        <v>Drama, History, Thriller</v>
      </c>
      <c r="D4365" s="2">
        <f>IF(A4365&lt;&gt;"", VLOOKUP(A4365, imdb_netflix_v5!A$2:H$7370, 4, FALSE), "")</f>
        <v>7.3</v>
      </c>
      <c r="E4365" s="2">
        <f>IF(A4365&lt;&gt;"", VLOOKUP(A4365, imdb_netflix_v5!A$2:H$7370, 5, FALSE), "")</f>
        <v>2021</v>
      </c>
      <c r="F4365" s="2" t="str">
        <f>IF(A4365&lt;&gt;"", VLOOKUP(A4365, imdb_netflix_v5!A$2:H$7370, 7, FALSE), "")</f>
        <v>NA</v>
      </c>
    </row>
    <row r="4366" ht="15.75" customHeight="1">
      <c r="A4366" s="1" t="str">
        <f>IFERROR(__xludf.DUMMYFUNCTION("""COMPUTED_VALUE"""),"nomadland")</f>
        <v>nomadland</v>
      </c>
      <c r="B4366" s="1" t="str">
        <f>IF(A4366&lt;&gt;"", VLOOKUP(A4366, imdb_netflix_v5!A$2:H$7370, 2, FALSE), "")</f>
        <v>Movie</v>
      </c>
      <c r="C4366" s="2" t="str">
        <f>IF(A4366&lt;&gt;"", VLOOKUP(A4366, imdb_netflix_v5!A$2:H$7370, 3, FALSE), "")</f>
        <v>Drama</v>
      </c>
      <c r="D4366" s="2">
        <f>IF(A4366&lt;&gt;"", VLOOKUP(A4366, imdb_netflix_v5!A$2:H$7370, 4, FALSE), "")</f>
        <v>7.3</v>
      </c>
      <c r="E4366" s="2">
        <f>IF(A4366&lt;&gt;"", VLOOKUP(A4366, imdb_netflix_v5!A$2:H$7370, 5, FALSE), "")</f>
        <v>2020</v>
      </c>
      <c r="F4366" s="2" t="str">
        <f>IF(A4366&lt;&gt;"", VLOOKUP(A4366, imdb_netflix_v5!A$2:H$7370, 7, FALSE), "")</f>
        <v>NA</v>
      </c>
    </row>
    <row r="4367" ht="15.75" customHeight="1">
      <c r="A4367" s="1" t="str">
        <f>IFERROR(__xludf.DUMMYFUNCTION("""COMPUTED_VALUE"""),"pi")</f>
        <v>pi</v>
      </c>
      <c r="B4367" s="1" t="str">
        <f>IF(A4367&lt;&gt;"", VLOOKUP(A4367, imdb_netflix_v5!A$2:H$7370, 2, FALSE), "")</f>
        <v>Movie</v>
      </c>
      <c r="C4367" s="2" t="str">
        <f>IF(A4367&lt;&gt;"", VLOOKUP(A4367, imdb_netflix_v5!A$2:H$7370, 3, FALSE), "")</f>
        <v>Drama, Horror, Mystery</v>
      </c>
      <c r="D4367" s="2">
        <f>IF(A4367&lt;&gt;"", VLOOKUP(A4367, imdb_netflix_v5!A$2:H$7370, 4, FALSE), "")</f>
        <v>7.3</v>
      </c>
      <c r="E4367" s="2">
        <f>IF(A4367&lt;&gt;"", VLOOKUP(A4367, imdb_netflix_v5!A$2:H$7370, 5, FALSE), "")</f>
        <v>1998</v>
      </c>
      <c r="F4367" s="2" t="str">
        <f>IF(A4367&lt;&gt;"", VLOOKUP(A4367, imdb_netflix_v5!A$2:H$7370, 7, FALSE), "")</f>
        <v>NA</v>
      </c>
    </row>
    <row r="4368" ht="15.75" customHeight="1">
      <c r="A4368" s="1" t="str">
        <f>IFERROR(__xludf.DUMMYFUNCTION("""COMPUTED_VALUE"""),"one hundred and one dalmatians")</f>
        <v>one hundred and one dalmatians</v>
      </c>
      <c r="B4368" s="1" t="str">
        <f>IF(A4368&lt;&gt;"", VLOOKUP(A4368, imdb_netflix_v5!A$2:H$7370, 2, FALSE), "")</f>
        <v>Movie</v>
      </c>
      <c r="C4368" s="2" t="str">
        <f>IF(A4368&lt;&gt;"", VLOOKUP(A4368, imdb_netflix_v5!A$2:H$7370, 3, FALSE), "")</f>
        <v>Adventure, Animation, Comedy</v>
      </c>
      <c r="D4368" s="2">
        <f>IF(A4368&lt;&gt;"", VLOOKUP(A4368, imdb_netflix_v5!A$2:H$7370, 4, FALSE), "")</f>
        <v>7.3</v>
      </c>
      <c r="E4368" s="2">
        <f>IF(A4368&lt;&gt;"", VLOOKUP(A4368, imdb_netflix_v5!A$2:H$7370, 5, FALSE), "")</f>
        <v>1961</v>
      </c>
      <c r="F4368" s="2" t="str">
        <f>IF(A4368&lt;&gt;"", VLOOKUP(A4368, imdb_netflix_v5!A$2:H$7370, 7, FALSE), "")</f>
        <v>NA</v>
      </c>
    </row>
    <row r="4369" ht="15.75" customHeight="1">
      <c r="A4369" s="1" t="str">
        <f>IFERROR(__xludf.DUMMYFUNCTION("""COMPUTED_VALUE"""),"poltergeist")</f>
        <v>poltergeist</v>
      </c>
      <c r="B4369" s="1" t="str">
        <f>IF(A4369&lt;&gt;"", VLOOKUP(A4369, imdb_netflix_v5!A$2:H$7370, 2, FALSE), "")</f>
        <v>Movie</v>
      </c>
      <c r="C4369" s="2" t="str">
        <f>IF(A4369&lt;&gt;"", VLOOKUP(A4369, imdb_netflix_v5!A$2:H$7370, 3, FALSE), "")</f>
        <v>Horror, Thriller</v>
      </c>
      <c r="D4369" s="2">
        <f>IF(A4369&lt;&gt;"", VLOOKUP(A4369, imdb_netflix_v5!A$2:H$7370, 4, FALSE), "")</f>
        <v>7.3</v>
      </c>
      <c r="E4369" s="2">
        <f>IF(A4369&lt;&gt;"", VLOOKUP(A4369, imdb_netflix_v5!A$2:H$7370, 5, FALSE), "")</f>
        <v>1982</v>
      </c>
      <c r="F4369" s="2" t="str">
        <f>IF(A4369&lt;&gt;"", VLOOKUP(A4369, imdb_netflix_v5!A$2:H$7370, 7, FALSE), "")</f>
        <v>NA</v>
      </c>
    </row>
    <row r="4370" ht="15.75" customHeight="1">
      <c r="A4370" s="1" t="str">
        <f>IFERROR(__xludf.DUMMYFUNCTION("""COMPUTED_VALUE"""),"punch-drunk love")</f>
        <v>punch-drunk love</v>
      </c>
      <c r="B4370" s="1" t="str">
        <f>IF(A4370&lt;&gt;"", VLOOKUP(A4370, imdb_netflix_v5!A$2:H$7370, 2, FALSE), "")</f>
        <v>Movie</v>
      </c>
      <c r="C4370" s="2" t="str">
        <f>IF(A4370&lt;&gt;"", VLOOKUP(A4370, imdb_netflix_v5!A$2:H$7370, 3, FALSE), "")</f>
        <v>Comedy, Drama, Romance</v>
      </c>
      <c r="D4370" s="2">
        <f>IF(A4370&lt;&gt;"", VLOOKUP(A4370, imdb_netflix_v5!A$2:H$7370, 4, FALSE), "")</f>
        <v>7.3</v>
      </c>
      <c r="E4370" s="2">
        <f>IF(A4370&lt;&gt;"", VLOOKUP(A4370, imdb_netflix_v5!A$2:H$7370, 5, FALSE), "")</f>
        <v>2002</v>
      </c>
      <c r="F4370" s="2" t="str">
        <f>IF(A4370&lt;&gt;"", VLOOKUP(A4370, imdb_netflix_v5!A$2:H$7370, 7, FALSE), "")</f>
        <v>NA</v>
      </c>
    </row>
    <row r="4371" ht="15.75" customHeight="1">
      <c r="A4371" s="1" t="str">
        <f>IFERROR(__xludf.DUMMYFUNCTION("""COMPUTED_VALUE"""),"the lego batman movie")</f>
        <v>the lego batman movie</v>
      </c>
      <c r="B4371" s="1" t="str">
        <f>IF(A4371&lt;&gt;"", VLOOKUP(A4371, imdb_netflix_v5!A$2:H$7370, 2, FALSE), "")</f>
        <v>Movie</v>
      </c>
      <c r="C4371" s="2" t="str">
        <f>IF(A4371&lt;&gt;"", VLOOKUP(A4371, imdb_netflix_v5!A$2:H$7370, 3, FALSE), "")</f>
        <v>Action, Adventure, Animation</v>
      </c>
      <c r="D4371" s="2">
        <f>IF(A4371&lt;&gt;"", VLOOKUP(A4371, imdb_netflix_v5!A$2:H$7370, 4, FALSE), "")</f>
        <v>7.3</v>
      </c>
      <c r="E4371" s="2">
        <f>IF(A4371&lt;&gt;"", VLOOKUP(A4371, imdb_netflix_v5!A$2:H$7370, 5, FALSE), "")</f>
        <v>2017</v>
      </c>
      <c r="F4371" s="2" t="str">
        <f>IF(A4371&lt;&gt;"", VLOOKUP(A4371, imdb_netflix_v5!A$2:H$7370, 7, FALSE), "")</f>
        <v>NA</v>
      </c>
    </row>
    <row r="4372" ht="15.75" customHeight="1">
      <c r="A4372" s="1" t="str">
        <f>IFERROR(__xludf.DUMMYFUNCTION("""COMPUTED_VALUE"""),"cinderella")</f>
        <v>cinderella</v>
      </c>
      <c r="B4372" s="1" t="str">
        <f>IF(A4372&lt;&gt;"", VLOOKUP(A4372, imdb_netflix_v5!A$2:H$7370, 2, FALSE), "")</f>
        <v>Movie</v>
      </c>
      <c r="C4372" s="2" t="str">
        <f>IF(A4372&lt;&gt;"", VLOOKUP(A4372, imdb_netflix_v5!A$2:H$7370, 3, FALSE), "")</f>
        <v>Animation, Family, Fantasy</v>
      </c>
      <c r="D4372" s="2">
        <f>IF(A4372&lt;&gt;"", VLOOKUP(A4372, imdb_netflix_v5!A$2:H$7370, 4, FALSE), "")</f>
        <v>7.3</v>
      </c>
      <c r="E4372" s="2">
        <f>IF(A4372&lt;&gt;"", VLOOKUP(A4372, imdb_netflix_v5!A$2:H$7370, 5, FALSE), "")</f>
        <v>1950</v>
      </c>
      <c r="F4372" s="2" t="str">
        <f>IF(A4372&lt;&gt;"", VLOOKUP(A4372, imdb_netflix_v5!A$2:H$7370, 7, FALSE), "")</f>
        <v>NA</v>
      </c>
    </row>
    <row r="4373" ht="15.75" customHeight="1">
      <c r="A4373" s="1" t="str">
        <f>IFERROR(__xludf.DUMMYFUNCTION("""COMPUTED_VALUE"""),"raya and the last dragon")</f>
        <v>raya and the last dragon</v>
      </c>
      <c r="B4373" s="1" t="str">
        <f>IF(A4373&lt;&gt;"", VLOOKUP(A4373, imdb_netflix_v5!A$2:H$7370, 2, FALSE), "")</f>
        <v>Movie</v>
      </c>
      <c r="C4373" s="2" t="str">
        <f>IF(A4373&lt;&gt;"", VLOOKUP(A4373, imdb_netflix_v5!A$2:H$7370, 3, FALSE), "")</f>
        <v>Action, Adventure, Animation</v>
      </c>
      <c r="D4373" s="2">
        <f>IF(A4373&lt;&gt;"", VLOOKUP(A4373, imdb_netflix_v5!A$2:H$7370, 4, FALSE), "")</f>
        <v>7.3</v>
      </c>
      <c r="E4373" s="2">
        <f>IF(A4373&lt;&gt;"", VLOOKUP(A4373, imdb_netflix_v5!A$2:H$7370, 5, FALSE), "")</f>
        <v>2021</v>
      </c>
      <c r="F4373" s="2" t="str">
        <f>IF(A4373&lt;&gt;"", VLOOKUP(A4373, imdb_netflix_v5!A$2:H$7370, 7, FALSE), "")</f>
        <v>NA</v>
      </c>
    </row>
    <row r="4374" ht="15.75" customHeight="1">
      <c r="A4374" s="1" t="str">
        <f>IFERROR(__xludf.DUMMYFUNCTION("""COMPUTED_VALUE"""),"coach carter")</f>
        <v>coach carter</v>
      </c>
      <c r="B4374" s="1" t="str">
        <f>IF(A4374&lt;&gt;"", VLOOKUP(A4374, imdb_netflix_v5!A$2:H$7370, 2, FALSE), "")</f>
        <v>Movie</v>
      </c>
      <c r="C4374" s="2" t="str">
        <f>IF(A4374&lt;&gt;"", VLOOKUP(A4374, imdb_netflix_v5!A$2:H$7370, 3, FALSE), "")</f>
        <v>Biography, Drama, Sport</v>
      </c>
      <c r="D4374" s="2">
        <f>IF(A4374&lt;&gt;"", VLOOKUP(A4374, imdb_netflix_v5!A$2:H$7370, 4, FALSE), "")</f>
        <v>7.3</v>
      </c>
      <c r="E4374" s="2">
        <f>IF(A4374&lt;&gt;"", VLOOKUP(A4374, imdb_netflix_v5!A$2:H$7370, 5, FALSE), "")</f>
        <v>2005</v>
      </c>
      <c r="F4374" s="2">
        <f>IF(A4374&lt;&gt;"", VLOOKUP(A4374, imdb_netflix_v5!A$2:H$7370, 7, FALSE), "")</f>
        <v>5450000</v>
      </c>
    </row>
    <row r="4375" ht="15.75" customHeight="1">
      <c r="A4375" s="1" t="str">
        <f>IFERROR(__xludf.DUMMYFUNCTION("""COMPUTED_VALUE"""),"invictus")</f>
        <v>invictus</v>
      </c>
      <c r="B4375" s="1" t="str">
        <f>IF(A4375&lt;&gt;"", VLOOKUP(A4375, imdb_netflix_v5!A$2:H$7370, 2, FALSE), "")</f>
        <v>Movie</v>
      </c>
      <c r="C4375" s="2" t="str">
        <f>IF(A4375&lt;&gt;"", VLOOKUP(A4375, imdb_netflix_v5!A$2:H$7370, 3, FALSE), "")</f>
        <v>Biography, Drama, History</v>
      </c>
      <c r="D4375" s="2">
        <f>IF(A4375&lt;&gt;"", VLOOKUP(A4375, imdb_netflix_v5!A$2:H$7370, 4, FALSE), "")</f>
        <v>7.3</v>
      </c>
      <c r="E4375" s="2">
        <f>IF(A4375&lt;&gt;"", VLOOKUP(A4375, imdb_netflix_v5!A$2:H$7370, 5, FALSE), "")</f>
        <v>2009</v>
      </c>
      <c r="F4375" s="2" t="str">
        <f>IF(A4375&lt;&gt;"", VLOOKUP(A4375, imdb_netflix_v5!A$2:H$7370, 7, FALSE), "")</f>
        <v>NA</v>
      </c>
    </row>
    <row r="4376" ht="15.75" customHeight="1">
      <c r="A4376" s="1" t="str">
        <f>IFERROR(__xludf.DUMMYFUNCTION("""COMPUTED_VALUE"""),"wall street")</f>
        <v>wall street</v>
      </c>
      <c r="B4376" s="1" t="str">
        <f>IF(A4376&lt;&gt;"", VLOOKUP(A4376, imdb_netflix_v5!A$2:H$7370, 2, FALSE), "")</f>
        <v>Movie</v>
      </c>
      <c r="C4376" s="2" t="str">
        <f>IF(A4376&lt;&gt;"", VLOOKUP(A4376, imdb_netflix_v5!A$2:H$7370, 3, FALSE), "")</f>
        <v>Crime, Drama</v>
      </c>
      <c r="D4376" s="2">
        <f>IF(A4376&lt;&gt;"", VLOOKUP(A4376, imdb_netflix_v5!A$2:H$7370, 4, FALSE), "")</f>
        <v>7.3</v>
      </c>
      <c r="E4376" s="2">
        <f>IF(A4376&lt;&gt;"", VLOOKUP(A4376, imdb_netflix_v5!A$2:H$7370, 5, FALSE), "")</f>
        <v>1987</v>
      </c>
      <c r="F4376" s="2" t="str">
        <f>IF(A4376&lt;&gt;"", VLOOKUP(A4376, imdb_netflix_v5!A$2:H$7370, 7, FALSE), "")</f>
        <v>NA</v>
      </c>
    </row>
    <row r="4377" ht="15.75" customHeight="1">
      <c r="A4377" s="1" t="str">
        <f>IFERROR(__xludf.DUMMYFUNCTION("""COMPUTED_VALUE"""),"the disaster artist")</f>
        <v>the disaster artist</v>
      </c>
      <c r="B4377" s="1" t="str">
        <f>IF(A4377&lt;&gt;"", VLOOKUP(A4377, imdb_netflix_v5!A$2:H$7370, 2, FALSE), "")</f>
        <v>Movie</v>
      </c>
      <c r="C4377" s="2" t="str">
        <f>IF(A4377&lt;&gt;"", VLOOKUP(A4377, imdb_netflix_v5!A$2:H$7370, 3, FALSE), "")</f>
        <v>Biography, Comedy, Drama</v>
      </c>
      <c r="D4377" s="2">
        <f>IF(A4377&lt;&gt;"", VLOOKUP(A4377, imdb_netflix_v5!A$2:H$7370, 4, FALSE), "")</f>
        <v>7.3</v>
      </c>
      <c r="E4377" s="2">
        <f>IF(A4377&lt;&gt;"", VLOOKUP(A4377, imdb_netflix_v5!A$2:H$7370, 5, FALSE), "")</f>
        <v>2017</v>
      </c>
      <c r="F4377" s="2" t="str">
        <f>IF(A4377&lt;&gt;"", VLOOKUP(A4377, imdb_netflix_v5!A$2:H$7370, 7, FALSE), "")</f>
        <v>NA</v>
      </c>
    </row>
    <row r="4378" ht="15.75" customHeight="1">
      <c r="A4378" s="1" t="str">
        <f>IFERROR(__xludf.DUMMYFUNCTION("""COMPUTED_VALUE"""),"13 hours the secret soldiers of benghazi")</f>
        <v>13 hours the secret soldiers of benghazi</v>
      </c>
      <c r="B4378" s="1" t="str">
        <f>IF(A4378&lt;&gt;"", VLOOKUP(A4378, imdb_netflix_v5!A$2:H$7370, 2, FALSE), "")</f>
        <v>Movie</v>
      </c>
      <c r="C4378" s="2" t="str">
        <f>IF(A4378&lt;&gt;"", VLOOKUP(A4378, imdb_netflix_v5!A$2:H$7370, 3, FALSE), "")</f>
        <v>Action, Drama, History</v>
      </c>
      <c r="D4378" s="2">
        <f>IF(A4378&lt;&gt;"", VLOOKUP(A4378, imdb_netflix_v5!A$2:H$7370, 4, FALSE), "")</f>
        <v>7.3</v>
      </c>
      <c r="E4378" s="2">
        <f>IF(A4378&lt;&gt;"", VLOOKUP(A4378, imdb_netflix_v5!A$2:H$7370, 5, FALSE), "")</f>
        <v>2016</v>
      </c>
      <c r="F4378" s="2">
        <f>IF(A4378&lt;&gt;"", VLOOKUP(A4378, imdb_netflix_v5!A$2:H$7370, 7, FALSE), "")</f>
        <v>9900000</v>
      </c>
    </row>
    <row r="4379" ht="15.75" customHeight="1">
      <c r="A4379" s="1" t="str">
        <f>IFERROR(__xludf.DUMMYFUNCTION("""COMPUTED_VALUE"""),"snowden")</f>
        <v>snowden</v>
      </c>
      <c r="B4379" s="1" t="str">
        <f>IF(A4379&lt;&gt;"", VLOOKUP(A4379, imdb_netflix_v5!A$2:H$7370, 2, FALSE), "")</f>
        <v>Movie</v>
      </c>
      <c r="C4379" s="2" t="str">
        <f>IF(A4379&lt;&gt;"", VLOOKUP(A4379, imdb_netflix_v5!A$2:H$7370, 3, FALSE), "")</f>
        <v>Biography, Crime, Drama</v>
      </c>
      <c r="D4379" s="2">
        <f>IF(A4379&lt;&gt;"", VLOOKUP(A4379, imdb_netflix_v5!A$2:H$7370, 4, FALSE), "")</f>
        <v>7.3</v>
      </c>
      <c r="E4379" s="2">
        <f>IF(A4379&lt;&gt;"", VLOOKUP(A4379, imdb_netflix_v5!A$2:H$7370, 5, FALSE), "")</f>
        <v>2016</v>
      </c>
      <c r="F4379" s="2" t="str">
        <f>IF(A4379&lt;&gt;"", VLOOKUP(A4379, imdb_netflix_v5!A$2:H$7370, 7, FALSE), "")</f>
        <v>NA</v>
      </c>
    </row>
    <row r="4380" ht="15.75" customHeight="1">
      <c r="A4380" s="1" t="str">
        <f>IFERROR(__xludf.DUMMYFUNCTION("""COMPUTED_VALUE"""),"memoirs of a geisha")</f>
        <v>memoirs of a geisha</v>
      </c>
      <c r="B4380" s="1" t="str">
        <f>IF(A4380&lt;&gt;"", VLOOKUP(A4380, imdb_netflix_v5!A$2:H$7370, 2, FALSE), "")</f>
        <v>Movie</v>
      </c>
      <c r="C4380" s="2" t="str">
        <f>IF(A4380&lt;&gt;"", VLOOKUP(A4380, imdb_netflix_v5!A$2:H$7370, 3, FALSE), "")</f>
        <v>Drama, Romance</v>
      </c>
      <c r="D4380" s="2">
        <f>IF(A4380&lt;&gt;"", VLOOKUP(A4380, imdb_netflix_v5!A$2:H$7370, 4, FALSE), "")</f>
        <v>7.3</v>
      </c>
      <c r="E4380" s="2">
        <f>IF(A4380&lt;&gt;"", VLOOKUP(A4380, imdb_netflix_v5!A$2:H$7370, 5, FALSE), "")</f>
        <v>2005</v>
      </c>
      <c r="F4380" s="2">
        <f>IF(A4380&lt;&gt;"", VLOOKUP(A4380, imdb_netflix_v5!A$2:H$7370, 7, FALSE), "")</f>
        <v>10200000</v>
      </c>
    </row>
    <row r="4381" ht="15.75" customHeight="1">
      <c r="A4381" s="1" t="str">
        <f>IFERROR(__xludf.DUMMYFUNCTION("""COMPUTED_VALUE"""),"rounders")</f>
        <v>rounders</v>
      </c>
      <c r="B4381" s="1" t="str">
        <f>IF(A4381&lt;&gt;"", VLOOKUP(A4381, imdb_netflix_v5!A$2:H$7370, 2, FALSE), "")</f>
        <v>Movie</v>
      </c>
      <c r="C4381" s="2" t="str">
        <f>IF(A4381&lt;&gt;"", VLOOKUP(A4381, imdb_netflix_v5!A$2:H$7370, 3, FALSE), "")</f>
        <v>Crime, Drama</v>
      </c>
      <c r="D4381" s="2">
        <f>IF(A4381&lt;&gt;"", VLOOKUP(A4381, imdb_netflix_v5!A$2:H$7370, 4, FALSE), "")</f>
        <v>7.3</v>
      </c>
      <c r="E4381" s="2">
        <f>IF(A4381&lt;&gt;"", VLOOKUP(A4381, imdb_netflix_v5!A$2:H$7370, 5, FALSE), "")</f>
        <v>1998</v>
      </c>
      <c r="F4381" s="2" t="str">
        <f>IF(A4381&lt;&gt;"", VLOOKUP(A4381, imdb_netflix_v5!A$2:H$7370, 7, FALSE), "")</f>
        <v>NA</v>
      </c>
    </row>
    <row r="4382" ht="15.75" customHeight="1">
      <c r="A4382" s="1" t="str">
        <f>IFERROR(__xludf.DUMMYFUNCTION("""COMPUTED_VALUE"""),"the neverending story")</f>
        <v>the neverending story</v>
      </c>
      <c r="B4382" s="1" t="str">
        <f>IF(A4382&lt;&gt;"", VLOOKUP(A4382, imdb_netflix_v5!A$2:H$7370, 2, FALSE), "")</f>
        <v>Movie</v>
      </c>
      <c r="C4382" s="2" t="str">
        <f>IF(A4382&lt;&gt;"", VLOOKUP(A4382, imdb_netflix_v5!A$2:H$7370, 3, FALSE), "")</f>
        <v>Adventure, Drama, Family</v>
      </c>
      <c r="D4382" s="2">
        <f>IF(A4382&lt;&gt;"", VLOOKUP(A4382, imdb_netflix_v5!A$2:H$7370, 4, FALSE), "")</f>
        <v>7.3</v>
      </c>
      <c r="E4382" s="2">
        <f>IF(A4382&lt;&gt;"", VLOOKUP(A4382, imdb_netflix_v5!A$2:H$7370, 5, FALSE), "")</f>
        <v>1984</v>
      </c>
      <c r="F4382" s="2" t="str">
        <f>IF(A4382&lt;&gt;"", VLOOKUP(A4382, imdb_netflix_v5!A$2:H$7370, 7, FALSE), "")</f>
        <v>NA</v>
      </c>
    </row>
    <row r="4383" ht="15.75" customHeight="1">
      <c r="A4383" s="1" t="str">
        <f>IFERROR(__xludf.DUMMYFUNCTION("""COMPUTED_VALUE"""),"the king")</f>
        <v>the king</v>
      </c>
      <c r="B4383" s="1" t="str">
        <f>IF(A4383&lt;&gt;"", VLOOKUP(A4383, imdb_netflix_v5!A$2:H$7370, 2, FALSE), "")</f>
        <v>Movie</v>
      </c>
      <c r="C4383" s="2" t="str">
        <f>IF(A4383&lt;&gt;"", VLOOKUP(A4383, imdb_netflix_v5!A$2:H$7370, 3, FALSE), "")</f>
        <v>Biography, Drama, History</v>
      </c>
      <c r="D4383" s="2">
        <f>IF(A4383&lt;&gt;"", VLOOKUP(A4383, imdb_netflix_v5!A$2:H$7370, 4, FALSE), "")</f>
        <v>7.3</v>
      </c>
      <c r="E4383" s="2">
        <f>IF(A4383&lt;&gt;"", VLOOKUP(A4383, imdb_netflix_v5!A$2:H$7370, 5, FALSE), "")</f>
        <v>2019</v>
      </c>
      <c r="F4383" s="2" t="str">
        <f>IF(A4383&lt;&gt;"", VLOOKUP(A4383, imdb_netflix_v5!A$2:H$7370, 7, FALSE), "")</f>
        <v>NA</v>
      </c>
    </row>
    <row r="4384" ht="15.75" customHeight="1">
      <c r="A4384" s="1" t="str">
        <f>IFERROR(__xludf.DUMMYFUNCTION("""COMPUTED_VALUE"""),"lars and the real girl")</f>
        <v>lars and the real girl</v>
      </c>
      <c r="B4384" s="1" t="str">
        <f>IF(A4384&lt;&gt;"", VLOOKUP(A4384, imdb_netflix_v5!A$2:H$7370, 2, FALSE), "")</f>
        <v>Movie</v>
      </c>
      <c r="C4384" s="2" t="str">
        <f>IF(A4384&lt;&gt;"", VLOOKUP(A4384, imdb_netflix_v5!A$2:H$7370, 3, FALSE), "")</f>
        <v>Comedy, Drama, Romance</v>
      </c>
      <c r="D4384" s="2">
        <f>IF(A4384&lt;&gt;"", VLOOKUP(A4384, imdb_netflix_v5!A$2:H$7370, 4, FALSE), "")</f>
        <v>7.3</v>
      </c>
      <c r="E4384" s="2">
        <f>IF(A4384&lt;&gt;"", VLOOKUP(A4384, imdb_netflix_v5!A$2:H$7370, 5, FALSE), "")</f>
        <v>2007</v>
      </c>
      <c r="F4384" s="2" t="str">
        <f>IF(A4384&lt;&gt;"", VLOOKUP(A4384, imdb_netflix_v5!A$2:H$7370, 7, FALSE), "")</f>
        <v>NA</v>
      </c>
    </row>
    <row r="4385" ht="15.75" customHeight="1">
      <c r="A4385" s="1" t="str">
        <f>IFERROR(__xludf.DUMMYFUNCTION("""COMPUTED_VALUE"""),"mr. brooks")</f>
        <v>mr. brooks</v>
      </c>
      <c r="B4385" s="1" t="str">
        <f>IF(A4385&lt;&gt;"", VLOOKUP(A4385, imdb_netflix_v5!A$2:H$7370, 2, FALSE), "")</f>
        <v>Movie</v>
      </c>
      <c r="C4385" s="2" t="str">
        <f>IF(A4385&lt;&gt;"", VLOOKUP(A4385, imdb_netflix_v5!A$2:H$7370, 3, FALSE), "")</f>
        <v>Crime, Drama, Mystery</v>
      </c>
      <c r="D4385" s="2">
        <f>IF(A4385&lt;&gt;"", VLOOKUP(A4385, imdb_netflix_v5!A$2:H$7370, 4, FALSE), "")</f>
        <v>7.3</v>
      </c>
      <c r="E4385" s="2">
        <f>IF(A4385&lt;&gt;"", VLOOKUP(A4385, imdb_netflix_v5!A$2:H$7370, 5, FALSE), "")</f>
        <v>2007</v>
      </c>
      <c r="F4385" s="2" t="str">
        <f>IF(A4385&lt;&gt;"", VLOOKUP(A4385, imdb_netflix_v5!A$2:H$7370, 7, FALSE), "")</f>
        <v>NA</v>
      </c>
    </row>
    <row r="4386" ht="15.75" customHeight="1">
      <c r="A4386" s="1" t="str">
        <f>IFERROR(__xludf.DUMMYFUNCTION("""COMPUTED_VALUE"""),"the negotiator")</f>
        <v>the negotiator</v>
      </c>
      <c r="B4386" s="1" t="str">
        <f>IF(A4386&lt;&gt;"", VLOOKUP(A4386, imdb_netflix_v5!A$2:H$7370, 2, FALSE), "")</f>
        <v>Movie</v>
      </c>
      <c r="C4386" s="2" t="str">
        <f>IF(A4386&lt;&gt;"", VLOOKUP(A4386, imdb_netflix_v5!A$2:H$7370, 3, FALSE), "")</f>
        <v>Action, Crime, Drama</v>
      </c>
      <c r="D4386" s="2">
        <f>IF(A4386&lt;&gt;"", VLOOKUP(A4386, imdb_netflix_v5!A$2:H$7370, 4, FALSE), "")</f>
        <v>7.3</v>
      </c>
      <c r="E4386" s="2">
        <f>IF(A4386&lt;&gt;"", VLOOKUP(A4386, imdb_netflix_v5!A$2:H$7370, 5, FALSE), "")</f>
        <v>1998</v>
      </c>
      <c r="F4386" s="2" t="str">
        <f>IF(A4386&lt;&gt;"", VLOOKUP(A4386, imdb_netflix_v5!A$2:H$7370, 7, FALSE), "")</f>
        <v>NA</v>
      </c>
    </row>
    <row r="4387" ht="15.75" customHeight="1">
      <c r="A4387" s="1" t="str">
        <f>IFERROR(__xludf.DUMMYFUNCTION("""COMPUTED_VALUE"""),"alice in wonderland")</f>
        <v>alice in wonderland</v>
      </c>
      <c r="B4387" s="1" t="str">
        <f>IF(A4387&lt;&gt;"", VLOOKUP(A4387, imdb_netflix_v5!A$2:H$7370, 2, FALSE), "")</f>
        <v>Movie</v>
      </c>
      <c r="C4387" s="2" t="str">
        <f>IF(A4387&lt;&gt;"", VLOOKUP(A4387, imdb_netflix_v5!A$2:H$7370, 3, FALSE), "")</f>
        <v>Adventure, Animation, Comedy</v>
      </c>
      <c r="D4387" s="2">
        <f>IF(A4387&lt;&gt;"", VLOOKUP(A4387, imdb_netflix_v5!A$2:H$7370, 4, FALSE), "")</f>
        <v>7.3</v>
      </c>
      <c r="E4387" s="2">
        <f>IF(A4387&lt;&gt;"", VLOOKUP(A4387, imdb_netflix_v5!A$2:H$7370, 5, FALSE), "")</f>
        <v>1951</v>
      </c>
      <c r="F4387" s="2" t="str">
        <f>IF(A4387&lt;&gt;"", VLOOKUP(A4387, imdb_netflix_v5!A$2:H$7370, 7, FALSE), "")</f>
        <v>NA</v>
      </c>
    </row>
    <row r="4388" ht="15.75" customHeight="1">
      <c r="A4388" s="1" t="str">
        <f>IFERROR(__xludf.DUMMYFUNCTION("""COMPUTED_VALUE"""),"good morning, vietnam")</f>
        <v>good morning, vietnam</v>
      </c>
      <c r="B4388" s="1" t="str">
        <f>IF(A4388&lt;&gt;"", VLOOKUP(A4388, imdb_netflix_v5!A$2:H$7370, 2, FALSE), "")</f>
        <v>Movie</v>
      </c>
      <c r="C4388" s="2" t="str">
        <f>IF(A4388&lt;&gt;"", VLOOKUP(A4388, imdb_netflix_v5!A$2:H$7370, 3, FALSE), "")</f>
        <v>Biography, Comedy, Drama</v>
      </c>
      <c r="D4388" s="2">
        <f>IF(A4388&lt;&gt;"", VLOOKUP(A4388, imdb_netflix_v5!A$2:H$7370, 4, FALSE), "")</f>
        <v>7.3</v>
      </c>
      <c r="E4388" s="2">
        <f>IF(A4388&lt;&gt;"", VLOOKUP(A4388, imdb_netflix_v5!A$2:H$7370, 5, FALSE), "")</f>
        <v>1987</v>
      </c>
      <c r="F4388" s="2" t="str">
        <f>IF(A4388&lt;&gt;"", VLOOKUP(A4388, imdb_netflix_v5!A$2:H$7370, 7, FALSE), "")</f>
        <v>NA</v>
      </c>
    </row>
    <row r="4389" ht="15.75" customHeight="1">
      <c r="A4389" s="1" t="str">
        <f>IFERROR(__xludf.DUMMYFUNCTION("""COMPUTED_VALUE"""),"bambi")</f>
        <v>bambi</v>
      </c>
      <c r="B4389" s="1" t="str">
        <f>IF(A4389&lt;&gt;"", VLOOKUP(A4389, imdb_netflix_v5!A$2:H$7370, 2, FALSE), "")</f>
        <v>Movie</v>
      </c>
      <c r="C4389" s="2" t="str">
        <f>IF(A4389&lt;&gt;"", VLOOKUP(A4389, imdb_netflix_v5!A$2:H$7370, 3, FALSE), "")</f>
        <v>Adventure, Animation, Drama</v>
      </c>
      <c r="D4389" s="2">
        <f>IF(A4389&lt;&gt;"", VLOOKUP(A4389, imdb_netflix_v5!A$2:H$7370, 4, FALSE), "")</f>
        <v>7.3</v>
      </c>
      <c r="E4389" s="2">
        <f>IF(A4389&lt;&gt;"", VLOOKUP(A4389, imdb_netflix_v5!A$2:H$7370, 5, FALSE), "")</f>
        <v>1942</v>
      </c>
      <c r="F4389" s="2" t="str">
        <f>IF(A4389&lt;&gt;"", VLOOKUP(A4389, imdb_netflix_v5!A$2:H$7370, 7, FALSE), "")</f>
        <v>NA</v>
      </c>
    </row>
    <row r="4390" ht="15.75" customHeight="1">
      <c r="A4390" s="1" t="str">
        <f>IFERROR(__xludf.DUMMYFUNCTION("""COMPUTED_VALUE"""),"peter pan")</f>
        <v>peter pan</v>
      </c>
      <c r="B4390" s="1" t="str">
        <f>IF(A4390&lt;&gt;"", VLOOKUP(A4390, imdb_netflix_v5!A$2:H$7370, 2, FALSE), "")</f>
        <v>Movie</v>
      </c>
      <c r="C4390" s="2" t="str">
        <f>IF(A4390&lt;&gt;"", VLOOKUP(A4390, imdb_netflix_v5!A$2:H$7370, 3, FALSE), "")</f>
        <v>Adventure, Animation, Family</v>
      </c>
      <c r="D4390" s="2">
        <f>IF(A4390&lt;&gt;"", VLOOKUP(A4390, imdb_netflix_v5!A$2:H$7370, 4, FALSE), "")</f>
        <v>7.3</v>
      </c>
      <c r="E4390" s="2">
        <f>IF(A4390&lt;&gt;"", VLOOKUP(A4390, imdb_netflix_v5!A$2:H$7370, 5, FALSE), "")</f>
        <v>1953</v>
      </c>
      <c r="F4390" s="2" t="str">
        <f>IF(A4390&lt;&gt;"", VLOOKUP(A4390, imdb_netflix_v5!A$2:H$7370, 7, FALSE), "")</f>
        <v>NA</v>
      </c>
    </row>
    <row r="4391" ht="15.75" customHeight="1">
      <c r="A4391" s="1" t="str">
        <f>IFERROR(__xludf.DUMMYFUNCTION("""COMPUTED_VALUE"""),"labyrinth")</f>
        <v>labyrinth</v>
      </c>
      <c r="B4391" s="1" t="str">
        <f>IF(A4391&lt;&gt;"", VLOOKUP(A4391, imdb_netflix_v5!A$2:H$7370, 2, FALSE), "")</f>
        <v>Movie</v>
      </c>
      <c r="C4391" s="2" t="str">
        <f>IF(A4391&lt;&gt;"", VLOOKUP(A4391, imdb_netflix_v5!A$2:H$7370, 3, FALSE), "")</f>
        <v>Adventure, Family, Fantasy</v>
      </c>
      <c r="D4391" s="2">
        <f>IF(A4391&lt;&gt;"", VLOOKUP(A4391, imdb_netflix_v5!A$2:H$7370, 4, FALSE), "")</f>
        <v>7.3</v>
      </c>
      <c r="E4391" s="2">
        <f>IF(A4391&lt;&gt;"", VLOOKUP(A4391, imdb_netflix_v5!A$2:H$7370, 5, FALSE), "")</f>
        <v>1986</v>
      </c>
      <c r="F4391" s="2" t="str">
        <f>IF(A4391&lt;&gt;"", VLOOKUP(A4391, imdb_netflix_v5!A$2:H$7370, 7, FALSE), "")</f>
        <v>NA</v>
      </c>
    </row>
    <row r="4392" ht="15.75" customHeight="1">
      <c r="A4392" s="1" t="str">
        <f>IFERROR(__xludf.DUMMYFUNCTION("""COMPUTED_VALUE"""),"raising arizona")</f>
        <v>raising arizona</v>
      </c>
      <c r="B4392" s="1" t="str">
        <f>IF(A4392&lt;&gt;"", VLOOKUP(A4392, imdb_netflix_v5!A$2:H$7370, 2, FALSE), "")</f>
        <v>Movie</v>
      </c>
      <c r="C4392" s="2" t="str">
        <f>IF(A4392&lt;&gt;"", VLOOKUP(A4392, imdb_netflix_v5!A$2:H$7370, 3, FALSE), "")</f>
        <v>Comedy, Crime</v>
      </c>
      <c r="D4392" s="2">
        <f>IF(A4392&lt;&gt;"", VLOOKUP(A4392, imdb_netflix_v5!A$2:H$7370, 4, FALSE), "")</f>
        <v>7.3</v>
      </c>
      <c r="E4392" s="2">
        <f>IF(A4392&lt;&gt;"", VLOOKUP(A4392, imdb_netflix_v5!A$2:H$7370, 5, FALSE), "")</f>
        <v>1987</v>
      </c>
      <c r="F4392" s="2" t="str">
        <f>IF(A4392&lt;&gt;"", VLOOKUP(A4392, imdb_netflix_v5!A$2:H$7370, 7, FALSE), "")</f>
        <v>NA</v>
      </c>
    </row>
    <row r="4393" ht="15.75" customHeight="1">
      <c r="A4393" s="1" t="str">
        <f>IFERROR(__xludf.DUMMYFUNCTION("""COMPUTED_VALUE"""),"lady and the tramp")</f>
        <v>lady and the tramp</v>
      </c>
      <c r="B4393" s="1" t="str">
        <f>IF(A4393&lt;&gt;"", VLOOKUP(A4393, imdb_netflix_v5!A$2:H$7370, 2, FALSE), "")</f>
        <v>Movie</v>
      </c>
      <c r="C4393" s="2" t="str">
        <f>IF(A4393&lt;&gt;"", VLOOKUP(A4393, imdb_netflix_v5!A$2:H$7370, 3, FALSE), "")</f>
        <v>Adventure, Animation, Comedy</v>
      </c>
      <c r="D4393" s="2">
        <f>IF(A4393&lt;&gt;"", VLOOKUP(A4393, imdb_netflix_v5!A$2:H$7370, 4, FALSE), "")</f>
        <v>7.3</v>
      </c>
      <c r="E4393" s="2">
        <f>IF(A4393&lt;&gt;"", VLOOKUP(A4393, imdb_netflix_v5!A$2:H$7370, 5, FALSE), "")</f>
        <v>1955</v>
      </c>
      <c r="F4393" s="2" t="str">
        <f>IF(A4393&lt;&gt;"", VLOOKUP(A4393, imdb_netflix_v5!A$2:H$7370, 7, FALSE), "")</f>
        <v>NA</v>
      </c>
    </row>
    <row r="4394" ht="15.75" customHeight="1">
      <c r="A4394" s="1" t="str">
        <f>IFERROR(__xludf.DUMMYFUNCTION("""COMPUTED_VALUE"""),"irreversible")</f>
        <v>irreversible</v>
      </c>
      <c r="B4394" s="1" t="str">
        <f>IF(A4394&lt;&gt;"", VLOOKUP(A4394, imdb_netflix_v5!A$2:H$7370, 2, FALSE), "")</f>
        <v>Movie</v>
      </c>
      <c r="C4394" s="2" t="str">
        <f>IF(A4394&lt;&gt;"", VLOOKUP(A4394, imdb_netflix_v5!A$2:H$7370, 3, FALSE), "")</f>
        <v>Crime, Drama, Mystery</v>
      </c>
      <c r="D4394" s="2">
        <f>IF(A4394&lt;&gt;"", VLOOKUP(A4394, imdb_netflix_v5!A$2:H$7370, 4, FALSE), "")</f>
        <v>7.3</v>
      </c>
      <c r="E4394" s="2">
        <f>IF(A4394&lt;&gt;"", VLOOKUP(A4394, imdb_netflix_v5!A$2:H$7370, 5, FALSE), "")</f>
        <v>2002</v>
      </c>
      <c r="F4394" s="2" t="str">
        <f>IF(A4394&lt;&gt;"", VLOOKUP(A4394, imdb_netflix_v5!A$2:H$7370, 7, FALSE), "")</f>
        <v>NA</v>
      </c>
    </row>
    <row r="4395" ht="15.75" customHeight="1">
      <c r="A4395" s="1" t="str">
        <f>IFERROR(__xludf.DUMMYFUNCTION("""COMPUTED_VALUE"""),"the constant gardener")</f>
        <v>the constant gardener</v>
      </c>
      <c r="B4395" s="1" t="str">
        <f>IF(A4395&lt;&gt;"", VLOOKUP(A4395, imdb_netflix_v5!A$2:H$7370, 2, FALSE), "")</f>
        <v>Movie</v>
      </c>
      <c r="C4395" s="2" t="str">
        <f>IF(A4395&lt;&gt;"", VLOOKUP(A4395, imdb_netflix_v5!A$2:H$7370, 3, FALSE), "")</f>
        <v>Drama, Mystery, Romance</v>
      </c>
      <c r="D4395" s="2">
        <f>IF(A4395&lt;&gt;"", VLOOKUP(A4395, imdb_netflix_v5!A$2:H$7370, 4, FALSE), "")</f>
        <v>7.3</v>
      </c>
      <c r="E4395" s="2">
        <f>IF(A4395&lt;&gt;"", VLOOKUP(A4395, imdb_netflix_v5!A$2:H$7370, 5, FALSE), "")</f>
        <v>2005</v>
      </c>
      <c r="F4395" s="2" t="str">
        <f>IF(A4395&lt;&gt;"", VLOOKUP(A4395, imdb_netflix_v5!A$2:H$7370, 7, FALSE), "")</f>
        <v>NA</v>
      </c>
    </row>
    <row r="4396" ht="15.75" customHeight="1">
      <c r="A4396" s="1" t="str">
        <f>IFERROR(__xludf.DUMMYFUNCTION("""COMPUTED_VALUE"""),"sex and the city")</f>
        <v>sex and the city</v>
      </c>
      <c r="B4396" s="1" t="str">
        <f>IF(A4396&lt;&gt;"", VLOOKUP(A4396, imdb_netflix_v5!A$2:H$7370, 2, FALSE), "")</f>
        <v>TV Show</v>
      </c>
      <c r="C4396" s="2" t="str">
        <f>IF(A4396&lt;&gt;"", VLOOKUP(A4396, imdb_netflix_v5!A$2:H$7370, 3, FALSE), "")</f>
        <v>Comedy, Drama, Romance</v>
      </c>
      <c r="D4396" s="2">
        <f>IF(A4396&lt;&gt;"", VLOOKUP(A4396, imdb_netflix_v5!A$2:H$7370, 4, FALSE), "")</f>
        <v>7.3</v>
      </c>
      <c r="E4396" s="2">
        <f>IF(A4396&lt;&gt;"", VLOOKUP(A4396, imdb_netflix_v5!A$2:H$7370, 5, FALSE), "")</f>
        <v>1998</v>
      </c>
      <c r="F4396" s="2" t="str">
        <f>IF(A4396&lt;&gt;"", VLOOKUP(A4396, imdb_netflix_v5!A$2:H$7370, 7, FALSE), "")</f>
        <v>NA</v>
      </c>
    </row>
    <row r="4397" ht="15.75" customHeight="1">
      <c r="A4397" s="1" t="str">
        <f>IFERROR(__xludf.DUMMYFUNCTION("""COMPUTED_VALUE"""),"from russia with love")</f>
        <v>from russia with love</v>
      </c>
      <c r="B4397" s="1" t="str">
        <f>IF(A4397&lt;&gt;"", VLOOKUP(A4397, imdb_netflix_v5!A$2:H$7370, 2, FALSE), "")</f>
        <v>Movie</v>
      </c>
      <c r="C4397" s="2" t="str">
        <f>IF(A4397&lt;&gt;"", VLOOKUP(A4397, imdb_netflix_v5!A$2:H$7370, 3, FALSE), "")</f>
        <v>Action, Adventure, Thriller</v>
      </c>
      <c r="D4397" s="2">
        <f>IF(A4397&lt;&gt;"", VLOOKUP(A4397, imdb_netflix_v5!A$2:H$7370, 4, FALSE), "")</f>
        <v>7.3</v>
      </c>
      <c r="E4397" s="2">
        <f>IF(A4397&lt;&gt;"", VLOOKUP(A4397, imdb_netflix_v5!A$2:H$7370, 5, FALSE), "")</f>
        <v>1963</v>
      </c>
      <c r="F4397" s="2" t="str">
        <f>IF(A4397&lt;&gt;"", VLOOKUP(A4397, imdb_netflix_v5!A$2:H$7370, 7, FALSE), "")</f>
        <v>NA</v>
      </c>
    </row>
    <row r="4398" ht="15.75" customHeight="1">
      <c r="A4398" s="1" t="str">
        <f>IFERROR(__xludf.DUMMYFUNCTION("""COMPUTED_VALUE"""),"carol")</f>
        <v>carol</v>
      </c>
      <c r="B4398" s="1" t="str">
        <f>IF(A4398&lt;&gt;"", VLOOKUP(A4398, imdb_netflix_v5!A$2:H$7370, 2, FALSE), "")</f>
        <v>Movie</v>
      </c>
      <c r="C4398" s="2" t="str">
        <f>IF(A4398&lt;&gt;"", VLOOKUP(A4398, imdb_netflix_v5!A$2:H$7370, 3, FALSE), "")</f>
        <v>Drama, Romance</v>
      </c>
      <c r="D4398" s="2">
        <f>IF(A4398&lt;&gt;"", VLOOKUP(A4398, imdb_netflix_v5!A$2:H$7370, 4, FALSE), "")</f>
        <v>7.3</v>
      </c>
      <c r="E4398" s="2">
        <f>IF(A4398&lt;&gt;"", VLOOKUP(A4398, imdb_netflix_v5!A$2:H$7370, 5, FALSE), "")</f>
        <v>2015</v>
      </c>
      <c r="F4398" s="2" t="str">
        <f>IF(A4398&lt;&gt;"", VLOOKUP(A4398, imdb_netflix_v5!A$2:H$7370, 7, FALSE), "")</f>
        <v>NA</v>
      </c>
    </row>
    <row r="4399" ht="15.75" customHeight="1">
      <c r="A4399" s="1" t="str">
        <f>IFERROR(__xludf.DUMMYFUNCTION("""COMPUTED_VALUE"""),"good time")</f>
        <v>good time</v>
      </c>
      <c r="B4399" s="1" t="str">
        <f>IF(A4399&lt;&gt;"", VLOOKUP(A4399, imdb_netflix_v5!A$2:H$7370, 2, FALSE), "")</f>
        <v>Movie</v>
      </c>
      <c r="C4399" s="2" t="str">
        <f>IF(A4399&lt;&gt;"", VLOOKUP(A4399, imdb_netflix_v5!A$2:H$7370, 3, FALSE), "")</f>
        <v>Crime, Drama, Thriller</v>
      </c>
      <c r="D4399" s="2">
        <f>IF(A4399&lt;&gt;"", VLOOKUP(A4399, imdb_netflix_v5!A$2:H$7370, 4, FALSE), "")</f>
        <v>7.3</v>
      </c>
      <c r="E4399" s="2">
        <f>IF(A4399&lt;&gt;"", VLOOKUP(A4399, imdb_netflix_v5!A$2:H$7370, 5, FALSE), "")</f>
        <v>2017</v>
      </c>
      <c r="F4399" s="2" t="str">
        <f>IF(A4399&lt;&gt;"", VLOOKUP(A4399, imdb_netflix_v5!A$2:H$7370, 7, FALSE), "")</f>
        <v>NA</v>
      </c>
    </row>
    <row r="4400" ht="15.75" customHeight="1">
      <c r="A4400" s="1" t="str">
        <f>IFERROR(__xludf.DUMMYFUNCTION("""COMPUTED_VALUE"""),"the edge of seventeen")</f>
        <v>the edge of seventeen</v>
      </c>
      <c r="B4400" s="1" t="str">
        <f>IF(A4400&lt;&gt;"", VLOOKUP(A4400, imdb_netflix_v5!A$2:H$7370, 2, FALSE), "")</f>
        <v>Movie</v>
      </c>
      <c r="C4400" s="2" t="str">
        <f>IF(A4400&lt;&gt;"", VLOOKUP(A4400, imdb_netflix_v5!A$2:H$7370, 3, FALSE), "")</f>
        <v>Comedy, Drama</v>
      </c>
      <c r="D4400" s="2">
        <f>IF(A4400&lt;&gt;"", VLOOKUP(A4400, imdb_netflix_v5!A$2:H$7370, 4, FALSE), "")</f>
        <v>7.3</v>
      </c>
      <c r="E4400" s="2">
        <f>IF(A4400&lt;&gt;"", VLOOKUP(A4400, imdb_netflix_v5!A$2:H$7370, 5, FALSE), "")</f>
        <v>2016</v>
      </c>
      <c r="F4400" s="2" t="str">
        <f>IF(A4400&lt;&gt;"", VLOOKUP(A4400, imdb_netflix_v5!A$2:H$7370, 7, FALSE), "")</f>
        <v>NA</v>
      </c>
    </row>
    <row r="4401" ht="15.75" customHeight="1">
      <c r="A4401" s="1" t="str">
        <f>IFERROR(__xludf.DUMMYFUNCTION("""COMPUTED_VALUE"""),"capote")</f>
        <v>capote</v>
      </c>
      <c r="B4401" s="1" t="str">
        <f>IF(A4401&lt;&gt;"", VLOOKUP(A4401, imdb_netflix_v5!A$2:H$7370, 2, FALSE), "")</f>
        <v>Movie</v>
      </c>
      <c r="C4401" s="2" t="str">
        <f>IF(A4401&lt;&gt;"", VLOOKUP(A4401, imdb_netflix_v5!A$2:H$7370, 3, FALSE), "")</f>
        <v>Biography, Crime, Drama</v>
      </c>
      <c r="D4401" s="2">
        <f>IF(A4401&lt;&gt;"", VLOOKUP(A4401, imdb_netflix_v5!A$2:H$7370, 4, FALSE), "")</f>
        <v>7.3</v>
      </c>
      <c r="E4401" s="2">
        <f>IF(A4401&lt;&gt;"", VLOOKUP(A4401, imdb_netflix_v5!A$2:H$7370, 5, FALSE), "")</f>
        <v>2005</v>
      </c>
      <c r="F4401" s="2" t="str">
        <f>IF(A4401&lt;&gt;"", VLOOKUP(A4401, imdb_netflix_v5!A$2:H$7370, 7, FALSE), "")</f>
        <v>NA</v>
      </c>
    </row>
    <row r="4402" ht="15.75" customHeight="1">
      <c r="A4402" s="1" t="str">
        <f>IFERROR(__xludf.DUMMYFUNCTION("""COMPUTED_VALUE"""),"clerks ii")</f>
        <v>clerks ii</v>
      </c>
      <c r="B4402" s="1" t="str">
        <f>IF(A4402&lt;&gt;"", VLOOKUP(A4402, imdb_netflix_v5!A$2:H$7370, 2, FALSE), "")</f>
        <v>Movie</v>
      </c>
      <c r="C4402" s="2" t="str">
        <f>IF(A4402&lt;&gt;"", VLOOKUP(A4402, imdb_netflix_v5!A$2:H$7370, 3, FALSE), "")</f>
        <v>Comedy</v>
      </c>
      <c r="D4402" s="2">
        <f>IF(A4402&lt;&gt;"", VLOOKUP(A4402, imdb_netflix_v5!A$2:H$7370, 4, FALSE), "")</f>
        <v>7.3</v>
      </c>
      <c r="E4402" s="2">
        <f>IF(A4402&lt;&gt;"", VLOOKUP(A4402, imdb_netflix_v5!A$2:H$7370, 5, FALSE), "")</f>
        <v>2006</v>
      </c>
      <c r="F4402" s="2" t="str">
        <f>IF(A4402&lt;&gt;"", VLOOKUP(A4402, imdb_netflix_v5!A$2:H$7370, 7, FALSE), "")</f>
        <v>NA</v>
      </c>
    </row>
    <row r="4403" ht="15.75" customHeight="1">
      <c r="A4403" s="1" t="str">
        <f>IFERROR(__xludf.DUMMYFUNCTION("""COMPUTED_VALUE"""),"matchstick men")</f>
        <v>matchstick men</v>
      </c>
      <c r="B4403" s="1" t="str">
        <f>IF(A4403&lt;&gt;"", VLOOKUP(A4403, imdb_netflix_v5!A$2:H$7370, 2, FALSE), "")</f>
        <v>Movie</v>
      </c>
      <c r="C4403" s="2" t="str">
        <f>IF(A4403&lt;&gt;"", VLOOKUP(A4403, imdb_netflix_v5!A$2:H$7370, 3, FALSE), "")</f>
        <v>Comedy, Crime, Drama</v>
      </c>
      <c r="D4403" s="2">
        <f>IF(A4403&lt;&gt;"", VLOOKUP(A4403, imdb_netflix_v5!A$2:H$7370, 4, FALSE), "")</f>
        <v>7.3</v>
      </c>
      <c r="E4403" s="2">
        <f>IF(A4403&lt;&gt;"", VLOOKUP(A4403, imdb_netflix_v5!A$2:H$7370, 5, FALSE), "")</f>
        <v>2003</v>
      </c>
      <c r="F4403" s="2" t="str">
        <f>IF(A4403&lt;&gt;"", VLOOKUP(A4403, imdb_netflix_v5!A$2:H$7370, 7, FALSE), "")</f>
        <v>NA</v>
      </c>
    </row>
    <row r="4404" ht="15.75" customHeight="1">
      <c r="A4404" s="1" t="str">
        <f>IFERROR(__xludf.DUMMYFUNCTION("""COMPUTED_VALUE"""),"paddington")</f>
        <v>paddington</v>
      </c>
      <c r="B4404" s="1" t="str">
        <f>IF(A4404&lt;&gt;"", VLOOKUP(A4404, imdb_netflix_v5!A$2:H$7370, 2, FALSE), "")</f>
        <v>Movie</v>
      </c>
      <c r="C4404" s="2" t="str">
        <f>IF(A4404&lt;&gt;"", VLOOKUP(A4404, imdb_netflix_v5!A$2:H$7370, 3, FALSE), "")</f>
        <v>Adventure, Comedy, Family</v>
      </c>
      <c r="D4404" s="2">
        <f>IF(A4404&lt;&gt;"", VLOOKUP(A4404, imdb_netflix_v5!A$2:H$7370, 4, FALSE), "")</f>
        <v>7.3</v>
      </c>
      <c r="E4404" s="2">
        <f>IF(A4404&lt;&gt;"", VLOOKUP(A4404, imdb_netflix_v5!A$2:H$7370, 5, FALSE), "")</f>
        <v>2014</v>
      </c>
      <c r="F4404" s="2" t="str">
        <f>IF(A4404&lt;&gt;"", VLOOKUP(A4404, imdb_netflix_v5!A$2:H$7370, 7, FALSE), "")</f>
        <v>NA</v>
      </c>
    </row>
    <row r="4405" ht="15.75" customHeight="1">
      <c r="A4405" s="1" t="str">
        <f>IFERROR(__xludf.DUMMYFUNCTION("""COMPUTED_VALUE"""),"the walk")</f>
        <v>the walk</v>
      </c>
      <c r="B4405" s="1" t="str">
        <f>IF(A4405&lt;&gt;"", VLOOKUP(A4405, imdb_netflix_v5!A$2:H$7370, 2, FALSE), "")</f>
        <v>Movie</v>
      </c>
      <c r="C4405" s="2" t="str">
        <f>IF(A4405&lt;&gt;"", VLOOKUP(A4405, imdb_netflix_v5!A$2:H$7370, 3, FALSE), "")</f>
        <v>Adventure, Biography, Drama</v>
      </c>
      <c r="D4405" s="2">
        <f>IF(A4405&lt;&gt;"", VLOOKUP(A4405, imdb_netflix_v5!A$2:H$7370, 4, FALSE), "")</f>
        <v>7.3</v>
      </c>
      <c r="E4405" s="2">
        <f>IF(A4405&lt;&gt;"", VLOOKUP(A4405, imdb_netflix_v5!A$2:H$7370, 5, FALSE), "")</f>
        <v>2015</v>
      </c>
      <c r="F4405" s="2" t="str">
        <f>IF(A4405&lt;&gt;"", VLOOKUP(A4405, imdb_netflix_v5!A$2:H$7370, 7, FALSE), "")</f>
        <v>NA</v>
      </c>
    </row>
    <row r="4406" ht="15.75" customHeight="1">
      <c r="A4406" s="1" t="str">
        <f>IFERROR(__xludf.DUMMYFUNCTION("""COMPUTED_VALUE"""),"i origins")</f>
        <v>i origins</v>
      </c>
      <c r="B4406" s="1" t="str">
        <f>IF(A4406&lt;&gt;"", VLOOKUP(A4406, imdb_netflix_v5!A$2:H$7370, 2, FALSE), "")</f>
        <v>Movie</v>
      </c>
      <c r="C4406" s="2" t="str">
        <f>IF(A4406&lt;&gt;"", VLOOKUP(A4406, imdb_netflix_v5!A$2:H$7370, 3, FALSE), "")</f>
        <v>Drama, Mystery, Romance</v>
      </c>
      <c r="D4406" s="2">
        <f>IF(A4406&lt;&gt;"", VLOOKUP(A4406, imdb_netflix_v5!A$2:H$7370, 4, FALSE), "")</f>
        <v>7.3</v>
      </c>
      <c r="E4406" s="2">
        <f>IF(A4406&lt;&gt;"", VLOOKUP(A4406, imdb_netflix_v5!A$2:H$7370, 5, FALSE), "")</f>
        <v>2014</v>
      </c>
      <c r="F4406" s="2" t="str">
        <f>IF(A4406&lt;&gt;"", VLOOKUP(A4406, imdb_netflix_v5!A$2:H$7370, 7, FALSE), "")</f>
        <v>NA</v>
      </c>
    </row>
    <row r="4407" ht="15.75" customHeight="1">
      <c r="A4407" s="1" t="str">
        <f>IFERROR(__xludf.DUMMYFUNCTION("""COMPUTED_VALUE"""),"okja")</f>
        <v>okja</v>
      </c>
      <c r="B4407" s="1" t="str">
        <f>IF(A4407&lt;&gt;"", VLOOKUP(A4407, imdb_netflix_v5!A$2:H$7370, 2, FALSE), "")</f>
        <v>Movie</v>
      </c>
      <c r="C4407" s="2" t="str">
        <f>IF(A4407&lt;&gt;"", VLOOKUP(A4407, imdb_netflix_v5!A$2:H$7370, 3, FALSE), "")</f>
        <v>Action, Adventure, Drama</v>
      </c>
      <c r="D4407" s="2">
        <f>IF(A4407&lt;&gt;"", VLOOKUP(A4407, imdb_netflix_v5!A$2:H$7370, 4, FALSE), "")</f>
        <v>7.3</v>
      </c>
      <c r="E4407" s="2">
        <f>IF(A4407&lt;&gt;"", VLOOKUP(A4407, imdb_netflix_v5!A$2:H$7370, 5, FALSE), "")</f>
        <v>2017</v>
      </c>
      <c r="F4407" s="2" t="str">
        <f>IF(A4407&lt;&gt;"", VLOOKUP(A4407, imdb_netflix_v5!A$2:H$7370, 7, FALSE), "")</f>
        <v>NA</v>
      </c>
    </row>
    <row r="4408" ht="15.75" customHeight="1">
      <c r="A4408" s="1" t="str">
        <f>IFERROR(__xludf.DUMMYFUNCTION("""COMPUTED_VALUE"""),"eraserhead")</f>
        <v>eraserhead</v>
      </c>
      <c r="B4408" s="1" t="str">
        <f>IF(A4408&lt;&gt;"", VLOOKUP(A4408, imdb_netflix_v5!A$2:H$7370, 2, FALSE), "")</f>
        <v>Movie</v>
      </c>
      <c r="C4408" s="2" t="str">
        <f>IF(A4408&lt;&gt;"", VLOOKUP(A4408, imdb_netflix_v5!A$2:H$7370, 3, FALSE), "")</f>
        <v>Fantasy, Horror</v>
      </c>
      <c r="D4408" s="2">
        <f>IF(A4408&lt;&gt;"", VLOOKUP(A4408, imdb_netflix_v5!A$2:H$7370, 4, FALSE), "")</f>
        <v>7.3</v>
      </c>
      <c r="E4408" s="2">
        <f>IF(A4408&lt;&gt;"", VLOOKUP(A4408, imdb_netflix_v5!A$2:H$7370, 5, FALSE), "")</f>
        <v>1977</v>
      </c>
      <c r="F4408" s="2" t="str">
        <f>IF(A4408&lt;&gt;"", VLOOKUP(A4408, imdb_netflix_v5!A$2:H$7370, 7, FALSE), "")</f>
        <v>NA</v>
      </c>
    </row>
    <row r="4409" ht="15.75" customHeight="1">
      <c r="A4409" s="1" t="str">
        <f>IFERROR(__xludf.DUMMYFUNCTION("""COMPUTED_VALUE"""),"ghost world")</f>
        <v>ghost world</v>
      </c>
      <c r="B4409" s="1" t="str">
        <f>IF(A4409&lt;&gt;"", VLOOKUP(A4409, imdb_netflix_v5!A$2:H$7370, 2, FALSE), "")</f>
        <v>Movie</v>
      </c>
      <c r="C4409" s="2" t="str">
        <f>IF(A4409&lt;&gt;"", VLOOKUP(A4409, imdb_netflix_v5!A$2:H$7370, 3, FALSE), "")</f>
        <v>Comedy, Drama</v>
      </c>
      <c r="D4409" s="2">
        <f>IF(A4409&lt;&gt;"", VLOOKUP(A4409, imdb_netflix_v5!A$2:H$7370, 4, FALSE), "")</f>
        <v>7.3</v>
      </c>
      <c r="E4409" s="2">
        <f>IF(A4409&lt;&gt;"", VLOOKUP(A4409, imdb_netflix_v5!A$2:H$7370, 5, FALSE), "")</f>
        <v>2001</v>
      </c>
      <c r="F4409" s="2" t="str">
        <f>IF(A4409&lt;&gt;"", VLOOKUP(A4409, imdb_netflix_v5!A$2:H$7370, 7, FALSE), "")</f>
        <v>NA</v>
      </c>
    </row>
    <row r="4410" ht="15.75" customHeight="1">
      <c r="A4410" s="1" t="str">
        <f>IFERROR(__xludf.DUMMYFUNCTION("""COMPUTED_VALUE"""),"instant family")</f>
        <v>instant family</v>
      </c>
      <c r="B4410" s="1" t="str">
        <f>IF(A4410&lt;&gt;"", VLOOKUP(A4410, imdb_netflix_v5!A$2:H$7370, 2, FALSE), "")</f>
        <v>Movie</v>
      </c>
      <c r="C4410" s="2" t="str">
        <f>IF(A4410&lt;&gt;"", VLOOKUP(A4410, imdb_netflix_v5!A$2:H$7370, 3, FALSE), "")</f>
        <v>Comedy, Drama</v>
      </c>
      <c r="D4410" s="2">
        <f>IF(A4410&lt;&gt;"", VLOOKUP(A4410, imdb_netflix_v5!A$2:H$7370, 4, FALSE), "")</f>
        <v>7.3</v>
      </c>
      <c r="E4410" s="2">
        <f>IF(A4410&lt;&gt;"", VLOOKUP(A4410, imdb_netflix_v5!A$2:H$7370, 5, FALSE), "")</f>
        <v>2018</v>
      </c>
      <c r="F4410" s="2" t="str">
        <f>IF(A4410&lt;&gt;"", VLOOKUP(A4410, imdb_netflix_v5!A$2:H$7370, 7, FALSE), "")</f>
        <v>NA</v>
      </c>
    </row>
    <row r="4411" ht="15.75" customHeight="1">
      <c r="A4411" s="1" t="str">
        <f>IFERROR(__xludf.DUMMYFUNCTION("""COMPUTED_VALUE"""),"the basketball diaries")</f>
        <v>the basketball diaries</v>
      </c>
      <c r="B4411" s="1" t="str">
        <f>IF(A4411&lt;&gt;"", VLOOKUP(A4411, imdb_netflix_v5!A$2:H$7370, 2, FALSE), "")</f>
        <v>Movie</v>
      </c>
      <c r="C4411" s="2" t="str">
        <f>IF(A4411&lt;&gt;"", VLOOKUP(A4411, imdb_netflix_v5!A$2:H$7370, 3, FALSE), "")</f>
        <v>Biography, Crime, Drama</v>
      </c>
      <c r="D4411" s="2">
        <f>IF(A4411&lt;&gt;"", VLOOKUP(A4411, imdb_netflix_v5!A$2:H$7370, 4, FALSE), "")</f>
        <v>7.3</v>
      </c>
      <c r="E4411" s="2">
        <f>IF(A4411&lt;&gt;"", VLOOKUP(A4411, imdb_netflix_v5!A$2:H$7370, 5, FALSE), "")</f>
        <v>1995</v>
      </c>
      <c r="F4411" s="2" t="str">
        <f>IF(A4411&lt;&gt;"", VLOOKUP(A4411, imdb_netflix_v5!A$2:H$7370, 7, FALSE), "")</f>
        <v>NA</v>
      </c>
    </row>
    <row r="4412" ht="15.75" customHeight="1">
      <c r="A4412" s="1" t="str">
        <f>IFERROR(__xludf.DUMMYFUNCTION("""COMPUTED_VALUE"""),"the way back")</f>
        <v>the way back</v>
      </c>
      <c r="B4412" s="1" t="str">
        <f>IF(A4412&lt;&gt;"", VLOOKUP(A4412, imdb_netflix_v5!A$2:H$7370, 2, FALSE), "")</f>
        <v>Movie</v>
      </c>
      <c r="C4412" s="2" t="str">
        <f>IF(A4412&lt;&gt;"", VLOOKUP(A4412, imdb_netflix_v5!A$2:H$7370, 3, FALSE), "")</f>
        <v>Adventure, Drama, History</v>
      </c>
      <c r="D4412" s="2">
        <f>IF(A4412&lt;&gt;"", VLOOKUP(A4412, imdb_netflix_v5!A$2:H$7370, 4, FALSE), "")</f>
        <v>7.3</v>
      </c>
      <c r="E4412" s="2">
        <f>IF(A4412&lt;&gt;"", VLOOKUP(A4412, imdb_netflix_v5!A$2:H$7370, 5, FALSE), "")</f>
        <v>2010</v>
      </c>
      <c r="F4412" s="2" t="str">
        <f>IF(A4412&lt;&gt;"", VLOOKUP(A4412, imdb_netflix_v5!A$2:H$7370, 7, FALSE), "")</f>
        <v>NA</v>
      </c>
    </row>
    <row r="4413" ht="15.75" customHeight="1">
      <c r="A4413" s="1" t="str">
        <f>IFERROR(__xludf.DUMMYFUNCTION("""COMPUTED_VALUE"""),"death at a funeral")</f>
        <v>death at a funeral</v>
      </c>
      <c r="B4413" s="1" t="str">
        <f>IF(A4413&lt;&gt;"", VLOOKUP(A4413, imdb_netflix_v5!A$2:H$7370, 2, FALSE), "")</f>
        <v>Movie</v>
      </c>
      <c r="C4413" s="2" t="str">
        <f>IF(A4413&lt;&gt;"", VLOOKUP(A4413, imdb_netflix_v5!A$2:H$7370, 3, FALSE), "")</f>
        <v>Comedy</v>
      </c>
      <c r="D4413" s="2">
        <f>IF(A4413&lt;&gt;"", VLOOKUP(A4413, imdb_netflix_v5!A$2:H$7370, 4, FALSE), "")</f>
        <v>7.3</v>
      </c>
      <c r="E4413" s="2">
        <f>IF(A4413&lt;&gt;"", VLOOKUP(A4413, imdb_netflix_v5!A$2:H$7370, 5, FALSE), "")</f>
        <v>2007</v>
      </c>
      <c r="F4413" s="2" t="str">
        <f>IF(A4413&lt;&gt;"", VLOOKUP(A4413, imdb_netflix_v5!A$2:H$7370, 7, FALSE), "")</f>
        <v>NA</v>
      </c>
    </row>
    <row r="4414" ht="15.75" customHeight="1">
      <c r="A4414" s="1" t="str">
        <f>IFERROR(__xludf.DUMMYFUNCTION("""COMPUTED_VALUE"""),"vacation")</f>
        <v>vacation</v>
      </c>
      <c r="B4414" s="1" t="str">
        <f>IF(A4414&lt;&gt;"", VLOOKUP(A4414, imdb_netflix_v5!A$2:H$7370, 2, FALSE), "")</f>
        <v>Movie</v>
      </c>
      <c r="C4414" s="2" t="str">
        <f>IF(A4414&lt;&gt;"", VLOOKUP(A4414, imdb_netflix_v5!A$2:H$7370, 3, FALSE), "")</f>
        <v>Adventure, Comedy</v>
      </c>
      <c r="D4414" s="2">
        <f>IF(A4414&lt;&gt;"", VLOOKUP(A4414, imdb_netflix_v5!A$2:H$7370, 4, FALSE), "")</f>
        <v>7.3</v>
      </c>
      <c r="E4414" s="2">
        <f>IF(A4414&lt;&gt;"", VLOOKUP(A4414, imdb_netflix_v5!A$2:H$7370, 5, FALSE), "")</f>
        <v>1983</v>
      </c>
      <c r="F4414" s="2" t="str">
        <f>IF(A4414&lt;&gt;"", VLOOKUP(A4414, imdb_netflix_v5!A$2:H$7370, 7, FALSE), "")</f>
        <v>NA</v>
      </c>
    </row>
    <row r="4415" ht="15.75" customHeight="1">
      <c r="A4415" s="1" t="str">
        <f>IFERROR(__xludf.DUMMYFUNCTION("""COMPUTED_VALUE"""),"driving miss daisy")</f>
        <v>driving miss daisy</v>
      </c>
      <c r="B4415" s="1" t="str">
        <f>IF(A4415&lt;&gt;"", VLOOKUP(A4415, imdb_netflix_v5!A$2:H$7370, 2, FALSE), "")</f>
        <v>Movie</v>
      </c>
      <c r="C4415" s="2" t="str">
        <f>IF(A4415&lt;&gt;"", VLOOKUP(A4415, imdb_netflix_v5!A$2:H$7370, 3, FALSE), "")</f>
        <v>Comedy, Drama</v>
      </c>
      <c r="D4415" s="2">
        <f>IF(A4415&lt;&gt;"", VLOOKUP(A4415, imdb_netflix_v5!A$2:H$7370, 4, FALSE), "")</f>
        <v>7.3</v>
      </c>
      <c r="E4415" s="2">
        <f>IF(A4415&lt;&gt;"", VLOOKUP(A4415, imdb_netflix_v5!A$2:H$7370, 5, FALSE), "")</f>
        <v>1989</v>
      </c>
      <c r="F4415" s="2" t="str">
        <f>IF(A4415&lt;&gt;"", VLOOKUP(A4415, imdb_netflix_v5!A$2:H$7370, 7, FALSE), "")</f>
        <v>NA</v>
      </c>
    </row>
    <row r="4416" ht="15.75" customHeight="1">
      <c r="A4416" s="1" t="str">
        <f>IFERROR(__xludf.DUMMYFUNCTION("""COMPUTED_VALUE"""),"precious")</f>
        <v>precious</v>
      </c>
      <c r="B4416" s="1" t="str">
        <f>IF(A4416&lt;&gt;"", VLOOKUP(A4416, imdb_netflix_v5!A$2:H$7370, 2, FALSE), "")</f>
        <v>Movie</v>
      </c>
      <c r="C4416" s="2" t="str">
        <f>IF(A4416&lt;&gt;"", VLOOKUP(A4416, imdb_netflix_v5!A$2:H$7370, 3, FALSE), "")</f>
        <v>Drama</v>
      </c>
      <c r="D4416" s="2">
        <f>IF(A4416&lt;&gt;"", VLOOKUP(A4416, imdb_netflix_v5!A$2:H$7370, 4, FALSE), "")</f>
        <v>7.3</v>
      </c>
      <c r="E4416" s="2">
        <f>IF(A4416&lt;&gt;"", VLOOKUP(A4416, imdb_netflix_v5!A$2:H$7370, 5, FALSE), "")</f>
        <v>2009</v>
      </c>
      <c r="F4416" s="2" t="str">
        <f>IF(A4416&lt;&gt;"", VLOOKUP(A4416, imdb_netflix_v5!A$2:H$7370, 7, FALSE), "")</f>
        <v>NA</v>
      </c>
    </row>
    <row r="4417" ht="15.75" customHeight="1">
      <c r="A4417" s="1" t="str">
        <f>IFERROR(__xludf.DUMMYFUNCTION("""COMPUTED_VALUE"""),"the boat that rocked")</f>
        <v>the boat that rocked</v>
      </c>
      <c r="B4417" s="1" t="str">
        <f>IF(A4417&lt;&gt;"", VLOOKUP(A4417, imdb_netflix_v5!A$2:H$7370, 2, FALSE), "")</f>
        <v>Movie</v>
      </c>
      <c r="C4417" s="2" t="str">
        <f>IF(A4417&lt;&gt;"", VLOOKUP(A4417, imdb_netflix_v5!A$2:H$7370, 3, FALSE), "")</f>
        <v>Comedy, Drama, Music</v>
      </c>
      <c r="D4417" s="2">
        <f>IF(A4417&lt;&gt;"", VLOOKUP(A4417, imdb_netflix_v5!A$2:H$7370, 4, FALSE), "")</f>
        <v>7.3</v>
      </c>
      <c r="E4417" s="2">
        <f>IF(A4417&lt;&gt;"", VLOOKUP(A4417, imdb_netflix_v5!A$2:H$7370, 5, FALSE), "")</f>
        <v>2009</v>
      </c>
      <c r="F4417" s="2" t="str">
        <f>IF(A4417&lt;&gt;"", VLOOKUP(A4417, imdb_netflix_v5!A$2:H$7370, 7, FALSE), "")</f>
        <v>NA</v>
      </c>
    </row>
    <row r="4418" ht="15.75" customHeight="1">
      <c r="A4418" s="1" t="str">
        <f>IFERROR(__xludf.DUMMYFUNCTION("""COMPUTED_VALUE"""),"the death of stalin")</f>
        <v>the death of stalin</v>
      </c>
      <c r="B4418" s="1" t="str">
        <f>IF(A4418&lt;&gt;"", VLOOKUP(A4418, imdb_netflix_v5!A$2:H$7370, 2, FALSE), "")</f>
        <v>Movie</v>
      </c>
      <c r="C4418" s="2" t="str">
        <f>IF(A4418&lt;&gt;"", VLOOKUP(A4418, imdb_netflix_v5!A$2:H$7370, 3, FALSE), "")</f>
        <v>Comedy, Drama, History</v>
      </c>
      <c r="D4418" s="2">
        <f>IF(A4418&lt;&gt;"", VLOOKUP(A4418, imdb_netflix_v5!A$2:H$7370, 4, FALSE), "")</f>
        <v>7.3</v>
      </c>
      <c r="E4418" s="2">
        <f>IF(A4418&lt;&gt;"", VLOOKUP(A4418, imdb_netflix_v5!A$2:H$7370, 5, FALSE), "")</f>
        <v>2017</v>
      </c>
      <c r="F4418" s="2" t="str">
        <f>IF(A4418&lt;&gt;"", VLOOKUP(A4418, imdb_netflix_v5!A$2:H$7370, 7, FALSE), "")</f>
        <v>NA</v>
      </c>
    </row>
    <row r="4419" ht="15.75" customHeight="1">
      <c r="A4419" s="1" t="str">
        <f>IFERROR(__xludf.DUMMYFUNCTION("""COMPUTED_VALUE"""),"the queen")</f>
        <v>the queen</v>
      </c>
      <c r="B4419" s="1" t="str">
        <f>IF(A4419&lt;&gt;"", VLOOKUP(A4419, imdb_netflix_v5!A$2:H$7370, 2, FALSE), "")</f>
        <v>Movie</v>
      </c>
      <c r="C4419" s="2" t="str">
        <f>IF(A4419&lt;&gt;"", VLOOKUP(A4419, imdb_netflix_v5!A$2:H$7370, 3, FALSE), "")</f>
        <v>Biography, Drama</v>
      </c>
      <c r="D4419" s="2">
        <f>IF(A4419&lt;&gt;"", VLOOKUP(A4419, imdb_netflix_v5!A$2:H$7370, 4, FALSE), "")</f>
        <v>7.3</v>
      </c>
      <c r="E4419" s="2">
        <f>IF(A4419&lt;&gt;"", VLOOKUP(A4419, imdb_netflix_v5!A$2:H$7370, 5, FALSE), "")</f>
        <v>2006</v>
      </c>
      <c r="F4419" s="2" t="str">
        <f>IF(A4419&lt;&gt;"", VLOOKUP(A4419, imdb_netflix_v5!A$2:H$7370, 7, FALSE), "")</f>
        <v>NA</v>
      </c>
    </row>
    <row r="4420" ht="15.75" customHeight="1">
      <c r="A4420" s="1" t="str">
        <f>IFERROR(__xludf.DUMMYFUNCTION("""COMPUTED_VALUE"""),"patriots day")</f>
        <v>patriots day</v>
      </c>
      <c r="B4420" s="1" t="str">
        <f>IF(A4420&lt;&gt;"", VLOOKUP(A4420, imdb_netflix_v5!A$2:H$7370, 2, FALSE), "")</f>
        <v>Movie</v>
      </c>
      <c r="C4420" s="2" t="str">
        <f>IF(A4420&lt;&gt;"", VLOOKUP(A4420, imdb_netflix_v5!A$2:H$7370, 3, FALSE), "")</f>
        <v>Action, Crime, Drama</v>
      </c>
      <c r="D4420" s="2">
        <f>IF(A4420&lt;&gt;"", VLOOKUP(A4420, imdb_netflix_v5!A$2:H$7370, 4, FALSE), "")</f>
        <v>7.3</v>
      </c>
      <c r="E4420" s="2">
        <f>IF(A4420&lt;&gt;"", VLOOKUP(A4420, imdb_netflix_v5!A$2:H$7370, 5, FALSE), "")</f>
        <v>2016</v>
      </c>
      <c r="F4420" s="2" t="str">
        <f>IF(A4420&lt;&gt;"", VLOOKUP(A4420, imdb_netflix_v5!A$2:H$7370, 7, FALSE), "")</f>
        <v>NA</v>
      </c>
    </row>
    <row r="4421" ht="15.75" customHeight="1">
      <c r="A4421" s="1" t="str">
        <f>IFERROR(__xludf.DUMMYFUNCTION("""COMPUTED_VALUE"""),"across the universe")</f>
        <v>across the universe</v>
      </c>
      <c r="B4421" s="1" t="str">
        <f>IF(A4421&lt;&gt;"", VLOOKUP(A4421, imdb_netflix_v5!A$2:H$7370, 2, FALSE), "")</f>
        <v>Movie</v>
      </c>
      <c r="C4421" s="2" t="str">
        <f>IF(A4421&lt;&gt;"", VLOOKUP(A4421, imdb_netflix_v5!A$2:H$7370, 3, FALSE), "")</f>
        <v>Drama, Fantasy, History</v>
      </c>
      <c r="D4421" s="2">
        <f>IF(A4421&lt;&gt;"", VLOOKUP(A4421, imdb_netflix_v5!A$2:H$7370, 4, FALSE), "")</f>
        <v>7.3</v>
      </c>
      <c r="E4421" s="2">
        <f>IF(A4421&lt;&gt;"", VLOOKUP(A4421, imdb_netflix_v5!A$2:H$7370, 5, FALSE), "")</f>
        <v>2007</v>
      </c>
      <c r="F4421" s="2" t="str">
        <f>IF(A4421&lt;&gt;"", VLOOKUP(A4421, imdb_netflix_v5!A$2:H$7370, 7, FALSE), "")</f>
        <v>NA</v>
      </c>
    </row>
    <row r="4422" ht="15.75" customHeight="1">
      <c r="A4422" s="1" t="str">
        <f>IFERROR(__xludf.DUMMYFUNCTION("""COMPUTED_VALUE"""),"before the devil knows youre dead")</f>
        <v>before the devil knows youre dead</v>
      </c>
      <c r="B4422" s="1" t="str">
        <f>IF(A4422&lt;&gt;"", VLOOKUP(A4422, imdb_netflix_v5!A$2:H$7370, 2, FALSE), "")</f>
        <v>Movie</v>
      </c>
      <c r="C4422" s="2" t="str">
        <f>IF(A4422&lt;&gt;"", VLOOKUP(A4422, imdb_netflix_v5!A$2:H$7370, 3, FALSE), "")</f>
        <v>Crime, Drama, Thriller</v>
      </c>
      <c r="D4422" s="2">
        <f>IF(A4422&lt;&gt;"", VLOOKUP(A4422, imdb_netflix_v5!A$2:H$7370, 4, FALSE), "")</f>
        <v>7.3</v>
      </c>
      <c r="E4422" s="2">
        <f>IF(A4422&lt;&gt;"", VLOOKUP(A4422, imdb_netflix_v5!A$2:H$7370, 5, FALSE), "")</f>
        <v>2007</v>
      </c>
      <c r="F4422" s="2" t="str">
        <f>IF(A4422&lt;&gt;"", VLOOKUP(A4422, imdb_netflix_v5!A$2:H$7370, 7, FALSE), "")</f>
        <v>NA</v>
      </c>
    </row>
    <row r="4423" ht="15.75" customHeight="1">
      <c r="A4423" s="1" t="str">
        <f>IFERROR(__xludf.DUMMYFUNCTION("""COMPUTED_VALUE"""),"clue")</f>
        <v>clue</v>
      </c>
      <c r="B4423" s="1" t="str">
        <f>IF(A4423&lt;&gt;"", VLOOKUP(A4423, imdb_netflix_v5!A$2:H$7370, 2, FALSE), "")</f>
        <v>Movie</v>
      </c>
      <c r="C4423" s="2" t="str">
        <f>IF(A4423&lt;&gt;"", VLOOKUP(A4423, imdb_netflix_v5!A$2:H$7370, 3, FALSE), "")</f>
        <v>Comedy, Crime, Mystery</v>
      </c>
      <c r="D4423" s="2">
        <f>IF(A4423&lt;&gt;"", VLOOKUP(A4423, imdb_netflix_v5!A$2:H$7370, 4, FALSE), "")</f>
        <v>7.3</v>
      </c>
      <c r="E4423" s="2">
        <f>IF(A4423&lt;&gt;"", VLOOKUP(A4423, imdb_netflix_v5!A$2:H$7370, 5, FALSE), "")</f>
        <v>1985</v>
      </c>
      <c r="F4423" s="2" t="str">
        <f>IF(A4423&lt;&gt;"", VLOOKUP(A4423, imdb_netflix_v5!A$2:H$7370, 7, FALSE), "")</f>
        <v>NA</v>
      </c>
    </row>
    <row r="4424" ht="15.75" customHeight="1">
      <c r="A4424" s="1">
        <f>IFERROR(__xludf.DUMMYFUNCTION("""COMPUTED_VALUE"""),1899.0)</f>
        <v>1899</v>
      </c>
      <c r="B4424" s="1" t="str">
        <f>IF(A4424&lt;&gt;"", VLOOKUP(A4424, imdb_netflix_v5!A$2:H$7370, 2, FALSE), "")</f>
        <v>TV Show</v>
      </c>
      <c r="C4424" s="2" t="str">
        <f>IF(A4424&lt;&gt;"", VLOOKUP(A4424, imdb_netflix_v5!A$2:H$7370, 3, FALSE), "")</f>
        <v>Drama, Horror, Mystery</v>
      </c>
      <c r="D4424" s="2">
        <f>IF(A4424&lt;&gt;"", VLOOKUP(A4424, imdb_netflix_v5!A$2:H$7370, 4, FALSE), "")</f>
        <v>7.3</v>
      </c>
      <c r="E4424" s="2">
        <f>IF(A4424&lt;&gt;"", VLOOKUP(A4424, imdb_netflix_v5!A$2:H$7370, 5, FALSE), "")</f>
        <v>2022</v>
      </c>
      <c r="F4424" s="2">
        <f>IF(A4424&lt;&gt;"", VLOOKUP(A4424, imdb_netflix_v5!A$2:H$7370, 7, FALSE), "")</f>
        <v>17850000</v>
      </c>
    </row>
    <row r="4425" ht="15.75" customHeight="1">
      <c r="A4425" s="1" t="str">
        <f>IFERROR(__xludf.DUMMYFUNCTION("""COMPUTED_VALUE"""),"rescue dawn")</f>
        <v>rescue dawn</v>
      </c>
      <c r="B4425" s="1" t="str">
        <f>IF(A4425&lt;&gt;"", VLOOKUP(A4425, imdb_netflix_v5!A$2:H$7370, 2, FALSE), "")</f>
        <v>Movie</v>
      </c>
      <c r="C4425" s="2" t="str">
        <f>IF(A4425&lt;&gt;"", VLOOKUP(A4425, imdb_netflix_v5!A$2:H$7370, 3, FALSE), "")</f>
        <v>Adventure, Biography, War</v>
      </c>
      <c r="D4425" s="2">
        <f>IF(A4425&lt;&gt;"", VLOOKUP(A4425, imdb_netflix_v5!A$2:H$7370, 4, FALSE), "")</f>
        <v>7.3</v>
      </c>
      <c r="E4425" s="2">
        <f>IF(A4425&lt;&gt;"", VLOOKUP(A4425, imdb_netflix_v5!A$2:H$7370, 5, FALSE), "")</f>
        <v>2006</v>
      </c>
      <c r="F4425" s="2" t="str">
        <f>IF(A4425&lt;&gt;"", VLOOKUP(A4425, imdb_netflix_v5!A$2:H$7370, 7, FALSE), "")</f>
        <v>NA</v>
      </c>
    </row>
    <row r="4426" ht="15.75" customHeight="1">
      <c r="A4426" s="1" t="str">
        <f>IFERROR(__xludf.DUMMYFUNCTION("""COMPUTED_VALUE"""),"take shelter")</f>
        <v>take shelter</v>
      </c>
      <c r="B4426" s="1" t="str">
        <f>IF(A4426&lt;&gt;"", VLOOKUP(A4426, imdb_netflix_v5!A$2:H$7370, 2, FALSE), "")</f>
        <v>Movie</v>
      </c>
      <c r="C4426" s="2" t="str">
        <f>IF(A4426&lt;&gt;"", VLOOKUP(A4426, imdb_netflix_v5!A$2:H$7370, 3, FALSE), "")</f>
        <v>Drama, Thriller</v>
      </c>
      <c r="D4426" s="2">
        <f>IF(A4426&lt;&gt;"", VLOOKUP(A4426, imdb_netflix_v5!A$2:H$7370, 4, FALSE), "")</f>
        <v>7.3</v>
      </c>
      <c r="E4426" s="2">
        <f>IF(A4426&lt;&gt;"", VLOOKUP(A4426, imdb_netflix_v5!A$2:H$7370, 5, FALSE), "")</f>
        <v>2011</v>
      </c>
      <c r="F4426" s="2" t="str">
        <f>IF(A4426&lt;&gt;"", VLOOKUP(A4426, imdb_netflix_v5!A$2:H$7370, 7, FALSE), "")</f>
        <v>NA</v>
      </c>
    </row>
    <row r="4427" ht="15.75" customHeight="1">
      <c r="A4427" s="1" t="str">
        <f>IFERROR(__xludf.DUMMYFUNCTION("""COMPUTED_VALUE"""),"suspiria")</f>
        <v>suspiria</v>
      </c>
      <c r="B4427" s="1" t="str">
        <f>IF(A4427&lt;&gt;"", VLOOKUP(A4427, imdb_netflix_v5!A$2:H$7370, 2, FALSE), "")</f>
        <v>Movie</v>
      </c>
      <c r="C4427" s="2" t="str">
        <f>IF(A4427&lt;&gt;"", VLOOKUP(A4427, imdb_netflix_v5!A$2:H$7370, 3, FALSE), "")</f>
        <v>Horror</v>
      </c>
      <c r="D4427" s="2">
        <f>IF(A4427&lt;&gt;"", VLOOKUP(A4427, imdb_netflix_v5!A$2:H$7370, 4, FALSE), "")</f>
        <v>7.3</v>
      </c>
      <c r="E4427" s="2">
        <f>IF(A4427&lt;&gt;"", VLOOKUP(A4427, imdb_netflix_v5!A$2:H$7370, 5, FALSE), "")</f>
        <v>1977</v>
      </c>
      <c r="F4427" s="2" t="str">
        <f>IF(A4427&lt;&gt;"", VLOOKUP(A4427, imdb_netflix_v5!A$2:H$7370, 7, FALSE), "")</f>
        <v>NA</v>
      </c>
    </row>
    <row r="4428" ht="15.75" customHeight="1">
      <c r="A4428" s="1" t="str">
        <f>IFERROR(__xludf.DUMMYFUNCTION("""COMPUTED_VALUE"""),"twin peaks fire walk with me")</f>
        <v>twin peaks fire walk with me</v>
      </c>
      <c r="B4428" s="1" t="str">
        <f>IF(A4428&lt;&gt;"", VLOOKUP(A4428, imdb_netflix_v5!A$2:H$7370, 2, FALSE), "")</f>
        <v>Movie</v>
      </c>
      <c r="C4428" s="2" t="str">
        <f>IF(A4428&lt;&gt;"", VLOOKUP(A4428, imdb_netflix_v5!A$2:H$7370, 3, FALSE), "")</f>
        <v>Drama, Horror, Mystery</v>
      </c>
      <c r="D4428" s="2">
        <f>IF(A4428&lt;&gt;"", VLOOKUP(A4428, imdb_netflix_v5!A$2:H$7370, 4, FALSE), "")</f>
        <v>7.3</v>
      </c>
      <c r="E4428" s="2">
        <f>IF(A4428&lt;&gt;"", VLOOKUP(A4428, imdb_netflix_v5!A$2:H$7370, 5, FALSE), "")</f>
        <v>1992</v>
      </c>
      <c r="F4428" s="2" t="str">
        <f>IF(A4428&lt;&gt;"", VLOOKUP(A4428, imdb_netflix_v5!A$2:H$7370, 7, FALSE), "")</f>
        <v>NA</v>
      </c>
    </row>
    <row r="4429" ht="15.75" customHeight="1">
      <c r="A4429" s="1" t="str">
        <f>IFERROR(__xludf.DUMMYFUNCTION("""COMPUTED_VALUE"""),"lost in space")</f>
        <v>lost in space</v>
      </c>
      <c r="B4429" s="1" t="str">
        <f>IF(A4429&lt;&gt;"", VLOOKUP(A4429, imdb_netflix_v5!A$2:H$7370, 2, FALSE), "")</f>
        <v>TV Show</v>
      </c>
      <c r="C4429" s="2" t="str">
        <f>IF(A4429&lt;&gt;"", VLOOKUP(A4429, imdb_netflix_v5!A$2:H$7370, 3, FALSE), "")</f>
        <v>Adventure, Drama, Family</v>
      </c>
      <c r="D4429" s="2">
        <f>IF(A4429&lt;&gt;"", VLOOKUP(A4429, imdb_netflix_v5!A$2:H$7370, 4, FALSE), "")</f>
        <v>7.3</v>
      </c>
      <c r="E4429" s="2">
        <f>IF(A4429&lt;&gt;"", VLOOKUP(A4429, imdb_netflix_v5!A$2:H$7370, 5, FALSE), "")</f>
        <v>2018</v>
      </c>
      <c r="F4429" s="2">
        <f>IF(A4429&lt;&gt;"", VLOOKUP(A4429, imdb_netflix_v5!A$2:H$7370, 7, FALSE), "")</f>
        <v>11650000</v>
      </c>
    </row>
    <row r="4430" ht="15.75" customHeight="1">
      <c r="A4430" s="1" t="str">
        <f>IFERROR(__xludf.DUMMYFUNCTION("""COMPUTED_VALUE"""),"shot caller")</f>
        <v>shot caller</v>
      </c>
      <c r="B4430" s="1" t="str">
        <f>IF(A4430&lt;&gt;"", VLOOKUP(A4430, imdb_netflix_v5!A$2:H$7370, 2, FALSE), "")</f>
        <v>Movie</v>
      </c>
      <c r="C4430" s="2" t="str">
        <f>IF(A4430&lt;&gt;"", VLOOKUP(A4430, imdb_netflix_v5!A$2:H$7370, 3, FALSE), "")</f>
        <v>Crime, Drama, Thriller</v>
      </c>
      <c r="D4430" s="2">
        <f>IF(A4430&lt;&gt;"", VLOOKUP(A4430, imdb_netflix_v5!A$2:H$7370, 4, FALSE), "")</f>
        <v>7.3</v>
      </c>
      <c r="E4430" s="2">
        <f>IF(A4430&lt;&gt;"", VLOOKUP(A4430, imdb_netflix_v5!A$2:H$7370, 5, FALSE), "")</f>
        <v>2017</v>
      </c>
      <c r="F4430" s="2" t="str">
        <f>IF(A4430&lt;&gt;"", VLOOKUP(A4430, imdb_netflix_v5!A$2:H$7370, 7, FALSE), "")</f>
        <v>NA</v>
      </c>
    </row>
    <row r="4431" ht="15.75" customHeight="1">
      <c r="A4431" s="1" t="str">
        <f>IFERROR(__xludf.DUMMYFUNCTION("""COMPUTED_VALUE"""),"running scared")</f>
        <v>running scared</v>
      </c>
      <c r="B4431" s="1" t="str">
        <f>IF(A4431&lt;&gt;"", VLOOKUP(A4431, imdb_netflix_v5!A$2:H$7370, 2, FALSE), "")</f>
        <v>Movie</v>
      </c>
      <c r="C4431" s="2" t="str">
        <f>IF(A4431&lt;&gt;"", VLOOKUP(A4431, imdb_netflix_v5!A$2:H$7370, 3, FALSE), "")</f>
        <v>Action, Crime, Drama</v>
      </c>
      <c r="D4431" s="2">
        <f>IF(A4431&lt;&gt;"", VLOOKUP(A4431, imdb_netflix_v5!A$2:H$7370, 4, FALSE), "")</f>
        <v>7.3</v>
      </c>
      <c r="E4431" s="2">
        <f>IF(A4431&lt;&gt;"", VLOOKUP(A4431, imdb_netflix_v5!A$2:H$7370, 5, FALSE), "")</f>
        <v>2006</v>
      </c>
      <c r="F4431" s="2" t="str">
        <f>IF(A4431&lt;&gt;"", VLOOKUP(A4431, imdb_netflix_v5!A$2:H$7370, 7, FALSE), "")</f>
        <v>NA</v>
      </c>
    </row>
    <row r="4432" ht="15.75" customHeight="1">
      <c r="A4432" s="1" t="str">
        <f>IFERROR(__xludf.DUMMYFUNCTION("""COMPUTED_VALUE"""),"eddie the eagle")</f>
        <v>eddie the eagle</v>
      </c>
      <c r="B4432" s="1" t="str">
        <f>IF(A4432&lt;&gt;"", VLOOKUP(A4432, imdb_netflix_v5!A$2:H$7370, 2, FALSE), "")</f>
        <v>Movie</v>
      </c>
      <c r="C4432" s="2" t="str">
        <f>IF(A4432&lt;&gt;"", VLOOKUP(A4432, imdb_netflix_v5!A$2:H$7370, 3, FALSE), "")</f>
        <v>Adventure, Biography, Comedy</v>
      </c>
      <c r="D4432" s="2">
        <f>IF(A4432&lt;&gt;"", VLOOKUP(A4432, imdb_netflix_v5!A$2:H$7370, 4, FALSE), "")</f>
        <v>7.3</v>
      </c>
      <c r="E4432" s="2">
        <f>IF(A4432&lt;&gt;"", VLOOKUP(A4432, imdb_netflix_v5!A$2:H$7370, 5, FALSE), "")</f>
        <v>2015</v>
      </c>
      <c r="F4432" s="2" t="str">
        <f>IF(A4432&lt;&gt;"", VLOOKUP(A4432, imdb_netflix_v5!A$2:H$7370, 7, FALSE), "")</f>
        <v>NA</v>
      </c>
    </row>
    <row r="4433" ht="15.75" customHeight="1">
      <c r="A4433" s="1" t="str">
        <f>IFERROR(__xludf.DUMMYFUNCTION("""COMPUTED_VALUE"""),"the people vs. larry flynt")</f>
        <v>the people vs. larry flynt</v>
      </c>
      <c r="B4433" s="1" t="str">
        <f>IF(A4433&lt;&gt;"", VLOOKUP(A4433, imdb_netflix_v5!A$2:H$7370, 2, FALSE), "")</f>
        <v>Movie</v>
      </c>
      <c r="C4433" s="2" t="str">
        <f>IF(A4433&lt;&gt;"", VLOOKUP(A4433, imdb_netflix_v5!A$2:H$7370, 3, FALSE), "")</f>
        <v>Biography, Drama</v>
      </c>
      <c r="D4433" s="2">
        <f>IF(A4433&lt;&gt;"", VLOOKUP(A4433, imdb_netflix_v5!A$2:H$7370, 4, FALSE), "")</f>
        <v>7.3</v>
      </c>
      <c r="E4433" s="2">
        <f>IF(A4433&lt;&gt;"", VLOOKUP(A4433, imdb_netflix_v5!A$2:H$7370, 5, FALSE), "")</f>
        <v>1996</v>
      </c>
      <c r="F4433" s="2" t="str">
        <f>IF(A4433&lt;&gt;"", VLOOKUP(A4433, imdb_netflix_v5!A$2:H$7370, 7, FALSE), "")</f>
        <v>NA</v>
      </c>
    </row>
    <row r="4434" ht="15.75" customHeight="1">
      <c r="A4434" s="1" t="str">
        <f>IFERROR(__xludf.DUMMYFUNCTION("""COMPUTED_VALUE"""),"grosse pointe blank")</f>
        <v>grosse pointe blank</v>
      </c>
      <c r="B4434" s="1" t="str">
        <f>IF(A4434&lt;&gt;"", VLOOKUP(A4434, imdb_netflix_v5!A$2:H$7370, 2, FALSE), "")</f>
        <v>Movie</v>
      </c>
      <c r="C4434" s="2" t="str">
        <f>IF(A4434&lt;&gt;"", VLOOKUP(A4434, imdb_netflix_v5!A$2:H$7370, 3, FALSE), "")</f>
        <v>Action, Comedy, Crime</v>
      </c>
      <c r="D4434" s="2">
        <f>IF(A4434&lt;&gt;"", VLOOKUP(A4434, imdb_netflix_v5!A$2:H$7370, 4, FALSE), "")</f>
        <v>7.3</v>
      </c>
      <c r="E4434" s="2">
        <f>IF(A4434&lt;&gt;"", VLOOKUP(A4434, imdb_netflix_v5!A$2:H$7370, 5, FALSE), "")</f>
        <v>1997</v>
      </c>
      <c r="F4434" s="2" t="str">
        <f>IF(A4434&lt;&gt;"", VLOOKUP(A4434, imdb_netflix_v5!A$2:H$7370, 7, FALSE), "")</f>
        <v>NA</v>
      </c>
    </row>
    <row r="4435" ht="15.75" customHeight="1">
      <c r="A4435" s="1" t="str">
        <f>IFERROR(__xludf.DUMMYFUNCTION("""COMPUTED_VALUE"""),"locke &amp; key")</f>
        <v>locke &amp; key</v>
      </c>
      <c r="B4435" s="1" t="str">
        <f>IF(A4435&lt;&gt;"", VLOOKUP(A4435, imdb_netflix_v5!A$2:H$7370, 2, FALSE), "")</f>
        <v>TV Show</v>
      </c>
      <c r="C4435" s="2" t="str">
        <f>IF(A4435&lt;&gt;"", VLOOKUP(A4435, imdb_netflix_v5!A$2:H$7370, 3, FALSE), "")</f>
        <v>Drama, Fantasy, Horror</v>
      </c>
      <c r="D4435" s="2">
        <f>IF(A4435&lt;&gt;"", VLOOKUP(A4435, imdb_netflix_v5!A$2:H$7370, 4, FALSE), "")</f>
        <v>7.3</v>
      </c>
      <c r="E4435" s="2">
        <f>IF(A4435&lt;&gt;"", VLOOKUP(A4435, imdb_netflix_v5!A$2:H$7370, 5, FALSE), "")</f>
        <v>2020</v>
      </c>
      <c r="F4435" s="2">
        <f>IF(A4435&lt;&gt;"", VLOOKUP(A4435, imdb_netflix_v5!A$2:H$7370, 7, FALSE), "")</f>
        <v>14630000</v>
      </c>
    </row>
    <row r="4436" ht="15.75" customHeight="1">
      <c r="A4436" s="1" t="str">
        <f>IFERROR(__xludf.DUMMYFUNCTION("""COMPUTED_VALUE"""),"halo")</f>
        <v>halo</v>
      </c>
      <c r="B4436" s="1" t="str">
        <f>IF(A4436&lt;&gt;"", VLOOKUP(A4436, imdb_netflix_v5!A$2:H$7370, 2, FALSE), "")</f>
        <v>TV Show</v>
      </c>
      <c r="C4436" s="2" t="str">
        <f>IF(A4436&lt;&gt;"", VLOOKUP(A4436, imdb_netflix_v5!A$2:H$7370, 3, FALSE), "")</f>
        <v>Action, Adventure, Sci-Fi</v>
      </c>
      <c r="D4436" s="2">
        <f>IF(A4436&lt;&gt;"", VLOOKUP(A4436, imdb_netflix_v5!A$2:H$7370, 4, FALSE), "")</f>
        <v>7.3</v>
      </c>
      <c r="E4436" s="2">
        <f>IF(A4436&lt;&gt;"", VLOOKUP(A4436, imdb_netflix_v5!A$2:H$7370, 5, FALSE), "")</f>
        <v>2022</v>
      </c>
      <c r="F4436" s="2" t="str">
        <f>IF(A4436&lt;&gt;"", VLOOKUP(A4436, imdb_netflix_v5!A$2:H$7370, 7, FALSE), "")</f>
        <v>NA</v>
      </c>
    </row>
    <row r="4437" ht="15.75" customHeight="1">
      <c r="A4437" s="1" t="str">
        <f>IFERROR(__xludf.DUMMYFUNCTION("""COMPUTED_VALUE"""),"my sisters keeper")</f>
        <v>my sisters keeper</v>
      </c>
      <c r="B4437" s="1" t="str">
        <f>IF(A4437&lt;&gt;"", VLOOKUP(A4437, imdb_netflix_v5!A$2:H$7370, 2, FALSE), "")</f>
        <v>Movie</v>
      </c>
      <c r="C4437" s="2" t="str">
        <f>IF(A4437&lt;&gt;"", VLOOKUP(A4437, imdb_netflix_v5!A$2:H$7370, 3, FALSE), "")</f>
        <v>Drama, Family</v>
      </c>
      <c r="D4437" s="2">
        <f>IF(A4437&lt;&gt;"", VLOOKUP(A4437, imdb_netflix_v5!A$2:H$7370, 4, FALSE), "")</f>
        <v>7.3</v>
      </c>
      <c r="E4437" s="2">
        <f>IF(A4437&lt;&gt;"", VLOOKUP(A4437, imdb_netflix_v5!A$2:H$7370, 5, FALSE), "")</f>
        <v>2009</v>
      </c>
      <c r="F4437" s="2" t="str">
        <f>IF(A4437&lt;&gt;"", VLOOKUP(A4437, imdb_netflix_v5!A$2:H$7370, 7, FALSE), "")</f>
        <v>NA</v>
      </c>
    </row>
    <row r="4438" ht="15.75" customHeight="1">
      <c r="A4438" s="1" t="str">
        <f>IFERROR(__xludf.DUMMYFUNCTION("""COMPUTED_VALUE"""),"say anything")</f>
        <v>say anything</v>
      </c>
      <c r="B4438" s="1" t="str">
        <f>IF(A4438&lt;&gt;"", VLOOKUP(A4438, imdb_netflix_v5!A$2:H$7370, 2, FALSE), "")</f>
        <v>Movie</v>
      </c>
      <c r="C4438" s="2" t="str">
        <f>IF(A4438&lt;&gt;"", VLOOKUP(A4438, imdb_netflix_v5!A$2:H$7370, 3, FALSE), "")</f>
        <v>Comedy, Drama, Romance</v>
      </c>
      <c r="D4438" s="2">
        <f>IF(A4438&lt;&gt;"", VLOOKUP(A4438, imdb_netflix_v5!A$2:H$7370, 4, FALSE), "")</f>
        <v>7.3</v>
      </c>
      <c r="E4438" s="2">
        <f>IF(A4438&lt;&gt;"", VLOOKUP(A4438, imdb_netflix_v5!A$2:H$7370, 5, FALSE), "")</f>
        <v>1989</v>
      </c>
      <c r="F4438" s="2" t="str">
        <f>IF(A4438&lt;&gt;"", VLOOKUP(A4438, imdb_netflix_v5!A$2:H$7370, 7, FALSE), "")</f>
        <v>NA</v>
      </c>
    </row>
    <row r="4439" ht="15.75" customHeight="1">
      <c r="A4439" s="1" t="str">
        <f>IFERROR(__xludf.DUMMYFUNCTION("""COMPUTED_VALUE"""),"submarine")</f>
        <v>submarine</v>
      </c>
      <c r="B4439" s="1" t="str">
        <f>IF(A4439&lt;&gt;"", VLOOKUP(A4439, imdb_netflix_v5!A$2:H$7370, 2, FALSE), "")</f>
        <v>Movie</v>
      </c>
      <c r="C4439" s="2" t="str">
        <f>IF(A4439&lt;&gt;"", VLOOKUP(A4439, imdb_netflix_v5!A$2:H$7370, 3, FALSE), "")</f>
        <v>Comedy, Drama, Romance</v>
      </c>
      <c r="D4439" s="2">
        <f>IF(A4439&lt;&gt;"", VLOOKUP(A4439, imdb_netflix_v5!A$2:H$7370, 4, FALSE), "")</f>
        <v>7.3</v>
      </c>
      <c r="E4439" s="2">
        <f>IF(A4439&lt;&gt;"", VLOOKUP(A4439, imdb_netflix_v5!A$2:H$7370, 5, FALSE), "")</f>
        <v>2010</v>
      </c>
      <c r="F4439" s="2" t="str">
        <f>IF(A4439&lt;&gt;"", VLOOKUP(A4439, imdb_netflix_v5!A$2:H$7370, 7, FALSE), "")</f>
        <v>NA</v>
      </c>
    </row>
    <row r="4440" ht="15.75" customHeight="1">
      <c r="A4440" s="1" t="str">
        <f>IFERROR(__xludf.DUMMYFUNCTION("""COMPUTED_VALUE"""),"the guard")</f>
        <v>the guard</v>
      </c>
      <c r="B4440" s="1" t="str">
        <f>IF(A4440&lt;&gt;"", VLOOKUP(A4440, imdb_netflix_v5!A$2:H$7370, 2, FALSE), "")</f>
        <v>Movie</v>
      </c>
      <c r="C4440" s="2" t="str">
        <f>IF(A4440&lt;&gt;"", VLOOKUP(A4440, imdb_netflix_v5!A$2:H$7370, 3, FALSE), "")</f>
        <v>Comedy, Crime, Thriller</v>
      </c>
      <c r="D4440" s="2">
        <f>IF(A4440&lt;&gt;"", VLOOKUP(A4440, imdb_netflix_v5!A$2:H$7370, 4, FALSE), "")</f>
        <v>7.3</v>
      </c>
      <c r="E4440" s="2">
        <f>IF(A4440&lt;&gt;"", VLOOKUP(A4440, imdb_netflix_v5!A$2:H$7370, 5, FALSE), "")</f>
        <v>2011</v>
      </c>
      <c r="F4440" s="2" t="str">
        <f>IF(A4440&lt;&gt;"", VLOOKUP(A4440, imdb_netflix_v5!A$2:H$7370, 7, FALSE), "")</f>
        <v>NA</v>
      </c>
    </row>
    <row r="4441" ht="15.75" customHeight="1">
      <c r="A4441" s="1" t="str">
        <f>IFERROR(__xludf.DUMMYFUNCTION("""COMPUTED_VALUE"""),"frida")</f>
        <v>frida</v>
      </c>
      <c r="B4441" s="1" t="str">
        <f>IF(A4441&lt;&gt;"", VLOOKUP(A4441, imdb_netflix_v5!A$2:H$7370, 2, FALSE), "")</f>
        <v>Movie</v>
      </c>
      <c r="C4441" s="2" t="str">
        <f>IF(A4441&lt;&gt;"", VLOOKUP(A4441, imdb_netflix_v5!A$2:H$7370, 3, FALSE), "")</f>
        <v>Biography, Drama, Romance</v>
      </c>
      <c r="D4441" s="2">
        <f>IF(A4441&lt;&gt;"", VLOOKUP(A4441, imdb_netflix_v5!A$2:H$7370, 4, FALSE), "")</f>
        <v>7.3</v>
      </c>
      <c r="E4441" s="2">
        <f>IF(A4441&lt;&gt;"", VLOOKUP(A4441, imdb_netflix_v5!A$2:H$7370, 5, FALSE), "")</f>
        <v>2002</v>
      </c>
      <c r="F4441" s="2" t="str">
        <f>IF(A4441&lt;&gt;"", VLOOKUP(A4441, imdb_netflix_v5!A$2:H$7370, 7, FALSE), "")</f>
        <v>NA</v>
      </c>
    </row>
    <row r="4442" ht="15.75" customHeight="1">
      <c r="A4442" s="1" t="str">
        <f>IFERROR(__xludf.DUMMYFUNCTION("""COMPUTED_VALUE"""),"eye in the sky")</f>
        <v>eye in the sky</v>
      </c>
      <c r="B4442" s="1" t="str">
        <f>IF(A4442&lt;&gt;"", VLOOKUP(A4442, imdb_netflix_v5!A$2:H$7370, 2, FALSE), "")</f>
        <v>Movie</v>
      </c>
      <c r="C4442" s="2" t="str">
        <f>IF(A4442&lt;&gt;"", VLOOKUP(A4442, imdb_netflix_v5!A$2:H$7370, 3, FALSE), "")</f>
        <v>Action, Drama, Thriller</v>
      </c>
      <c r="D4442" s="2">
        <f>IF(A4442&lt;&gt;"", VLOOKUP(A4442, imdb_netflix_v5!A$2:H$7370, 4, FALSE), "")</f>
        <v>7.3</v>
      </c>
      <c r="E4442" s="2">
        <f>IF(A4442&lt;&gt;"", VLOOKUP(A4442, imdb_netflix_v5!A$2:H$7370, 5, FALSE), "")</f>
        <v>2015</v>
      </c>
      <c r="F4442" s="2" t="str">
        <f>IF(A4442&lt;&gt;"", VLOOKUP(A4442, imdb_netflix_v5!A$2:H$7370, 7, FALSE), "")</f>
        <v>NA</v>
      </c>
    </row>
    <row r="4443" ht="15.75" customHeight="1">
      <c r="A4443" s="1" t="str">
        <f>IFERROR(__xludf.DUMMYFUNCTION("""COMPUTED_VALUE"""),"star trek iv the voyage home")</f>
        <v>star trek iv the voyage home</v>
      </c>
      <c r="B4443" s="1" t="str">
        <f>IF(A4443&lt;&gt;"", VLOOKUP(A4443, imdb_netflix_v5!A$2:H$7370, 2, FALSE), "")</f>
        <v>Movie</v>
      </c>
      <c r="C4443" s="2" t="str">
        <f>IF(A4443&lt;&gt;"", VLOOKUP(A4443, imdb_netflix_v5!A$2:H$7370, 3, FALSE), "")</f>
        <v>Adventure, Comedy, Sci-Fi</v>
      </c>
      <c r="D4443" s="2">
        <f>IF(A4443&lt;&gt;"", VLOOKUP(A4443, imdb_netflix_v5!A$2:H$7370, 4, FALSE), "")</f>
        <v>7.3</v>
      </c>
      <c r="E4443" s="2">
        <f>IF(A4443&lt;&gt;"", VLOOKUP(A4443, imdb_netflix_v5!A$2:H$7370, 5, FALSE), "")</f>
        <v>1986</v>
      </c>
      <c r="F4443" s="2" t="str">
        <f>IF(A4443&lt;&gt;"", VLOOKUP(A4443, imdb_netflix_v5!A$2:H$7370, 7, FALSE), "")</f>
        <v>NA</v>
      </c>
    </row>
    <row r="4444" ht="15.75" customHeight="1">
      <c r="A4444" s="1" t="str">
        <f>IFERROR(__xludf.DUMMYFUNCTION("""COMPUTED_VALUE"""),"sing 2")</f>
        <v>sing 2</v>
      </c>
      <c r="B4444" s="1" t="str">
        <f>IF(A4444&lt;&gt;"", VLOOKUP(A4444, imdb_netflix_v5!A$2:H$7370, 2, FALSE), "")</f>
        <v>Movie</v>
      </c>
      <c r="C4444" s="2" t="str">
        <f>IF(A4444&lt;&gt;"", VLOOKUP(A4444, imdb_netflix_v5!A$2:H$7370, 3, FALSE), "")</f>
        <v>Adventure, Animation, Comedy</v>
      </c>
      <c r="D4444" s="2">
        <f>IF(A4444&lt;&gt;"", VLOOKUP(A4444, imdb_netflix_v5!A$2:H$7370, 4, FALSE), "")</f>
        <v>7.3</v>
      </c>
      <c r="E4444" s="2">
        <f>IF(A4444&lt;&gt;"", VLOOKUP(A4444, imdb_netflix_v5!A$2:H$7370, 5, FALSE), "")</f>
        <v>2021</v>
      </c>
      <c r="F4444" s="2">
        <f>IF(A4444&lt;&gt;"", VLOOKUP(A4444, imdb_netflix_v5!A$2:H$7370, 7, FALSE), "")</f>
        <v>4500000</v>
      </c>
    </row>
    <row r="4445" ht="15.75" customHeight="1">
      <c r="A4445" s="1" t="str">
        <f>IFERROR(__xludf.DUMMYFUNCTION("""COMPUTED_VALUE"""),"the squid and the whale")</f>
        <v>the squid and the whale</v>
      </c>
      <c r="B4445" s="1" t="str">
        <f>IF(A4445&lt;&gt;"", VLOOKUP(A4445, imdb_netflix_v5!A$2:H$7370, 2, FALSE), "")</f>
        <v>Movie</v>
      </c>
      <c r="C4445" s="2" t="str">
        <f>IF(A4445&lt;&gt;"", VLOOKUP(A4445, imdb_netflix_v5!A$2:H$7370, 3, FALSE), "")</f>
        <v>Comedy, Drama</v>
      </c>
      <c r="D4445" s="2">
        <f>IF(A4445&lt;&gt;"", VLOOKUP(A4445, imdb_netflix_v5!A$2:H$7370, 4, FALSE), "")</f>
        <v>7.3</v>
      </c>
      <c r="E4445" s="2">
        <f>IF(A4445&lt;&gt;"", VLOOKUP(A4445, imdb_netflix_v5!A$2:H$7370, 5, FALSE), "")</f>
        <v>2005</v>
      </c>
      <c r="F4445" s="2" t="str">
        <f>IF(A4445&lt;&gt;"", VLOOKUP(A4445, imdb_netflix_v5!A$2:H$7370, 7, FALSE), "")</f>
        <v>NA</v>
      </c>
    </row>
    <row r="4446" ht="15.75" customHeight="1">
      <c r="A4446" s="1" t="str">
        <f>IFERROR(__xludf.DUMMYFUNCTION("""COMPUTED_VALUE"""),"shaolin soccer")</f>
        <v>shaolin soccer</v>
      </c>
      <c r="B4446" s="1" t="str">
        <f>IF(A4446&lt;&gt;"", VLOOKUP(A4446, imdb_netflix_v5!A$2:H$7370, 2, FALSE), "")</f>
        <v>Movie</v>
      </c>
      <c r="C4446" s="2" t="str">
        <f>IF(A4446&lt;&gt;"", VLOOKUP(A4446, imdb_netflix_v5!A$2:H$7370, 3, FALSE), "")</f>
        <v>Action, Comedy, Fantasy</v>
      </c>
      <c r="D4446" s="2">
        <f>IF(A4446&lt;&gt;"", VLOOKUP(A4446, imdb_netflix_v5!A$2:H$7370, 4, FALSE), "")</f>
        <v>7.3</v>
      </c>
      <c r="E4446" s="2">
        <f>IF(A4446&lt;&gt;"", VLOOKUP(A4446, imdb_netflix_v5!A$2:H$7370, 5, FALSE), "")</f>
        <v>2001</v>
      </c>
      <c r="F4446" s="2" t="str">
        <f>IF(A4446&lt;&gt;"", VLOOKUP(A4446, imdb_netflix_v5!A$2:H$7370, 7, FALSE), "")</f>
        <v>NA</v>
      </c>
    </row>
    <row r="4447" ht="15.75" customHeight="1">
      <c r="A4447" s="1" t="str">
        <f>IFERROR(__xludf.DUMMYFUNCTION("""COMPUTED_VALUE"""),"paterson")</f>
        <v>paterson</v>
      </c>
      <c r="B4447" s="1" t="str">
        <f>IF(A4447&lt;&gt;"", VLOOKUP(A4447, imdb_netflix_v5!A$2:H$7370, 2, FALSE), "")</f>
        <v>Movie</v>
      </c>
      <c r="C4447" s="2" t="str">
        <f>IF(A4447&lt;&gt;"", VLOOKUP(A4447, imdb_netflix_v5!A$2:H$7370, 3, FALSE), "")</f>
        <v>Comedy, Drama, Romance</v>
      </c>
      <c r="D4447" s="2">
        <f>IF(A4447&lt;&gt;"", VLOOKUP(A4447, imdb_netflix_v5!A$2:H$7370, 4, FALSE), "")</f>
        <v>7.3</v>
      </c>
      <c r="E4447" s="2">
        <f>IF(A4447&lt;&gt;"", VLOOKUP(A4447, imdb_netflix_v5!A$2:H$7370, 5, FALSE), "")</f>
        <v>2016</v>
      </c>
      <c r="F4447" s="2" t="str">
        <f>IF(A4447&lt;&gt;"", VLOOKUP(A4447, imdb_netflix_v5!A$2:H$7370, 7, FALSE), "")</f>
        <v>NA</v>
      </c>
    </row>
    <row r="4448" ht="15.75" customHeight="1">
      <c r="A4448" s="1" t="str">
        <f>IFERROR(__xludf.DUMMYFUNCTION("""COMPUTED_VALUE"""),"finding forrester")</f>
        <v>finding forrester</v>
      </c>
      <c r="B4448" s="1" t="str">
        <f>IF(A4448&lt;&gt;"", VLOOKUP(A4448, imdb_netflix_v5!A$2:H$7370, 2, FALSE), "")</f>
        <v>Movie</v>
      </c>
      <c r="C4448" s="2" t="str">
        <f>IF(A4448&lt;&gt;"", VLOOKUP(A4448, imdb_netflix_v5!A$2:H$7370, 3, FALSE), "")</f>
        <v>Drama, Sport</v>
      </c>
      <c r="D4448" s="2">
        <f>IF(A4448&lt;&gt;"", VLOOKUP(A4448, imdb_netflix_v5!A$2:H$7370, 4, FALSE), "")</f>
        <v>7.3</v>
      </c>
      <c r="E4448" s="2">
        <f>IF(A4448&lt;&gt;"", VLOOKUP(A4448, imdb_netflix_v5!A$2:H$7370, 5, FALSE), "")</f>
        <v>2000</v>
      </c>
      <c r="F4448" s="2" t="str">
        <f>IF(A4448&lt;&gt;"", VLOOKUP(A4448, imdb_netflix_v5!A$2:H$7370, 7, FALSE), "")</f>
        <v>NA</v>
      </c>
    </row>
    <row r="4449" ht="15.75" customHeight="1">
      <c r="A4449" s="1" t="str">
        <f>IFERROR(__xludf.DUMMYFUNCTION("""COMPUTED_VALUE"""),"the strain")</f>
        <v>the strain</v>
      </c>
      <c r="B4449" s="1" t="str">
        <f>IF(A4449&lt;&gt;"", VLOOKUP(A4449, imdb_netflix_v5!A$2:H$7370, 2, FALSE), "")</f>
        <v>TV Show</v>
      </c>
      <c r="C4449" s="2" t="str">
        <f>IF(A4449&lt;&gt;"", VLOOKUP(A4449, imdb_netflix_v5!A$2:H$7370, 3, FALSE), "")</f>
        <v>Drama, Fantasy, Horror</v>
      </c>
      <c r="D4449" s="2">
        <f>IF(A4449&lt;&gt;"", VLOOKUP(A4449, imdb_netflix_v5!A$2:H$7370, 4, FALSE), "")</f>
        <v>7.3</v>
      </c>
      <c r="E4449" s="2">
        <f>IF(A4449&lt;&gt;"", VLOOKUP(A4449, imdb_netflix_v5!A$2:H$7370, 5, FALSE), "")</f>
        <v>2014</v>
      </c>
      <c r="F4449" s="2" t="str">
        <f>IF(A4449&lt;&gt;"", VLOOKUP(A4449, imdb_netflix_v5!A$2:H$7370, 7, FALSE), "")</f>
        <v>NA</v>
      </c>
    </row>
    <row r="4450" ht="15.75" customHeight="1">
      <c r="A4450" s="1" t="str">
        <f>IFERROR(__xludf.DUMMYFUNCTION("""COMPUTED_VALUE"""),"the hundred-foot journey")</f>
        <v>the hundred-foot journey</v>
      </c>
      <c r="B4450" s="1" t="str">
        <f>IF(A4450&lt;&gt;"", VLOOKUP(A4450, imdb_netflix_v5!A$2:H$7370, 2, FALSE), "")</f>
        <v>Movie</v>
      </c>
      <c r="C4450" s="2" t="str">
        <f>IF(A4450&lt;&gt;"", VLOOKUP(A4450, imdb_netflix_v5!A$2:H$7370, 3, FALSE), "")</f>
        <v>Comedy, Drama</v>
      </c>
      <c r="D4450" s="2">
        <f>IF(A4450&lt;&gt;"", VLOOKUP(A4450, imdb_netflix_v5!A$2:H$7370, 4, FALSE), "")</f>
        <v>7.3</v>
      </c>
      <c r="E4450" s="2">
        <f>IF(A4450&lt;&gt;"", VLOOKUP(A4450, imdb_netflix_v5!A$2:H$7370, 5, FALSE), "")</f>
        <v>2014</v>
      </c>
      <c r="F4450" s="2" t="str">
        <f>IF(A4450&lt;&gt;"", VLOOKUP(A4450, imdb_netflix_v5!A$2:H$7370, 7, FALSE), "")</f>
        <v>NA</v>
      </c>
    </row>
    <row r="4451" ht="15.75" customHeight="1">
      <c r="A4451" s="1" t="str">
        <f>IFERROR(__xludf.DUMMYFUNCTION("""COMPUTED_VALUE"""),"four lions")</f>
        <v>four lions</v>
      </c>
      <c r="B4451" s="1" t="str">
        <f>IF(A4451&lt;&gt;"", VLOOKUP(A4451, imdb_netflix_v5!A$2:H$7370, 2, FALSE), "")</f>
        <v>Movie</v>
      </c>
      <c r="C4451" s="2" t="str">
        <f>IF(A4451&lt;&gt;"", VLOOKUP(A4451, imdb_netflix_v5!A$2:H$7370, 3, FALSE), "")</f>
        <v>Comedy, Crime, Drama</v>
      </c>
      <c r="D4451" s="2">
        <f>IF(A4451&lt;&gt;"", VLOOKUP(A4451, imdb_netflix_v5!A$2:H$7370, 4, FALSE), "")</f>
        <v>7.3</v>
      </c>
      <c r="E4451" s="2">
        <f>IF(A4451&lt;&gt;"", VLOOKUP(A4451, imdb_netflix_v5!A$2:H$7370, 5, FALSE), "")</f>
        <v>2010</v>
      </c>
      <c r="F4451" s="2" t="str">
        <f>IF(A4451&lt;&gt;"", VLOOKUP(A4451, imdb_netflix_v5!A$2:H$7370, 7, FALSE), "")</f>
        <v>NA</v>
      </c>
    </row>
    <row r="4452" ht="15.75" customHeight="1">
      <c r="A4452" s="1" t="str">
        <f>IFERROR(__xludf.DUMMYFUNCTION("""COMPUTED_VALUE"""),"caché")</f>
        <v>caché</v>
      </c>
      <c r="B4452" s="1" t="str">
        <f>IF(A4452&lt;&gt;"", VLOOKUP(A4452, imdb_netflix_v5!A$2:H$7370, 2, FALSE), "")</f>
        <v>Movie</v>
      </c>
      <c r="C4452" s="2" t="str">
        <f>IF(A4452&lt;&gt;"", VLOOKUP(A4452, imdb_netflix_v5!A$2:H$7370, 3, FALSE), "")</f>
        <v>Drama, Mystery, Thriller</v>
      </c>
      <c r="D4452" s="2">
        <f>IF(A4452&lt;&gt;"", VLOOKUP(A4452, imdb_netflix_v5!A$2:H$7370, 4, FALSE), "")</f>
        <v>7.3</v>
      </c>
      <c r="E4452" s="2">
        <f>IF(A4452&lt;&gt;"", VLOOKUP(A4452, imdb_netflix_v5!A$2:H$7370, 5, FALSE), "")</f>
        <v>2005</v>
      </c>
      <c r="F4452" s="2" t="str">
        <f>IF(A4452&lt;&gt;"", VLOOKUP(A4452, imdb_netflix_v5!A$2:H$7370, 7, FALSE), "")</f>
        <v>NA</v>
      </c>
    </row>
    <row r="4453" ht="15.75" customHeight="1">
      <c r="A4453" s="1" t="str">
        <f>IFERROR(__xludf.DUMMYFUNCTION("""COMPUTED_VALUE"""),"youth")</f>
        <v>youth</v>
      </c>
      <c r="B4453" s="1" t="str">
        <f>IF(A4453&lt;&gt;"", VLOOKUP(A4453, imdb_netflix_v5!A$2:H$7370, 2, FALSE), "")</f>
        <v>Movie</v>
      </c>
      <c r="C4453" s="2" t="str">
        <f>IF(A4453&lt;&gt;"", VLOOKUP(A4453, imdb_netflix_v5!A$2:H$7370, 3, FALSE), "")</f>
        <v>Comedy, Drama, Music</v>
      </c>
      <c r="D4453" s="2">
        <f>IF(A4453&lt;&gt;"", VLOOKUP(A4453, imdb_netflix_v5!A$2:H$7370, 4, FALSE), "")</f>
        <v>7.3</v>
      </c>
      <c r="E4453" s="2">
        <f>IF(A4453&lt;&gt;"", VLOOKUP(A4453, imdb_netflix_v5!A$2:H$7370, 5, FALSE), "")</f>
        <v>2015</v>
      </c>
      <c r="F4453" s="2" t="str">
        <f>IF(A4453&lt;&gt;"", VLOOKUP(A4453, imdb_netflix_v5!A$2:H$7370, 7, FALSE), "")</f>
        <v>NA</v>
      </c>
    </row>
    <row r="4454" ht="15.75" customHeight="1">
      <c r="A4454" s="1" t="str">
        <f>IFERROR(__xludf.DUMMYFUNCTION("""COMPUTED_VALUE"""),"amistad")</f>
        <v>amistad</v>
      </c>
      <c r="B4454" s="1" t="str">
        <f>IF(A4454&lt;&gt;"", VLOOKUP(A4454, imdb_netflix_v5!A$2:H$7370, 2, FALSE), "")</f>
        <v>Movie</v>
      </c>
      <c r="C4454" s="2" t="str">
        <f>IF(A4454&lt;&gt;"", VLOOKUP(A4454, imdb_netflix_v5!A$2:H$7370, 3, FALSE), "")</f>
        <v>Biography, Drama, History</v>
      </c>
      <c r="D4454" s="2">
        <f>IF(A4454&lt;&gt;"", VLOOKUP(A4454, imdb_netflix_v5!A$2:H$7370, 4, FALSE), "")</f>
        <v>7.3</v>
      </c>
      <c r="E4454" s="2">
        <f>IF(A4454&lt;&gt;"", VLOOKUP(A4454, imdb_netflix_v5!A$2:H$7370, 5, FALSE), "")</f>
        <v>1997</v>
      </c>
      <c r="F4454" s="2" t="str">
        <f>IF(A4454&lt;&gt;"", VLOOKUP(A4454, imdb_netflix_v5!A$2:H$7370, 7, FALSE), "")</f>
        <v>NA</v>
      </c>
    </row>
    <row r="4455" ht="15.75" customHeight="1">
      <c r="A4455" s="1" t="str">
        <f>IFERROR(__xludf.DUMMYFUNCTION("""COMPUTED_VALUE"""),"the fundamentals of caring")</f>
        <v>the fundamentals of caring</v>
      </c>
      <c r="B4455" s="1" t="str">
        <f>IF(A4455&lt;&gt;"", VLOOKUP(A4455, imdb_netflix_v5!A$2:H$7370, 2, FALSE), "")</f>
        <v>Movie</v>
      </c>
      <c r="C4455" s="2" t="str">
        <f>IF(A4455&lt;&gt;"", VLOOKUP(A4455, imdb_netflix_v5!A$2:H$7370, 3, FALSE), "")</f>
        <v>Comedy, Drama</v>
      </c>
      <c r="D4455" s="2">
        <f>IF(A4455&lt;&gt;"", VLOOKUP(A4455, imdb_netflix_v5!A$2:H$7370, 4, FALSE), "")</f>
        <v>7.3</v>
      </c>
      <c r="E4455" s="2">
        <f>IF(A4455&lt;&gt;"", VLOOKUP(A4455, imdb_netflix_v5!A$2:H$7370, 5, FALSE), "")</f>
        <v>2016</v>
      </c>
      <c r="F4455" s="2" t="str">
        <f>IF(A4455&lt;&gt;"", VLOOKUP(A4455, imdb_netflix_v5!A$2:H$7370, 7, FALSE), "")</f>
        <v>NA</v>
      </c>
    </row>
    <row r="4456" ht="15.75" customHeight="1">
      <c r="A4456" s="1" t="str">
        <f>IFERROR(__xludf.DUMMYFUNCTION("""COMPUTED_VALUE"""),"blindspot")</f>
        <v>blindspot</v>
      </c>
      <c r="B4456" s="1" t="str">
        <f>IF(A4456&lt;&gt;"", VLOOKUP(A4456, imdb_netflix_v5!A$2:H$7370, 2, FALSE), "")</f>
        <v>TV Show</v>
      </c>
      <c r="C4456" s="2" t="str">
        <f>IF(A4456&lt;&gt;"", VLOOKUP(A4456, imdb_netflix_v5!A$2:H$7370, 3, FALSE), "")</f>
        <v>Action, Crime, Drama</v>
      </c>
      <c r="D4456" s="2">
        <f>IF(A4456&lt;&gt;"", VLOOKUP(A4456, imdb_netflix_v5!A$2:H$7370, 4, FALSE), "")</f>
        <v>7.3</v>
      </c>
      <c r="E4456" s="2">
        <f>IF(A4456&lt;&gt;"", VLOOKUP(A4456, imdb_netflix_v5!A$2:H$7370, 5, FALSE), "")</f>
        <v>2015</v>
      </c>
      <c r="F4456" s="2" t="str">
        <f>IF(A4456&lt;&gt;"", VLOOKUP(A4456, imdb_netflix_v5!A$2:H$7370, 7, FALSE), "")</f>
        <v>NA</v>
      </c>
    </row>
    <row r="4457" ht="15.75" customHeight="1">
      <c r="A4457" s="1" t="str">
        <f>IFERROR(__xludf.DUMMYFUNCTION("""COMPUTED_VALUE"""),"everybody loves raymond")</f>
        <v>everybody loves raymond</v>
      </c>
      <c r="B4457" s="1" t="str">
        <f>IF(A4457&lt;&gt;"", VLOOKUP(A4457, imdb_netflix_v5!A$2:H$7370, 2, FALSE), "")</f>
        <v>TV Show</v>
      </c>
      <c r="C4457" s="2" t="str">
        <f>IF(A4457&lt;&gt;"", VLOOKUP(A4457, imdb_netflix_v5!A$2:H$7370, 3, FALSE), "")</f>
        <v>Comedy</v>
      </c>
      <c r="D4457" s="2">
        <f>IF(A4457&lt;&gt;"", VLOOKUP(A4457, imdb_netflix_v5!A$2:H$7370, 4, FALSE), "")</f>
        <v>7.3</v>
      </c>
      <c r="E4457" s="2">
        <f>IF(A4457&lt;&gt;"", VLOOKUP(A4457, imdb_netflix_v5!A$2:H$7370, 5, FALSE), "")</f>
        <v>1996</v>
      </c>
      <c r="F4457" s="2" t="str">
        <f>IF(A4457&lt;&gt;"", VLOOKUP(A4457, imdb_netflix_v5!A$2:H$7370, 7, FALSE), "")</f>
        <v>NA</v>
      </c>
    </row>
    <row r="4458" ht="15.75" customHeight="1">
      <c r="A4458" s="1" t="str">
        <f>IFERROR(__xludf.DUMMYFUNCTION("""COMPUTED_VALUE"""),"seabiscuit")</f>
        <v>seabiscuit</v>
      </c>
      <c r="B4458" s="1" t="str">
        <f>IF(A4458&lt;&gt;"", VLOOKUP(A4458, imdb_netflix_v5!A$2:H$7370, 2, FALSE), "")</f>
        <v>Movie</v>
      </c>
      <c r="C4458" s="2" t="str">
        <f>IF(A4458&lt;&gt;"", VLOOKUP(A4458, imdb_netflix_v5!A$2:H$7370, 3, FALSE), "")</f>
        <v>Drama, History, Sport</v>
      </c>
      <c r="D4458" s="2">
        <f>IF(A4458&lt;&gt;"", VLOOKUP(A4458, imdb_netflix_v5!A$2:H$7370, 4, FALSE), "")</f>
        <v>7.3</v>
      </c>
      <c r="E4458" s="2">
        <f>IF(A4458&lt;&gt;"", VLOOKUP(A4458, imdb_netflix_v5!A$2:H$7370, 5, FALSE), "")</f>
        <v>2003</v>
      </c>
      <c r="F4458" s="2" t="str">
        <f>IF(A4458&lt;&gt;"", VLOOKUP(A4458, imdb_netflix_v5!A$2:H$7370, 7, FALSE), "")</f>
        <v>NA</v>
      </c>
    </row>
    <row r="4459" ht="15.75" customHeight="1">
      <c r="A4459" s="1" t="str">
        <f>IFERROR(__xludf.DUMMYFUNCTION("""COMPUTED_VALUE"""),"the girl who kicked the hornets nest")</f>
        <v>the girl who kicked the hornets nest</v>
      </c>
      <c r="B4459" s="1" t="str">
        <f>IF(A4459&lt;&gt;"", VLOOKUP(A4459, imdb_netflix_v5!A$2:H$7370, 2, FALSE), "")</f>
        <v>Movie</v>
      </c>
      <c r="C4459" s="2" t="str">
        <f>IF(A4459&lt;&gt;"", VLOOKUP(A4459, imdb_netflix_v5!A$2:H$7370, 3, FALSE), "")</f>
        <v>Crime, Drama, Mystery</v>
      </c>
      <c r="D4459" s="2">
        <f>IF(A4459&lt;&gt;"", VLOOKUP(A4459, imdb_netflix_v5!A$2:H$7370, 4, FALSE), "")</f>
        <v>7.3</v>
      </c>
      <c r="E4459" s="2">
        <f>IF(A4459&lt;&gt;"", VLOOKUP(A4459, imdb_netflix_v5!A$2:H$7370, 5, FALSE), "")</f>
        <v>2009</v>
      </c>
      <c r="F4459" s="2" t="str">
        <f>IF(A4459&lt;&gt;"", VLOOKUP(A4459, imdb_netflix_v5!A$2:H$7370, 7, FALSE), "")</f>
        <v>NA</v>
      </c>
    </row>
    <row r="4460" ht="15.75" customHeight="1">
      <c r="A4460" s="1" t="str">
        <f>IFERROR(__xludf.DUMMYFUNCTION("""COMPUTED_VALUE"""),"ratched")</f>
        <v>ratched</v>
      </c>
      <c r="B4460" s="1" t="str">
        <f>IF(A4460&lt;&gt;"", VLOOKUP(A4460, imdb_netflix_v5!A$2:H$7370, 2, FALSE), "")</f>
        <v>TV Show</v>
      </c>
      <c r="C4460" s="2" t="str">
        <f>IF(A4460&lt;&gt;"", VLOOKUP(A4460, imdb_netflix_v5!A$2:H$7370, 3, FALSE), "")</f>
        <v>Crime, Drama, History</v>
      </c>
      <c r="D4460" s="2">
        <f>IF(A4460&lt;&gt;"", VLOOKUP(A4460, imdb_netflix_v5!A$2:H$7370, 4, FALSE), "")</f>
        <v>7.3</v>
      </c>
      <c r="E4460" s="2">
        <f>IF(A4460&lt;&gt;"", VLOOKUP(A4460, imdb_netflix_v5!A$2:H$7370, 5, FALSE), "")</f>
        <v>2020</v>
      </c>
      <c r="F4460" s="2" t="str">
        <f>IF(A4460&lt;&gt;"", VLOOKUP(A4460, imdb_netflix_v5!A$2:H$7370, 7, FALSE), "")</f>
        <v>NA</v>
      </c>
    </row>
    <row r="4461" ht="15.75" customHeight="1">
      <c r="A4461" s="1" t="str">
        <f>IFERROR(__xludf.DUMMYFUNCTION("""COMPUTED_VALUE"""),"the return of the living dead")</f>
        <v>the return of the living dead</v>
      </c>
      <c r="B4461" s="1" t="str">
        <f>IF(A4461&lt;&gt;"", VLOOKUP(A4461, imdb_netflix_v5!A$2:H$7370, 2, FALSE), "")</f>
        <v>Movie</v>
      </c>
      <c r="C4461" s="2" t="str">
        <f>IF(A4461&lt;&gt;"", VLOOKUP(A4461, imdb_netflix_v5!A$2:H$7370, 3, FALSE), "")</f>
        <v>Comedy, Horror, Sci-Fi</v>
      </c>
      <c r="D4461" s="2">
        <f>IF(A4461&lt;&gt;"", VLOOKUP(A4461, imdb_netflix_v5!A$2:H$7370, 4, FALSE), "")</f>
        <v>7.3</v>
      </c>
      <c r="E4461" s="2">
        <f>IF(A4461&lt;&gt;"", VLOOKUP(A4461, imdb_netflix_v5!A$2:H$7370, 5, FALSE), "")</f>
        <v>1985</v>
      </c>
      <c r="F4461" s="2" t="str">
        <f>IF(A4461&lt;&gt;"", VLOOKUP(A4461, imdb_netflix_v5!A$2:H$7370, 7, FALSE), "")</f>
        <v>NA</v>
      </c>
    </row>
    <row r="4462" ht="15.75" customHeight="1">
      <c r="A4462" s="1" t="str">
        <f>IFERROR(__xludf.DUMMYFUNCTION("""COMPUTED_VALUE"""),"sexy beast")</f>
        <v>sexy beast</v>
      </c>
      <c r="B4462" s="1" t="str">
        <f>IF(A4462&lt;&gt;"", VLOOKUP(A4462, imdb_netflix_v5!A$2:H$7370, 2, FALSE), "")</f>
        <v>Movie</v>
      </c>
      <c r="C4462" s="2" t="str">
        <f>IF(A4462&lt;&gt;"", VLOOKUP(A4462, imdb_netflix_v5!A$2:H$7370, 3, FALSE), "")</f>
        <v>Crime, Drama, Thriller</v>
      </c>
      <c r="D4462" s="2">
        <f>IF(A4462&lt;&gt;"", VLOOKUP(A4462, imdb_netflix_v5!A$2:H$7370, 4, FALSE), "")</f>
        <v>7.3</v>
      </c>
      <c r="E4462" s="2">
        <f>IF(A4462&lt;&gt;"", VLOOKUP(A4462, imdb_netflix_v5!A$2:H$7370, 5, FALSE), "")</f>
        <v>2000</v>
      </c>
      <c r="F4462" s="2" t="str">
        <f>IF(A4462&lt;&gt;"", VLOOKUP(A4462, imdb_netflix_v5!A$2:H$7370, 7, FALSE), "")</f>
        <v>NA</v>
      </c>
    </row>
    <row r="4463" ht="15.75" customHeight="1">
      <c r="A4463" s="1" t="str">
        <f>IFERROR(__xludf.DUMMYFUNCTION("""COMPUTED_VALUE"""),"eight below")</f>
        <v>eight below</v>
      </c>
      <c r="B4463" s="1" t="str">
        <f>IF(A4463&lt;&gt;"", VLOOKUP(A4463, imdb_netflix_v5!A$2:H$7370, 2, FALSE), "")</f>
        <v>Movie</v>
      </c>
      <c r="C4463" s="2" t="str">
        <f>IF(A4463&lt;&gt;"", VLOOKUP(A4463, imdb_netflix_v5!A$2:H$7370, 3, FALSE), "")</f>
        <v>Adventure, Drama, Family</v>
      </c>
      <c r="D4463" s="2">
        <f>IF(A4463&lt;&gt;"", VLOOKUP(A4463, imdb_netflix_v5!A$2:H$7370, 4, FALSE), "")</f>
        <v>7.3</v>
      </c>
      <c r="E4463" s="2">
        <f>IF(A4463&lt;&gt;"", VLOOKUP(A4463, imdb_netflix_v5!A$2:H$7370, 5, FALSE), "")</f>
        <v>2006</v>
      </c>
      <c r="F4463" s="2" t="str">
        <f>IF(A4463&lt;&gt;"", VLOOKUP(A4463, imdb_netflix_v5!A$2:H$7370, 7, FALSE), "")</f>
        <v>NA</v>
      </c>
    </row>
    <row r="4464" ht="15.75" customHeight="1">
      <c r="A4464" s="1" t="str">
        <f>IFERROR(__xludf.DUMMYFUNCTION("""COMPUTED_VALUE"""),"excalibur")</f>
        <v>excalibur</v>
      </c>
      <c r="B4464" s="1" t="str">
        <f>IF(A4464&lt;&gt;"", VLOOKUP(A4464, imdb_netflix_v5!A$2:H$7370, 2, FALSE), "")</f>
        <v>Movie</v>
      </c>
      <c r="C4464" s="2" t="str">
        <f>IF(A4464&lt;&gt;"", VLOOKUP(A4464, imdb_netflix_v5!A$2:H$7370, 3, FALSE), "")</f>
        <v>Adventure, Drama, Fantasy</v>
      </c>
      <c r="D4464" s="2">
        <f>IF(A4464&lt;&gt;"", VLOOKUP(A4464, imdb_netflix_v5!A$2:H$7370, 4, FALSE), "")</f>
        <v>7.3</v>
      </c>
      <c r="E4464" s="2">
        <f>IF(A4464&lt;&gt;"", VLOOKUP(A4464, imdb_netflix_v5!A$2:H$7370, 5, FALSE), "")</f>
        <v>1981</v>
      </c>
      <c r="F4464" s="2" t="str">
        <f>IF(A4464&lt;&gt;"", VLOOKUP(A4464, imdb_netflix_v5!A$2:H$7370, 7, FALSE), "")</f>
        <v>NA</v>
      </c>
    </row>
    <row r="4465" ht="15.75" customHeight="1">
      <c r="A4465" s="1" t="str">
        <f>IFERROR(__xludf.DUMMYFUNCTION("""COMPUTED_VALUE"""),"heavenly creatures")</f>
        <v>heavenly creatures</v>
      </c>
      <c r="B4465" s="1" t="str">
        <f>IF(A4465&lt;&gt;"", VLOOKUP(A4465, imdb_netflix_v5!A$2:H$7370, 2, FALSE), "")</f>
        <v>Movie</v>
      </c>
      <c r="C4465" s="2" t="str">
        <f>IF(A4465&lt;&gt;"", VLOOKUP(A4465, imdb_netflix_v5!A$2:H$7370, 3, FALSE), "")</f>
        <v>Biography, Crime, Drama</v>
      </c>
      <c r="D4465" s="2">
        <f>IF(A4465&lt;&gt;"", VLOOKUP(A4465, imdb_netflix_v5!A$2:H$7370, 4, FALSE), "")</f>
        <v>7.3</v>
      </c>
      <c r="E4465" s="2">
        <f>IF(A4465&lt;&gt;"", VLOOKUP(A4465, imdb_netflix_v5!A$2:H$7370, 5, FALSE), "")</f>
        <v>1994</v>
      </c>
      <c r="F4465" s="2" t="str">
        <f>IF(A4465&lt;&gt;"", VLOOKUP(A4465, imdb_netflix_v5!A$2:H$7370, 7, FALSE), "")</f>
        <v>NA</v>
      </c>
    </row>
    <row r="4466" ht="15.75" customHeight="1">
      <c r="A4466" s="1" t="str">
        <f>IFERROR(__xludf.DUMMYFUNCTION("""COMPUTED_VALUE"""),"pale rider")</f>
        <v>pale rider</v>
      </c>
      <c r="B4466" s="1" t="str">
        <f>IF(A4466&lt;&gt;"", VLOOKUP(A4466, imdb_netflix_v5!A$2:H$7370, 2, FALSE), "")</f>
        <v>Movie</v>
      </c>
      <c r="C4466" s="2" t="str">
        <f>IF(A4466&lt;&gt;"", VLOOKUP(A4466, imdb_netflix_v5!A$2:H$7370, 3, FALSE), "")</f>
        <v>Drama, Western</v>
      </c>
      <c r="D4466" s="2">
        <f>IF(A4466&lt;&gt;"", VLOOKUP(A4466, imdb_netflix_v5!A$2:H$7370, 4, FALSE), "")</f>
        <v>7.3</v>
      </c>
      <c r="E4466" s="2">
        <f>IF(A4466&lt;&gt;"", VLOOKUP(A4466, imdb_netflix_v5!A$2:H$7370, 5, FALSE), "")</f>
        <v>1985</v>
      </c>
      <c r="F4466" s="2" t="str">
        <f>IF(A4466&lt;&gt;"", VLOOKUP(A4466, imdb_netflix_v5!A$2:H$7370, 7, FALSE), "")</f>
        <v>NA</v>
      </c>
    </row>
    <row r="4467" ht="15.75" customHeight="1">
      <c r="A4467" s="1" t="str">
        <f>IFERROR(__xludf.DUMMYFUNCTION("""COMPUTED_VALUE"""),"fish tank")</f>
        <v>fish tank</v>
      </c>
      <c r="B4467" s="1" t="str">
        <f>IF(A4467&lt;&gt;"", VLOOKUP(A4467, imdb_netflix_v5!A$2:H$7370, 2, FALSE), "")</f>
        <v>Movie</v>
      </c>
      <c r="C4467" s="2" t="str">
        <f>IF(A4467&lt;&gt;"", VLOOKUP(A4467, imdb_netflix_v5!A$2:H$7370, 3, FALSE), "")</f>
        <v>Drama</v>
      </c>
      <c r="D4467" s="2">
        <f>IF(A4467&lt;&gt;"", VLOOKUP(A4467, imdb_netflix_v5!A$2:H$7370, 4, FALSE), "")</f>
        <v>7.3</v>
      </c>
      <c r="E4467" s="2">
        <f>IF(A4467&lt;&gt;"", VLOOKUP(A4467, imdb_netflix_v5!A$2:H$7370, 5, FALSE), "")</f>
        <v>2009</v>
      </c>
      <c r="F4467" s="2" t="str">
        <f>IF(A4467&lt;&gt;"", VLOOKUP(A4467, imdb_netflix_v5!A$2:H$7370, 7, FALSE), "")</f>
        <v>NA</v>
      </c>
    </row>
    <row r="4468" ht="15.75" customHeight="1">
      <c r="A4468" s="1" t="str">
        <f>IFERROR(__xludf.DUMMYFUNCTION("""COMPUTED_VALUE"""),"steel magnolias")</f>
        <v>steel magnolias</v>
      </c>
      <c r="B4468" s="1" t="str">
        <f>IF(A4468&lt;&gt;"", VLOOKUP(A4468, imdb_netflix_v5!A$2:H$7370, 2, FALSE), "")</f>
        <v>Movie</v>
      </c>
      <c r="C4468" s="2" t="str">
        <f>IF(A4468&lt;&gt;"", VLOOKUP(A4468, imdb_netflix_v5!A$2:H$7370, 3, FALSE), "")</f>
        <v>Comedy, Drama, Romance</v>
      </c>
      <c r="D4468" s="2">
        <f>IF(A4468&lt;&gt;"", VLOOKUP(A4468, imdb_netflix_v5!A$2:H$7370, 4, FALSE), "")</f>
        <v>7.3</v>
      </c>
      <c r="E4468" s="2">
        <f>IF(A4468&lt;&gt;"", VLOOKUP(A4468, imdb_netflix_v5!A$2:H$7370, 5, FALSE), "")</f>
        <v>1989</v>
      </c>
      <c r="F4468" s="2" t="str">
        <f>IF(A4468&lt;&gt;"", VLOOKUP(A4468, imdb_netflix_v5!A$2:H$7370, 7, FALSE), "")</f>
        <v>NA</v>
      </c>
    </row>
    <row r="4469" ht="15.75" customHeight="1">
      <c r="A4469" s="1" t="str">
        <f>IFERROR(__xludf.DUMMYFUNCTION("""COMPUTED_VALUE"""),"woman in gold")</f>
        <v>woman in gold</v>
      </c>
      <c r="B4469" s="1" t="str">
        <f>IF(A4469&lt;&gt;"", VLOOKUP(A4469, imdb_netflix_v5!A$2:H$7370, 2, FALSE), "")</f>
        <v>Movie</v>
      </c>
      <c r="C4469" s="2" t="str">
        <f>IF(A4469&lt;&gt;"", VLOOKUP(A4469, imdb_netflix_v5!A$2:H$7370, 3, FALSE), "")</f>
        <v>Biography, Drama, History</v>
      </c>
      <c r="D4469" s="2">
        <f>IF(A4469&lt;&gt;"", VLOOKUP(A4469, imdb_netflix_v5!A$2:H$7370, 4, FALSE), "")</f>
        <v>7.3</v>
      </c>
      <c r="E4469" s="2">
        <f>IF(A4469&lt;&gt;"", VLOOKUP(A4469, imdb_netflix_v5!A$2:H$7370, 5, FALSE), "")</f>
        <v>2015</v>
      </c>
      <c r="F4469" s="2" t="str">
        <f>IF(A4469&lt;&gt;"", VLOOKUP(A4469, imdb_netflix_v5!A$2:H$7370, 7, FALSE), "")</f>
        <v>NA</v>
      </c>
    </row>
    <row r="4470" ht="15.75" customHeight="1">
      <c r="A4470" s="1" t="str">
        <f>IFERROR(__xludf.DUMMYFUNCTION("""COMPUTED_VALUE"""),"thirteen days")</f>
        <v>thirteen days</v>
      </c>
      <c r="B4470" s="1" t="str">
        <f>IF(A4470&lt;&gt;"", VLOOKUP(A4470, imdb_netflix_v5!A$2:H$7370, 2, FALSE), "")</f>
        <v>Movie</v>
      </c>
      <c r="C4470" s="2" t="str">
        <f>IF(A4470&lt;&gt;"", VLOOKUP(A4470, imdb_netflix_v5!A$2:H$7370, 3, FALSE), "")</f>
        <v>Drama, History, Thriller</v>
      </c>
      <c r="D4470" s="2">
        <f>IF(A4470&lt;&gt;"", VLOOKUP(A4470, imdb_netflix_v5!A$2:H$7370, 4, FALSE), "")</f>
        <v>7.3</v>
      </c>
      <c r="E4470" s="2">
        <f>IF(A4470&lt;&gt;"", VLOOKUP(A4470, imdb_netflix_v5!A$2:H$7370, 5, FALSE), "")</f>
        <v>2000</v>
      </c>
      <c r="F4470" s="2" t="str">
        <f>IF(A4470&lt;&gt;"", VLOOKUP(A4470, imdb_netflix_v5!A$2:H$7370, 7, FALSE), "")</f>
        <v>NA</v>
      </c>
    </row>
    <row r="4471" ht="15.75" customHeight="1">
      <c r="A4471" s="1" t="str">
        <f>IFERROR(__xludf.DUMMYFUNCTION("""COMPUTED_VALUE"""),"bound")</f>
        <v>bound</v>
      </c>
      <c r="B4471" s="1" t="str">
        <f>IF(A4471&lt;&gt;"", VLOOKUP(A4471, imdb_netflix_v5!A$2:H$7370, 2, FALSE), "")</f>
        <v>Movie</v>
      </c>
      <c r="C4471" s="2" t="str">
        <f>IF(A4471&lt;&gt;"", VLOOKUP(A4471, imdb_netflix_v5!A$2:H$7370, 3, FALSE), "")</f>
        <v>Crime, Thriller</v>
      </c>
      <c r="D4471" s="2">
        <f>IF(A4471&lt;&gt;"", VLOOKUP(A4471, imdb_netflix_v5!A$2:H$7370, 4, FALSE), "")</f>
        <v>7.3</v>
      </c>
      <c r="E4471" s="2">
        <f>IF(A4471&lt;&gt;"", VLOOKUP(A4471, imdb_netflix_v5!A$2:H$7370, 5, FALSE), "")</f>
        <v>1996</v>
      </c>
      <c r="F4471" s="2" t="str">
        <f>IF(A4471&lt;&gt;"", VLOOKUP(A4471, imdb_netflix_v5!A$2:H$7370, 7, FALSE), "")</f>
        <v>NA</v>
      </c>
    </row>
    <row r="4472" ht="15.75" customHeight="1">
      <c r="A4472" s="1" t="str">
        <f>IFERROR(__xludf.DUMMYFUNCTION("""COMPUTED_VALUE"""),"archive 81")</f>
        <v>archive 81</v>
      </c>
      <c r="B4472" s="1" t="str">
        <f>IF(A4472&lt;&gt;"", VLOOKUP(A4472, imdb_netflix_v5!A$2:H$7370, 2, FALSE), "")</f>
        <v>TV Show</v>
      </c>
      <c r="C4472" s="2" t="str">
        <f>IF(A4472&lt;&gt;"", VLOOKUP(A4472, imdb_netflix_v5!A$2:H$7370, 3, FALSE), "")</f>
        <v>Drama, Horror, Mystery</v>
      </c>
      <c r="D4472" s="2">
        <f>IF(A4472&lt;&gt;"", VLOOKUP(A4472, imdb_netflix_v5!A$2:H$7370, 4, FALSE), "")</f>
        <v>7.3</v>
      </c>
      <c r="E4472" s="2">
        <f>IF(A4472&lt;&gt;"", VLOOKUP(A4472, imdb_netflix_v5!A$2:H$7370, 5, FALSE), "")</f>
        <v>2022</v>
      </c>
      <c r="F4472" s="2">
        <f>IF(A4472&lt;&gt;"", VLOOKUP(A4472, imdb_netflix_v5!A$2:H$7370, 7, FALSE), "")</f>
        <v>36270000</v>
      </c>
    </row>
    <row r="4473" ht="15.75" customHeight="1">
      <c r="A4473" s="1" t="str">
        <f>IFERROR(__xludf.DUMMYFUNCTION("""COMPUTED_VALUE"""),"wayward pines")</f>
        <v>wayward pines</v>
      </c>
      <c r="B4473" s="1" t="str">
        <f>IF(A4473&lt;&gt;"", VLOOKUP(A4473, imdb_netflix_v5!A$2:H$7370, 2, FALSE), "")</f>
        <v>TV Show</v>
      </c>
      <c r="C4473" s="2" t="str">
        <f>IF(A4473&lt;&gt;"", VLOOKUP(A4473, imdb_netflix_v5!A$2:H$7370, 3, FALSE), "")</f>
        <v>Drama, Horror, Mystery</v>
      </c>
      <c r="D4473" s="2">
        <f>IF(A4473&lt;&gt;"", VLOOKUP(A4473, imdb_netflix_v5!A$2:H$7370, 4, FALSE), "")</f>
        <v>7.3</v>
      </c>
      <c r="E4473" s="2">
        <f>IF(A4473&lt;&gt;"", VLOOKUP(A4473, imdb_netflix_v5!A$2:H$7370, 5, FALSE), "")</f>
        <v>2015</v>
      </c>
      <c r="F4473" s="2" t="str">
        <f>IF(A4473&lt;&gt;"", VLOOKUP(A4473, imdb_netflix_v5!A$2:H$7370, 7, FALSE), "")</f>
        <v>NA</v>
      </c>
    </row>
    <row r="4474" ht="15.75" customHeight="1">
      <c r="A4474" s="1" t="str">
        <f>IFERROR(__xludf.DUMMYFUNCTION("""COMPUTED_VALUE"""),"the ice storm")</f>
        <v>the ice storm</v>
      </c>
      <c r="B4474" s="1" t="str">
        <f>IF(A4474&lt;&gt;"", VLOOKUP(A4474, imdb_netflix_v5!A$2:H$7370, 2, FALSE), "")</f>
        <v>Movie</v>
      </c>
      <c r="C4474" s="2" t="str">
        <f>IF(A4474&lt;&gt;"", VLOOKUP(A4474, imdb_netflix_v5!A$2:H$7370, 3, FALSE), "")</f>
        <v>Drama</v>
      </c>
      <c r="D4474" s="2">
        <f>IF(A4474&lt;&gt;"", VLOOKUP(A4474, imdb_netflix_v5!A$2:H$7370, 4, FALSE), "")</f>
        <v>7.3</v>
      </c>
      <c r="E4474" s="2">
        <f>IF(A4474&lt;&gt;"", VLOOKUP(A4474, imdb_netflix_v5!A$2:H$7370, 5, FALSE), "")</f>
        <v>1997</v>
      </c>
      <c r="F4474" s="2" t="str">
        <f>IF(A4474&lt;&gt;"", VLOOKUP(A4474, imdb_netflix_v5!A$2:H$7370, 7, FALSE), "")</f>
        <v>NA</v>
      </c>
    </row>
    <row r="4475" ht="15.75" customHeight="1">
      <c r="A4475" s="1" t="str">
        <f>IFERROR(__xludf.DUMMYFUNCTION("""COMPUTED_VALUE"""),"the gods must be crazy")</f>
        <v>the gods must be crazy</v>
      </c>
      <c r="B4475" s="1" t="str">
        <f>IF(A4475&lt;&gt;"", VLOOKUP(A4475, imdb_netflix_v5!A$2:H$7370, 2, FALSE), "")</f>
        <v>Movie</v>
      </c>
      <c r="C4475" s="2" t="str">
        <f>IF(A4475&lt;&gt;"", VLOOKUP(A4475, imdb_netflix_v5!A$2:H$7370, 3, FALSE), "")</f>
        <v>Adventure, Comedy</v>
      </c>
      <c r="D4475" s="2">
        <f>IF(A4475&lt;&gt;"", VLOOKUP(A4475, imdb_netflix_v5!A$2:H$7370, 4, FALSE), "")</f>
        <v>7.3</v>
      </c>
      <c r="E4475" s="2">
        <f>IF(A4475&lt;&gt;"", VLOOKUP(A4475, imdb_netflix_v5!A$2:H$7370, 5, FALSE), "")</f>
        <v>1980</v>
      </c>
      <c r="F4475" s="2" t="str">
        <f>IF(A4475&lt;&gt;"", VLOOKUP(A4475, imdb_netflix_v5!A$2:H$7370, 7, FALSE), "")</f>
        <v>NA</v>
      </c>
    </row>
    <row r="4476" ht="15.75" customHeight="1">
      <c r="A4476" s="1" t="str">
        <f>IFERROR(__xludf.DUMMYFUNCTION("""COMPUTED_VALUE"""),"bodies")</f>
        <v>bodies</v>
      </c>
      <c r="B4476" s="1" t="str">
        <f>IF(A4476&lt;&gt;"", VLOOKUP(A4476, imdb_netflix_v5!A$2:H$7370, 2, FALSE), "")</f>
        <v>TV Show</v>
      </c>
      <c r="C4476" s="2" t="str">
        <f>IF(A4476&lt;&gt;"", VLOOKUP(A4476, imdb_netflix_v5!A$2:H$7370, 3, FALSE), "")</f>
        <v>Crime, Drama, Sci-Fi</v>
      </c>
      <c r="D4476" s="2">
        <f>IF(A4476&lt;&gt;"", VLOOKUP(A4476, imdb_netflix_v5!A$2:H$7370, 4, FALSE), "")</f>
        <v>7.3</v>
      </c>
      <c r="E4476" s="2">
        <f>IF(A4476&lt;&gt;"", VLOOKUP(A4476, imdb_netflix_v5!A$2:H$7370, 5, FALSE), "")</f>
        <v>2023</v>
      </c>
      <c r="F4476" s="2">
        <f>IF(A4476&lt;&gt;"", VLOOKUP(A4476, imdb_netflix_v5!A$2:H$7370, 7, FALSE), "")</f>
        <v>19600000</v>
      </c>
    </row>
    <row r="4477" ht="15.75" customHeight="1">
      <c r="A4477" s="1" t="str">
        <f>IFERROR(__xludf.DUMMYFUNCTION("""COMPUTED_VALUE"""),"this boys life")</f>
        <v>this boys life</v>
      </c>
      <c r="B4477" s="1" t="str">
        <f>IF(A4477&lt;&gt;"", VLOOKUP(A4477, imdb_netflix_v5!A$2:H$7370, 2, FALSE), "")</f>
        <v>Movie</v>
      </c>
      <c r="C4477" s="2" t="str">
        <f>IF(A4477&lt;&gt;"", VLOOKUP(A4477, imdb_netflix_v5!A$2:H$7370, 3, FALSE), "")</f>
        <v>Biography, Drama</v>
      </c>
      <c r="D4477" s="2">
        <f>IF(A4477&lt;&gt;"", VLOOKUP(A4477, imdb_netflix_v5!A$2:H$7370, 4, FALSE), "")</f>
        <v>7.3</v>
      </c>
      <c r="E4477" s="2">
        <f>IF(A4477&lt;&gt;"", VLOOKUP(A4477, imdb_netflix_v5!A$2:H$7370, 5, FALSE), "")</f>
        <v>1993</v>
      </c>
      <c r="F4477" s="2" t="str">
        <f>IF(A4477&lt;&gt;"", VLOOKUP(A4477, imdb_netflix_v5!A$2:H$7370, 7, FALSE), "")</f>
        <v>NA</v>
      </c>
    </row>
    <row r="4478" ht="15.75" customHeight="1">
      <c r="A4478" s="1" t="str">
        <f>IFERROR(__xludf.DUMMYFUNCTION("""COMPUTED_VALUE"""),"decision to leave")</f>
        <v>decision to leave</v>
      </c>
      <c r="B4478" s="1" t="str">
        <f>IF(A4478&lt;&gt;"", VLOOKUP(A4478, imdb_netflix_v5!A$2:H$7370, 2, FALSE), "")</f>
        <v>Movie</v>
      </c>
      <c r="C4478" s="2" t="str">
        <f>IF(A4478&lt;&gt;"", VLOOKUP(A4478, imdb_netflix_v5!A$2:H$7370, 3, FALSE), "")</f>
        <v>Crime, Drama, Mystery</v>
      </c>
      <c r="D4478" s="2">
        <f>IF(A4478&lt;&gt;"", VLOOKUP(A4478, imdb_netflix_v5!A$2:H$7370, 4, FALSE), "")</f>
        <v>7.3</v>
      </c>
      <c r="E4478" s="2">
        <f>IF(A4478&lt;&gt;"", VLOOKUP(A4478, imdb_netflix_v5!A$2:H$7370, 5, FALSE), "")</f>
        <v>2022</v>
      </c>
      <c r="F4478" s="2" t="str">
        <f>IF(A4478&lt;&gt;"", VLOOKUP(A4478, imdb_netflix_v5!A$2:H$7370, 7, FALSE), "")</f>
        <v>NA</v>
      </c>
    </row>
    <row r="4479" ht="15.75" customHeight="1">
      <c r="A4479" s="1" t="str">
        <f>IFERROR(__xludf.DUMMYFUNCTION("""COMPUTED_VALUE"""),"assault on precinct 13")</f>
        <v>assault on precinct 13</v>
      </c>
      <c r="B4479" s="1" t="str">
        <f>IF(A4479&lt;&gt;"", VLOOKUP(A4479, imdb_netflix_v5!A$2:H$7370, 2, FALSE), "")</f>
        <v>Movie</v>
      </c>
      <c r="C4479" s="2" t="str">
        <f>IF(A4479&lt;&gt;"", VLOOKUP(A4479, imdb_netflix_v5!A$2:H$7370, 3, FALSE), "")</f>
        <v>Action, Crime, Thriller</v>
      </c>
      <c r="D4479" s="2">
        <f>IF(A4479&lt;&gt;"", VLOOKUP(A4479, imdb_netflix_v5!A$2:H$7370, 4, FALSE), "")</f>
        <v>7.3</v>
      </c>
      <c r="E4479" s="2">
        <f>IF(A4479&lt;&gt;"", VLOOKUP(A4479, imdb_netflix_v5!A$2:H$7370, 5, FALSE), "")</f>
        <v>1976</v>
      </c>
      <c r="F4479" s="2" t="str">
        <f>IF(A4479&lt;&gt;"", VLOOKUP(A4479, imdb_netflix_v5!A$2:H$7370, 7, FALSE), "")</f>
        <v>NA</v>
      </c>
    </row>
    <row r="4480" ht="15.75" customHeight="1">
      <c r="A4480" s="1" t="str">
        <f>IFERROR(__xludf.DUMMYFUNCTION("""COMPUTED_VALUE"""),"detroit")</f>
        <v>detroit</v>
      </c>
      <c r="B4480" s="1" t="str">
        <f>IF(A4480&lt;&gt;"", VLOOKUP(A4480, imdb_netflix_v5!A$2:H$7370, 2, FALSE), "")</f>
        <v>Movie</v>
      </c>
      <c r="C4480" s="2" t="str">
        <f>IF(A4480&lt;&gt;"", VLOOKUP(A4480, imdb_netflix_v5!A$2:H$7370, 3, FALSE), "")</f>
        <v>Crime, Drama, History</v>
      </c>
      <c r="D4480" s="2">
        <f>IF(A4480&lt;&gt;"", VLOOKUP(A4480, imdb_netflix_v5!A$2:H$7370, 4, FALSE), "")</f>
        <v>7.3</v>
      </c>
      <c r="E4480" s="2">
        <f>IF(A4480&lt;&gt;"", VLOOKUP(A4480, imdb_netflix_v5!A$2:H$7370, 5, FALSE), "")</f>
        <v>2017</v>
      </c>
      <c r="F4480" s="2" t="str">
        <f>IF(A4480&lt;&gt;"", VLOOKUP(A4480, imdb_netflix_v5!A$2:H$7370, 7, FALSE), "")</f>
        <v>NA</v>
      </c>
    </row>
    <row r="4481" ht="15.75" customHeight="1">
      <c r="A4481" s="1" t="str">
        <f>IFERROR(__xludf.DUMMYFUNCTION("""COMPUTED_VALUE"""),"official secrets")</f>
        <v>official secrets</v>
      </c>
      <c r="B4481" s="1" t="str">
        <f>IF(A4481&lt;&gt;"", VLOOKUP(A4481, imdb_netflix_v5!A$2:H$7370, 2, FALSE), "")</f>
        <v>Movie</v>
      </c>
      <c r="C4481" s="2" t="str">
        <f>IF(A4481&lt;&gt;"", VLOOKUP(A4481, imdb_netflix_v5!A$2:H$7370, 3, FALSE), "")</f>
        <v>Biography, Crime, Drama</v>
      </c>
      <c r="D4481" s="2">
        <f>IF(A4481&lt;&gt;"", VLOOKUP(A4481, imdb_netflix_v5!A$2:H$7370, 4, FALSE), "")</f>
        <v>7.3</v>
      </c>
      <c r="E4481" s="2">
        <f>IF(A4481&lt;&gt;"", VLOOKUP(A4481, imdb_netflix_v5!A$2:H$7370, 5, FALSE), "")</f>
        <v>2019</v>
      </c>
      <c r="F4481" s="2" t="str">
        <f>IF(A4481&lt;&gt;"", VLOOKUP(A4481, imdb_netflix_v5!A$2:H$7370, 7, FALSE), "")</f>
        <v>NA</v>
      </c>
    </row>
    <row r="4482" ht="15.75" customHeight="1">
      <c r="A4482" s="1" t="str">
        <f>IFERROR(__xludf.DUMMYFUNCTION("""COMPUTED_VALUE"""),"the proposition")</f>
        <v>the proposition</v>
      </c>
      <c r="B4482" s="1" t="str">
        <f>IF(A4482&lt;&gt;"", VLOOKUP(A4482, imdb_netflix_v5!A$2:H$7370, 2, FALSE), "")</f>
        <v>Movie</v>
      </c>
      <c r="C4482" s="2" t="str">
        <f>IF(A4482&lt;&gt;"", VLOOKUP(A4482, imdb_netflix_v5!A$2:H$7370, 3, FALSE), "")</f>
        <v>Crime, Drama, Western</v>
      </c>
      <c r="D4482" s="2">
        <f>IF(A4482&lt;&gt;"", VLOOKUP(A4482, imdb_netflix_v5!A$2:H$7370, 4, FALSE), "")</f>
        <v>7.3</v>
      </c>
      <c r="E4482" s="2">
        <f>IF(A4482&lt;&gt;"", VLOOKUP(A4482, imdb_netflix_v5!A$2:H$7370, 5, FALSE), "")</f>
        <v>2005</v>
      </c>
      <c r="F4482" s="2" t="str">
        <f>IF(A4482&lt;&gt;"", VLOOKUP(A4482, imdb_netflix_v5!A$2:H$7370, 7, FALSE), "")</f>
        <v>NA</v>
      </c>
    </row>
    <row r="4483" ht="15.75" customHeight="1">
      <c r="A4483" s="1" t="str">
        <f>IFERROR(__xludf.DUMMYFUNCTION("""COMPUTED_VALUE"""),"the guernsey literary and potato peel pie society")</f>
        <v>the guernsey literary and potato peel pie society</v>
      </c>
      <c r="B4483" s="1" t="str">
        <f>IF(A4483&lt;&gt;"", VLOOKUP(A4483, imdb_netflix_v5!A$2:H$7370, 2, FALSE), "")</f>
        <v>Movie</v>
      </c>
      <c r="C4483" s="2" t="str">
        <f>IF(A4483&lt;&gt;"", VLOOKUP(A4483, imdb_netflix_v5!A$2:H$7370, 3, FALSE), "")</f>
        <v>Drama, Romance, War</v>
      </c>
      <c r="D4483" s="2">
        <f>IF(A4483&lt;&gt;"", VLOOKUP(A4483, imdb_netflix_v5!A$2:H$7370, 4, FALSE), "")</f>
        <v>7.3</v>
      </c>
      <c r="E4483" s="2">
        <f>IF(A4483&lt;&gt;"", VLOOKUP(A4483, imdb_netflix_v5!A$2:H$7370, 5, FALSE), "")</f>
        <v>2018</v>
      </c>
      <c r="F4483" s="2" t="str">
        <f>IF(A4483&lt;&gt;"", VLOOKUP(A4483, imdb_netflix_v5!A$2:H$7370, 7, FALSE), "")</f>
        <v>NA</v>
      </c>
    </row>
    <row r="4484" ht="15.75" customHeight="1">
      <c r="A4484" s="1" t="str">
        <f>IFERROR(__xludf.DUMMYFUNCTION("""COMPUTED_VALUE"""),"yeh jawaani hai deewani")</f>
        <v>yeh jawaani hai deewani</v>
      </c>
      <c r="B4484" s="1" t="str">
        <f>IF(A4484&lt;&gt;"", VLOOKUP(A4484, imdb_netflix_v5!A$2:H$7370, 2, FALSE), "")</f>
        <v>Movie</v>
      </c>
      <c r="C4484" s="2" t="str">
        <f>IF(A4484&lt;&gt;"", VLOOKUP(A4484, imdb_netflix_v5!A$2:H$7370, 3, FALSE), "")</f>
        <v>Comedy, Drama, Musical</v>
      </c>
      <c r="D4484" s="2">
        <f>IF(A4484&lt;&gt;"", VLOOKUP(A4484, imdb_netflix_v5!A$2:H$7370, 4, FALSE), "")</f>
        <v>7.3</v>
      </c>
      <c r="E4484" s="2">
        <f>IF(A4484&lt;&gt;"", VLOOKUP(A4484, imdb_netflix_v5!A$2:H$7370, 5, FALSE), "")</f>
        <v>2013</v>
      </c>
      <c r="F4484" s="2" t="str">
        <f>IF(A4484&lt;&gt;"", VLOOKUP(A4484, imdb_netflix_v5!A$2:H$7370, 7, FALSE), "")</f>
        <v>NA</v>
      </c>
    </row>
    <row r="4485" ht="15.75" customHeight="1">
      <c r="A4485" s="1" t="str">
        <f>IFERROR(__xludf.DUMMYFUNCTION("""COMPUTED_VALUE"""),"in the heights")</f>
        <v>in the heights</v>
      </c>
      <c r="B4485" s="1" t="str">
        <f>IF(A4485&lt;&gt;"", VLOOKUP(A4485, imdb_netflix_v5!A$2:H$7370, 2, FALSE), "")</f>
        <v>Movie</v>
      </c>
      <c r="C4485" s="2" t="str">
        <f>IF(A4485&lt;&gt;"", VLOOKUP(A4485, imdb_netflix_v5!A$2:H$7370, 3, FALSE), "")</f>
        <v>Drama, Musical, Romance</v>
      </c>
      <c r="D4485" s="2">
        <f>IF(A4485&lt;&gt;"", VLOOKUP(A4485, imdb_netflix_v5!A$2:H$7370, 4, FALSE), "")</f>
        <v>7.3</v>
      </c>
      <c r="E4485" s="2">
        <f>IF(A4485&lt;&gt;"", VLOOKUP(A4485, imdb_netflix_v5!A$2:H$7370, 5, FALSE), "")</f>
        <v>2021</v>
      </c>
      <c r="F4485" s="2" t="str">
        <f>IF(A4485&lt;&gt;"", VLOOKUP(A4485, imdb_netflix_v5!A$2:H$7370, 7, FALSE), "")</f>
        <v>NA</v>
      </c>
    </row>
    <row r="4486" ht="15.75" customHeight="1">
      <c r="A4486" s="1" t="str">
        <f>IFERROR(__xludf.DUMMYFUNCTION("""COMPUTED_VALUE"""),"much ado about nothing")</f>
        <v>much ado about nothing</v>
      </c>
      <c r="B4486" s="1" t="str">
        <f>IF(A4486&lt;&gt;"", VLOOKUP(A4486, imdb_netflix_v5!A$2:H$7370, 2, FALSE), "")</f>
        <v>Movie</v>
      </c>
      <c r="C4486" s="2" t="str">
        <f>IF(A4486&lt;&gt;"", VLOOKUP(A4486, imdb_netflix_v5!A$2:H$7370, 3, FALSE), "")</f>
        <v>Comedy, Drama, Romance</v>
      </c>
      <c r="D4486" s="2">
        <f>IF(A4486&lt;&gt;"", VLOOKUP(A4486, imdb_netflix_v5!A$2:H$7370, 4, FALSE), "")</f>
        <v>7.3</v>
      </c>
      <c r="E4486" s="2">
        <f>IF(A4486&lt;&gt;"", VLOOKUP(A4486, imdb_netflix_v5!A$2:H$7370, 5, FALSE), "")</f>
        <v>1993</v>
      </c>
      <c r="F4486" s="2" t="str">
        <f>IF(A4486&lt;&gt;"", VLOOKUP(A4486, imdb_netflix_v5!A$2:H$7370, 7, FALSE), "")</f>
        <v>NA</v>
      </c>
    </row>
    <row r="4487" ht="15.75" customHeight="1">
      <c r="A4487" s="1" t="str">
        <f>IFERROR(__xludf.DUMMYFUNCTION("""COMPUTED_VALUE"""),"toni erdmann")</f>
        <v>toni erdmann</v>
      </c>
      <c r="B4487" s="1" t="str">
        <f>IF(A4487&lt;&gt;"", VLOOKUP(A4487, imdb_netflix_v5!A$2:H$7370, 2, FALSE), "")</f>
        <v>Movie</v>
      </c>
      <c r="C4487" s="2" t="str">
        <f>IF(A4487&lt;&gt;"", VLOOKUP(A4487, imdb_netflix_v5!A$2:H$7370, 3, FALSE), "")</f>
        <v>Comedy, Drama</v>
      </c>
      <c r="D4487" s="2">
        <f>IF(A4487&lt;&gt;"", VLOOKUP(A4487, imdb_netflix_v5!A$2:H$7370, 4, FALSE), "")</f>
        <v>7.3</v>
      </c>
      <c r="E4487" s="2">
        <f>IF(A4487&lt;&gt;"", VLOOKUP(A4487, imdb_netflix_v5!A$2:H$7370, 5, FALSE), "")</f>
        <v>2016</v>
      </c>
      <c r="F4487" s="2" t="str">
        <f>IF(A4487&lt;&gt;"", VLOOKUP(A4487, imdb_netflix_v5!A$2:H$7370, 7, FALSE), "")</f>
        <v>NA</v>
      </c>
    </row>
    <row r="4488" ht="15.75" customHeight="1">
      <c r="A4488" s="1" t="str">
        <f>IFERROR(__xludf.DUMMYFUNCTION("""COMPUTED_VALUE"""),"blackberry")</f>
        <v>blackberry</v>
      </c>
      <c r="B4488" s="1" t="str">
        <f>IF(A4488&lt;&gt;"", VLOOKUP(A4488, imdb_netflix_v5!A$2:H$7370, 2, FALSE), "")</f>
        <v>Movie</v>
      </c>
      <c r="C4488" s="2" t="str">
        <f>IF(A4488&lt;&gt;"", VLOOKUP(A4488, imdb_netflix_v5!A$2:H$7370, 3, FALSE), "")</f>
        <v>Biography, Comedy, Drama</v>
      </c>
      <c r="D4488" s="2">
        <f>IF(A4488&lt;&gt;"", VLOOKUP(A4488, imdb_netflix_v5!A$2:H$7370, 4, FALSE), "")</f>
        <v>7.3</v>
      </c>
      <c r="E4488" s="2">
        <f>IF(A4488&lt;&gt;"", VLOOKUP(A4488, imdb_netflix_v5!A$2:H$7370, 5, FALSE), "")</f>
        <v>2023</v>
      </c>
      <c r="F4488" s="2" t="str">
        <f>IF(A4488&lt;&gt;"", VLOOKUP(A4488, imdb_netflix_v5!A$2:H$7370, 7, FALSE), "")</f>
        <v>NA</v>
      </c>
    </row>
    <row r="4489" ht="15.75" customHeight="1">
      <c r="A4489" s="1" t="str">
        <f>IFERROR(__xludf.DUMMYFUNCTION("""COMPUTED_VALUE"""),"ragnarok")</f>
        <v>ragnarok</v>
      </c>
      <c r="B4489" s="1" t="str">
        <f>IF(A4489&lt;&gt;"", VLOOKUP(A4489, imdb_netflix_v5!A$2:H$7370, 2, FALSE), "")</f>
        <v>TV Show</v>
      </c>
      <c r="C4489" s="2" t="str">
        <f>IF(A4489&lt;&gt;"", VLOOKUP(A4489, imdb_netflix_v5!A$2:H$7370, 3, FALSE), "")</f>
        <v>Action, Drama, Fantasy</v>
      </c>
      <c r="D4489" s="2">
        <f>IF(A4489&lt;&gt;"", VLOOKUP(A4489, imdb_netflix_v5!A$2:H$7370, 4, FALSE), "")</f>
        <v>7.3</v>
      </c>
      <c r="E4489" s="2">
        <f>IF(A4489&lt;&gt;"", VLOOKUP(A4489, imdb_netflix_v5!A$2:H$7370, 5, FALSE), "")</f>
        <v>2020</v>
      </c>
      <c r="F4489" s="2">
        <f>IF(A4489&lt;&gt;"", VLOOKUP(A4489, imdb_netflix_v5!A$2:H$7370, 7, FALSE), "")</f>
        <v>5100000</v>
      </c>
    </row>
    <row r="4490" ht="15.75" customHeight="1">
      <c r="A4490" s="1" t="str">
        <f>IFERROR(__xludf.DUMMYFUNCTION("""COMPUTED_VALUE"""),"two days, one night")</f>
        <v>two days, one night</v>
      </c>
      <c r="B4490" s="1" t="str">
        <f>IF(A4490&lt;&gt;"", VLOOKUP(A4490, imdb_netflix_v5!A$2:H$7370, 2, FALSE), "")</f>
        <v>Movie</v>
      </c>
      <c r="C4490" s="2" t="str">
        <f>IF(A4490&lt;&gt;"", VLOOKUP(A4490, imdb_netflix_v5!A$2:H$7370, 3, FALSE), "")</f>
        <v>Drama</v>
      </c>
      <c r="D4490" s="2">
        <f>IF(A4490&lt;&gt;"", VLOOKUP(A4490, imdb_netflix_v5!A$2:H$7370, 4, FALSE), "")</f>
        <v>7.3</v>
      </c>
      <c r="E4490" s="2">
        <f>IF(A4490&lt;&gt;"", VLOOKUP(A4490, imdb_netflix_v5!A$2:H$7370, 5, FALSE), "")</f>
        <v>2014</v>
      </c>
      <c r="F4490" s="2" t="str">
        <f>IF(A4490&lt;&gt;"", VLOOKUP(A4490, imdb_netflix_v5!A$2:H$7370, 7, FALSE), "")</f>
        <v>NA</v>
      </c>
    </row>
    <row r="4491" ht="15.75" customHeight="1">
      <c r="A4491" s="1" t="str">
        <f>IFERROR(__xludf.DUMMYFUNCTION("""COMPUTED_VALUE"""),"the hand of god")</f>
        <v>the hand of god</v>
      </c>
      <c r="B4491" s="1" t="str">
        <f>IF(A4491&lt;&gt;"", VLOOKUP(A4491, imdb_netflix_v5!A$2:H$7370, 2, FALSE), "")</f>
        <v>Movie</v>
      </c>
      <c r="C4491" s="2" t="str">
        <f>IF(A4491&lt;&gt;"", VLOOKUP(A4491, imdb_netflix_v5!A$2:H$7370, 3, FALSE), "")</f>
        <v>Drama</v>
      </c>
      <c r="D4491" s="2">
        <f>IF(A4491&lt;&gt;"", VLOOKUP(A4491, imdb_netflix_v5!A$2:H$7370, 4, FALSE), "")</f>
        <v>7.3</v>
      </c>
      <c r="E4491" s="2">
        <f>IF(A4491&lt;&gt;"", VLOOKUP(A4491, imdb_netflix_v5!A$2:H$7370, 5, FALSE), "")</f>
        <v>2021</v>
      </c>
      <c r="F4491" s="3">
        <f>IF(A4491&lt;&gt;"", VLOOKUP(A4491, imdb_netflix_v5!A$2:H$7370, 7, FALSE), "")</f>
        <v>2000000</v>
      </c>
    </row>
    <row r="4492" ht="15.75" customHeight="1">
      <c r="A4492" s="1" t="str">
        <f>IFERROR(__xludf.DUMMYFUNCTION("""COMPUTED_VALUE"""),"20th century women")</f>
        <v>20th century women</v>
      </c>
      <c r="B4492" s="1" t="str">
        <f>IF(A4492&lt;&gt;"", VLOOKUP(A4492, imdb_netflix_v5!A$2:H$7370, 2, FALSE), "")</f>
        <v>Movie</v>
      </c>
      <c r="C4492" s="2" t="str">
        <f>IF(A4492&lt;&gt;"", VLOOKUP(A4492, imdb_netflix_v5!A$2:H$7370, 3, FALSE), "")</f>
        <v>Comedy, Drama</v>
      </c>
      <c r="D4492" s="2">
        <f>IF(A4492&lt;&gt;"", VLOOKUP(A4492, imdb_netflix_v5!A$2:H$7370, 4, FALSE), "")</f>
        <v>7.3</v>
      </c>
      <c r="E4492" s="2">
        <f>IF(A4492&lt;&gt;"", VLOOKUP(A4492, imdb_netflix_v5!A$2:H$7370, 5, FALSE), "")</f>
        <v>2016</v>
      </c>
      <c r="F4492" s="2" t="str">
        <f>IF(A4492&lt;&gt;"", VLOOKUP(A4492, imdb_netflix_v5!A$2:H$7370, 7, FALSE), "")</f>
        <v>NA</v>
      </c>
    </row>
    <row r="4493" ht="15.75" customHeight="1">
      <c r="A4493" s="1" t="str">
        <f>IFERROR(__xludf.DUMMYFUNCTION("""COMPUTED_VALUE"""),"far from heaven")</f>
        <v>far from heaven</v>
      </c>
      <c r="B4493" s="1" t="str">
        <f>IF(A4493&lt;&gt;"", VLOOKUP(A4493, imdb_netflix_v5!A$2:H$7370, 2, FALSE), "")</f>
        <v>Movie</v>
      </c>
      <c r="C4493" s="2" t="str">
        <f>IF(A4493&lt;&gt;"", VLOOKUP(A4493, imdb_netflix_v5!A$2:H$7370, 3, FALSE), "")</f>
        <v>Drama, Romance</v>
      </c>
      <c r="D4493" s="2">
        <f>IF(A4493&lt;&gt;"", VLOOKUP(A4493, imdb_netflix_v5!A$2:H$7370, 4, FALSE), "")</f>
        <v>7.3</v>
      </c>
      <c r="E4493" s="2">
        <f>IF(A4493&lt;&gt;"", VLOOKUP(A4493, imdb_netflix_v5!A$2:H$7370, 5, FALSE), "")</f>
        <v>2002</v>
      </c>
      <c r="F4493" s="2" t="str">
        <f>IF(A4493&lt;&gt;"", VLOOKUP(A4493, imdb_netflix_v5!A$2:H$7370, 7, FALSE), "")</f>
        <v>NA</v>
      </c>
    </row>
    <row r="4494" ht="15.75" customHeight="1">
      <c r="A4494" s="1" t="str">
        <f>IFERROR(__xludf.DUMMYFUNCTION("""COMPUTED_VALUE"""),"starred up")</f>
        <v>starred up</v>
      </c>
      <c r="B4494" s="1" t="str">
        <f>IF(A4494&lt;&gt;"", VLOOKUP(A4494, imdb_netflix_v5!A$2:H$7370, 2, FALSE), "")</f>
        <v>Movie</v>
      </c>
      <c r="C4494" s="2" t="str">
        <f>IF(A4494&lt;&gt;"", VLOOKUP(A4494, imdb_netflix_v5!A$2:H$7370, 3, FALSE), "")</f>
        <v>Crime, Drama, Thriller</v>
      </c>
      <c r="D4494" s="2">
        <f>IF(A4494&lt;&gt;"", VLOOKUP(A4494, imdb_netflix_v5!A$2:H$7370, 4, FALSE), "")</f>
        <v>7.3</v>
      </c>
      <c r="E4494" s="2">
        <f>IF(A4494&lt;&gt;"", VLOOKUP(A4494, imdb_netflix_v5!A$2:H$7370, 5, FALSE), "")</f>
        <v>2013</v>
      </c>
      <c r="F4494" s="2" t="str">
        <f>IF(A4494&lt;&gt;"", VLOOKUP(A4494, imdb_netflix_v5!A$2:H$7370, 7, FALSE), "")</f>
        <v>NA</v>
      </c>
    </row>
    <row r="4495" ht="15.75" customHeight="1">
      <c r="A4495" s="1" t="str">
        <f>IFERROR(__xludf.DUMMYFUNCTION("""COMPUTED_VALUE"""),"the powerpuff girls")</f>
        <v>the powerpuff girls</v>
      </c>
      <c r="B4495" s="1" t="str">
        <f>IF(A4495&lt;&gt;"", VLOOKUP(A4495, imdb_netflix_v5!A$2:H$7370, 2, FALSE), "")</f>
        <v>TV Show</v>
      </c>
      <c r="C4495" s="2" t="str">
        <f>IF(A4495&lt;&gt;"", VLOOKUP(A4495, imdb_netflix_v5!A$2:H$7370, 3, FALSE), "")</f>
        <v>Action, Adventure, Animation</v>
      </c>
      <c r="D4495" s="2">
        <f>IF(A4495&lt;&gt;"", VLOOKUP(A4495, imdb_netflix_v5!A$2:H$7370, 4, FALSE), "")</f>
        <v>7.3</v>
      </c>
      <c r="E4495" s="2">
        <f>IF(A4495&lt;&gt;"", VLOOKUP(A4495, imdb_netflix_v5!A$2:H$7370, 5, FALSE), "")</f>
        <v>1998</v>
      </c>
      <c r="F4495" s="2" t="str">
        <f>IF(A4495&lt;&gt;"", VLOOKUP(A4495, imdb_netflix_v5!A$2:H$7370, 7, FALSE), "")</f>
        <v>NA</v>
      </c>
    </row>
    <row r="4496" ht="15.75" customHeight="1">
      <c r="A4496" s="1" t="str">
        <f>IFERROR(__xludf.DUMMYFUNCTION("""COMPUTED_VALUE"""),"the secret circle")</f>
        <v>the secret circle</v>
      </c>
      <c r="B4496" s="1" t="str">
        <f>IF(A4496&lt;&gt;"", VLOOKUP(A4496, imdb_netflix_v5!A$2:H$7370, 2, FALSE), "")</f>
        <v>TV Show</v>
      </c>
      <c r="C4496" s="2" t="str">
        <f>IF(A4496&lt;&gt;"", VLOOKUP(A4496, imdb_netflix_v5!A$2:H$7370, 3, FALSE), "")</f>
        <v>Drama, Fantasy, Horror</v>
      </c>
      <c r="D4496" s="2">
        <f>IF(A4496&lt;&gt;"", VLOOKUP(A4496, imdb_netflix_v5!A$2:H$7370, 4, FALSE), "")</f>
        <v>7.3</v>
      </c>
      <c r="E4496" s="2">
        <f>IF(A4496&lt;&gt;"", VLOOKUP(A4496, imdb_netflix_v5!A$2:H$7370, 5, FALSE), "")</f>
        <v>2011</v>
      </c>
      <c r="F4496" s="2" t="str">
        <f>IF(A4496&lt;&gt;"", VLOOKUP(A4496, imdb_netflix_v5!A$2:H$7370, 7, FALSE), "")</f>
        <v>NA</v>
      </c>
    </row>
    <row r="4497" ht="15.75" customHeight="1">
      <c r="A4497" s="1" t="str">
        <f>IFERROR(__xludf.DUMMYFUNCTION("""COMPUTED_VALUE"""),"red cliff")</f>
        <v>red cliff</v>
      </c>
      <c r="B4497" s="1" t="str">
        <f>IF(A4497&lt;&gt;"", VLOOKUP(A4497, imdb_netflix_v5!A$2:H$7370, 2, FALSE), "")</f>
        <v>Movie</v>
      </c>
      <c r="C4497" s="2" t="str">
        <f>IF(A4497&lt;&gt;"", VLOOKUP(A4497, imdb_netflix_v5!A$2:H$7370, 3, FALSE), "")</f>
        <v>Action, Adventure, Drama</v>
      </c>
      <c r="D4497" s="2">
        <f>IF(A4497&lt;&gt;"", VLOOKUP(A4497, imdb_netflix_v5!A$2:H$7370, 4, FALSE), "")</f>
        <v>7.3</v>
      </c>
      <c r="E4497" s="2">
        <f>IF(A4497&lt;&gt;"", VLOOKUP(A4497, imdb_netflix_v5!A$2:H$7370, 5, FALSE), "")</f>
        <v>2008</v>
      </c>
      <c r="F4497" s="2" t="str">
        <f>IF(A4497&lt;&gt;"", VLOOKUP(A4497, imdb_netflix_v5!A$2:H$7370, 7, FALSE), "")</f>
        <v>NA</v>
      </c>
    </row>
    <row r="4498" ht="15.75" customHeight="1">
      <c r="A4498" s="1" t="str">
        <f>IFERROR(__xludf.DUMMYFUNCTION("""COMPUTED_VALUE"""),"deconstructing harry")</f>
        <v>deconstructing harry</v>
      </c>
      <c r="B4498" s="1" t="str">
        <f>IF(A4498&lt;&gt;"", VLOOKUP(A4498, imdb_netflix_v5!A$2:H$7370, 2, FALSE), "")</f>
        <v>Movie</v>
      </c>
      <c r="C4498" s="2" t="str">
        <f>IF(A4498&lt;&gt;"", VLOOKUP(A4498, imdb_netflix_v5!A$2:H$7370, 3, FALSE), "")</f>
        <v>Comedy</v>
      </c>
      <c r="D4498" s="2">
        <f>IF(A4498&lt;&gt;"", VLOOKUP(A4498, imdb_netflix_v5!A$2:H$7370, 4, FALSE), "")</f>
        <v>7.3</v>
      </c>
      <c r="E4498" s="2">
        <f>IF(A4498&lt;&gt;"", VLOOKUP(A4498, imdb_netflix_v5!A$2:H$7370, 5, FALSE), "")</f>
        <v>1997</v>
      </c>
      <c r="F4498" s="2" t="str">
        <f>IF(A4498&lt;&gt;"", VLOOKUP(A4498, imdb_netflix_v5!A$2:H$7370, 7, FALSE), "")</f>
        <v>NA</v>
      </c>
    </row>
    <row r="4499" ht="15.75" customHeight="1">
      <c r="A4499" s="1" t="str">
        <f>IFERROR(__xludf.DUMMYFUNCTION("""COMPUTED_VALUE"""),"manhattan murder mystery")</f>
        <v>manhattan murder mystery</v>
      </c>
      <c r="B4499" s="1" t="str">
        <f>IF(A4499&lt;&gt;"", VLOOKUP(A4499, imdb_netflix_v5!A$2:H$7370, 2, FALSE), "")</f>
        <v>Movie</v>
      </c>
      <c r="C4499" s="2" t="str">
        <f>IF(A4499&lt;&gt;"", VLOOKUP(A4499, imdb_netflix_v5!A$2:H$7370, 3, FALSE), "")</f>
        <v>Comedy, Mystery</v>
      </c>
      <c r="D4499" s="2">
        <f>IF(A4499&lt;&gt;"", VLOOKUP(A4499, imdb_netflix_v5!A$2:H$7370, 4, FALSE), "")</f>
        <v>7.3</v>
      </c>
      <c r="E4499" s="2">
        <f>IF(A4499&lt;&gt;"", VLOOKUP(A4499, imdb_netflix_v5!A$2:H$7370, 5, FALSE), "")</f>
        <v>1993</v>
      </c>
      <c r="F4499" s="2" t="str">
        <f>IF(A4499&lt;&gt;"", VLOOKUP(A4499, imdb_netflix_v5!A$2:H$7370, 7, FALSE), "")</f>
        <v>NA</v>
      </c>
    </row>
    <row r="4500" ht="15.75" customHeight="1">
      <c r="A4500" s="1" t="str">
        <f>IFERROR(__xludf.DUMMYFUNCTION("""COMPUTED_VALUE"""),"possession")</f>
        <v>possession</v>
      </c>
      <c r="B4500" s="1" t="str">
        <f>IF(A4500&lt;&gt;"", VLOOKUP(A4500, imdb_netflix_v5!A$2:H$7370, 2, FALSE), "")</f>
        <v>Movie</v>
      </c>
      <c r="C4500" s="2" t="str">
        <f>IF(A4500&lt;&gt;"", VLOOKUP(A4500, imdb_netflix_v5!A$2:H$7370, 3, FALSE), "")</f>
        <v>Drama, Horror</v>
      </c>
      <c r="D4500" s="2">
        <f>IF(A4500&lt;&gt;"", VLOOKUP(A4500, imdb_netflix_v5!A$2:H$7370, 4, FALSE), "")</f>
        <v>7.3</v>
      </c>
      <c r="E4500" s="2">
        <f>IF(A4500&lt;&gt;"", VLOOKUP(A4500, imdb_netflix_v5!A$2:H$7370, 5, FALSE), "")</f>
        <v>1981</v>
      </c>
      <c r="F4500" s="2" t="str">
        <f>IF(A4500&lt;&gt;"", VLOOKUP(A4500, imdb_netflix_v5!A$2:H$7370, 7, FALSE), "")</f>
        <v>NA</v>
      </c>
    </row>
    <row r="4501" ht="15.75" customHeight="1">
      <c r="A4501" s="1" t="str">
        <f>IFERROR(__xludf.DUMMYFUNCTION("""COMPUTED_VALUE"""),"the hidden face")</f>
        <v>the hidden face</v>
      </c>
      <c r="B4501" s="1" t="str">
        <f>IF(A4501&lt;&gt;"", VLOOKUP(A4501, imdb_netflix_v5!A$2:H$7370, 2, FALSE), "")</f>
        <v>Movie</v>
      </c>
      <c r="C4501" s="2" t="str">
        <f>IF(A4501&lt;&gt;"", VLOOKUP(A4501, imdb_netflix_v5!A$2:H$7370, 3, FALSE), "")</f>
        <v>Drama, Mystery, Thriller</v>
      </c>
      <c r="D4501" s="2">
        <f>IF(A4501&lt;&gt;"", VLOOKUP(A4501, imdb_netflix_v5!A$2:H$7370, 4, FALSE), "")</f>
        <v>7.3</v>
      </c>
      <c r="E4501" s="2">
        <f>IF(A4501&lt;&gt;"", VLOOKUP(A4501, imdb_netflix_v5!A$2:H$7370, 5, FALSE), "")</f>
        <v>2011</v>
      </c>
      <c r="F4501" s="2" t="str">
        <f>IF(A4501&lt;&gt;"", VLOOKUP(A4501, imdb_netflix_v5!A$2:H$7370, 7, FALSE), "")</f>
        <v>NA</v>
      </c>
    </row>
    <row r="4502" ht="15.75" customHeight="1">
      <c r="A4502" s="1" t="str">
        <f>IFERROR(__xludf.DUMMYFUNCTION("""COMPUTED_VALUE"""),"the 4400")</f>
        <v>the 4400</v>
      </c>
      <c r="B4502" s="1" t="str">
        <f>IF(A4502&lt;&gt;"", VLOOKUP(A4502, imdb_netflix_v5!A$2:H$7370, 2, FALSE), "")</f>
        <v>TV Show</v>
      </c>
      <c r="C4502" s="2" t="str">
        <f>IF(A4502&lt;&gt;"", VLOOKUP(A4502, imdb_netflix_v5!A$2:H$7370, 3, FALSE), "")</f>
        <v>Drama, Mystery, Sci-Fi</v>
      </c>
      <c r="D4502" s="2">
        <f>IF(A4502&lt;&gt;"", VLOOKUP(A4502, imdb_netflix_v5!A$2:H$7370, 4, FALSE), "")</f>
        <v>7.3</v>
      </c>
      <c r="E4502" s="2">
        <f>IF(A4502&lt;&gt;"", VLOOKUP(A4502, imdb_netflix_v5!A$2:H$7370, 5, FALSE), "")</f>
        <v>2004</v>
      </c>
      <c r="F4502" s="2" t="str">
        <f>IF(A4502&lt;&gt;"", VLOOKUP(A4502, imdb_netflix_v5!A$2:H$7370, 7, FALSE), "")</f>
        <v>NA</v>
      </c>
    </row>
    <row r="4503" ht="15.75" customHeight="1">
      <c r="A4503" s="1" t="str">
        <f>IFERROR(__xludf.DUMMYFUNCTION("""COMPUTED_VALUE"""),"palmer")</f>
        <v>palmer</v>
      </c>
      <c r="B4503" s="1" t="str">
        <f>IF(A4503&lt;&gt;"", VLOOKUP(A4503, imdb_netflix_v5!A$2:H$7370, 2, FALSE), "")</f>
        <v>Movie</v>
      </c>
      <c r="C4503" s="2" t="str">
        <f>IF(A4503&lt;&gt;"", VLOOKUP(A4503, imdb_netflix_v5!A$2:H$7370, 3, FALSE), "")</f>
        <v>Drama</v>
      </c>
      <c r="D4503" s="2">
        <f>IF(A4503&lt;&gt;"", VLOOKUP(A4503, imdb_netflix_v5!A$2:H$7370, 4, FALSE), "")</f>
        <v>7.3</v>
      </c>
      <c r="E4503" s="2">
        <f>IF(A4503&lt;&gt;"", VLOOKUP(A4503, imdb_netflix_v5!A$2:H$7370, 5, FALSE), "")</f>
        <v>2021</v>
      </c>
      <c r="F4503" s="2" t="str">
        <f>IF(A4503&lt;&gt;"", VLOOKUP(A4503, imdb_netflix_v5!A$2:H$7370, 7, FALSE), "")</f>
        <v>NA</v>
      </c>
    </row>
    <row r="4504" ht="15.75" customHeight="1">
      <c r="A4504" s="1" t="str">
        <f>IFERROR(__xludf.DUMMYFUNCTION("""COMPUTED_VALUE"""),"the summer i turned pretty")</f>
        <v>the summer i turned pretty</v>
      </c>
      <c r="B4504" s="1" t="str">
        <f>IF(A4504&lt;&gt;"", VLOOKUP(A4504, imdb_netflix_v5!A$2:H$7370, 2, FALSE), "")</f>
        <v>TV Show</v>
      </c>
      <c r="C4504" s="2" t="str">
        <f>IF(A4504&lt;&gt;"", VLOOKUP(A4504, imdb_netflix_v5!A$2:H$7370, 3, FALSE), "")</f>
        <v>Drama, Romance</v>
      </c>
      <c r="D4504" s="2">
        <f>IF(A4504&lt;&gt;"", VLOOKUP(A4504, imdb_netflix_v5!A$2:H$7370, 4, FALSE), "")</f>
        <v>7.3</v>
      </c>
      <c r="E4504" s="2">
        <f>IF(A4504&lt;&gt;"", VLOOKUP(A4504, imdb_netflix_v5!A$2:H$7370, 5, FALSE), "")</f>
        <v>2022</v>
      </c>
      <c r="F4504" s="2" t="str">
        <f>IF(A4504&lt;&gt;"", VLOOKUP(A4504, imdb_netflix_v5!A$2:H$7370, 7, FALSE), "")</f>
        <v>NA</v>
      </c>
    </row>
    <row r="4505" ht="15.75" customHeight="1">
      <c r="A4505" s="1" t="str">
        <f>IFERROR(__xludf.DUMMYFUNCTION("""COMPUTED_VALUE"""),"pusher")</f>
        <v>pusher</v>
      </c>
      <c r="B4505" s="1" t="str">
        <f>IF(A4505&lt;&gt;"", VLOOKUP(A4505, imdb_netflix_v5!A$2:H$7370, 2, FALSE), "")</f>
        <v>Movie</v>
      </c>
      <c r="C4505" s="2" t="str">
        <f>IF(A4505&lt;&gt;"", VLOOKUP(A4505, imdb_netflix_v5!A$2:H$7370, 3, FALSE), "")</f>
        <v>Crime, Thriller</v>
      </c>
      <c r="D4505" s="2">
        <f>IF(A4505&lt;&gt;"", VLOOKUP(A4505, imdb_netflix_v5!A$2:H$7370, 4, FALSE), "")</f>
        <v>7.3</v>
      </c>
      <c r="E4505" s="2">
        <f>IF(A4505&lt;&gt;"", VLOOKUP(A4505, imdb_netflix_v5!A$2:H$7370, 5, FALSE), "")</f>
        <v>1996</v>
      </c>
      <c r="F4505" s="2" t="str">
        <f>IF(A4505&lt;&gt;"", VLOOKUP(A4505, imdb_netflix_v5!A$2:H$7370, 7, FALSE), "")</f>
        <v>NA</v>
      </c>
    </row>
    <row r="4506" ht="15.75" customHeight="1">
      <c r="A4506" s="1" t="str">
        <f>IFERROR(__xludf.DUMMYFUNCTION("""COMPUTED_VALUE"""),"the secret garden")</f>
        <v>the secret garden</v>
      </c>
      <c r="B4506" s="1" t="str">
        <f>IF(A4506&lt;&gt;"", VLOOKUP(A4506, imdb_netflix_v5!A$2:H$7370, 2, FALSE), "")</f>
        <v>Movie</v>
      </c>
      <c r="C4506" s="2" t="str">
        <f>IF(A4506&lt;&gt;"", VLOOKUP(A4506, imdb_netflix_v5!A$2:H$7370, 3, FALSE), "")</f>
        <v>Drama, Family, Fantasy</v>
      </c>
      <c r="D4506" s="2">
        <f>IF(A4506&lt;&gt;"", VLOOKUP(A4506, imdb_netflix_v5!A$2:H$7370, 4, FALSE), "")</f>
        <v>7.3</v>
      </c>
      <c r="E4506" s="2">
        <f>IF(A4506&lt;&gt;"", VLOOKUP(A4506, imdb_netflix_v5!A$2:H$7370, 5, FALSE), "")</f>
        <v>1993</v>
      </c>
      <c r="F4506" s="2" t="str">
        <f>IF(A4506&lt;&gt;"", VLOOKUP(A4506, imdb_netflix_v5!A$2:H$7370, 7, FALSE), "")</f>
        <v>NA</v>
      </c>
    </row>
    <row r="4507" ht="15.75" customHeight="1">
      <c r="A4507" s="1" t="str">
        <f>IFERROR(__xludf.DUMMYFUNCTION("""COMPUTED_VALUE"""),"north country")</f>
        <v>north country</v>
      </c>
      <c r="B4507" s="1" t="str">
        <f>IF(A4507&lt;&gt;"", VLOOKUP(A4507, imdb_netflix_v5!A$2:H$7370, 2, FALSE), "")</f>
        <v>Movie</v>
      </c>
      <c r="C4507" s="2" t="str">
        <f>IF(A4507&lt;&gt;"", VLOOKUP(A4507, imdb_netflix_v5!A$2:H$7370, 3, FALSE), "")</f>
        <v>Drama</v>
      </c>
      <c r="D4507" s="2">
        <f>IF(A4507&lt;&gt;"", VLOOKUP(A4507, imdb_netflix_v5!A$2:H$7370, 4, FALSE), "")</f>
        <v>7.3</v>
      </c>
      <c r="E4507" s="2">
        <f>IF(A4507&lt;&gt;"", VLOOKUP(A4507, imdb_netflix_v5!A$2:H$7370, 5, FALSE), "")</f>
        <v>2005</v>
      </c>
      <c r="F4507" s="2" t="str">
        <f>IF(A4507&lt;&gt;"", VLOOKUP(A4507, imdb_netflix_v5!A$2:H$7370, 7, FALSE), "")</f>
        <v>NA</v>
      </c>
    </row>
    <row r="4508" ht="15.75" customHeight="1">
      <c r="A4508" s="1" t="str">
        <f>IFERROR(__xludf.DUMMYFUNCTION("""COMPUTED_VALUE"""),"shaun the sheep movie")</f>
        <v>shaun the sheep movie</v>
      </c>
      <c r="B4508" s="1" t="str">
        <f>IF(A4508&lt;&gt;"", VLOOKUP(A4508, imdb_netflix_v5!A$2:H$7370, 2, FALSE), "")</f>
        <v>Movie</v>
      </c>
      <c r="C4508" s="2" t="str">
        <f>IF(A4508&lt;&gt;"", VLOOKUP(A4508, imdb_netflix_v5!A$2:H$7370, 3, FALSE), "")</f>
        <v>Adventure, Animation, Comedy</v>
      </c>
      <c r="D4508" s="2">
        <f>IF(A4508&lt;&gt;"", VLOOKUP(A4508, imdb_netflix_v5!A$2:H$7370, 4, FALSE), "")</f>
        <v>7.3</v>
      </c>
      <c r="E4508" s="2">
        <f>IF(A4508&lt;&gt;"", VLOOKUP(A4508, imdb_netflix_v5!A$2:H$7370, 5, FALSE), "")</f>
        <v>2015</v>
      </c>
      <c r="F4508" s="2" t="str">
        <f>IF(A4508&lt;&gt;"", VLOOKUP(A4508, imdb_netflix_v5!A$2:H$7370, 7, FALSE), "")</f>
        <v>NA</v>
      </c>
    </row>
    <row r="4509" ht="15.75" customHeight="1">
      <c r="A4509" s="1" t="str">
        <f>IFERROR(__xludf.DUMMYFUNCTION("""COMPUTED_VALUE"""),"hustle &amp; flow")</f>
        <v>hustle &amp; flow</v>
      </c>
      <c r="B4509" s="1" t="str">
        <f>IF(A4509&lt;&gt;"", VLOOKUP(A4509, imdb_netflix_v5!A$2:H$7370, 2, FALSE), "")</f>
        <v>Movie</v>
      </c>
      <c r="C4509" s="2" t="str">
        <f>IF(A4509&lt;&gt;"", VLOOKUP(A4509, imdb_netflix_v5!A$2:H$7370, 3, FALSE), "")</f>
        <v>Crime, Drama, Music</v>
      </c>
      <c r="D4509" s="2">
        <f>IF(A4509&lt;&gt;"", VLOOKUP(A4509, imdb_netflix_v5!A$2:H$7370, 4, FALSE), "")</f>
        <v>7.3</v>
      </c>
      <c r="E4509" s="2">
        <f>IF(A4509&lt;&gt;"", VLOOKUP(A4509, imdb_netflix_v5!A$2:H$7370, 5, FALSE), "")</f>
        <v>2005</v>
      </c>
      <c r="F4509" s="2" t="str">
        <f>IF(A4509&lt;&gt;"", VLOOKUP(A4509, imdb_netflix_v5!A$2:H$7370, 7, FALSE), "")</f>
        <v>NA</v>
      </c>
    </row>
    <row r="4510" ht="15.75" customHeight="1">
      <c r="A4510" s="1" t="str">
        <f>IFERROR(__xludf.DUMMYFUNCTION("""COMPUTED_VALUE"""),"she said")</f>
        <v>she said</v>
      </c>
      <c r="B4510" s="1" t="str">
        <f>IF(A4510&lt;&gt;"", VLOOKUP(A4510, imdb_netflix_v5!A$2:H$7370, 2, FALSE), "")</f>
        <v>Movie</v>
      </c>
      <c r="C4510" s="2" t="str">
        <f>IF(A4510&lt;&gt;"", VLOOKUP(A4510, imdb_netflix_v5!A$2:H$7370, 3, FALSE), "")</f>
        <v>Drama, History</v>
      </c>
      <c r="D4510" s="2">
        <f>IF(A4510&lt;&gt;"", VLOOKUP(A4510, imdb_netflix_v5!A$2:H$7370, 4, FALSE), "")</f>
        <v>7.3</v>
      </c>
      <c r="E4510" s="2">
        <f>IF(A4510&lt;&gt;"", VLOOKUP(A4510, imdb_netflix_v5!A$2:H$7370, 5, FALSE), "")</f>
        <v>2022</v>
      </c>
      <c r="F4510" s="2" t="str">
        <f>IF(A4510&lt;&gt;"", VLOOKUP(A4510, imdb_netflix_v5!A$2:H$7370, 7, FALSE), "")</f>
        <v>NA</v>
      </c>
    </row>
    <row r="4511" ht="15.75" customHeight="1">
      <c r="A4511" s="1" t="str">
        <f>IFERROR(__xludf.DUMMYFUNCTION("""COMPUTED_VALUE"""),"suspicion")</f>
        <v>suspicion</v>
      </c>
      <c r="B4511" s="1" t="str">
        <f>IF(A4511&lt;&gt;"", VLOOKUP(A4511, imdb_netflix_v5!A$2:H$7370, 2, FALSE), "")</f>
        <v>Movie</v>
      </c>
      <c r="C4511" s="2" t="str">
        <f>IF(A4511&lt;&gt;"", VLOOKUP(A4511, imdb_netflix_v5!A$2:H$7370, 3, FALSE), "")</f>
        <v>Drama, Film-Noir, Mystery</v>
      </c>
      <c r="D4511" s="2">
        <f>IF(A4511&lt;&gt;"", VLOOKUP(A4511, imdb_netflix_v5!A$2:H$7370, 4, FALSE), "")</f>
        <v>7.3</v>
      </c>
      <c r="E4511" s="2">
        <f>IF(A4511&lt;&gt;"", VLOOKUP(A4511, imdb_netflix_v5!A$2:H$7370, 5, FALSE), "")</f>
        <v>1941</v>
      </c>
      <c r="F4511" s="2" t="str">
        <f>IF(A4511&lt;&gt;"", VLOOKUP(A4511, imdb_netflix_v5!A$2:H$7370, 7, FALSE), "")</f>
        <v>NA</v>
      </c>
    </row>
    <row r="4512" ht="15.75" customHeight="1">
      <c r="A4512" s="1" t="str">
        <f>IFERROR(__xludf.DUMMYFUNCTION("""COMPUTED_VALUE"""),"touch")</f>
        <v>touch</v>
      </c>
      <c r="B4512" s="1" t="str">
        <f>IF(A4512&lt;&gt;"", VLOOKUP(A4512, imdb_netflix_v5!A$2:H$7370, 2, FALSE), "")</f>
        <v>TV Show</v>
      </c>
      <c r="C4512" s="2" t="str">
        <f>IF(A4512&lt;&gt;"", VLOOKUP(A4512, imdb_netflix_v5!A$2:H$7370, 3, FALSE), "")</f>
        <v>Drama, Mystery, Sci-Fi</v>
      </c>
      <c r="D4512" s="2">
        <f>IF(A4512&lt;&gt;"", VLOOKUP(A4512, imdb_netflix_v5!A$2:H$7370, 4, FALSE), "")</f>
        <v>7.3</v>
      </c>
      <c r="E4512" s="2">
        <f>IF(A4512&lt;&gt;"", VLOOKUP(A4512, imdb_netflix_v5!A$2:H$7370, 5, FALSE), "")</f>
        <v>2012</v>
      </c>
      <c r="F4512" s="2" t="str">
        <f>IF(A4512&lt;&gt;"", VLOOKUP(A4512, imdb_netflix_v5!A$2:H$7370, 7, FALSE), "")</f>
        <v>NA</v>
      </c>
    </row>
    <row r="4513" ht="15.75" customHeight="1">
      <c r="A4513" s="1" t="str">
        <f>IFERROR(__xludf.DUMMYFUNCTION("""COMPUTED_VALUE"""),"the spanish apartment")</f>
        <v>the spanish apartment</v>
      </c>
      <c r="B4513" s="1" t="str">
        <f>IF(A4513&lt;&gt;"", VLOOKUP(A4513, imdb_netflix_v5!A$2:H$7370, 2, FALSE), "")</f>
        <v>Movie</v>
      </c>
      <c r="C4513" s="2" t="str">
        <f>IF(A4513&lt;&gt;"", VLOOKUP(A4513, imdb_netflix_v5!A$2:H$7370, 3, FALSE), "")</f>
        <v>Comedy, Drama, Romance</v>
      </c>
      <c r="D4513" s="2">
        <f>IF(A4513&lt;&gt;"", VLOOKUP(A4513, imdb_netflix_v5!A$2:H$7370, 4, FALSE), "")</f>
        <v>7.3</v>
      </c>
      <c r="E4513" s="2">
        <f>IF(A4513&lt;&gt;"", VLOOKUP(A4513, imdb_netflix_v5!A$2:H$7370, 5, FALSE), "")</f>
        <v>2002</v>
      </c>
      <c r="F4513" s="2" t="str">
        <f>IF(A4513&lt;&gt;"", VLOOKUP(A4513, imdb_netflix_v5!A$2:H$7370, 7, FALSE), "")</f>
        <v>NA</v>
      </c>
    </row>
    <row r="4514" ht="15.75" customHeight="1">
      <c r="A4514" s="1" t="str">
        <f>IFERROR(__xludf.DUMMYFUNCTION("""COMPUTED_VALUE"""),"murder by death")</f>
        <v>murder by death</v>
      </c>
      <c r="B4514" s="1" t="str">
        <f>IF(A4514&lt;&gt;"", VLOOKUP(A4514, imdb_netflix_v5!A$2:H$7370, 2, FALSE), "")</f>
        <v>Movie</v>
      </c>
      <c r="C4514" s="2" t="str">
        <f>IF(A4514&lt;&gt;"", VLOOKUP(A4514, imdb_netflix_v5!A$2:H$7370, 3, FALSE), "")</f>
        <v>Comedy, Crime, Mystery</v>
      </c>
      <c r="D4514" s="2">
        <f>IF(A4514&lt;&gt;"", VLOOKUP(A4514, imdb_netflix_v5!A$2:H$7370, 4, FALSE), "")</f>
        <v>7.3</v>
      </c>
      <c r="E4514" s="2">
        <f>IF(A4514&lt;&gt;"", VLOOKUP(A4514, imdb_netflix_v5!A$2:H$7370, 5, FALSE), "")</f>
        <v>1976</v>
      </c>
      <c r="F4514" s="2" t="str">
        <f>IF(A4514&lt;&gt;"", VLOOKUP(A4514, imdb_netflix_v5!A$2:H$7370, 7, FALSE), "")</f>
        <v>NA</v>
      </c>
    </row>
    <row r="4515" ht="15.75" customHeight="1">
      <c r="A4515" s="1" t="str">
        <f>IFERROR(__xludf.DUMMYFUNCTION("""COMPUTED_VALUE"""),"transamerica")</f>
        <v>transamerica</v>
      </c>
      <c r="B4515" s="1" t="str">
        <f>IF(A4515&lt;&gt;"", VLOOKUP(A4515, imdb_netflix_v5!A$2:H$7370, 2, FALSE), "")</f>
        <v>Movie</v>
      </c>
      <c r="C4515" s="2" t="str">
        <f>IF(A4515&lt;&gt;"", VLOOKUP(A4515, imdb_netflix_v5!A$2:H$7370, 3, FALSE), "")</f>
        <v>Adventure, Comedy, Drama</v>
      </c>
      <c r="D4515" s="2">
        <f>IF(A4515&lt;&gt;"", VLOOKUP(A4515, imdb_netflix_v5!A$2:H$7370, 4, FALSE), "")</f>
        <v>7.3</v>
      </c>
      <c r="E4515" s="2">
        <f>IF(A4515&lt;&gt;"", VLOOKUP(A4515, imdb_netflix_v5!A$2:H$7370, 5, FALSE), "")</f>
        <v>2005</v>
      </c>
      <c r="F4515" s="2" t="str">
        <f>IF(A4515&lt;&gt;"", VLOOKUP(A4515, imdb_netflix_v5!A$2:H$7370, 7, FALSE), "")</f>
        <v>NA</v>
      </c>
    </row>
    <row r="4516" ht="15.75" customHeight="1">
      <c r="A4516" s="1" t="str">
        <f>IFERROR(__xludf.DUMMYFUNCTION("""COMPUTED_VALUE"""),"mr. hollands opus")</f>
        <v>mr. hollands opus</v>
      </c>
      <c r="B4516" s="1" t="str">
        <f>IF(A4516&lt;&gt;"", VLOOKUP(A4516, imdb_netflix_v5!A$2:H$7370, 2, FALSE), "")</f>
        <v>Movie</v>
      </c>
      <c r="C4516" s="2" t="str">
        <f>IF(A4516&lt;&gt;"", VLOOKUP(A4516, imdb_netflix_v5!A$2:H$7370, 3, FALSE), "")</f>
        <v>Drama, Music</v>
      </c>
      <c r="D4516" s="2">
        <f>IF(A4516&lt;&gt;"", VLOOKUP(A4516, imdb_netflix_v5!A$2:H$7370, 4, FALSE), "")</f>
        <v>7.3</v>
      </c>
      <c r="E4516" s="2">
        <f>IF(A4516&lt;&gt;"", VLOOKUP(A4516, imdb_netflix_v5!A$2:H$7370, 5, FALSE), "")</f>
        <v>1995</v>
      </c>
      <c r="F4516" s="2" t="str">
        <f>IF(A4516&lt;&gt;"", VLOOKUP(A4516, imdb_netflix_v5!A$2:H$7370, 7, FALSE), "")</f>
        <v>NA</v>
      </c>
    </row>
    <row r="4517" ht="15.75" customHeight="1">
      <c r="A4517" s="1" t="str">
        <f>IFERROR(__xludf.DUMMYFUNCTION("""COMPUTED_VALUE"""),"the three burials of melquiades estrada")</f>
        <v>the three burials of melquiades estrada</v>
      </c>
      <c r="B4517" s="1" t="str">
        <f>IF(A4517&lt;&gt;"", VLOOKUP(A4517, imdb_netflix_v5!A$2:H$7370, 2, FALSE), "")</f>
        <v>Movie</v>
      </c>
      <c r="C4517" s="2" t="str">
        <f>IF(A4517&lt;&gt;"", VLOOKUP(A4517, imdb_netflix_v5!A$2:H$7370, 3, FALSE), "")</f>
        <v>Adventure, Crime, Drama</v>
      </c>
      <c r="D4517" s="2">
        <f>IF(A4517&lt;&gt;"", VLOOKUP(A4517, imdb_netflix_v5!A$2:H$7370, 4, FALSE), "")</f>
        <v>7.3</v>
      </c>
      <c r="E4517" s="2">
        <f>IF(A4517&lt;&gt;"", VLOOKUP(A4517, imdb_netflix_v5!A$2:H$7370, 5, FALSE), "")</f>
        <v>2005</v>
      </c>
      <c r="F4517" s="2" t="str">
        <f>IF(A4517&lt;&gt;"", VLOOKUP(A4517, imdb_netflix_v5!A$2:H$7370, 7, FALSE), "")</f>
        <v>NA</v>
      </c>
    </row>
    <row r="4518" ht="15.75" customHeight="1">
      <c r="A4518" s="1" t="str">
        <f>IFERROR(__xludf.DUMMYFUNCTION("""COMPUTED_VALUE"""),"pam &amp; tommy")</f>
        <v>pam &amp; tommy</v>
      </c>
      <c r="B4518" s="1" t="str">
        <f>IF(A4518&lt;&gt;"", VLOOKUP(A4518, imdb_netflix_v5!A$2:H$7370, 2, FALSE), "")</f>
        <v>TV Show</v>
      </c>
      <c r="C4518" s="2" t="str">
        <f>IF(A4518&lt;&gt;"", VLOOKUP(A4518, imdb_netflix_v5!A$2:H$7370, 3, FALSE), "")</f>
        <v>Biography, Comedy, Drama</v>
      </c>
      <c r="D4518" s="2">
        <f>IF(A4518&lt;&gt;"", VLOOKUP(A4518, imdb_netflix_v5!A$2:H$7370, 4, FALSE), "")</f>
        <v>7.3</v>
      </c>
      <c r="E4518" s="2">
        <f>IF(A4518&lt;&gt;"", VLOOKUP(A4518, imdb_netflix_v5!A$2:H$7370, 5, FALSE), "")</f>
        <v>2022</v>
      </c>
      <c r="F4518" s="2" t="str">
        <f>IF(A4518&lt;&gt;"", VLOOKUP(A4518, imdb_netflix_v5!A$2:H$7370, 7, FALSE), "")</f>
        <v>NA</v>
      </c>
    </row>
    <row r="4519" ht="15.75" customHeight="1">
      <c r="A4519" s="1" t="str">
        <f>IFERROR(__xludf.DUMMYFUNCTION("""COMPUTED_VALUE"""),"death on the nile")</f>
        <v>death on the nile</v>
      </c>
      <c r="B4519" s="1" t="str">
        <f>IF(A4519&lt;&gt;"", VLOOKUP(A4519, imdb_netflix_v5!A$2:H$7370, 2, FALSE), "")</f>
        <v>Movie</v>
      </c>
      <c r="C4519" s="2" t="str">
        <f>IF(A4519&lt;&gt;"", VLOOKUP(A4519, imdb_netflix_v5!A$2:H$7370, 3, FALSE), "")</f>
        <v>Crime, Drama, Mystery</v>
      </c>
      <c r="D4519" s="2">
        <f>IF(A4519&lt;&gt;"", VLOOKUP(A4519, imdb_netflix_v5!A$2:H$7370, 4, FALSE), "")</f>
        <v>7.3</v>
      </c>
      <c r="E4519" s="2">
        <f>IF(A4519&lt;&gt;"", VLOOKUP(A4519, imdb_netflix_v5!A$2:H$7370, 5, FALSE), "")</f>
        <v>1978</v>
      </c>
      <c r="F4519" s="2" t="str">
        <f>IF(A4519&lt;&gt;"", VLOOKUP(A4519, imdb_netflix_v5!A$2:H$7370, 7, FALSE), "")</f>
        <v>NA</v>
      </c>
    </row>
    <row r="4520" ht="15.75" customHeight="1">
      <c r="A4520" s="1" t="str">
        <f>IFERROR(__xludf.DUMMYFUNCTION("""COMPUTED_VALUE"""),"dont trust the b---- in apartment 23")</f>
        <v>dont trust the b---- in apartment 23</v>
      </c>
      <c r="B4520" s="1" t="str">
        <f>IF(A4520&lt;&gt;"", VLOOKUP(A4520, imdb_netflix_v5!A$2:H$7370, 2, FALSE), "")</f>
        <v>TV Show</v>
      </c>
      <c r="C4520" s="2" t="str">
        <f>IF(A4520&lt;&gt;"", VLOOKUP(A4520, imdb_netflix_v5!A$2:H$7370, 3, FALSE), "")</f>
        <v>Comedy</v>
      </c>
      <c r="D4520" s="2">
        <f>IF(A4520&lt;&gt;"", VLOOKUP(A4520, imdb_netflix_v5!A$2:H$7370, 4, FALSE), "")</f>
        <v>7.3</v>
      </c>
      <c r="E4520" s="2">
        <f>IF(A4520&lt;&gt;"", VLOOKUP(A4520, imdb_netflix_v5!A$2:H$7370, 5, FALSE), "")</f>
        <v>2012</v>
      </c>
      <c r="F4520" s="2" t="str">
        <f>IF(A4520&lt;&gt;"", VLOOKUP(A4520, imdb_netflix_v5!A$2:H$7370, 7, FALSE), "")</f>
        <v>NA</v>
      </c>
    </row>
    <row r="4521" ht="15.75" customHeight="1">
      <c r="A4521" s="1" t="str">
        <f>IFERROR(__xludf.DUMMYFUNCTION("""COMPUTED_VALUE"""),"to live and die in l.a.")</f>
        <v>to live and die in l.a.</v>
      </c>
      <c r="B4521" s="1" t="str">
        <f>IF(A4521&lt;&gt;"", VLOOKUP(A4521, imdb_netflix_v5!A$2:H$7370, 2, FALSE), "")</f>
        <v>Movie</v>
      </c>
      <c r="C4521" s="2" t="str">
        <f>IF(A4521&lt;&gt;"", VLOOKUP(A4521, imdb_netflix_v5!A$2:H$7370, 3, FALSE), "")</f>
        <v>Action, Crime, Drama</v>
      </c>
      <c r="D4521" s="2">
        <f>IF(A4521&lt;&gt;"", VLOOKUP(A4521, imdb_netflix_v5!A$2:H$7370, 4, FALSE), "")</f>
        <v>7.3</v>
      </c>
      <c r="E4521" s="2">
        <f>IF(A4521&lt;&gt;"", VLOOKUP(A4521, imdb_netflix_v5!A$2:H$7370, 5, FALSE), "")</f>
        <v>1985</v>
      </c>
      <c r="F4521" s="2" t="str">
        <f>IF(A4521&lt;&gt;"", VLOOKUP(A4521, imdb_netflix_v5!A$2:H$7370, 7, FALSE), "")</f>
        <v>NA</v>
      </c>
    </row>
    <row r="4522" ht="15.75" customHeight="1">
      <c r="A4522" s="1" t="str">
        <f>IFERROR(__xludf.DUMMYFUNCTION("""COMPUTED_VALUE"""),"the baader meinhof complex")</f>
        <v>the baader meinhof complex</v>
      </c>
      <c r="B4522" s="1" t="str">
        <f>IF(A4522&lt;&gt;"", VLOOKUP(A4522, imdb_netflix_v5!A$2:H$7370, 2, FALSE), "")</f>
        <v>Movie</v>
      </c>
      <c r="C4522" s="2" t="str">
        <f>IF(A4522&lt;&gt;"", VLOOKUP(A4522, imdb_netflix_v5!A$2:H$7370, 3, FALSE), "")</f>
        <v>Action, Biography, Crime</v>
      </c>
      <c r="D4522" s="2">
        <f>IF(A4522&lt;&gt;"", VLOOKUP(A4522, imdb_netflix_v5!A$2:H$7370, 4, FALSE), "")</f>
        <v>7.3</v>
      </c>
      <c r="E4522" s="2">
        <f>IF(A4522&lt;&gt;"", VLOOKUP(A4522, imdb_netflix_v5!A$2:H$7370, 5, FALSE), "")</f>
        <v>2008</v>
      </c>
      <c r="F4522" s="2" t="str">
        <f>IF(A4522&lt;&gt;"", VLOOKUP(A4522, imdb_netflix_v5!A$2:H$7370, 7, FALSE), "")</f>
        <v>NA</v>
      </c>
    </row>
    <row r="4523" ht="15.75" customHeight="1">
      <c r="A4523" s="1" t="str">
        <f>IFERROR(__xludf.DUMMYFUNCTION("""COMPUTED_VALUE"""),"24 hour party people")</f>
        <v>24 hour party people</v>
      </c>
      <c r="B4523" s="1" t="str">
        <f>IF(A4523&lt;&gt;"", VLOOKUP(A4523, imdb_netflix_v5!A$2:H$7370, 2, FALSE), "")</f>
        <v>Movie</v>
      </c>
      <c r="C4523" s="2" t="str">
        <f>IF(A4523&lt;&gt;"", VLOOKUP(A4523, imdb_netflix_v5!A$2:H$7370, 3, FALSE), "")</f>
        <v>Biography, Comedy, Drama</v>
      </c>
      <c r="D4523" s="2">
        <f>IF(A4523&lt;&gt;"", VLOOKUP(A4523, imdb_netflix_v5!A$2:H$7370, 4, FALSE), "")</f>
        <v>7.3</v>
      </c>
      <c r="E4523" s="2">
        <f>IF(A4523&lt;&gt;"", VLOOKUP(A4523, imdb_netflix_v5!A$2:H$7370, 5, FALSE), "")</f>
        <v>2002</v>
      </c>
      <c r="F4523" s="2" t="str">
        <f>IF(A4523&lt;&gt;"", VLOOKUP(A4523, imdb_netflix_v5!A$2:H$7370, 7, FALSE), "")</f>
        <v>NA</v>
      </c>
    </row>
    <row r="4524" ht="15.75" customHeight="1">
      <c r="A4524" s="1" t="str">
        <f>IFERROR(__xludf.DUMMYFUNCTION("""COMPUTED_VALUE"""),"colony")</f>
        <v>colony</v>
      </c>
      <c r="B4524" s="1" t="str">
        <f>IF(A4524&lt;&gt;"", VLOOKUP(A4524, imdb_netflix_v5!A$2:H$7370, 2, FALSE), "")</f>
        <v>TV Show</v>
      </c>
      <c r="C4524" s="2" t="str">
        <f>IF(A4524&lt;&gt;"", VLOOKUP(A4524, imdb_netflix_v5!A$2:H$7370, 3, FALSE), "")</f>
        <v>Action, Adventure, Drama</v>
      </c>
      <c r="D4524" s="2">
        <f>IF(A4524&lt;&gt;"", VLOOKUP(A4524, imdb_netflix_v5!A$2:H$7370, 4, FALSE), "")</f>
        <v>7.3</v>
      </c>
      <c r="E4524" s="2">
        <f>IF(A4524&lt;&gt;"", VLOOKUP(A4524, imdb_netflix_v5!A$2:H$7370, 5, FALSE), "")</f>
        <v>2016</v>
      </c>
      <c r="F4524" s="2" t="str">
        <f>IF(A4524&lt;&gt;"", VLOOKUP(A4524, imdb_netflix_v5!A$2:H$7370, 7, FALSE), "")</f>
        <v>NA</v>
      </c>
    </row>
    <row r="4525" ht="15.75" customHeight="1">
      <c r="A4525" s="1" t="str">
        <f>IFERROR(__xludf.DUMMYFUNCTION("""COMPUTED_VALUE"""),"bajirao mastani")</f>
        <v>bajirao mastani</v>
      </c>
      <c r="B4525" s="1" t="str">
        <f>IF(A4525&lt;&gt;"", VLOOKUP(A4525, imdb_netflix_v5!A$2:H$7370, 2, FALSE), "")</f>
        <v>Movie</v>
      </c>
      <c r="C4525" s="2" t="str">
        <f>IF(A4525&lt;&gt;"", VLOOKUP(A4525, imdb_netflix_v5!A$2:H$7370, 3, FALSE), "")</f>
        <v>Action, Drama, History</v>
      </c>
      <c r="D4525" s="2">
        <f>IF(A4525&lt;&gt;"", VLOOKUP(A4525, imdb_netflix_v5!A$2:H$7370, 4, FALSE), "")</f>
        <v>7.3</v>
      </c>
      <c r="E4525" s="2">
        <f>IF(A4525&lt;&gt;"", VLOOKUP(A4525, imdb_netflix_v5!A$2:H$7370, 5, FALSE), "")</f>
        <v>2015</v>
      </c>
      <c r="F4525" s="2" t="str">
        <f>IF(A4525&lt;&gt;"", VLOOKUP(A4525, imdb_netflix_v5!A$2:H$7370, 7, FALSE), "")</f>
        <v>NA</v>
      </c>
    </row>
    <row r="4526" ht="15.75" customHeight="1">
      <c r="A4526" s="1" t="str">
        <f>IFERROR(__xludf.DUMMYFUNCTION("""COMPUTED_VALUE"""),"old henry")</f>
        <v>old henry</v>
      </c>
      <c r="B4526" s="1" t="str">
        <f>IF(A4526&lt;&gt;"", VLOOKUP(A4526, imdb_netflix_v5!A$2:H$7370, 2, FALSE), "")</f>
        <v>Movie</v>
      </c>
      <c r="C4526" s="2" t="str">
        <f>IF(A4526&lt;&gt;"", VLOOKUP(A4526, imdb_netflix_v5!A$2:H$7370, 3, FALSE), "")</f>
        <v>Action, Drama, Western</v>
      </c>
      <c r="D4526" s="2">
        <f>IF(A4526&lt;&gt;"", VLOOKUP(A4526, imdb_netflix_v5!A$2:H$7370, 4, FALSE), "")</f>
        <v>7.3</v>
      </c>
      <c r="E4526" s="2">
        <f>IF(A4526&lt;&gt;"", VLOOKUP(A4526, imdb_netflix_v5!A$2:H$7370, 5, FALSE), "")</f>
        <v>2021</v>
      </c>
      <c r="F4526" s="2">
        <f>IF(A4526&lt;&gt;"", VLOOKUP(A4526, imdb_netflix_v5!A$2:H$7370, 7, FALSE), "")</f>
        <v>8100000</v>
      </c>
    </row>
    <row r="4527" ht="15.75" customHeight="1">
      <c r="A4527" s="1" t="str">
        <f>IFERROR(__xludf.DUMMYFUNCTION("""COMPUTED_VALUE"""),"the unbearable lightness of being")</f>
        <v>the unbearable lightness of being</v>
      </c>
      <c r="B4527" s="1" t="str">
        <f>IF(A4527&lt;&gt;"", VLOOKUP(A4527, imdb_netflix_v5!A$2:H$7370, 2, FALSE), "")</f>
        <v>Movie</v>
      </c>
      <c r="C4527" s="2" t="str">
        <f>IF(A4527&lt;&gt;"", VLOOKUP(A4527, imdb_netflix_v5!A$2:H$7370, 3, FALSE), "")</f>
        <v>Drama, Romance</v>
      </c>
      <c r="D4527" s="2">
        <f>IF(A4527&lt;&gt;"", VLOOKUP(A4527, imdb_netflix_v5!A$2:H$7370, 4, FALSE), "")</f>
        <v>7.3</v>
      </c>
      <c r="E4527" s="2">
        <f>IF(A4527&lt;&gt;"", VLOOKUP(A4527, imdb_netflix_v5!A$2:H$7370, 5, FALSE), "")</f>
        <v>1988</v>
      </c>
      <c r="F4527" s="2" t="str">
        <f>IF(A4527&lt;&gt;"", VLOOKUP(A4527, imdb_netflix_v5!A$2:H$7370, 7, FALSE), "")</f>
        <v>NA</v>
      </c>
    </row>
    <row r="4528" ht="15.75" customHeight="1">
      <c r="A4528" s="1" t="str">
        <f>IFERROR(__xludf.DUMMYFUNCTION("""COMPUTED_VALUE"""),"antwone fisher")</f>
        <v>antwone fisher</v>
      </c>
      <c r="B4528" s="1" t="str">
        <f>IF(A4528&lt;&gt;"", VLOOKUP(A4528, imdb_netflix_v5!A$2:H$7370, 2, FALSE), "")</f>
        <v>Movie</v>
      </c>
      <c r="C4528" s="2" t="str">
        <f>IF(A4528&lt;&gt;"", VLOOKUP(A4528, imdb_netflix_v5!A$2:H$7370, 3, FALSE), "")</f>
        <v>Biography, Drama</v>
      </c>
      <c r="D4528" s="2">
        <f>IF(A4528&lt;&gt;"", VLOOKUP(A4528, imdb_netflix_v5!A$2:H$7370, 4, FALSE), "")</f>
        <v>7.3</v>
      </c>
      <c r="E4528" s="2">
        <f>IF(A4528&lt;&gt;"", VLOOKUP(A4528, imdb_netflix_v5!A$2:H$7370, 5, FALSE), "")</f>
        <v>2002</v>
      </c>
      <c r="F4528" s="2" t="str">
        <f>IF(A4528&lt;&gt;"", VLOOKUP(A4528, imdb_netflix_v5!A$2:H$7370, 7, FALSE), "")</f>
        <v>NA</v>
      </c>
    </row>
    <row r="4529" ht="15.75" customHeight="1">
      <c r="A4529" s="1" t="str">
        <f>IFERROR(__xludf.DUMMYFUNCTION("""COMPUTED_VALUE"""),"marcella")</f>
        <v>marcella</v>
      </c>
      <c r="B4529" s="1" t="str">
        <f>IF(A4529&lt;&gt;"", VLOOKUP(A4529, imdb_netflix_v5!A$2:H$7370, 2, FALSE), "")</f>
        <v>TV Show</v>
      </c>
      <c r="C4529" s="2" t="str">
        <f>IF(A4529&lt;&gt;"", VLOOKUP(A4529, imdb_netflix_v5!A$2:H$7370, 3, FALSE), "")</f>
        <v>Crime, Drama, Mystery</v>
      </c>
      <c r="D4529" s="2">
        <f>IF(A4529&lt;&gt;"", VLOOKUP(A4529, imdb_netflix_v5!A$2:H$7370, 4, FALSE), "")</f>
        <v>7.3</v>
      </c>
      <c r="E4529" s="2">
        <f>IF(A4529&lt;&gt;"", VLOOKUP(A4529, imdb_netflix_v5!A$2:H$7370, 5, FALSE), "")</f>
        <v>2016</v>
      </c>
      <c r="F4529" s="2" t="str">
        <f>IF(A4529&lt;&gt;"", VLOOKUP(A4529, imdb_netflix_v5!A$2:H$7370, 7, FALSE), "")</f>
        <v>NA</v>
      </c>
    </row>
    <row r="4530" ht="15.75" customHeight="1">
      <c r="A4530" s="1" t="str">
        <f>IFERROR(__xludf.DUMMYFUNCTION("""COMPUTED_VALUE"""),"the banker")</f>
        <v>the banker</v>
      </c>
      <c r="B4530" s="1" t="str">
        <f>IF(A4530&lt;&gt;"", VLOOKUP(A4530, imdb_netflix_v5!A$2:H$7370, 2, FALSE), "")</f>
        <v>Movie</v>
      </c>
      <c r="C4530" s="2" t="str">
        <f>IF(A4530&lt;&gt;"", VLOOKUP(A4530, imdb_netflix_v5!A$2:H$7370, 3, FALSE), "")</f>
        <v>Biography, Drama</v>
      </c>
      <c r="D4530" s="2">
        <f>IF(A4530&lt;&gt;"", VLOOKUP(A4530, imdb_netflix_v5!A$2:H$7370, 4, FALSE), "")</f>
        <v>7.3</v>
      </c>
      <c r="E4530" s="2">
        <f>IF(A4530&lt;&gt;"", VLOOKUP(A4530, imdb_netflix_v5!A$2:H$7370, 5, FALSE), "")</f>
        <v>2020</v>
      </c>
      <c r="F4530" s="2" t="str">
        <f>IF(A4530&lt;&gt;"", VLOOKUP(A4530, imdb_netflix_v5!A$2:H$7370, 7, FALSE), "")</f>
        <v>NA</v>
      </c>
    </row>
    <row r="4531" ht="15.75" customHeight="1">
      <c r="A4531" s="1" t="str">
        <f>IFERROR(__xludf.DUMMYFUNCTION("""COMPUTED_VALUE"""),"get carter")</f>
        <v>get carter</v>
      </c>
      <c r="B4531" s="1" t="str">
        <f>IF(A4531&lt;&gt;"", VLOOKUP(A4531, imdb_netflix_v5!A$2:H$7370, 2, FALSE), "")</f>
        <v>Movie</v>
      </c>
      <c r="C4531" s="2" t="str">
        <f>IF(A4531&lt;&gt;"", VLOOKUP(A4531, imdb_netflix_v5!A$2:H$7370, 3, FALSE), "")</f>
        <v>Crime, Thriller</v>
      </c>
      <c r="D4531" s="2">
        <f>IF(A4531&lt;&gt;"", VLOOKUP(A4531, imdb_netflix_v5!A$2:H$7370, 4, FALSE), "")</f>
        <v>7.3</v>
      </c>
      <c r="E4531" s="2">
        <f>IF(A4531&lt;&gt;"", VLOOKUP(A4531, imdb_netflix_v5!A$2:H$7370, 5, FALSE), "")</f>
        <v>1971</v>
      </c>
      <c r="F4531" s="2" t="str">
        <f>IF(A4531&lt;&gt;"", VLOOKUP(A4531, imdb_netflix_v5!A$2:H$7370, 7, FALSE), "")</f>
        <v>NA</v>
      </c>
    </row>
    <row r="4532" ht="15.75" customHeight="1">
      <c r="A4532" s="1" t="str">
        <f>IFERROR(__xludf.DUMMYFUNCTION("""COMPUTED_VALUE"""),"keith")</f>
        <v>keith</v>
      </c>
      <c r="B4532" s="1" t="str">
        <f>IF(A4532&lt;&gt;"", VLOOKUP(A4532, imdb_netflix_v5!A$2:H$7370, 2, FALSE), "")</f>
        <v>Movie</v>
      </c>
      <c r="C4532" s="2" t="str">
        <f>IF(A4532&lt;&gt;"", VLOOKUP(A4532, imdb_netflix_v5!A$2:H$7370, 3, FALSE), "")</f>
        <v>Drama, Romance</v>
      </c>
      <c r="D4532" s="2">
        <f>IF(A4532&lt;&gt;"", VLOOKUP(A4532, imdb_netflix_v5!A$2:H$7370, 4, FALSE), "")</f>
        <v>7.3</v>
      </c>
      <c r="E4532" s="2">
        <f>IF(A4532&lt;&gt;"", VLOOKUP(A4532, imdb_netflix_v5!A$2:H$7370, 5, FALSE), "")</f>
        <v>2008</v>
      </c>
      <c r="F4532" s="2" t="str">
        <f>IF(A4532&lt;&gt;"", VLOOKUP(A4532, imdb_netflix_v5!A$2:H$7370, 7, FALSE), "")</f>
        <v>NA</v>
      </c>
    </row>
    <row r="4533" ht="15.75" customHeight="1">
      <c r="A4533" s="1" t="str">
        <f>IFERROR(__xludf.DUMMYFUNCTION("""COMPUTED_VALUE"""),"the nightingale")</f>
        <v>the nightingale</v>
      </c>
      <c r="B4533" s="1" t="str">
        <f>IF(A4533&lt;&gt;"", VLOOKUP(A4533, imdb_netflix_v5!A$2:H$7370, 2, FALSE), "")</f>
        <v>Movie</v>
      </c>
      <c r="C4533" s="2" t="str">
        <f>IF(A4533&lt;&gt;"", VLOOKUP(A4533, imdb_netflix_v5!A$2:H$7370, 3, FALSE), "")</f>
        <v>Adventure, Drama, Thriller</v>
      </c>
      <c r="D4533" s="2">
        <f>IF(A4533&lt;&gt;"", VLOOKUP(A4533, imdb_netflix_v5!A$2:H$7370, 4, FALSE), "")</f>
        <v>7.3</v>
      </c>
      <c r="E4533" s="2">
        <f>IF(A4533&lt;&gt;"", VLOOKUP(A4533, imdb_netflix_v5!A$2:H$7370, 5, FALSE), "")</f>
        <v>2018</v>
      </c>
      <c r="F4533" s="2" t="str">
        <f>IF(A4533&lt;&gt;"", VLOOKUP(A4533, imdb_netflix_v5!A$2:H$7370, 7, FALSE), "")</f>
        <v>NA</v>
      </c>
    </row>
    <row r="4534" ht="15.75" customHeight="1">
      <c r="A4534" s="1" t="str">
        <f>IFERROR(__xludf.DUMMYFUNCTION("""COMPUTED_VALUE"""),"the getaway")</f>
        <v>the getaway</v>
      </c>
      <c r="B4534" s="1" t="str">
        <f>IF(A4534&lt;&gt;"", VLOOKUP(A4534, imdb_netflix_v5!A$2:H$7370, 2, FALSE), "")</f>
        <v>Movie</v>
      </c>
      <c r="C4534" s="2" t="str">
        <f>IF(A4534&lt;&gt;"", VLOOKUP(A4534, imdb_netflix_v5!A$2:H$7370, 3, FALSE), "")</f>
        <v>Action, Crime, Thriller</v>
      </c>
      <c r="D4534" s="2">
        <f>IF(A4534&lt;&gt;"", VLOOKUP(A4534, imdb_netflix_v5!A$2:H$7370, 4, FALSE), "")</f>
        <v>7.3</v>
      </c>
      <c r="E4534" s="2">
        <f>IF(A4534&lt;&gt;"", VLOOKUP(A4534, imdb_netflix_v5!A$2:H$7370, 5, FALSE), "")</f>
        <v>1972</v>
      </c>
      <c r="F4534" s="2" t="str">
        <f>IF(A4534&lt;&gt;"", VLOOKUP(A4534, imdb_netflix_v5!A$2:H$7370, 7, FALSE), "")</f>
        <v>NA</v>
      </c>
    </row>
    <row r="4535" ht="15.75" customHeight="1">
      <c r="A4535" s="1" t="str">
        <f>IFERROR(__xludf.DUMMYFUNCTION("""COMPUTED_VALUE"""),"coming soon")</f>
        <v>coming soon</v>
      </c>
      <c r="B4535" s="1" t="str">
        <f>IF(A4535&lt;&gt;"", VLOOKUP(A4535, imdb_netflix_v5!A$2:H$7370, 2, FALSE), "")</f>
        <v>Movie</v>
      </c>
      <c r="C4535" s="2" t="str">
        <f>IF(A4535&lt;&gt;"", VLOOKUP(A4535, imdb_netflix_v5!A$2:H$7370, 3, FALSE), "")</f>
        <v>Comedy, Drama, Romance</v>
      </c>
      <c r="D4535" s="2">
        <f>IF(A4535&lt;&gt;"", VLOOKUP(A4535, imdb_netflix_v5!A$2:H$7370, 4, FALSE), "")</f>
        <v>7.3</v>
      </c>
      <c r="E4535" s="2">
        <f>IF(A4535&lt;&gt;"", VLOOKUP(A4535, imdb_netflix_v5!A$2:H$7370, 5, FALSE), "")</f>
        <v>2014</v>
      </c>
      <c r="F4535" s="2" t="str">
        <f>IF(A4535&lt;&gt;"", VLOOKUP(A4535, imdb_netflix_v5!A$2:H$7370, 7, FALSE), "")</f>
        <v>NA</v>
      </c>
    </row>
    <row r="4536" ht="15.75" customHeight="1">
      <c r="A4536" s="1" t="str">
        <f>IFERROR(__xludf.DUMMYFUNCTION("""COMPUTED_VALUE"""),"the way")</f>
        <v>the way</v>
      </c>
      <c r="B4536" s="1" t="str">
        <f>IF(A4536&lt;&gt;"", VLOOKUP(A4536, imdb_netflix_v5!A$2:H$7370, 2, FALSE), "")</f>
        <v>Movie</v>
      </c>
      <c r="C4536" s="2" t="str">
        <f>IF(A4536&lt;&gt;"", VLOOKUP(A4536, imdb_netflix_v5!A$2:H$7370, 3, FALSE), "")</f>
        <v>Comedy, Drama</v>
      </c>
      <c r="D4536" s="2">
        <f>IF(A4536&lt;&gt;"", VLOOKUP(A4536, imdb_netflix_v5!A$2:H$7370, 4, FALSE), "")</f>
        <v>7.3</v>
      </c>
      <c r="E4536" s="2">
        <f>IF(A4536&lt;&gt;"", VLOOKUP(A4536, imdb_netflix_v5!A$2:H$7370, 5, FALSE), "")</f>
        <v>2010</v>
      </c>
      <c r="F4536" s="2" t="str">
        <f>IF(A4536&lt;&gt;"", VLOOKUP(A4536, imdb_netflix_v5!A$2:H$7370, 7, FALSE), "")</f>
        <v>NA</v>
      </c>
    </row>
    <row r="4537" ht="15.75" customHeight="1">
      <c r="A4537" s="1" t="str">
        <f>IFERROR(__xludf.DUMMYFUNCTION("""COMPUTED_VALUE"""),"pom poko")</f>
        <v>pom poko</v>
      </c>
      <c r="B4537" s="1" t="str">
        <f>IF(A4537&lt;&gt;"", VLOOKUP(A4537, imdb_netflix_v5!A$2:H$7370, 2, FALSE), "")</f>
        <v>Movie</v>
      </c>
      <c r="C4537" s="2" t="str">
        <f>IF(A4537&lt;&gt;"", VLOOKUP(A4537, imdb_netflix_v5!A$2:H$7370, 3, FALSE), "")</f>
        <v>Animation, Comedy, Drama</v>
      </c>
      <c r="D4537" s="2">
        <f>IF(A4537&lt;&gt;"", VLOOKUP(A4537, imdb_netflix_v5!A$2:H$7370, 4, FALSE), "")</f>
        <v>7.3</v>
      </c>
      <c r="E4537" s="2">
        <f>IF(A4537&lt;&gt;"", VLOOKUP(A4537, imdb_netflix_v5!A$2:H$7370, 5, FALSE), "")</f>
        <v>1994</v>
      </c>
      <c r="F4537" s="2" t="str">
        <f>IF(A4537&lt;&gt;"", VLOOKUP(A4537, imdb_netflix_v5!A$2:H$7370, 7, FALSE), "")</f>
        <v>NA</v>
      </c>
    </row>
    <row r="4538" ht="15.75" customHeight="1">
      <c r="A4538" s="1" t="str">
        <f>IFERROR(__xludf.DUMMYFUNCTION("""COMPUTED_VALUE"""),"freddy")</f>
        <v>freddy</v>
      </c>
      <c r="B4538" s="1" t="str">
        <f>IF(A4538&lt;&gt;"", VLOOKUP(A4538, imdb_netflix_v5!A$2:H$7370, 2, FALSE), "")</f>
        <v>Movie</v>
      </c>
      <c r="C4538" s="2" t="str">
        <f>IF(A4538&lt;&gt;"", VLOOKUP(A4538, imdb_netflix_v5!A$2:H$7370, 3, FALSE), "")</f>
        <v>Drama, Mystery, Romance</v>
      </c>
      <c r="D4538" s="2">
        <f>IF(A4538&lt;&gt;"", VLOOKUP(A4538, imdb_netflix_v5!A$2:H$7370, 4, FALSE), "")</f>
        <v>7.3</v>
      </c>
      <c r="E4538" s="2">
        <f>IF(A4538&lt;&gt;"", VLOOKUP(A4538, imdb_netflix_v5!A$2:H$7370, 5, FALSE), "")</f>
        <v>2022</v>
      </c>
      <c r="F4538" s="2" t="str">
        <f>IF(A4538&lt;&gt;"", VLOOKUP(A4538, imdb_netflix_v5!A$2:H$7370, 7, FALSE), "")</f>
        <v>NA</v>
      </c>
    </row>
    <row r="4539" ht="15.75" customHeight="1">
      <c r="A4539" s="1" t="str">
        <f>IFERROR(__xludf.DUMMYFUNCTION("""COMPUTED_VALUE"""),"broadcast news")</f>
        <v>broadcast news</v>
      </c>
      <c r="B4539" s="1" t="str">
        <f>IF(A4539&lt;&gt;"", VLOOKUP(A4539, imdb_netflix_v5!A$2:H$7370, 2, FALSE), "")</f>
        <v>Movie</v>
      </c>
      <c r="C4539" s="2" t="str">
        <f>IF(A4539&lt;&gt;"", VLOOKUP(A4539, imdb_netflix_v5!A$2:H$7370, 3, FALSE), "")</f>
        <v>Comedy, Drama, Romance</v>
      </c>
      <c r="D4539" s="2">
        <f>IF(A4539&lt;&gt;"", VLOOKUP(A4539, imdb_netflix_v5!A$2:H$7370, 4, FALSE), "")</f>
        <v>7.3</v>
      </c>
      <c r="E4539" s="2">
        <f>IF(A4539&lt;&gt;"", VLOOKUP(A4539, imdb_netflix_v5!A$2:H$7370, 5, FALSE), "")</f>
        <v>1987</v>
      </c>
      <c r="F4539" s="2" t="str">
        <f>IF(A4539&lt;&gt;"", VLOOKUP(A4539, imdb_netflix_v5!A$2:H$7370, 7, FALSE), "")</f>
        <v>NA</v>
      </c>
    </row>
    <row r="4540" ht="15.75" customHeight="1">
      <c r="A4540" s="1" t="str">
        <f>IFERROR(__xludf.DUMMYFUNCTION("""COMPUTED_VALUE"""),"in the house")</f>
        <v>in the house</v>
      </c>
      <c r="B4540" s="1" t="str">
        <f>IF(A4540&lt;&gt;"", VLOOKUP(A4540, imdb_netflix_v5!A$2:H$7370, 2, FALSE), "")</f>
        <v>Movie</v>
      </c>
      <c r="C4540" s="2" t="str">
        <f>IF(A4540&lt;&gt;"", VLOOKUP(A4540, imdb_netflix_v5!A$2:H$7370, 3, FALSE), "")</f>
        <v>Drama, Mystery, Thriller</v>
      </c>
      <c r="D4540" s="2">
        <f>IF(A4540&lt;&gt;"", VLOOKUP(A4540, imdb_netflix_v5!A$2:H$7370, 4, FALSE), "")</f>
        <v>7.3</v>
      </c>
      <c r="E4540" s="2">
        <f>IF(A4540&lt;&gt;"", VLOOKUP(A4540, imdb_netflix_v5!A$2:H$7370, 5, FALSE), "")</f>
        <v>2012</v>
      </c>
      <c r="F4540" s="2" t="str">
        <f>IF(A4540&lt;&gt;"", VLOOKUP(A4540, imdb_netflix_v5!A$2:H$7370, 7, FALSE), "")</f>
        <v>NA</v>
      </c>
    </row>
    <row r="4541" ht="15.75" customHeight="1">
      <c r="A4541" s="1" t="str">
        <f>IFERROR(__xludf.DUMMYFUNCTION("""COMPUTED_VALUE"""),"a street cat named bob")</f>
        <v>a street cat named bob</v>
      </c>
      <c r="B4541" s="1" t="str">
        <f>IF(A4541&lt;&gt;"", VLOOKUP(A4541, imdb_netflix_v5!A$2:H$7370, 2, FALSE), "")</f>
        <v>Movie</v>
      </c>
      <c r="C4541" s="2" t="str">
        <f>IF(A4541&lt;&gt;"", VLOOKUP(A4541, imdb_netflix_v5!A$2:H$7370, 3, FALSE), "")</f>
        <v>Biography, Drama, Family</v>
      </c>
      <c r="D4541" s="2">
        <f>IF(A4541&lt;&gt;"", VLOOKUP(A4541, imdb_netflix_v5!A$2:H$7370, 4, FALSE), "")</f>
        <v>7.3</v>
      </c>
      <c r="E4541" s="2">
        <f>IF(A4541&lt;&gt;"", VLOOKUP(A4541, imdb_netflix_v5!A$2:H$7370, 5, FALSE), "")</f>
        <v>2016</v>
      </c>
      <c r="F4541" s="2" t="str">
        <f>IF(A4541&lt;&gt;"", VLOOKUP(A4541, imdb_netflix_v5!A$2:H$7370, 7, FALSE), "")</f>
        <v>NA</v>
      </c>
    </row>
    <row r="4542" ht="15.75" customHeight="1">
      <c r="A4542" s="1" t="str">
        <f>IFERROR(__xludf.DUMMYFUNCTION("""COMPUTED_VALUE"""),"live flesh")</f>
        <v>live flesh</v>
      </c>
      <c r="B4542" s="1" t="str">
        <f>IF(A4542&lt;&gt;"", VLOOKUP(A4542, imdb_netflix_v5!A$2:H$7370, 2, FALSE), "")</f>
        <v>Movie</v>
      </c>
      <c r="C4542" s="2" t="str">
        <f>IF(A4542&lt;&gt;"", VLOOKUP(A4542, imdb_netflix_v5!A$2:H$7370, 3, FALSE), "")</f>
        <v>Drama</v>
      </c>
      <c r="D4542" s="2">
        <f>IF(A4542&lt;&gt;"", VLOOKUP(A4542, imdb_netflix_v5!A$2:H$7370, 4, FALSE), "")</f>
        <v>7.3</v>
      </c>
      <c r="E4542" s="2">
        <f>IF(A4542&lt;&gt;"", VLOOKUP(A4542, imdb_netflix_v5!A$2:H$7370, 5, FALSE), "")</f>
        <v>1997</v>
      </c>
      <c r="F4542" s="2" t="str">
        <f>IF(A4542&lt;&gt;"", VLOOKUP(A4542, imdb_netflix_v5!A$2:H$7370, 7, FALSE), "")</f>
        <v>NA</v>
      </c>
    </row>
    <row r="4543" ht="15.75" customHeight="1">
      <c r="A4543" s="1" t="str">
        <f>IFERROR(__xludf.DUMMYFUNCTION("""COMPUTED_VALUE"""),"belle")</f>
        <v>belle</v>
      </c>
      <c r="B4543" s="1" t="str">
        <f>IF(A4543&lt;&gt;"", VLOOKUP(A4543, imdb_netflix_v5!A$2:H$7370, 2, FALSE), "")</f>
        <v>Movie</v>
      </c>
      <c r="C4543" s="2" t="str">
        <f>IF(A4543&lt;&gt;"", VLOOKUP(A4543, imdb_netflix_v5!A$2:H$7370, 3, FALSE), "")</f>
        <v>Biography, Drama, Romance</v>
      </c>
      <c r="D4543" s="2">
        <f>IF(A4543&lt;&gt;"", VLOOKUP(A4543, imdb_netflix_v5!A$2:H$7370, 4, FALSE), "")</f>
        <v>7.3</v>
      </c>
      <c r="E4543" s="2">
        <f>IF(A4543&lt;&gt;"", VLOOKUP(A4543, imdb_netflix_v5!A$2:H$7370, 5, FALSE), "")</f>
        <v>2013</v>
      </c>
      <c r="F4543" s="2" t="str">
        <f>IF(A4543&lt;&gt;"", VLOOKUP(A4543, imdb_netflix_v5!A$2:H$7370, 7, FALSE), "")</f>
        <v>NA</v>
      </c>
    </row>
    <row r="4544" ht="15.75" customHeight="1">
      <c r="A4544" s="1" t="str">
        <f>IFERROR(__xludf.DUMMYFUNCTION("""COMPUTED_VALUE"""),"gods and monsters")</f>
        <v>gods and monsters</v>
      </c>
      <c r="B4544" s="1" t="str">
        <f>IF(A4544&lt;&gt;"", VLOOKUP(A4544, imdb_netflix_v5!A$2:H$7370, 2, FALSE), "")</f>
        <v>Movie</v>
      </c>
      <c r="C4544" s="2" t="str">
        <f>IF(A4544&lt;&gt;"", VLOOKUP(A4544, imdb_netflix_v5!A$2:H$7370, 3, FALSE), "")</f>
        <v>Biography, Drama</v>
      </c>
      <c r="D4544" s="2">
        <f>IF(A4544&lt;&gt;"", VLOOKUP(A4544, imdb_netflix_v5!A$2:H$7370, 4, FALSE), "")</f>
        <v>7.3</v>
      </c>
      <c r="E4544" s="2">
        <f>IF(A4544&lt;&gt;"", VLOOKUP(A4544, imdb_netflix_v5!A$2:H$7370, 5, FALSE), "")</f>
        <v>1998</v>
      </c>
      <c r="F4544" s="2" t="str">
        <f>IF(A4544&lt;&gt;"", VLOOKUP(A4544, imdb_netflix_v5!A$2:H$7370, 7, FALSE), "")</f>
        <v>NA</v>
      </c>
    </row>
    <row r="4545" ht="15.75" customHeight="1">
      <c r="A4545" s="1" t="str">
        <f>IFERROR(__xludf.DUMMYFUNCTION("""COMPUTED_VALUE"""),"city island")</f>
        <v>city island</v>
      </c>
      <c r="B4545" s="1" t="str">
        <f>IF(A4545&lt;&gt;"", VLOOKUP(A4545, imdb_netflix_v5!A$2:H$7370, 2, FALSE), "")</f>
        <v>Movie</v>
      </c>
      <c r="C4545" s="2" t="str">
        <f>IF(A4545&lt;&gt;"", VLOOKUP(A4545, imdb_netflix_v5!A$2:H$7370, 3, FALSE), "")</f>
        <v>Comedy, Drama</v>
      </c>
      <c r="D4545" s="2">
        <f>IF(A4545&lt;&gt;"", VLOOKUP(A4545, imdb_netflix_v5!A$2:H$7370, 4, FALSE), "")</f>
        <v>7.3</v>
      </c>
      <c r="E4545" s="2">
        <f>IF(A4545&lt;&gt;"", VLOOKUP(A4545, imdb_netflix_v5!A$2:H$7370, 5, FALSE), "")</f>
        <v>2009</v>
      </c>
      <c r="F4545" s="2" t="str">
        <f>IF(A4545&lt;&gt;"", VLOOKUP(A4545, imdb_netflix_v5!A$2:H$7370, 7, FALSE), "")</f>
        <v>NA</v>
      </c>
    </row>
    <row r="4546" ht="15.75" customHeight="1">
      <c r="A4546" s="1" t="str">
        <f>IFERROR(__xludf.DUMMYFUNCTION("""COMPUTED_VALUE"""),"covert affairs")</f>
        <v>covert affairs</v>
      </c>
      <c r="B4546" s="1" t="str">
        <f>IF(A4546&lt;&gt;"", VLOOKUP(A4546, imdb_netflix_v5!A$2:H$7370, 2, FALSE), "")</f>
        <v>TV Show</v>
      </c>
      <c r="C4546" s="2" t="str">
        <f>IF(A4546&lt;&gt;"", VLOOKUP(A4546, imdb_netflix_v5!A$2:H$7370, 3, FALSE), "")</f>
        <v>Action, Comedy, Crime</v>
      </c>
      <c r="D4546" s="2">
        <f>IF(A4546&lt;&gt;"", VLOOKUP(A4546, imdb_netflix_v5!A$2:H$7370, 4, FALSE), "")</f>
        <v>7.3</v>
      </c>
      <c r="E4546" s="2">
        <f>IF(A4546&lt;&gt;"", VLOOKUP(A4546, imdb_netflix_v5!A$2:H$7370, 5, FALSE), "")</f>
        <v>2010</v>
      </c>
      <c r="F4546" s="2" t="str">
        <f>IF(A4546&lt;&gt;"", VLOOKUP(A4546, imdb_netflix_v5!A$2:H$7370, 7, FALSE), "")</f>
        <v>NA</v>
      </c>
    </row>
    <row r="4547" ht="15.75" customHeight="1">
      <c r="A4547" s="1" t="str">
        <f>IFERROR(__xludf.DUMMYFUNCTION("""COMPUTED_VALUE"""),"jason and the argonauts")</f>
        <v>jason and the argonauts</v>
      </c>
      <c r="B4547" s="1" t="str">
        <f>IF(A4547&lt;&gt;"", VLOOKUP(A4547, imdb_netflix_v5!A$2:H$7370, 2, FALSE), "")</f>
        <v>Movie</v>
      </c>
      <c r="C4547" s="2" t="str">
        <f>IF(A4547&lt;&gt;"", VLOOKUP(A4547, imdb_netflix_v5!A$2:H$7370, 3, FALSE), "")</f>
        <v>Action, Adventure, Family</v>
      </c>
      <c r="D4547" s="2">
        <f>IF(A4547&lt;&gt;"", VLOOKUP(A4547, imdb_netflix_v5!A$2:H$7370, 4, FALSE), "")</f>
        <v>7.3</v>
      </c>
      <c r="E4547" s="2">
        <f>IF(A4547&lt;&gt;"", VLOOKUP(A4547, imdb_netflix_v5!A$2:H$7370, 5, FALSE), "")</f>
        <v>1963</v>
      </c>
      <c r="F4547" s="2" t="str">
        <f>IF(A4547&lt;&gt;"", VLOOKUP(A4547, imdb_netflix_v5!A$2:H$7370, 7, FALSE), "")</f>
        <v>NA</v>
      </c>
    </row>
    <row r="4548" ht="15.75" customHeight="1">
      <c r="A4548" s="1" t="str">
        <f>IFERROR(__xludf.DUMMYFUNCTION("""COMPUTED_VALUE"""),"a shot in the dark")</f>
        <v>a shot in the dark</v>
      </c>
      <c r="B4548" s="1" t="str">
        <f>IF(A4548&lt;&gt;"", VLOOKUP(A4548, imdb_netflix_v5!A$2:H$7370, 2, FALSE), "")</f>
        <v>Movie</v>
      </c>
      <c r="C4548" s="2" t="str">
        <f>IF(A4548&lt;&gt;"", VLOOKUP(A4548, imdb_netflix_v5!A$2:H$7370, 3, FALSE), "")</f>
        <v>Comedy, Crime, Mystery</v>
      </c>
      <c r="D4548" s="2">
        <f>IF(A4548&lt;&gt;"", VLOOKUP(A4548, imdb_netflix_v5!A$2:H$7370, 4, FALSE), "")</f>
        <v>7.3</v>
      </c>
      <c r="E4548" s="2">
        <f>IF(A4548&lt;&gt;"", VLOOKUP(A4548, imdb_netflix_v5!A$2:H$7370, 5, FALSE), "")</f>
        <v>1964</v>
      </c>
      <c r="F4548" s="2" t="str">
        <f>IF(A4548&lt;&gt;"", VLOOKUP(A4548, imdb_netflix_v5!A$2:H$7370, 7, FALSE), "")</f>
        <v>NA</v>
      </c>
    </row>
    <row r="4549" ht="15.75" customHeight="1">
      <c r="A4549" s="1" t="str">
        <f>IFERROR(__xludf.DUMMYFUNCTION("""COMPUTED_VALUE"""),"bacurau")</f>
        <v>bacurau</v>
      </c>
      <c r="B4549" s="1" t="str">
        <f>IF(A4549&lt;&gt;"", VLOOKUP(A4549, imdb_netflix_v5!A$2:H$7370, 2, FALSE), "")</f>
        <v>Movie</v>
      </c>
      <c r="C4549" s="2" t="str">
        <f>IF(A4549&lt;&gt;"", VLOOKUP(A4549, imdb_netflix_v5!A$2:H$7370, 3, FALSE), "")</f>
        <v>Action, Adventure, Drama</v>
      </c>
      <c r="D4549" s="2">
        <f>IF(A4549&lt;&gt;"", VLOOKUP(A4549, imdb_netflix_v5!A$2:H$7370, 4, FALSE), "")</f>
        <v>7.3</v>
      </c>
      <c r="E4549" s="2">
        <f>IF(A4549&lt;&gt;"", VLOOKUP(A4549, imdb_netflix_v5!A$2:H$7370, 5, FALSE), "")</f>
        <v>2019</v>
      </c>
      <c r="F4549" s="2" t="str">
        <f>IF(A4549&lt;&gt;"", VLOOKUP(A4549, imdb_netflix_v5!A$2:H$7370, 7, FALSE), "")</f>
        <v>NA</v>
      </c>
    </row>
    <row r="4550" ht="15.75" customHeight="1">
      <c r="A4550" s="1" t="str">
        <f>IFERROR(__xludf.DUMMYFUNCTION("""COMPUTED_VALUE"""),"are you there god? its me, margaret.")</f>
        <v>are you there god? its me, margaret.</v>
      </c>
      <c r="B4550" s="1" t="str">
        <f>IF(A4550&lt;&gt;"", VLOOKUP(A4550, imdb_netflix_v5!A$2:H$7370, 2, FALSE), "")</f>
        <v>Movie</v>
      </c>
      <c r="C4550" s="2" t="str">
        <f>IF(A4550&lt;&gt;"", VLOOKUP(A4550, imdb_netflix_v5!A$2:H$7370, 3, FALSE), "")</f>
        <v>Comedy, Drama, Family</v>
      </c>
      <c r="D4550" s="2">
        <f>IF(A4550&lt;&gt;"", VLOOKUP(A4550, imdb_netflix_v5!A$2:H$7370, 4, FALSE), "")</f>
        <v>7.3</v>
      </c>
      <c r="E4550" s="2">
        <f>IF(A4550&lt;&gt;"", VLOOKUP(A4550, imdb_netflix_v5!A$2:H$7370, 5, FALSE), "")</f>
        <v>2023</v>
      </c>
      <c r="F4550" s="2" t="str">
        <f>IF(A4550&lt;&gt;"", VLOOKUP(A4550, imdb_netflix_v5!A$2:H$7370, 7, FALSE), "")</f>
        <v>NA</v>
      </c>
    </row>
    <row r="4551" ht="15.75" customHeight="1">
      <c r="A4551" s="1" t="str">
        <f>IFERROR(__xludf.DUMMYFUNCTION("""COMPUTED_VALUE"""),"spin city")</f>
        <v>spin city</v>
      </c>
      <c r="B4551" s="1" t="str">
        <f>IF(A4551&lt;&gt;"", VLOOKUP(A4551, imdb_netflix_v5!A$2:H$7370, 2, FALSE), "")</f>
        <v>TV Show</v>
      </c>
      <c r="C4551" s="2" t="str">
        <f>IF(A4551&lt;&gt;"", VLOOKUP(A4551, imdb_netflix_v5!A$2:H$7370, 3, FALSE), "")</f>
        <v>Comedy</v>
      </c>
      <c r="D4551" s="2">
        <f>IF(A4551&lt;&gt;"", VLOOKUP(A4551, imdb_netflix_v5!A$2:H$7370, 4, FALSE), "")</f>
        <v>7.3</v>
      </c>
      <c r="E4551" s="2">
        <f>IF(A4551&lt;&gt;"", VLOOKUP(A4551, imdb_netflix_v5!A$2:H$7370, 5, FALSE), "")</f>
        <v>1996</v>
      </c>
      <c r="F4551" s="2" t="str">
        <f>IF(A4551&lt;&gt;"", VLOOKUP(A4551, imdb_netflix_v5!A$2:H$7370, 7, FALSE), "")</f>
        <v>NA</v>
      </c>
    </row>
    <row r="4552" ht="15.75" customHeight="1">
      <c r="A4552" s="1" t="str">
        <f>IFERROR(__xludf.DUMMYFUNCTION("""COMPUTED_VALUE"""),"murder in the first")</f>
        <v>murder in the first</v>
      </c>
      <c r="B4552" s="1" t="str">
        <f>IF(A4552&lt;&gt;"", VLOOKUP(A4552, imdb_netflix_v5!A$2:H$7370, 2, FALSE), "")</f>
        <v>Movie</v>
      </c>
      <c r="C4552" s="2" t="str">
        <f>IF(A4552&lt;&gt;"", VLOOKUP(A4552, imdb_netflix_v5!A$2:H$7370, 3, FALSE), "")</f>
        <v>Drama, Thriller</v>
      </c>
      <c r="D4552" s="2">
        <f>IF(A4552&lt;&gt;"", VLOOKUP(A4552, imdb_netflix_v5!A$2:H$7370, 4, FALSE), "")</f>
        <v>7.3</v>
      </c>
      <c r="E4552" s="2">
        <f>IF(A4552&lt;&gt;"", VLOOKUP(A4552, imdb_netflix_v5!A$2:H$7370, 5, FALSE), "")</f>
        <v>1995</v>
      </c>
      <c r="F4552" s="2" t="str">
        <f>IF(A4552&lt;&gt;"", VLOOKUP(A4552, imdb_netflix_v5!A$2:H$7370, 7, FALSE), "")</f>
        <v>NA</v>
      </c>
    </row>
    <row r="4553" ht="15.75" customHeight="1">
      <c r="A4553" s="1" t="str">
        <f>IFERROR(__xludf.DUMMYFUNCTION("""COMPUTED_VALUE"""),"the last unicorn")</f>
        <v>the last unicorn</v>
      </c>
      <c r="B4553" s="1" t="str">
        <f>IF(A4553&lt;&gt;"", VLOOKUP(A4553, imdb_netflix_v5!A$2:H$7370, 2, FALSE), "")</f>
        <v>Movie</v>
      </c>
      <c r="C4553" s="2" t="str">
        <f>IF(A4553&lt;&gt;"", VLOOKUP(A4553, imdb_netflix_v5!A$2:H$7370, 3, FALSE), "")</f>
        <v>Adventure, Animation, Drama</v>
      </c>
      <c r="D4553" s="2">
        <f>IF(A4553&lt;&gt;"", VLOOKUP(A4553, imdb_netflix_v5!A$2:H$7370, 4, FALSE), "")</f>
        <v>7.3</v>
      </c>
      <c r="E4553" s="2">
        <f>IF(A4553&lt;&gt;"", VLOOKUP(A4553, imdb_netflix_v5!A$2:H$7370, 5, FALSE), "")</f>
        <v>1982</v>
      </c>
      <c r="F4553" s="2" t="str">
        <f>IF(A4553&lt;&gt;"", VLOOKUP(A4553, imdb_netflix_v5!A$2:H$7370, 7, FALSE), "")</f>
        <v>NA</v>
      </c>
    </row>
    <row r="4554" ht="15.75" customHeight="1">
      <c r="A4554" s="1" t="str">
        <f>IFERROR(__xludf.DUMMYFUNCTION("""COMPUTED_VALUE"""),"max manus man of war")</f>
        <v>max manus man of war</v>
      </c>
      <c r="B4554" s="1" t="str">
        <f>IF(A4554&lt;&gt;"", VLOOKUP(A4554, imdb_netflix_v5!A$2:H$7370, 2, FALSE), "")</f>
        <v>Movie</v>
      </c>
      <c r="C4554" s="2" t="str">
        <f>IF(A4554&lt;&gt;"", VLOOKUP(A4554, imdb_netflix_v5!A$2:H$7370, 3, FALSE), "")</f>
        <v>Action, Biography, Crime</v>
      </c>
      <c r="D4554" s="2">
        <f>IF(A4554&lt;&gt;"", VLOOKUP(A4554, imdb_netflix_v5!A$2:H$7370, 4, FALSE), "")</f>
        <v>7.3</v>
      </c>
      <c r="E4554" s="2">
        <f>IF(A4554&lt;&gt;"", VLOOKUP(A4554, imdb_netflix_v5!A$2:H$7370, 5, FALSE), "")</f>
        <v>2008</v>
      </c>
      <c r="F4554" s="2" t="str">
        <f>IF(A4554&lt;&gt;"", VLOOKUP(A4554, imdb_netflix_v5!A$2:H$7370, 7, FALSE), "")</f>
        <v>NA</v>
      </c>
    </row>
    <row r="4555" ht="15.75" customHeight="1">
      <c r="A4555" s="1" t="str">
        <f>IFERROR(__xludf.DUMMYFUNCTION("""COMPUTED_VALUE"""),"my name is nobody")</f>
        <v>my name is nobody</v>
      </c>
      <c r="B4555" s="1" t="str">
        <f>IF(A4555&lt;&gt;"", VLOOKUP(A4555, imdb_netflix_v5!A$2:H$7370, 2, FALSE), "")</f>
        <v>Movie</v>
      </c>
      <c r="C4555" s="2" t="str">
        <f>IF(A4555&lt;&gt;"", VLOOKUP(A4555, imdb_netflix_v5!A$2:H$7370, 3, FALSE), "")</f>
        <v>Comedy, Drama, Western</v>
      </c>
      <c r="D4555" s="2">
        <f>IF(A4555&lt;&gt;"", VLOOKUP(A4555, imdb_netflix_v5!A$2:H$7370, 4, FALSE), "")</f>
        <v>7.3</v>
      </c>
      <c r="E4555" s="2">
        <f>IF(A4555&lt;&gt;"", VLOOKUP(A4555, imdb_netflix_v5!A$2:H$7370, 5, FALSE), "")</f>
        <v>1973</v>
      </c>
      <c r="F4555" s="2" t="str">
        <f>IF(A4555&lt;&gt;"", VLOOKUP(A4555, imdb_netflix_v5!A$2:H$7370, 7, FALSE), "")</f>
        <v>NA</v>
      </c>
    </row>
    <row r="4556" ht="15.75" customHeight="1">
      <c r="A4556" s="1" t="str">
        <f>IFERROR(__xludf.DUMMYFUNCTION("""COMPUTED_VALUE"""),"the bélier family")</f>
        <v>the bélier family</v>
      </c>
      <c r="B4556" s="1" t="str">
        <f>IF(A4556&lt;&gt;"", VLOOKUP(A4556, imdb_netflix_v5!A$2:H$7370, 2, FALSE), "")</f>
        <v>Movie</v>
      </c>
      <c r="C4556" s="2" t="str">
        <f>IF(A4556&lt;&gt;"", VLOOKUP(A4556, imdb_netflix_v5!A$2:H$7370, 3, FALSE), "")</f>
        <v>Comedy, Drama, Music</v>
      </c>
      <c r="D4556" s="2">
        <f>IF(A4556&lt;&gt;"", VLOOKUP(A4556, imdb_netflix_v5!A$2:H$7370, 4, FALSE), "")</f>
        <v>7.3</v>
      </c>
      <c r="E4556" s="2">
        <f>IF(A4556&lt;&gt;"", VLOOKUP(A4556, imdb_netflix_v5!A$2:H$7370, 5, FALSE), "")</f>
        <v>2014</v>
      </c>
      <c r="F4556" s="2" t="str">
        <f>IF(A4556&lt;&gt;"", VLOOKUP(A4556, imdb_netflix_v5!A$2:H$7370, 7, FALSE), "")</f>
        <v>NA</v>
      </c>
    </row>
    <row r="4557" ht="15.75" customHeight="1">
      <c r="A4557" s="1" t="str">
        <f>IFERROR(__xludf.DUMMYFUNCTION("""COMPUTED_VALUE"""),"fallen leaves")</f>
        <v>fallen leaves</v>
      </c>
      <c r="B4557" s="1" t="str">
        <f>IF(A4557&lt;&gt;"", VLOOKUP(A4557, imdb_netflix_v5!A$2:H$7370, 2, FALSE), "")</f>
        <v>Movie</v>
      </c>
      <c r="C4557" s="2" t="str">
        <f>IF(A4557&lt;&gt;"", VLOOKUP(A4557, imdb_netflix_v5!A$2:H$7370, 3, FALSE), "")</f>
        <v>Comedy, Drama, Romance</v>
      </c>
      <c r="D4557" s="2">
        <f>IF(A4557&lt;&gt;"", VLOOKUP(A4557, imdb_netflix_v5!A$2:H$7370, 4, FALSE), "")</f>
        <v>7.3</v>
      </c>
      <c r="E4557" s="2">
        <f>IF(A4557&lt;&gt;"", VLOOKUP(A4557, imdb_netflix_v5!A$2:H$7370, 5, FALSE), "")</f>
        <v>2023</v>
      </c>
      <c r="F4557" s="2" t="str">
        <f>IF(A4557&lt;&gt;"", VLOOKUP(A4557, imdb_netflix_v5!A$2:H$7370, 7, FALSE), "")</f>
        <v>NA</v>
      </c>
    </row>
    <row r="4558" ht="15.75" customHeight="1">
      <c r="A4558" s="1" t="str">
        <f>IFERROR(__xludf.DUMMYFUNCTION("""COMPUTED_VALUE"""),"the 12th man")</f>
        <v>the 12th man</v>
      </c>
      <c r="B4558" s="1" t="str">
        <f>IF(A4558&lt;&gt;"", VLOOKUP(A4558, imdb_netflix_v5!A$2:H$7370, 2, FALSE), "")</f>
        <v>Movie</v>
      </c>
      <c r="C4558" s="2" t="str">
        <f>IF(A4558&lt;&gt;"", VLOOKUP(A4558, imdb_netflix_v5!A$2:H$7370, 3, FALSE), "")</f>
        <v>Drama, History, Thriller</v>
      </c>
      <c r="D4558" s="2">
        <f>IF(A4558&lt;&gt;"", VLOOKUP(A4558, imdb_netflix_v5!A$2:H$7370, 4, FALSE), "")</f>
        <v>7.3</v>
      </c>
      <c r="E4558" s="2">
        <f>IF(A4558&lt;&gt;"", VLOOKUP(A4558, imdb_netflix_v5!A$2:H$7370, 5, FALSE), "")</f>
        <v>2017</v>
      </c>
      <c r="F4558" s="2" t="str">
        <f>IF(A4558&lt;&gt;"", VLOOKUP(A4558, imdb_netflix_v5!A$2:H$7370, 7, FALSE), "")</f>
        <v>NA</v>
      </c>
    </row>
    <row r="4559" ht="15.75" customHeight="1">
      <c r="A4559" s="1" t="str">
        <f>IFERROR(__xludf.DUMMYFUNCTION("""COMPUTED_VALUE"""),"dear child")</f>
        <v>dear child</v>
      </c>
      <c r="B4559" s="1" t="str">
        <f>IF(A4559&lt;&gt;"", VLOOKUP(A4559, imdb_netflix_v5!A$2:H$7370, 2, FALSE), "")</f>
        <v>TV Show</v>
      </c>
      <c r="C4559" s="2" t="str">
        <f>IF(A4559&lt;&gt;"", VLOOKUP(A4559, imdb_netflix_v5!A$2:H$7370, 3, FALSE), "")</f>
        <v>Crime, Drama, Mystery</v>
      </c>
      <c r="D4559" s="2">
        <f>IF(A4559&lt;&gt;"", VLOOKUP(A4559, imdb_netflix_v5!A$2:H$7370, 4, FALSE), "")</f>
        <v>7.3</v>
      </c>
      <c r="E4559" s="2">
        <f>IF(A4559&lt;&gt;"", VLOOKUP(A4559, imdb_netflix_v5!A$2:H$7370, 5, FALSE), "")</f>
        <v>2023</v>
      </c>
      <c r="F4559" s="2">
        <f>IF(A4559&lt;&gt;"", VLOOKUP(A4559, imdb_netflix_v5!A$2:H$7370, 7, FALSE), "")</f>
        <v>8400000</v>
      </c>
    </row>
    <row r="4560" ht="15.75" customHeight="1">
      <c r="A4560" s="1" t="str">
        <f>IFERROR(__xludf.DUMMYFUNCTION("""COMPUTED_VALUE"""),"twisted metal")</f>
        <v>twisted metal</v>
      </c>
      <c r="B4560" s="1" t="str">
        <f>IF(A4560&lt;&gt;"", VLOOKUP(A4560, imdb_netflix_v5!A$2:H$7370, 2, FALSE), "")</f>
        <v>TV Show</v>
      </c>
      <c r="C4560" s="2" t="str">
        <f>IF(A4560&lt;&gt;"", VLOOKUP(A4560, imdb_netflix_v5!A$2:H$7370, 3, FALSE), "")</f>
        <v>Action, Adventure, Comedy</v>
      </c>
      <c r="D4560" s="2">
        <f>IF(A4560&lt;&gt;"", VLOOKUP(A4560, imdb_netflix_v5!A$2:H$7370, 4, FALSE), "")</f>
        <v>7.3</v>
      </c>
      <c r="E4560" s="2">
        <f>IF(A4560&lt;&gt;"", VLOOKUP(A4560, imdb_netflix_v5!A$2:H$7370, 5, FALSE), "")</f>
        <v>2023</v>
      </c>
      <c r="F4560" s="2" t="str">
        <f>IF(A4560&lt;&gt;"", VLOOKUP(A4560, imdb_netflix_v5!A$2:H$7370, 7, FALSE), "")</f>
        <v>NA</v>
      </c>
    </row>
    <row r="4561" ht="15.75" customHeight="1">
      <c r="A4561" s="1" t="str">
        <f>IFERROR(__xludf.DUMMYFUNCTION("""COMPUTED_VALUE"""),"the stranger")</f>
        <v>the stranger</v>
      </c>
      <c r="B4561" s="1" t="str">
        <f>IF(A4561&lt;&gt;"", VLOOKUP(A4561, imdb_netflix_v5!A$2:H$7370, 2, FALSE), "")</f>
        <v>Movie</v>
      </c>
      <c r="C4561" s="2" t="str">
        <f>IF(A4561&lt;&gt;"", VLOOKUP(A4561, imdb_netflix_v5!A$2:H$7370, 3, FALSE), "")</f>
        <v>Crime, Drama, Film-Noir</v>
      </c>
      <c r="D4561" s="2">
        <f>IF(A4561&lt;&gt;"", VLOOKUP(A4561, imdb_netflix_v5!A$2:H$7370, 4, FALSE), "")</f>
        <v>7.3</v>
      </c>
      <c r="E4561" s="2">
        <f>IF(A4561&lt;&gt;"", VLOOKUP(A4561, imdb_netflix_v5!A$2:H$7370, 5, FALSE), "")</f>
        <v>1946</v>
      </c>
      <c r="F4561" s="2">
        <f>IF(A4561&lt;&gt;"", VLOOKUP(A4561, imdb_netflix_v5!A$2:H$7370, 7, FALSE), "")</f>
        <v>9170000</v>
      </c>
    </row>
    <row r="4562" ht="15.75" customHeight="1">
      <c r="A4562" s="1" t="str">
        <f>IFERROR(__xludf.DUMMYFUNCTION("""COMPUTED_VALUE"""),"phir hera pheri")</f>
        <v>phir hera pheri</v>
      </c>
      <c r="B4562" s="1" t="str">
        <f>IF(A4562&lt;&gt;"", VLOOKUP(A4562, imdb_netflix_v5!A$2:H$7370, 2, FALSE), "")</f>
        <v>Movie</v>
      </c>
      <c r="C4562" s="2" t="str">
        <f>IF(A4562&lt;&gt;"", VLOOKUP(A4562, imdb_netflix_v5!A$2:H$7370, 3, FALSE), "")</f>
        <v>Comedy, Crime</v>
      </c>
      <c r="D4562" s="2">
        <f>IF(A4562&lt;&gt;"", VLOOKUP(A4562, imdb_netflix_v5!A$2:H$7370, 4, FALSE), "")</f>
        <v>7.3</v>
      </c>
      <c r="E4562" s="2">
        <f>IF(A4562&lt;&gt;"", VLOOKUP(A4562, imdb_netflix_v5!A$2:H$7370, 5, FALSE), "")</f>
        <v>2006</v>
      </c>
      <c r="F4562" s="2" t="str">
        <f>IF(A4562&lt;&gt;"", VLOOKUP(A4562, imdb_netflix_v5!A$2:H$7370, 7, FALSE), "")</f>
        <v>NA</v>
      </c>
    </row>
    <row r="4563" ht="15.75" customHeight="1">
      <c r="A4563" s="1" t="str">
        <f>IFERROR(__xludf.DUMMYFUNCTION("""COMPUTED_VALUE"""),"two is a family")</f>
        <v>two is a family</v>
      </c>
      <c r="B4563" s="1" t="str">
        <f>IF(A4563&lt;&gt;"", VLOOKUP(A4563, imdb_netflix_v5!A$2:H$7370, 2, FALSE), "")</f>
        <v>Movie</v>
      </c>
      <c r="C4563" s="2" t="str">
        <f>IF(A4563&lt;&gt;"", VLOOKUP(A4563, imdb_netflix_v5!A$2:H$7370, 3, FALSE), "")</f>
        <v>Comedy, Drama</v>
      </c>
      <c r="D4563" s="2">
        <f>IF(A4563&lt;&gt;"", VLOOKUP(A4563, imdb_netflix_v5!A$2:H$7370, 4, FALSE), "")</f>
        <v>7.3</v>
      </c>
      <c r="E4563" s="2">
        <f>IF(A4563&lt;&gt;"", VLOOKUP(A4563, imdb_netflix_v5!A$2:H$7370, 5, FALSE), "")</f>
        <v>2016</v>
      </c>
      <c r="F4563" s="2" t="str">
        <f>IF(A4563&lt;&gt;"", VLOOKUP(A4563, imdb_netflix_v5!A$2:H$7370, 7, FALSE), "")</f>
        <v>NA</v>
      </c>
    </row>
    <row r="4564" ht="15.75" customHeight="1">
      <c r="A4564" s="1">
        <f>IFERROR(__xludf.DUMMYFUNCTION("""COMPUTED_VALUE"""),0.03)</f>
        <v>0.03</v>
      </c>
      <c r="B4564" s="1" t="str">
        <f>IF(A4564&lt;&gt;"", VLOOKUP(A4564, imdb_netflix_v5!A$2:H$7370, 2, FALSE), "")</f>
        <v>TV Show</v>
      </c>
      <c r="C4564" s="2" t="str">
        <f>IF(A4564&lt;&gt;"", VLOOKUP(A4564, imdb_netflix_v5!A$2:H$7370, 3, FALSE), "")</f>
        <v>Action, Drama, Sci-Fi</v>
      </c>
      <c r="D4564" s="2">
        <f>IF(A4564&lt;&gt;"", VLOOKUP(A4564, imdb_netflix_v5!A$2:H$7370, 4, FALSE), "")</f>
        <v>7.3</v>
      </c>
      <c r="E4564" s="2">
        <f>IF(A4564&lt;&gt;"", VLOOKUP(A4564, imdb_netflix_v5!A$2:H$7370, 5, FALSE), "")</f>
        <v>2016</v>
      </c>
      <c r="F4564" s="2" t="str">
        <f>IF(A4564&lt;&gt;"", VLOOKUP(A4564, imdb_netflix_v5!A$2:H$7370, 7, FALSE), "")</f>
        <v>NA</v>
      </c>
    </row>
    <row r="4565" ht="15.75" customHeight="1">
      <c r="A4565" s="1" t="str">
        <f>IFERROR(__xludf.DUMMYFUNCTION("""COMPUTED_VALUE"""),"waking ned devine")</f>
        <v>waking ned devine</v>
      </c>
      <c r="B4565" s="1" t="str">
        <f>IF(A4565&lt;&gt;"", VLOOKUP(A4565, imdb_netflix_v5!A$2:H$7370, 2, FALSE), "")</f>
        <v>Movie</v>
      </c>
      <c r="C4565" s="2" t="str">
        <f>IF(A4565&lt;&gt;"", VLOOKUP(A4565, imdb_netflix_v5!A$2:H$7370, 3, FALSE), "")</f>
        <v>Comedy</v>
      </c>
      <c r="D4565" s="2">
        <f>IF(A4565&lt;&gt;"", VLOOKUP(A4565, imdb_netflix_v5!A$2:H$7370, 4, FALSE), "")</f>
        <v>7.3</v>
      </c>
      <c r="E4565" s="2">
        <f>IF(A4565&lt;&gt;"", VLOOKUP(A4565, imdb_netflix_v5!A$2:H$7370, 5, FALSE), "")</f>
        <v>1998</v>
      </c>
      <c r="F4565" s="2" t="str">
        <f>IF(A4565&lt;&gt;"", VLOOKUP(A4565, imdb_netflix_v5!A$2:H$7370, 7, FALSE), "")</f>
        <v>NA</v>
      </c>
    </row>
    <row r="4566" ht="15.75" customHeight="1">
      <c r="A4566" s="1" t="str">
        <f>IFERROR(__xludf.DUMMYFUNCTION("""COMPUTED_VALUE"""),"alice doesnt live here anymore")</f>
        <v>alice doesnt live here anymore</v>
      </c>
      <c r="B4566" s="1" t="str">
        <f>IF(A4566&lt;&gt;"", VLOOKUP(A4566, imdb_netflix_v5!A$2:H$7370, 2, FALSE), "")</f>
        <v>Movie</v>
      </c>
      <c r="C4566" s="2" t="str">
        <f>IF(A4566&lt;&gt;"", VLOOKUP(A4566, imdb_netflix_v5!A$2:H$7370, 3, FALSE), "")</f>
        <v>Drama, Romance</v>
      </c>
      <c r="D4566" s="2">
        <f>IF(A4566&lt;&gt;"", VLOOKUP(A4566, imdb_netflix_v5!A$2:H$7370, 4, FALSE), "")</f>
        <v>7.3</v>
      </c>
      <c r="E4566" s="2">
        <f>IF(A4566&lt;&gt;"", VLOOKUP(A4566, imdb_netflix_v5!A$2:H$7370, 5, FALSE), "")</f>
        <v>1974</v>
      </c>
      <c r="F4566" s="2" t="str">
        <f>IF(A4566&lt;&gt;"", VLOOKUP(A4566, imdb_netflix_v5!A$2:H$7370, 7, FALSE), "")</f>
        <v>NA</v>
      </c>
    </row>
    <row r="4567" ht="15.75" customHeight="1">
      <c r="A4567" s="1" t="str">
        <f>IFERROR(__xludf.DUMMYFUNCTION("""COMPUTED_VALUE"""),"cha cha real smooth")</f>
        <v>cha cha real smooth</v>
      </c>
      <c r="B4567" s="1" t="str">
        <f>IF(A4567&lt;&gt;"", VLOOKUP(A4567, imdb_netflix_v5!A$2:H$7370, 2, FALSE), "")</f>
        <v>Movie</v>
      </c>
      <c r="C4567" s="2" t="str">
        <f>IF(A4567&lt;&gt;"", VLOOKUP(A4567, imdb_netflix_v5!A$2:H$7370, 3, FALSE), "")</f>
        <v>Comedy, Drama</v>
      </c>
      <c r="D4567" s="2">
        <f>IF(A4567&lt;&gt;"", VLOOKUP(A4567, imdb_netflix_v5!A$2:H$7370, 4, FALSE), "")</f>
        <v>7.3</v>
      </c>
      <c r="E4567" s="2">
        <f>IF(A4567&lt;&gt;"", VLOOKUP(A4567, imdb_netflix_v5!A$2:H$7370, 5, FALSE), "")</f>
        <v>2022</v>
      </c>
      <c r="F4567" s="2" t="str">
        <f>IF(A4567&lt;&gt;"", VLOOKUP(A4567, imdb_netflix_v5!A$2:H$7370, 7, FALSE), "")</f>
        <v>NA</v>
      </c>
    </row>
    <row r="4568" ht="15.75" customHeight="1">
      <c r="A4568" s="1" t="str">
        <f>IFERROR(__xludf.DUMMYFUNCTION("""COMPUTED_VALUE"""),"jackass")</f>
        <v>jackass</v>
      </c>
      <c r="B4568" s="1" t="str">
        <f>IF(A4568&lt;&gt;"", VLOOKUP(A4568, imdb_netflix_v5!A$2:H$7370, 2, FALSE), "")</f>
        <v>TV Show</v>
      </c>
      <c r="C4568" s="2" t="str">
        <f>IF(A4568&lt;&gt;"", VLOOKUP(A4568, imdb_netflix_v5!A$2:H$7370, 3, FALSE), "")</f>
        <v>Action, Comedy, Reality-TV</v>
      </c>
      <c r="D4568" s="2">
        <f>IF(A4568&lt;&gt;"", VLOOKUP(A4568, imdb_netflix_v5!A$2:H$7370, 4, FALSE), "")</f>
        <v>7.3</v>
      </c>
      <c r="E4568" s="2">
        <f>IF(A4568&lt;&gt;"", VLOOKUP(A4568, imdb_netflix_v5!A$2:H$7370, 5, FALSE), "")</f>
        <v>2000</v>
      </c>
      <c r="F4568" s="2" t="str">
        <f>IF(A4568&lt;&gt;"", VLOOKUP(A4568, imdb_netflix_v5!A$2:H$7370, 7, FALSE), "")</f>
        <v>NA</v>
      </c>
    </row>
    <row r="4569" ht="15.75" customHeight="1">
      <c r="A4569" s="1" t="str">
        <f>IFERROR(__xludf.DUMMYFUNCTION("""COMPUTED_VALUE"""),"holy spider")</f>
        <v>holy spider</v>
      </c>
      <c r="B4569" s="1" t="str">
        <f>IF(A4569&lt;&gt;"", VLOOKUP(A4569, imdb_netflix_v5!A$2:H$7370, 2, FALSE), "")</f>
        <v>Movie</v>
      </c>
      <c r="C4569" s="2" t="str">
        <f>IF(A4569&lt;&gt;"", VLOOKUP(A4569, imdb_netflix_v5!A$2:H$7370, 3, FALSE), "")</f>
        <v>Crime, Drama, Thriller</v>
      </c>
      <c r="D4569" s="2">
        <f>IF(A4569&lt;&gt;"", VLOOKUP(A4569, imdb_netflix_v5!A$2:H$7370, 4, FALSE), "")</f>
        <v>7.3</v>
      </c>
      <c r="E4569" s="2">
        <f>IF(A4569&lt;&gt;"", VLOOKUP(A4569, imdb_netflix_v5!A$2:H$7370, 5, FALSE), "")</f>
        <v>2022</v>
      </c>
      <c r="F4569" s="2" t="str">
        <f>IF(A4569&lt;&gt;"", VLOOKUP(A4569, imdb_netflix_v5!A$2:H$7370, 7, FALSE), "")</f>
        <v>NA</v>
      </c>
    </row>
    <row r="4570" ht="15.75" customHeight="1">
      <c r="A4570" s="1" t="str">
        <f>IFERROR(__xludf.DUMMYFUNCTION("""COMPUTED_VALUE"""),"seven brides for seven brothers")</f>
        <v>seven brides for seven brothers</v>
      </c>
      <c r="B4570" s="1" t="str">
        <f>IF(A4570&lt;&gt;"", VLOOKUP(A4570, imdb_netflix_v5!A$2:H$7370, 2, FALSE), "")</f>
        <v>Movie</v>
      </c>
      <c r="C4570" s="2" t="str">
        <f>IF(A4570&lt;&gt;"", VLOOKUP(A4570, imdb_netflix_v5!A$2:H$7370, 3, FALSE), "")</f>
        <v>Musical, Romance, Western</v>
      </c>
      <c r="D4570" s="2">
        <f>IF(A4570&lt;&gt;"", VLOOKUP(A4570, imdb_netflix_v5!A$2:H$7370, 4, FALSE), "")</f>
        <v>7.3</v>
      </c>
      <c r="E4570" s="2">
        <f>IF(A4570&lt;&gt;"", VLOOKUP(A4570, imdb_netflix_v5!A$2:H$7370, 5, FALSE), "")</f>
        <v>1954</v>
      </c>
      <c r="F4570" s="2" t="str">
        <f>IF(A4570&lt;&gt;"", VLOOKUP(A4570, imdb_netflix_v5!A$2:H$7370, 7, FALSE), "")</f>
        <v>NA</v>
      </c>
    </row>
    <row r="4571" ht="15.75" customHeight="1">
      <c r="A4571" s="1" t="str">
        <f>IFERROR(__xludf.DUMMYFUNCTION("""COMPUTED_VALUE"""),"local hero")</f>
        <v>local hero</v>
      </c>
      <c r="B4571" s="1" t="str">
        <f>IF(A4571&lt;&gt;"", VLOOKUP(A4571, imdb_netflix_v5!A$2:H$7370, 2, FALSE), "")</f>
        <v>Movie</v>
      </c>
      <c r="C4571" s="2" t="str">
        <f>IF(A4571&lt;&gt;"", VLOOKUP(A4571, imdb_netflix_v5!A$2:H$7370, 3, FALSE), "")</f>
        <v>Comedy, Drama</v>
      </c>
      <c r="D4571" s="2">
        <f>IF(A4571&lt;&gt;"", VLOOKUP(A4571, imdb_netflix_v5!A$2:H$7370, 4, FALSE), "")</f>
        <v>7.3</v>
      </c>
      <c r="E4571" s="2">
        <f>IF(A4571&lt;&gt;"", VLOOKUP(A4571, imdb_netflix_v5!A$2:H$7370, 5, FALSE), "")</f>
        <v>1983</v>
      </c>
      <c r="F4571" s="2" t="str">
        <f>IF(A4571&lt;&gt;"", VLOOKUP(A4571, imdb_netflix_v5!A$2:H$7370, 7, FALSE), "")</f>
        <v>NA</v>
      </c>
    </row>
    <row r="4572" ht="15.75" customHeight="1">
      <c r="A4572" s="1" t="str">
        <f>IFERROR(__xludf.DUMMYFUNCTION("""COMPUTED_VALUE"""),"marshall")</f>
        <v>marshall</v>
      </c>
      <c r="B4572" s="1" t="str">
        <f>IF(A4572&lt;&gt;"", VLOOKUP(A4572, imdb_netflix_v5!A$2:H$7370, 2, FALSE), "")</f>
        <v>Movie</v>
      </c>
      <c r="C4572" s="2" t="str">
        <f>IF(A4572&lt;&gt;"", VLOOKUP(A4572, imdb_netflix_v5!A$2:H$7370, 3, FALSE), "")</f>
        <v>Biography, Crime, Drama</v>
      </c>
      <c r="D4572" s="2">
        <f>IF(A4572&lt;&gt;"", VLOOKUP(A4572, imdb_netflix_v5!A$2:H$7370, 4, FALSE), "")</f>
        <v>7.3</v>
      </c>
      <c r="E4572" s="2">
        <f>IF(A4572&lt;&gt;"", VLOOKUP(A4572, imdb_netflix_v5!A$2:H$7370, 5, FALSE), "")</f>
        <v>2017</v>
      </c>
      <c r="F4572" s="2" t="str">
        <f>IF(A4572&lt;&gt;"", VLOOKUP(A4572, imdb_netflix_v5!A$2:H$7370, 7, FALSE), "")</f>
        <v>NA</v>
      </c>
    </row>
    <row r="4573" ht="15.75" customHeight="1">
      <c r="A4573" s="1" t="str">
        <f>IFERROR(__xludf.DUMMYFUNCTION("""COMPUTED_VALUE"""),"youre not you")</f>
        <v>youre not you</v>
      </c>
      <c r="B4573" s="1" t="str">
        <f>IF(A4573&lt;&gt;"", VLOOKUP(A4573, imdb_netflix_v5!A$2:H$7370, 2, FALSE), "")</f>
        <v>Movie</v>
      </c>
      <c r="C4573" s="2" t="str">
        <f>IF(A4573&lt;&gt;"", VLOOKUP(A4573, imdb_netflix_v5!A$2:H$7370, 3, FALSE), "")</f>
        <v>Drama</v>
      </c>
      <c r="D4573" s="2">
        <f>IF(A4573&lt;&gt;"", VLOOKUP(A4573, imdb_netflix_v5!A$2:H$7370, 4, FALSE), "")</f>
        <v>7.3</v>
      </c>
      <c r="E4573" s="2">
        <f>IF(A4573&lt;&gt;"", VLOOKUP(A4573, imdb_netflix_v5!A$2:H$7370, 5, FALSE), "")</f>
        <v>2014</v>
      </c>
      <c r="F4573" s="2" t="str">
        <f>IF(A4573&lt;&gt;"", VLOOKUP(A4573, imdb_netflix_v5!A$2:H$7370, 7, FALSE), "")</f>
        <v>NA</v>
      </c>
    </row>
    <row r="4574" ht="15.75" customHeight="1">
      <c r="A4574" s="1" t="str">
        <f>IFERROR(__xludf.DUMMYFUNCTION("""COMPUTED_VALUE"""),"monsoon wedding")</f>
        <v>monsoon wedding</v>
      </c>
      <c r="B4574" s="1" t="str">
        <f>IF(A4574&lt;&gt;"", VLOOKUP(A4574, imdb_netflix_v5!A$2:H$7370, 2, FALSE), "")</f>
        <v>Movie</v>
      </c>
      <c r="C4574" s="2" t="str">
        <f>IF(A4574&lt;&gt;"", VLOOKUP(A4574, imdb_netflix_v5!A$2:H$7370, 3, FALSE), "")</f>
        <v>Comedy, Drama, Romance</v>
      </c>
      <c r="D4574" s="2">
        <f>IF(A4574&lt;&gt;"", VLOOKUP(A4574, imdb_netflix_v5!A$2:H$7370, 4, FALSE), "")</f>
        <v>7.3</v>
      </c>
      <c r="E4574" s="2">
        <f>IF(A4574&lt;&gt;"", VLOOKUP(A4574, imdb_netflix_v5!A$2:H$7370, 5, FALSE), "")</f>
        <v>2001</v>
      </c>
      <c r="F4574" s="2" t="str">
        <f>IF(A4574&lt;&gt;"", VLOOKUP(A4574, imdb_netflix_v5!A$2:H$7370, 7, FALSE), "")</f>
        <v>NA</v>
      </c>
    </row>
    <row r="4575" ht="15.75" customHeight="1">
      <c r="A4575" s="1" t="str">
        <f>IFERROR(__xludf.DUMMYFUNCTION("""COMPUTED_VALUE"""),"lucky")</f>
        <v>lucky</v>
      </c>
      <c r="B4575" s="1" t="str">
        <f>IF(A4575&lt;&gt;"", VLOOKUP(A4575, imdb_netflix_v5!A$2:H$7370, 2, FALSE), "")</f>
        <v>Movie</v>
      </c>
      <c r="C4575" s="2" t="str">
        <f>IF(A4575&lt;&gt;"", VLOOKUP(A4575, imdb_netflix_v5!A$2:H$7370, 3, FALSE), "")</f>
        <v>Comedy, Drama, Western</v>
      </c>
      <c r="D4575" s="2">
        <f>IF(A4575&lt;&gt;"", VLOOKUP(A4575, imdb_netflix_v5!A$2:H$7370, 4, FALSE), "")</f>
        <v>7.3</v>
      </c>
      <c r="E4575" s="2">
        <f>IF(A4575&lt;&gt;"", VLOOKUP(A4575, imdb_netflix_v5!A$2:H$7370, 5, FALSE), "")</f>
        <v>2017</v>
      </c>
      <c r="F4575" s="2" t="str">
        <f>IF(A4575&lt;&gt;"", VLOOKUP(A4575, imdb_netflix_v5!A$2:H$7370, 7, FALSE), "")</f>
        <v>NA</v>
      </c>
    </row>
    <row r="4576" ht="15.75" customHeight="1">
      <c r="A4576" s="1" t="str">
        <f>IFERROR(__xludf.DUMMYFUNCTION("""COMPUTED_VALUE"""),"barneys version")</f>
        <v>barneys version</v>
      </c>
      <c r="B4576" s="1" t="str">
        <f>IF(A4576&lt;&gt;"", VLOOKUP(A4576, imdb_netflix_v5!A$2:H$7370, 2, FALSE), "")</f>
        <v>Movie</v>
      </c>
      <c r="C4576" s="2" t="str">
        <f>IF(A4576&lt;&gt;"", VLOOKUP(A4576, imdb_netflix_v5!A$2:H$7370, 3, FALSE), "")</f>
        <v>Comedy, Drama</v>
      </c>
      <c r="D4576" s="2">
        <f>IF(A4576&lt;&gt;"", VLOOKUP(A4576, imdb_netflix_v5!A$2:H$7370, 4, FALSE), "")</f>
        <v>7.3</v>
      </c>
      <c r="E4576" s="2">
        <f>IF(A4576&lt;&gt;"", VLOOKUP(A4576, imdb_netflix_v5!A$2:H$7370, 5, FALSE), "")</f>
        <v>2010</v>
      </c>
      <c r="F4576" s="2" t="str">
        <f>IF(A4576&lt;&gt;"", VLOOKUP(A4576, imdb_netflix_v5!A$2:H$7370, 7, FALSE), "")</f>
        <v>NA</v>
      </c>
    </row>
    <row r="4577" ht="15.75" customHeight="1">
      <c r="A4577" s="1" t="str">
        <f>IFERROR(__xludf.DUMMYFUNCTION("""COMPUTED_VALUE"""),"i stand alone")</f>
        <v>i stand alone</v>
      </c>
      <c r="B4577" s="1" t="str">
        <f>IF(A4577&lt;&gt;"", VLOOKUP(A4577, imdb_netflix_v5!A$2:H$7370, 2, FALSE), "")</f>
        <v>Movie</v>
      </c>
      <c r="C4577" s="2" t="str">
        <f>IF(A4577&lt;&gt;"", VLOOKUP(A4577, imdb_netflix_v5!A$2:H$7370, 3, FALSE), "")</f>
        <v>Crime, Drama, Thriller</v>
      </c>
      <c r="D4577" s="2">
        <f>IF(A4577&lt;&gt;"", VLOOKUP(A4577, imdb_netflix_v5!A$2:H$7370, 4, FALSE), "")</f>
        <v>7.3</v>
      </c>
      <c r="E4577" s="2">
        <f>IF(A4577&lt;&gt;"", VLOOKUP(A4577, imdb_netflix_v5!A$2:H$7370, 5, FALSE), "")</f>
        <v>1998</v>
      </c>
      <c r="F4577" s="2" t="str">
        <f>IF(A4577&lt;&gt;"", VLOOKUP(A4577, imdb_netflix_v5!A$2:H$7370, 7, FALSE), "")</f>
        <v>NA</v>
      </c>
    </row>
    <row r="4578" ht="15.75" customHeight="1">
      <c r="A4578" s="1" t="str">
        <f>IFERROR(__xludf.DUMMYFUNCTION("""COMPUTED_VALUE"""),"black-ish")</f>
        <v>black-ish</v>
      </c>
      <c r="B4578" s="1" t="str">
        <f>IF(A4578&lt;&gt;"", VLOOKUP(A4578, imdb_netflix_v5!A$2:H$7370, 2, FALSE), "")</f>
        <v>TV Show</v>
      </c>
      <c r="C4578" s="2" t="str">
        <f>IF(A4578&lt;&gt;"", VLOOKUP(A4578, imdb_netflix_v5!A$2:H$7370, 3, FALSE), "")</f>
        <v>Comedy</v>
      </c>
      <c r="D4578" s="2">
        <f>IF(A4578&lt;&gt;"", VLOOKUP(A4578, imdb_netflix_v5!A$2:H$7370, 4, FALSE), "")</f>
        <v>7.3</v>
      </c>
      <c r="E4578" s="2">
        <f>IF(A4578&lt;&gt;"", VLOOKUP(A4578, imdb_netflix_v5!A$2:H$7370, 5, FALSE), "")</f>
        <v>2014</v>
      </c>
      <c r="F4578" s="2" t="str">
        <f>IF(A4578&lt;&gt;"", VLOOKUP(A4578, imdb_netflix_v5!A$2:H$7370, 7, FALSE), "")</f>
        <v>NA</v>
      </c>
    </row>
    <row r="4579" ht="15.75" customHeight="1">
      <c r="A4579" s="1" t="str">
        <f>IFERROR(__xludf.DUMMYFUNCTION("""COMPUTED_VALUE"""),"the wilds")</f>
        <v>the wilds</v>
      </c>
      <c r="B4579" s="1" t="str">
        <f>IF(A4579&lt;&gt;"", VLOOKUP(A4579, imdb_netflix_v5!A$2:H$7370, 2, FALSE), "")</f>
        <v>TV Show</v>
      </c>
      <c r="C4579" s="2" t="str">
        <f>IF(A4579&lt;&gt;"", VLOOKUP(A4579, imdb_netflix_v5!A$2:H$7370, 3, FALSE), "")</f>
        <v>Adventure, Drama, Mystery</v>
      </c>
      <c r="D4579" s="2">
        <f>IF(A4579&lt;&gt;"", VLOOKUP(A4579, imdb_netflix_v5!A$2:H$7370, 4, FALSE), "")</f>
        <v>7.3</v>
      </c>
      <c r="E4579" s="2">
        <f>IF(A4579&lt;&gt;"", VLOOKUP(A4579, imdb_netflix_v5!A$2:H$7370, 5, FALSE), "")</f>
        <v>2020</v>
      </c>
      <c r="F4579" s="2" t="str">
        <f>IF(A4579&lt;&gt;"", VLOOKUP(A4579, imdb_netflix_v5!A$2:H$7370, 7, FALSE), "")</f>
        <v>NA</v>
      </c>
    </row>
    <row r="4580" ht="15.75" customHeight="1">
      <c r="A4580" s="1" t="str">
        <f>IFERROR(__xludf.DUMMYFUNCTION("""COMPUTED_VALUE"""),"pusher ii")</f>
        <v>pusher ii</v>
      </c>
      <c r="B4580" s="1" t="str">
        <f>IF(A4580&lt;&gt;"", VLOOKUP(A4580, imdb_netflix_v5!A$2:H$7370, 2, FALSE), "")</f>
        <v>Movie</v>
      </c>
      <c r="C4580" s="2" t="str">
        <f>IF(A4580&lt;&gt;"", VLOOKUP(A4580, imdb_netflix_v5!A$2:H$7370, 3, FALSE), "")</f>
        <v>Action, Crime, Drama</v>
      </c>
      <c r="D4580" s="2">
        <f>IF(A4580&lt;&gt;"", VLOOKUP(A4580, imdb_netflix_v5!A$2:H$7370, 4, FALSE), "")</f>
        <v>7.3</v>
      </c>
      <c r="E4580" s="2">
        <f>IF(A4580&lt;&gt;"", VLOOKUP(A4580, imdb_netflix_v5!A$2:H$7370, 5, FALSE), "")</f>
        <v>2004</v>
      </c>
      <c r="F4580" s="2" t="str">
        <f>IF(A4580&lt;&gt;"", VLOOKUP(A4580, imdb_netflix_v5!A$2:H$7370, 7, FALSE), "")</f>
        <v>NA</v>
      </c>
    </row>
    <row r="4581" ht="15.75" customHeight="1">
      <c r="A4581" s="1" t="str">
        <f>IFERROR(__xludf.DUMMYFUNCTION("""COMPUTED_VALUE"""),"the bad news bears")</f>
        <v>the bad news bears</v>
      </c>
      <c r="B4581" s="1" t="str">
        <f>IF(A4581&lt;&gt;"", VLOOKUP(A4581, imdb_netflix_v5!A$2:H$7370, 2, FALSE), "")</f>
        <v>Movie</v>
      </c>
      <c r="C4581" s="2" t="str">
        <f>IF(A4581&lt;&gt;"", VLOOKUP(A4581, imdb_netflix_v5!A$2:H$7370, 3, FALSE), "")</f>
        <v>Comedy, Drama, Family</v>
      </c>
      <c r="D4581" s="2">
        <f>IF(A4581&lt;&gt;"", VLOOKUP(A4581, imdb_netflix_v5!A$2:H$7370, 4, FALSE), "")</f>
        <v>7.3</v>
      </c>
      <c r="E4581" s="2">
        <f>IF(A4581&lt;&gt;"", VLOOKUP(A4581, imdb_netflix_v5!A$2:H$7370, 5, FALSE), "")</f>
        <v>1976</v>
      </c>
      <c r="F4581" s="2" t="str">
        <f>IF(A4581&lt;&gt;"", VLOOKUP(A4581, imdb_netflix_v5!A$2:H$7370, 7, FALSE), "")</f>
        <v>NA</v>
      </c>
    </row>
    <row r="4582" ht="15.75" customHeight="1">
      <c r="A4582" s="1" t="str">
        <f>IFERROR(__xludf.DUMMYFUNCTION("""COMPUTED_VALUE"""),"the librarians")</f>
        <v>the librarians</v>
      </c>
      <c r="B4582" s="1" t="str">
        <f>IF(A4582&lt;&gt;"", VLOOKUP(A4582, imdb_netflix_v5!A$2:H$7370, 2, FALSE), "")</f>
        <v>TV Show</v>
      </c>
      <c r="C4582" s="2" t="str">
        <f>IF(A4582&lt;&gt;"", VLOOKUP(A4582, imdb_netflix_v5!A$2:H$7370, 3, FALSE), "")</f>
        <v>Action, Adventure, Comedy</v>
      </c>
      <c r="D4582" s="2">
        <f>IF(A4582&lt;&gt;"", VLOOKUP(A4582, imdb_netflix_v5!A$2:H$7370, 4, FALSE), "")</f>
        <v>7.3</v>
      </c>
      <c r="E4582" s="2">
        <f>IF(A4582&lt;&gt;"", VLOOKUP(A4582, imdb_netflix_v5!A$2:H$7370, 5, FALSE), "")</f>
        <v>2014</v>
      </c>
      <c r="F4582" s="2" t="str">
        <f>IF(A4582&lt;&gt;"", VLOOKUP(A4582, imdb_netflix_v5!A$2:H$7370, 7, FALSE), "")</f>
        <v>NA</v>
      </c>
    </row>
    <row r="4583" ht="15.75" customHeight="1">
      <c r="A4583" s="1" t="str">
        <f>IFERROR(__xludf.DUMMYFUNCTION("""COMPUTED_VALUE"""),"pumping iron")</f>
        <v>pumping iron</v>
      </c>
      <c r="B4583" s="1" t="str">
        <f>IF(A4583&lt;&gt;"", VLOOKUP(A4583, imdb_netflix_v5!A$2:H$7370, 2, FALSE), "")</f>
        <v>Movie</v>
      </c>
      <c r="C4583" s="2" t="str">
        <f>IF(A4583&lt;&gt;"", VLOOKUP(A4583, imdb_netflix_v5!A$2:H$7370, 3, FALSE), "")</f>
        <v>Documentary, Sport</v>
      </c>
      <c r="D4583" s="2">
        <f>IF(A4583&lt;&gt;"", VLOOKUP(A4583, imdb_netflix_v5!A$2:H$7370, 4, FALSE), "")</f>
        <v>7.3</v>
      </c>
      <c r="E4583" s="2">
        <f>IF(A4583&lt;&gt;"", VLOOKUP(A4583, imdb_netflix_v5!A$2:H$7370, 5, FALSE), "")</f>
        <v>1977</v>
      </c>
      <c r="F4583" s="2" t="str">
        <f>IF(A4583&lt;&gt;"", VLOOKUP(A4583, imdb_netflix_v5!A$2:H$7370, 7, FALSE), "")</f>
        <v>NA</v>
      </c>
    </row>
    <row r="4584" ht="15.75" customHeight="1">
      <c r="A4584" s="1" t="str">
        <f>IFERROR(__xludf.DUMMYFUNCTION("""COMPUTED_VALUE"""),"wet hot american summer first day of camp")</f>
        <v>wet hot american summer first day of camp</v>
      </c>
      <c r="B4584" s="1" t="str">
        <f>IF(A4584&lt;&gt;"", VLOOKUP(A4584, imdb_netflix_v5!A$2:H$7370, 2, FALSE), "")</f>
        <v>TV Show</v>
      </c>
      <c r="C4584" s="2" t="str">
        <f>IF(A4584&lt;&gt;"", VLOOKUP(A4584, imdb_netflix_v5!A$2:H$7370, 3, FALSE), "")</f>
        <v>Comedy</v>
      </c>
      <c r="D4584" s="2">
        <f>IF(A4584&lt;&gt;"", VLOOKUP(A4584, imdb_netflix_v5!A$2:H$7370, 4, FALSE), "")</f>
        <v>7.3</v>
      </c>
      <c r="E4584" s="2">
        <f>IF(A4584&lt;&gt;"", VLOOKUP(A4584, imdb_netflix_v5!A$2:H$7370, 5, FALSE), "")</f>
        <v>2015</v>
      </c>
      <c r="F4584" s="2" t="str">
        <f>IF(A4584&lt;&gt;"", VLOOKUP(A4584, imdb_netflix_v5!A$2:H$7370, 7, FALSE), "")</f>
        <v>NA</v>
      </c>
    </row>
    <row r="4585" ht="15.75" customHeight="1">
      <c r="A4585" s="1" t="str">
        <f>IFERROR(__xludf.DUMMYFUNCTION("""COMPUTED_VALUE"""),"whats love got to do with it")</f>
        <v>whats love got to do with it</v>
      </c>
      <c r="B4585" s="1" t="str">
        <f>IF(A4585&lt;&gt;"", VLOOKUP(A4585, imdb_netflix_v5!A$2:H$7370, 2, FALSE), "")</f>
        <v>Movie</v>
      </c>
      <c r="C4585" s="2" t="str">
        <f>IF(A4585&lt;&gt;"", VLOOKUP(A4585, imdb_netflix_v5!A$2:H$7370, 3, FALSE), "")</f>
        <v>Biography, Drama, Music</v>
      </c>
      <c r="D4585" s="2">
        <f>IF(A4585&lt;&gt;"", VLOOKUP(A4585, imdb_netflix_v5!A$2:H$7370, 4, FALSE), "")</f>
        <v>7.3</v>
      </c>
      <c r="E4585" s="2">
        <f>IF(A4585&lt;&gt;"", VLOOKUP(A4585, imdb_netflix_v5!A$2:H$7370, 5, FALSE), "")</f>
        <v>1993</v>
      </c>
      <c r="F4585" s="2" t="str">
        <f>IF(A4585&lt;&gt;"", VLOOKUP(A4585, imdb_netflix_v5!A$2:H$7370, 7, FALSE), "")</f>
        <v>NA</v>
      </c>
    </row>
    <row r="4586" ht="15.75" customHeight="1">
      <c r="A4586" s="1" t="str">
        <f>IFERROR(__xludf.DUMMYFUNCTION("""COMPUTED_VALUE"""),"loft")</f>
        <v>loft</v>
      </c>
      <c r="B4586" s="1" t="str">
        <f>IF(A4586&lt;&gt;"", VLOOKUP(A4586, imdb_netflix_v5!A$2:H$7370, 2, FALSE), "")</f>
        <v>Movie</v>
      </c>
      <c r="C4586" s="2" t="str">
        <f>IF(A4586&lt;&gt;"", VLOOKUP(A4586, imdb_netflix_v5!A$2:H$7370, 3, FALSE), "")</f>
        <v>Crime, Drama, Mystery</v>
      </c>
      <c r="D4586" s="2">
        <f>IF(A4586&lt;&gt;"", VLOOKUP(A4586, imdb_netflix_v5!A$2:H$7370, 4, FALSE), "")</f>
        <v>7.3</v>
      </c>
      <c r="E4586" s="2">
        <f>IF(A4586&lt;&gt;"", VLOOKUP(A4586, imdb_netflix_v5!A$2:H$7370, 5, FALSE), "")</f>
        <v>2008</v>
      </c>
      <c r="F4586" s="2" t="str">
        <f>IF(A4586&lt;&gt;"", VLOOKUP(A4586, imdb_netflix_v5!A$2:H$7370, 7, FALSE), "")</f>
        <v>NA</v>
      </c>
    </row>
    <row r="4587" ht="15.75" customHeight="1">
      <c r="A4587" s="1" t="str">
        <f>IFERROR(__xludf.DUMMYFUNCTION("""COMPUTED_VALUE"""),"reds")</f>
        <v>reds</v>
      </c>
      <c r="B4587" s="1" t="str">
        <f>IF(A4587&lt;&gt;"", VLOOKUP(A4587, imdb_netflix_v5!A$2:H$7370, 2, FALSE), "")</f>
        <v>Movie</v>
      </c>
      <c r="C4587" s="2" t="str">
        <f>IF(A4587&lt;&gt;"", VLOOKUP(A4587, imdb_netflix_v5!A$2:H$7370, 3, FALSE), "")</f>
        <v>Biography, Drama, History</v>
      </c>
      <c r="D4587" s="2">
        <f>IF(A4587&lt;&gt;"", VLOOKUP(A4587, imdb_netflix_v5!A$2:H$7370, 4, FALSE), "")</f>
        <v>7.3</v>
      </c>
      <c r="E4587" s="2">
        <f>IF(A4587&lt;&gt;"", VLOOKUP(A4587, imdb_netflix_v5!A$2:H$7370, 5, FALSE), "")</f>
        <v>1981</v>
      </c>
      <c r="F4587" s="2" t="str">
        <f>IF(A4587&lt;&gt;"", VLOOKUP(A4587, imdb_netflix_v5!A$2:H$7370, 7, FALSE), "")</f>
        <v>NA</v>
      </c>
    </row>
    <row r="4588" ht="15.75" customHeight="1">
      <c r="A4588" s="1" t="str">
        <f>IFERROR(__xludf.DUMMYFUNCTION("""COMPUTED_VALUE"""),"sweet magnolias")</f>
        <v>sweet magnolias</v>
      </c>
      <c r="B4588" s="1" t="str">
        <f>IF(A4588&lt;&gt;"", VLOOKUP(A4588, imdb_netflix_v5!A$2:H$7370, 2, FALSE), "")</f>
        <v>TV Show</v>
      </c>
      <c r="C4588" s="2" t="str">
        <f>IF(A4588&lt;&gt;"", VLOOKUP(A4588, imdb_netflix_v5!A$2:H$7370, 3, FALSE), "")</f>
        <v>Drama, Romance</v>
      </c>
      <c r="D4588" s="2">
        <f>IF(A4588&lt;&gt;"", VLOOKUP(A4588, imdb_netflix_v5!A$2:H$7370, 4, FALSE), "")</f>
        <v>7.3</v>
      </c>
      <c r="E4588" s="2">
        <f>IF(A4588&lt;&gt;"", VLOOKUP(A4588, imdb_netflix_v5!A$2:H$7370, 5, FALSE), "")</f>
        <v>2020</v>
      </c>
      <c r="F4588" s="2">
        <f>IF(A4588&lt;&gt;"", VLOOKUP(A4588, imdb_netflix_v5!A$2:H$7370, 7, FALSE), "")</f>
        <v>16200000</v>
      </c>
    </row>
    <row r="4589" ht="15.75" customHeight="1">
      <c r="A4589" s="1" t="str">
        <f>IFERROR(__xludf.DUMMYFUNCTION("""COMPUTED_VALUE"""),"storm of the century")</f>
        <v>storm of the century</v>
      </c>
      <c r="B4589" s="1" t="str">
        <f>IF(A4589&lt;&gt;"", VLOOKUP(A4589, imdb_netflix_v5!A$2:H$7370, 2, FALSE), "")</f>
        <v>TV Show</v>
      </c>
      <c r="C4589" s="2" t="str">
        <f>IF(A4589&lt;&gt;"", VLOOKUP(A4589, imdb_netflix_v5!A$2:H$7370, 3, FALSE), "")</f>
        <v>Drama, Fantasy, Horror</v>
      </c>
      <c r="D4589" s="2">
        <f>IF(A4589&lt;&gt;"", VLOOKUP(A4589, imdb_netflix_v5!A$2:H$7370, 4, FALSE), "")</f>
        <v>7.3</v>
      </c>
      <c r="E4589" s="2">
        <f>IF(A4589&lt;&gt;"", VLOOKUP(A4589, imdb_netflix_v5!A$2:H$7370, 5, FALSE), "")</f>
        <v>1999</v>
      </c>
      <c r="F4589" s="2" t="str">
        <f>IF(A4589&lt;&gt;"", VLOOKUP(A4589, imdb_netflix_v5!A$2:H$7370, 7, FALSE), "")</f>
        <v>NA</v>
      </c>
    </row>
    <row r="4590" ht="15.75" customHeight="1">
      <c r="A4590" s="1" t="str">
        <f>IFERROR(__xludf.DUMMYFUNCTION("""COMPUTED_VALUE"""),"dirty john")</f>
        <v>dirty john</v>
      </c>
      <c r="B4590" s="1" t="str">
        <f>IF(A4590&lt;&gt;"", VLOOKUP(A4590, imdb_netflix_v5!A$2:H$7370, 2, FALSE), "")</f>
        <v>TV Show</v>
      </c>
      <c r="C4590" s="2" t="str">
        <f>IF(A4590&lt;&gt;"", VLOOKUP(A4590, imdb_netflix_v5!A$2:H$7370, 3, FALSE), "")</f>
        <v>Crime, Drama</v>
      </c>
      <c r="D4590" s="2">
        <f>IF(A4590&lt;&gt;"", VLOOKUP(A4590, imdb_netflix_v5!A$2:H$7370, 4, FALSE), "")</f>
        <v>7.3</v>
      </c>
      <c r="E4590" s="2">
        <f>IF(A4590&lt;&gt;"", VLOOKUP(A4590, imdb_netflix_v5!A$2:H$7370, 5, FALSE), "")</f>
        <v>2018</v>
      </c>
      <c r="F4590" s="2" t="str">
        <f>IF(A4590&lt;&gt;"", VLOOKUP(A4590, imdb_netflix_v5!A$2:H$7370, 7, FALSE), "")</f>
        <v>NA</v>
      </c>
    </row>
    <row r="4591" ht="15.75" customHeight="1">
      <c r="A4591" s="1" t="str">
        <f>IFERROR(__xludf.DUMMYFUNCTION("""COMPUTED_VALUE"""),"quest for fire")</f>
        <v>quest for fire</v>
      </c>
      <c r="B4591" s="1" t="str">
        <f>IF(A4591&lt;&gt;"", VLOOKUP(A4591, imdb_netflix_v5!A$2:H$7370, 2, FALSE), "")</f>
        <v>Movie</v>
      </c>
      <c r="C4591" s="2" t="str">
        <f>IF(A4591&lt;&gt;"", VLOOKUP(A4591, imdb_netflix_v5!A$2:H$7370, 3, FALSE), "")</f>
        <v>Adventure, Drama</v>
      </c>
      <c r="D4591" s="2">
        <f>IF(A4591&lt;&gt;"", VLOOKUP(A4591, imdb_netflix_v5!A$2:H$7370, 4, FALSE), "")</f>
        <v>7.3</v>
      </c>
      <c r="E4591" s="2">
        <f>IF(A4591&lt;&gt;"", VLOOKUP(A4591, imdb_netflix_v5!A$2:H$7370, 5, FALSE), "")</f>
        <v>1981</v>
      </c>
      <c r="F4591" s="2" t="str">
        <f>IF(A4591&lt;&gt;"", VLOOKUP(A4591, imdb_netflix_v5!A$2:H$7370, 7, FALSE), "")</f>
        <v>NA</v>
      </c>
    </row>
    <row r="4592" ht="15.75" customHeight="1">
      <c r="A4592" s="1" t="str">
        <f>IFERROR(__xludf.DUMMYFUNCTION("""COMPUTED_VALUE"""),"ala vaikunthapurramuloo")</f>
        <v>ala vaikunthapurramuloo</v>
      </c>
      <c r="B4592" s="1" t="str">
        <f>IF(A4592&lt;&gt;"", VLOOKUP(A4592, imdb_netflix_v5!A$2:H$7370, 2, FALSE), "")</f>
        <v>Movie</v>
      </c>
      <c r="C4592" s="2" t="str">
        <f>IF(A4592&lt;&gt;"", VLOOKUP(A4592, imdb_netflix_v5!A$2:H$7370, 3, FALSE), "")</f>
        <v>Action, Comedy, Drama</v>
      </c>
      <c r="D4592" s="2">
        <f>IF(A4592&lt;&gt;"", VLOOKUP(A4592, imdb_netflix_v5!A$2:H$7370, 4, FALSE), "")</f>
        <v>7.3</v>
      </c>
      <c r="E4592" s="2">
        <f>IF(A4592&lt;&gt;"", VLOOKUP(A4592, imdb_netflix_v5!A$2:H$7370, 5, FALSE), "")</f>
        <v>2020</v>
      </c>
      <c r="F4592" s="2" t="str">
        <f>IF(A4592&lt;&gt;"", VLOOKUP(A4592, imdb_netflix_v5!A$2:H$7370, 7, FALSE), "")</f>
        <v>NA</v>
      </c>
    </row>
    <row r="4593" ht="15.75" customHeight="1">
      <c r="A4593" s="1" t="str">
        <f>IFERROR(__xludf.DUMMYFUNCTION("""COMPUTED_VALUE"""),"lorenzos oil")</f>
        <v>lorenzos oil</v>
      </c>
      <c r="B4593" s="1" t="str">
        <f>IF(A4593&lt;&gt;"", VLOOKUP(A4593, imdb_netflix_v5!A$2:H$7370, 2, FALSE), "")</f>
        <v>Movie</v>
      </c>
      <c r="C4593" s="2" t="str">
        <f>IF(A4593&lt;&gt;"", VLOOKUP(A4593, imdb_netflix_v5!A$2:H$7370, 3, FALSE), "")</f>
        <v>Biography, Drama</v>
      </c>
      <c r="D4593" s="2">
        <f>IF(A4593&lt;&gt;"", VLOOKUP(A4593, imdb_netflix_v5!A$2:H$7370, 4, FALSE), "")</f>
        <v>7.3</v>
      </c>
      <c r="E4593" s="2">
        <f>IF(A4593&lt;&gt;"", VLOOKUP(A4593, imdb_netflix_v5!A$2:H$7370, 5, FALSE), "")</f>
        <v>1992</v>
      </c>
      <c r="F4593" s="2" t="str">
        <f>IF(A4593&lt;&gt;"", VLOOKUP(A4593, imdb_netflix_v5!A$2:H$7370, 7, FALSE), "")</f>
        <v>NA</v>
      </c>
    </row>
    <row r="4594" ht="15.75" customHeight="1">
      <c r="A4594" s="1" t="str">
        <f>IFERROR(__xludf.DUMMYFUNCTION("""COMPUTED_VALUE"""),"night sky")</f>
        <v>night sky</v>
      </c>
      <c r="B4594" s="1" t="str">
        <f>IF(A4594&lt;&gt;"", VLOOKUP(A4594, imdb_netflix_v5!A$2:H$7370, 2, FALSE), "")</f>
        <v>TV Show</v>
      </c>
      <c r="C4594" s="2" t="str">
        <f>IF(A4594&lt;&gt;"", VLOOKUP(A4594, imdb_netflix_v5!A$2:H$7370, 3, FALSE), "")</f>
        <v>Adventure, Drama, Fantasy</v>
      </c>
      <c r="D4594" s="2">
        <f>IF(A4594&lt;&gt;"", VLOOKUP(A4594, imdb_netflix_v5!A$2:H$7370, 4, FALSE), "")</f>
        <v>7.3</v>
      </c>
      <c r="E4594" s="2">
        <f>IF(A4594&lt;&gt;"", VLOOKUP(A4594, imdb_netflix_v5!A$2:H$7370, 5, FALSE), "")</f>
        <v>2022</v>
      </c>
      <c r="F4594" s="2" t="str">
        <f>IF(A4594&lt;&gt;"", VLOOKUP(A4594, imdb_netflix_v5!A$2:H$7370, 7, FALSE), "")</f>
        <v>NA</v>
      </c>
    </row>
    <row r="4595" ht="15.75" customHeight="1">
      <c r="A4595" s="1" t="str">
        <f>IFERROR(__xludf.DUMMYFUNCTION("""COMPUTED_VALUE"""),"bullhead")</f>
        <v>bullhead</v>
      </c>
      <c r="B4595" s="1" t="str">
        <f>IF(A4595&lt;&gt;"", VLOOKUP(A4595, imdb_netflix_v5!A$2:H$7370, 2, FALSE), "")</f>
        <v>Movie</v>
      </c>
      <c r="C4595" s="2" t="str">
        <f>IF(A4595&lt;&gt;"", VLOOKUP(A4595, imdb_netflix_v5!A$2:H$7370, 3, FALSE), "")</f>
        <v>Crime, Drama</v>
      </c>
      <c r="D4595" s="2">
        <f>IF(A4595&lt;&gt;"", VLOOKUP(A4595, imdb_netflix_v5!A$2:H$7370, 4, FALSE), "")</f>
        <v>7.3</v>
      </c>
      <c r="E4595" s="2">
        <f>IF(A4595&lt;&gt;"", VLOOKUP(A4595, imdb_netflix_v5!A$2:H$7370, 5, FALSE), "")</f>
        <v>2011</v>
      </c>
      <c r="F4595" s="2" t="str">
        <f>IF(A4595&lt;&gt;"", VLOOKUP(A4595, imdb_netflix_v5!A$2:H$7370, 7, FALSE), "")</f>
        <v>NA</v>
      </c>
    </row>
    <row r="4596" ht="15.75" customHeight="1">
      <c r="A4596" s="1" t="str">
        <f>IFERROR(__xludf.DUMMYFUNCTION("""COMPUTED_VALUE"""),"the day of the beast")</f>
        <v>the day of the beast</v>
      </c>
      <c r="B4596" s="1" t="str">
        <f>IF(A4596&lt;&gt;"", VLOOKUP(A4596, imdb_netflix_v5!A$2:H$7370, 2, FALSE), "")</f>
        <v>Movie</v>
      </c>
      <c r="C4596" s="2" t="str">
        <f>IF(A4596&lt;&gt;"", VLOOKUP(A4596, imdb_netflix_v5!A$2:H$7370, 3, FALSE), "")</f>
        <v>Action, Comedy, Crime</v>
      </c>
      <c r="D4596" s="2">
        <f>IF(A4596&lt;&gt;"", VLOOKUP(A4596, imdb_netflix_v5!A$2:H$7370, 4, FALSE), "")</f>
        <v>7.3</v>
      </c>
      <c r="E4596" s="2">
        <f>IF(A4596&lt;&gt;"", VLOOKUP(A4596, imdb_netflix_v5!A$2:H$7370, 5, FALSE), "")</f>
        <v>1995</v>
      </c>
      <c r="F4596" s="2" t="str">
        <f>IF(A4596&lt;&gt;"", VLOOKUP(A4596, imdb_netflix_v5!A$2:H$7370, 7, FALSE), "")</f>
        <v>NA</v>
      </c>
    </row>
    <row r="4597" ht="15.75" customHeight="1">
      <c r="A4597" s="1" t="str">
        <f>IFERROR(__xludf.DUMMYFUNCTION("""COMPUTED_VALUE"""),"little boy")</f>
        <v>little boy</v>
      </c>
      <c r="B4597" s="1" t="str">
        <f>IF(A4597&lt;&gt;"", VLOOKUP(A4597, imdb_netflix_v5!A$2:H$7370, 2, FALSE), "")</f>
        <v>Movie</v>
      </c>
      <c r="C4597" s="2" t="str">
        <f>IF(A4597&lt;&gt;"", VLOOKUP(A4597, imdb_netflix_v5!A$2:H$7370, 3, FALSE), "")</f>
        <v>Drama, History, War</v>
      </c>
      <c r="D4597" s="2">
        <f>IF(A4597&lt;&gt;"", VLOOKUP(A4597, imdb_netflix_v5!A$2:H$7370, 4, FALSE), "")</f>
        <v>7.3</v>
      </c>
      <c r="E4597" s="2">
        <f>IF(A4597&lt;&gt;"", VLOOKUP(A4597, imdb_netflix_v5!A$2:H$7370, 5, FALSE), "")</f>
        <v>2015</v>
      </c>
      <c r="F4597" s="2" t="str">
        <f>IF(A4597&lt;&gt;"", VLOOKUP(A4597, imdb_netflix_v5!A$2:H$7370, 7, FALSE), "")</f>
        <v>NA</v>
      </c>
    </row>
    <row r="4598" ht="15.75" customHeight="1">
      <c r="A4598" s="1" t="str">
        <f>IFERROR(__xludf.DUMMYFUNCTION("""COMPUTED_VALUE"""),"point blank")</f>
        <v>point blank</v>
      </c>
      <c r="B4598" s="1" t="str">
        <f>IF(A4598&lt;&gt;"", VLOOKUP(A4598, imdb_netflix_v5!A$2:H$7370, 2, FALSE), "")</f>
        <v>Movie</v>
      </c>
      <c r="C4598" s="2" t="str">
        <f>IF(A4598&lt;&gt;"", VLOOKUP(A4598, imdb_netflix_v5!A$2:H$7370, 3, FALSE), "")</f>
        <v>Crime, Drama, Thriller</v>
      </c>
      <c r="D4598" s="2">
        <f>IF(A4598&lt;&gt;"", VLOOKUP(A4598, imdb_netflix_v5!A$2:H$7370, 4, FALSE), "")</f>
        <v>7.3</v>
      </c>
      <c r="E4598" s="2">
        <f>IF(A4598&lt;&gt;"", VLOOKUP(A4598, imdb_netflix_v5!A$2:H$7370, 5, FALSE), "")</f>
        <v>1967</v>
      </c>
      <c r="F4598" s="2" t="str">
        <f>IF(A4598&lt;&gt;"", VLOOKUP(A4598, imdb_netflix_v5!A$2:H$7370, 7, FALSE), "")</f>
        <v>NA</v>
      </c>
    </row>
    <row r="4599" ht="15.75" customHeight="1">
      <c r="A4599" s="1" t="str">
        <f>IFERROR(__xludf.DUMMYFUNCTION("""COMPUTED_VALUE"""),"theri")</f>
        <v>theri</v>
      </c>
      <c r="B4599" s="1" t="str">
        <f>IF(A4599&lt;&gt;"", VLOOKUP(A4599, imdb_netflix_v5!A$2:H$7370, 2, FALSE), "")</f>
        <v>Movie</v>
      </c>
      <c r="C4599" s="2" t="str">
        <f>IF(A4599&lt;&gt;"", VLOOKUP(A4599, imdb_netflix_v5!A$2:H$7370, 3, FALSE), "")</f>
        <v>Action, Crime, Drama</v>
      </c>
      <c r="D4599" s="2">
        <f>IF(A4599&lt;&gt;"", VLOOKUP(A4599, imdb_netflix_v5!A$2:H$7370, 4, FALSE), "")</f>
        <v>7.3</v>
      </c>
      <c r="E4599" s="2">
        <f>IF(A4599&lt;&gt;"", VLOOKUP(A4599, imdb_netflix_v5!A$2:H$7370, 5, FALSE), "")</f>
        <v>2016</v>
      </c>
      <c r="F4599" s="2" t="str">
        <f>IF(A4599&lt;&gt;"", VLOOKUP(A4599, imdb_netflix_v5!A$2:H$7370, 7, FALSE), "")</f>
        <v>NA</v>
      </c>
    </row>
    <row r="4600" ht="15.75" customHeight="1">
      <c r="A4600" s="1" t="str">
        <f>IFERROR(__xludf.DUMMYFUNCTION("""COMPUTED_VALUE"""),"rosencrantz &amp; guildenstern are dead")</f>
        <v>rosencrantz &amp; guildenstern are dead</v>
      </c>
      <c r="B4600" s="1" t="str">
        <f>IF(A4600&lt;&gt;"", VLOOKUP(A4600, imdb_netflix_v5!A$2:H$7370, 2, FALSE), "")</f>
        <v>Movie</v>
      </c>
      <c r="C4600" s="2" t="str">
        <f>IF(A4600&lt;&gt;"", VLOOKUP(A4600, imdb_netflix_v5!A$2:H$7370, 3, FALSE), "")</f>
        <v>Comedy, Drama</v>
      </c>
      <c r="D4600" s="2">
        <f>IF(A4600&lt;&gt;"", VLOOKUP(A4600, imdb_netflix_v5!A$2:H$7370, 4, FALSE), "")</f>
        <v>7.3</v>
      </c>
      <c r="E4600" s="2">
        <f>IF(A4600&lt;&gt;"", VLOOKUP(A4600, imdb_netflix_v5!A$2:H$7370, 5, FALSE), "")</f>
        <v>1990</v>
      </c>
      <c r="F4600" s="2" t="str">
        <f>IF(A4600&lt;&gt;"", VLOOKUP(A4600, imdb_netflix_v5!A$2:H$7370, 7, FALSE), "")</f>
        <v>NA</v>
      </c>
    </row>
    <row r="4601" ht="15.75" customHeight="1">
      <c r="A4601" s="1" t="str">
        <f>IFERROR(__xludf.DUMMYFUNCTION("""COMPUTED_VALUE"""),"yu-gi-oh!")</f>
        <v>yu-gi-oh!</v>
      </c>
      <c r="B4601" s="1" t="str">
        <f>IF(A4601&lt;&gt;"", VLOOKUP(A4601, imdb_netflix_v5!A$2:H$7370, 2, FALSE), "")</f>
        <v>TV Show</v>
      </c>
      <c r="C4601" s="2" t="str">
        <f>IF(A4601&lt;&gt;"", VLOOKUP(A4601, imdb_netflix_v5!A$2:H$7370, 3, FALSE), "")</f>
        <v>Action, Adventure, Animation</v>
      </c>
      <c r="D4601" s="2">
        <f>IF(A4601&lt;&gt;"", VLOOKUP(A4601, imdb_netflix_v5!A$2:H$7370, 4, FALSE), "")</f>
        <v>7.3</v>
      </c>
      <c r="E4601" s="2">
        <f>IF(A4601&lt;&gt;"", VLOOKUP(A4601, imdb_netflix_v5!A$2:H$7370, 5, FALSE), "")</f>
        <v>2000</v>
      </c>
      <c r="F4601" s="2" t="str">
        <f>IF(A4601&lt;&gt;"", VLOOKUP(A4601, imdb_netflix_v5!A$2:H$7370, 7, FALSE), "")</f>
        <v>NA</v>
      </c>
    </row>
    <row r="4602" ht="15.75" customHeight="1">
      <c r="A4602" s="1" t="str">
        <f>IFERROR(__xludf.DUMMYFUNCTION("""COMPUTED_VALUE"""),"fortitude")</f>
        <v>fortitude</v>
      </c>
      <c r="B4602" s="1" t="str">
        <f>IF(A4602&lt;&gt;"", VLOOKUP(A4602, imdb_netflix_v5!A$2:H$7370, 2, FALSE), "")</f>
        <v>TV Show</v>
      </c>
      <c r="C4602" s="2" t="str">
        <f>IF(A4602&lt;&gt;"", VLOOKUP(A4602, imdb_netflix_v5!A$2:H$7370, 3, FALSE), "")</f>
        <v>Drama, Horror, Mystery</v>
      </c>
      <c r="D4602" s="2">
        <f>IF(A4602&lt;&gt;"", VLOOKUP(A4602, imdb_netflix_v5!A$2:H$7370, 4, FALSE), "")</f>
        <v>7.3</v>
      </c>
      <c r="E4602" s="2">
        <f>IF(A4602&lt;&gt;"", VLOOKUP(A4602, imdb_netflix_v5!A$2:H$7370, 5, FALSE), "")</f>
        <v>2015</v>
      </c>
      <c r="F4602" s="2" t="str">
        <f>IF(A4602&lt;&gt;"", VLOOKUP(A4602, imdb_netflix_v5!A$2:H$7370, 7, FALSE), "")</f>
        <v>NA</v>
      </c>
    </row>
    <row r="4603" ht="15.75" customHeight="1">
      <c r="A4603" s="1" t="str">
        <f>IFERROR(__xludf.DUMMYFUNCTION("""COMPUTED_VALUE"""),"betty blue")</f>
        <v>betty blue</v>
      </c>
      <c r="B4603" s="1" t="str">
        <f>IF(A4603&lt;&gt;"", VLOOKUP(A4603, imdb_netflix_v5!A$2:H$7370, 2, FALSE), "")</f>
        <v>Movie</v>
      </c>
      <c r="C4603" s="2" t="str">
        <f>IF(A4603&lt;&gt;"", VLOOKUP(A4603, imdb_netflix_v5!A$2:H$7370, 3, FALSE), "")</f>
        <v>Drama, Romance</v>
      </c>
      <c r="D4603" s="2">
        <f>IF(A4603&lt;&gt;"", VLOOKUP(A4603, imdb_netflix_v5!A$2:H$7370, 4, FALSE), "")</f>
        <v>7.3</v>
      </c>
      <c r="E4603" s="2">
        <f>IF(A4603&lt;&gt;"", VLOOKUP(A4603, imdb_netflix_v5!A$2:H$7370, 5, FALSE), "")</f>
        <v>1986</v>
      </c>
      <c r="F4603" s="2" t="str">
        <f>IF(A4603&lt;&gt;"", VLOOKUP(A4603, imdb_netflix_v5!A$2:H$7370, 7, FALSE), "")</f>
        <v>NA</v>
      </c>
    </row>
    <row r="4604" ht="15.75" customHeight="1">
      <c r="A4604" s="1" t="str">
        <f>IFERROR(__xludf.DUMMYFUNCTION("""COMPUTED_VALUE"""),"angelas ashes")</f>
        <v>angelas ashes</v>
      </c>
      <c r="B4604" s="1" t="str">
        <f>IF(A4604&lt;&gt;"", VLOOKUP(A4604, imdb_netflix_v5!A$2:H$7370, 2, FALSE), "")</f>
        <v>Movie</v>
      </c>
      <c r="C4604" s="2" t="str">
        <f>IF(A4604&lt;&gt;"", VLOOKUP(A4604, imdb_netflix_v5!A$2:H$7370, 3, FALSE), "")</f>
        <v>Biography, Drama</v>
      </c>
      <c r="D4604" s="2">
        <f>IF(A4604&lt;&gt;"", VLOOKUP(A4604, imdb_netflix_v5!A$2:H$7370, 4, FALSE), "")</f>
        <v>7.3</v>
      </c>
      <c r="E4604" s="2">
        <f>IF(A4604&lt;&gt;"", VLOOKUP(A4604, imdb_netflix_v5!A$2:H$7370, 5, FALSE), "")</f>
        <v>1999</v>
      </c>
      <c r="F4604" s="2" t="str">
        <f>IF(A4604&lt;&gt;"", VLOOKUP(A4604, imdb_netflix_v5!A$2:H$7370, 7, FALSE), "")</f>
        <v>NA</v>
      </c>
    </row>
    <row r="4605" ht="15.75" customHeight="1">
      <c r="A4605" s="1" t="str">
        <f>IFERROR(__xludf.DUMMYFUNCTION("""COMPUTED_VALUE"""),"a million miles away")</f>
        <v>a million miles away</v>
      </c>
      <c r="B4605" s="1" t="str">
        <f>IF(A4605&lt;&gt;"", VLOOKUP(A4605, imdb_netflix_v5!A$2:H$7370, 2, FALSE), "")</f>
        <v>Movie</v>
      </c>
      <c r="C4605" s="2" t="str">
        <f>IF(A4605&lt;&gt;"", VLOOKUP(A4605, imdb_netflix_v5!A$2:H$7370, 3, FALSE), "")</f>
        <v>Biography, Drama</v>
      </c>
      <c r="D4605" s="2">
        <f>IF(A4605&lt;&gt;"", VLOOKUP(A4605, imdb_netflix_v5!A$2:H$7370, 4, FALSE), "")</f>
        <v>7.3</v>
      </c>
      <c r="E4605" s="2">
        <f>IF(A4605&lt;&gt;"", VLOOKUP(A4605, imdb_netflix_v5!A$2:H$7370, 5, FALSE), "")</f>
        <v>2023</v>
      </c>
      <c r="F4605" s="2" t="str">
        <f>IF(A4605&lt;&gt;"", VLOOKUP(A4605, imdb_netflix_v5!A$2:H$7370, 7, FALSE), "")</f>
        <v>NA</v>
      </c>
    </row>
    <row r="4606" ht="15.75" customHeight="1">
      <c r="A4606" s="1" t="str">
        <f>IFERROR(__xludf.DUMMYFUNCTION("""COMPUTED_VALUE"""),"9-1-1 lone star")</f>
        <v>9-1-1 lone star</v>
      </c>
      <c r="B4606" s="1" t="str">
        <f>IF(A4606&lt;&gt;"", VLOOKUP(A4606, imdb_netflix_v5!A$2:H$7370, 2, FALSE), "")</f>
        <v>TV Show</v>
      </c>
      <c r="C4606" s="2" t="str">
        <f>IF(A4606&lt;&gt;"", VLOOKUP(A4606, imdb_netflix_v5!A$2:H$7370, 3, FALSE), "")</f>
        <v>Action, Drama, Thriller</v>
      </c>
      <c r="D4606" s="2">
        <f>IF(A4606&lt;&gt;"", VLOOKUP(A4606, imdb_netflix_v5!A$2:H$7370, 4, FALSE), "")</f>
        <v>7.3</v>
      </c>
      <c r="E4606" s="2">
        <f>IF(A4606&lt;&gt;"", VLOOKUP(A4606, imdb_netflix_v5!A$2:H$7370, 5, FALSE), "")</f>
        <v>2020</v>
      </c>
      <c r="F4606" s="2" t="str">
        <f>IF(A4606&lt;&gt;"", VLOOKUP(A4606, imdb_netflix_v5!A$2:H$7370, 7, FALSE), "")</f>
        <v>NA</v>
      </c>
    </row>
    <row r="4607" ht="15.75" customHeight="1">
      <c r="A4607" s="1" t="str">
        <f>IFERROR(__xludf.DUMMYFUNCTION("""COMPUTED_VALUE"""),"phantom of the paradise")</f>
        <v>phantom of the paradise</v>
      </c>
      <c r="B4607" s="1" t="str">
        <f>IF(A4607&lt;&gt;"", VLOOKUP(A4607, imdb_netflix_v5!A$2:H$7370, 2, FALSE), "")</f>
        <v>Movie</v>
      </c>
      <c r="C4607" s="2" t="str">
        <f>IF(A4607&lt;&gt;"", VLOOKUP(A4607, imdb_netflix_v5!A$2:H$7370, 3, FALSE), "")</f>
        <v>Comedy, Drama, Fantasy</v>
      </c>
      <c r="D4607" s="2">
        <f>IF(A4607&lt;&gt;"", VLOOKUP(A4607, imdb_netflix_v5!A$2:H$7370, 4, FALSE), "")</f>
        <v>7.3</v>
      </c>
      <c r="E4607" s="2">
        <f>IF(A4607&lt;&gt;"", VLOOKUP(A4607, imdb_netflix_v5!A$2:H$7370, 5, FALSE), "")</f>
        <v>1974</v>
      </c>
      <c r="F4607" s="2" t="str">
        <f>IF(A4607&lt;&gt;"", VLOOKUP(A4607, imdb_netflix_v5!A$2:H$7370, 7, FALSE), "")</f>
        <v>NA</v>
      </c>
    </row>
    <row r="4608" ht="15.75" customHeight="1">
      <c r="A4608" s="1" t="str">
        <f>IFERROR(__xludf.DUMMYFUNCTION("""COMPUTED_VALUE"""),"uncle frank")</f>
        <v>uncle frank</v>
      </c>
      <c r="B4608" s="1" t="str">
        <f>IF(A4608&lt;&gt;"", VLOOKUP(A4608, imdb_netflix_v5!A$2:H$7370, 2, FALSE), "")</f>
        <v>Movie</v>
      </c>
      <c r="C4608" s="2" t="str">
        <f>IF(A4608&lt;&gt;"", VLOOKUP(A4608, imdb_netflix_v5!A$2:H$7370, 3, FALSE), "")</f>
        <v>Comedy, Drama</v>
      </c>
      <c r="D4608" s="2">
        <f>IF(A4608&lt;&gt;"", VLOOKUP(A4608, imdb_netflix_v5!A$2:H$7370, 4, FALSE), "")</f>
        <v>7.3</v>
      </c>
      <c r="E4608" s="2">
        <f>IF(A4608&lt;&gt;"", VLOOKUP(A4608, imdb_netflix_v5!A$2:H$7370, 5, FALSE), "")</f>
        <v>2020</v>
      </c>
      <c r="F4608" s="2" t="str">
        <f>IF(A4608&lt;&gt;"", VLOOKUP(A4608, imdb_netflix_v5!A$2:H$7370, 7, FALSE), "")</f>
        <v>NA</v>
      </c>
    </row>
    <row r="4609" ht="15.75" customHeight="1">
      <c r="A4609" s="1" t="str">
        <f>IFERROR(__xludf.DUMMYFUNCTION("""COMPUTED_VALUE"""),"death in venice")</f>
        <v>death in venice</v>
      </c>
      <c r="B4609" s="1" t="str">
        <f>IF(A4609&lt;&gt;"", VLOOKUP(A4609, imdb_netflix_v5!A$2:H$7370, 2, FALSE), "")</f>
        <v>Movie</v>
      </c>
      <c r="C4609" s="2" t="str">
        <f>IF(A4609&lt;&gt;"", VLOOKUP(A4609, imdb_netflix_v5!A$2:H$7370, 3, FALSE), "")</f>
        <v>Drama, Romance</v>
      </c>
      <c r="D4609" s="2">
        <f>IF(A4609&lt;&gt;"", VLOOKUP(A4609, imdb_netflix_v5!A$2:H$7370, 4, FALSE), "")</f>
        <v>7.3</v>
      </c>
      <c r="E4609" s="2">
        <f>IF(A4609&lt;&gt;"", VLOOKUP(A4609, imdb_netflix_v5!A$2:H$7370, 5, FALSE), "")</f>
        <v>1971</v>
      </c>
      <c r="F4609" s="2" t="str">
        <f>IF(A4609&lt;&gt;"", VLOOKUP(A4609, imdb_netflix_v5!A$2:H$7370, 7, FALSE), "")</f>
        <v>NA</v>
      </c>
    </row>
    <row r="4610" ht="15.75" customHeight="1">
      <c r="A4610" s="1" t="str">
        <f>IFERROR(__xludf.DUMMYFUNCTION("""COMPUTED_VALUE"""),"big night")</f>
        <v>big night</v>
      </c>
      <c r="B4610" s="1" t="str">
        <f>IF(A4610&lt;&gt;"", VLOOKUP(A4610, imdb_netflix_v5!A$2:H$7370, 2, FALSE), "")</f>
        <v>Movie</v>
      </c>
      <c r="C4610" s="2" t="str">
        <f>IF(A4610&lt;&gt;"", VLOOKUP(A4610, imdb_netflix_v5!A$2:H$7370, 3, FALSE), "")</f>
        <v>Drama, Romance</v>
      </c>
      <c r="D4610" s="2">
        <f>IF(A4610&lt;&gt;"", VLOOKUP(A4610, imdb_netflix_v5!A$2:H$7370, 4, FALSE), "")</f>
        <v>7.3</v>
      </c>
      <c r="E4610" s="2">
        <f>IF(A4610&lt;&gt;"", VLOOKUP(A4610, imdb_netflix_v5!A$2:H$7370, 5, FALSE), "")</f>
        <v>1996</v>
      </c>
      <c r="F4610" s="2" t="str">
        <f>IF(A4610&lt;&gt;"", VLOOKUP(A4610, imdb_netflix_v5!A$2:H$7370, 7, FALSE), "")</f>
        <v>NA</v>
      </c>
    </row>
    <row r="4611" ht="15.75" customHeight="1">
      <c r="A4611" s="1" t="str">
        <f>IFERROR(__xludf.DUMMYFUNCTION("""COMPUTED_VALUE"""),"the yellow sea")</f>
        <v>the yellow sea</v>
      </c>
      <c r="B4611" s="1" t="str">
        <f>IF(A4611&lt;&gt;"", VLOOKUP(A4611, imdb_netflix_v5!A$2:H$7370, 2, FALSE), "")</f>
        <v>Movie</v>
      </c>
      <c r="C4611" s="2" t="str">
        <f>IF(A4611&lt;&gt;"", VLOOKUP(A4611, imdb_netflix_v5!A$2:H$7370, 3, FALSE), "")</f>
        <v>Action, Crime, Drama</v>
      </c>
      <c r="D4611" s="2">
        <f>IF(A4611&lt;&gt;"", VLOOKUP(A4611, imdb_netflix_v5!A$2:H$7370, 4, FALSE), "")</f>
        <v>7.3</v>
      </c>
      <c r="E4611" s="2">
        <f>IF(A4611&lt;&gt;"", VLOOKUP(A4611, imdb_netflix_v5!A$2:H$7370, 5, FALSE), "")</f>
        <v>2010</v>
      </c>
      <c r="F4611" s="2" t="str">
        <f>IF(A4611&lt;&gt;"", VLOOKUP(A4611, imdb_netflix_v5!A$2:H$7370, 7, FALSE), "")</f>
        <v>NA</v>
      </c>
    </row>
    <row r="4612" ht="15.75" customHeight="1">
      <c r="A4612" s="1" t="str">
        <f>IFERROR(__xludf.DUMMYFUNCTION("""COMPUTED_VALUE"""),"in china they eat dogs")</f>
        <v>in china they eat dogs</v>
      </c>
      <c r="B4612" s="1" t="str">
        <f>IF(A4612&lt;&gt;"", VLOOKUP(A4612, imdb_netflix_v5!A$2:H$7370, 2, FALSE), "")</f>
        <v>Movie</v>
      </c>
      <c r="C4612" s="2" t="str">
        <f>IF(A4612&lt;&gt;"", VLOOKUP(A4612, imdb_netflix_v5!A$2:H$7370, 3, FALSE), "")</f>
        <v>Action, Comedy, Crime</v>
      </c>
      <c r="D4612" s="2">
        <f>IF(A4612&lt;&gt;"", VLOOKUP(A4612, imdb_netflix_v5!A$2:H$7370, 4, FALSE), "")</f>
        <v>7.3</v>
      </c>
      <c r="E4612" s="2">
        <f>IF(A4612&lt;&gt;"", VLOOKUP(A4612, imdb_netflix_v5!A$2:H$7370, 5, FALSE), "")</f>
        <v>1999</v>
      </c>
      <c r="F4612" s="2" t="str">
        <f>IF(A4612&lt;&gt;"", VLOOKUP(A4612, imdb_netflix_v5!A$2:H$7370, 7, FALSE), "")</f>
        <v>NA</v>
      </c>
    </row>
    <row r="4613" ht="15.75" customHeight="1">
      <c r="A4613" s="1" t="str">
        <f>IFERROR(__xludf.DUMMYFUNCTION("""COMPUTED_VALUE"""),"three monkeys")</f>
        <v>three monkeys</v>
      </c>
      <c r="B4613" s="1" t="str">
        <f>IF(A4613&lt;&gt;"", VLOOKUP(A4613, imdb_netflix_v5!A$2:H$7370, 2, FALSE), "")</f>
        <v>Movie</v>
      </c>
      <c r="C4613" s="2" t="str">
        <f>IF(A4613&lt;&gt;"", VLOOKUP(A4613, imdb_netflix_v5!A$2:H$7370, 3, FALSE), "")</f>
        <v>Drama</v>
      </c>
      <c r="D4613" s="2">
        <f>IF(A4613&lt;&gt;"", VLOOKUP(A4613, imdb_netflix_v5!A$2:H$7370, 4, FALSE), "")</f>
        <v>7.3</v>
      </c>
      <c r="E4613" s="2">
        <f>IF(A4613&lt;&gt;"", VLOOKUP(A4613, imdb_netflix_v5!A$2:H$7370, 5, FALSE), "")</f>
        <v>2008</v>
      </c>
      <c r="F4613" s="2" t="str">
        <f>IF(A4613&lt;&gt;"", VLOOKUP(A4613, imdb_netflix_v5!A$2:H$7370, 7, FALSE), "")</f>
        <v>NA</v>
      </c>
    </row>
    <row r="4614" ht="15.75" customHeight="1">
      <c r="A4614" s="1" t="str">
        <f>IFERROR(__xludf.DUMMYFUNCTION("""COMPUTED_VALUE"""),"sanctuary")</f>
        <v>sanctuary</v>
      </c>
      <c r="B4614" s="1" t="str">
        <f>IF(A4614&lt;&gt;"", VLOOKUP(A4614, imdb_netflix_v5!A$2:H$7370, 2, FALSE), "")</f>
        <v>TV Show</v>
      </c>
      <c r="C4614" s="2" t="str">
        <f>IF(A4614&lt;&gt;"", VLOOKUP(A4614, imdb_netflix_v5!A$2:H$7370, 3, FALSE), "")</f>
        <v>Action, Drama, Fantasy</v>
      </c>
      <c r="D4614" s="2">
        <f>IF(A4614&lt;&gt;"", VLOOKUP(A4614, imdb_netflix_v5!A$2:H$7370, 4, FALSE), "")</f>
        <v>7.3</v>
      </c>
      <c r="E4614" s="2">
        <f>IF(A4614&lt;&gt;"", VLOOKUP(A4614, imdb_netflix_v5!A$2:H$7370, 5, FALSE), "")</f>
        <v>2008</v>
      </c>
      <c r="F4614" s="2">
        <f>IF(A4614&lt;&gt;"", VLOOKUP(A4614, imdb_netflix_v5!A$2:H$7370, 7, FALSE), "")</f>
        <v>11250000</v>
      </c>
    </row>
    <row r="4615" ht="15.75" customHeight="1">
      <c r="A4615" s="1" t="str">
        <f>IFERROR(__xludf.DUMMYFUNCTION("""COMPUTED_VALUE"""),"nobodys fool")</f>
        <v>nobodys fool</v>
      </c>
      <c r="B4615" s="1" t="str">
        <f>IF(A4615&lt;&gt;"", VLOOKUP(A4615, imdb_netflix_v5!A$2:H$7370, 2, FALSE), "")</f>
        <v>Movie</v>
      </c>
      <c r="C4615" s="2" t="str">
        <f>IF(A4615&lt;&gt;"", VLOOKUP(A4615, imdb_netflix_v5!A$2:H$7370, 3, FALSE), "")</f>
        <v>Comedy, Drama</v>
      </c>
      <c r="D4615" s="2">
        <f>IF(A4615&lt;&gt;"", VLOOKUP(A4615, imdb_netflix_v5!A$2:H$7370, 4, FALSE), "")</f>
        <v>7.3</v>
      </c>
      <c r="E4615" s="2">
        <f>IF(A4615&lt;&gt;"", VLOOKUP(A4615, imdb_netflix_v5!A$2:H$7370, 5, FALSE), "")</f>
        <v>1994</v>
      </c>
      <c r="F4615" s="2" t="str">
        <f>IF(A4615&lt;&gt;"", VLOOKUP(A4615, imdb_netflix_v5!A$2:H$7370, 7, FALSE), "")</f>
        <v>NA</v>
      </c>
    </row>
    <row r="4616" ht="15.75" customHeight="1">
      <c r="A4616" s="1" t="str">
        <f>IFERROR(__xludf.DUMMYFUNCTION("""COMPUTED_VALUE"""),"girl in the picture")</f>
        <v>girl in the picture</v>
      </c>
      <c r="B4616" s="1" t="str">
        <f>IF(A4616&lt;&gt;"", VLOOKUP(A4616, imdb_netflix_v5!A$2:H$7370, 2, FALSE), "")</f>
        <v>Movie</v>
      </c>
      <c r="C4616" s="2" t="str">
        <f>IF(A4616&lt;&gt;"", VLOOKUP(A4616, imdb_netflix_v5!A$2:H$7370, 3, FALSE), "")</f>
        <v>Crime, Documentary, Mystery</v>
      </c>
      <c r="D4616" s="2">
        <f>IF(A4616&lt;&gt;"", VLOOKUP(A4616, imdb_netflix_v5!A$2:H$7370, 4, FALSE), "")</f>
        <v>7.3</v>
      </c>
      <c r="E4616" s="2">
        <f>IF(A4616&lt;&gt;"", VLOOKUP(A4616, imdb_netflix_v5!A$2:H$7370, 5, FALSE), "")</f>
        <v>2022</v>
      </c>
      <c r="F4616" s="2">
        <f>IF(A4616&lt;&gt;"", VLOOKUP(A4616, imdb_netflix_v5!A$2:H$7370, 7, FALSE), "")</f>
        <v>7360000</v>
      </c>
    </row>
    <row r="4617" ht="15.75" customHeight="1">
      <c r="A4617" s="1" t="str">
        <f>IFERROR(__xludf.DUMMYFUNCTION("""COMPUTED_VALUE"""),"stand and deliver")</f>
        <v>stand and deliver</v>
      </c>
      <c r="B4617" s="1" t="str">
        <f>IF(A4617&lt;&gt;"", VLOOKUP(A4617, imdb_netflix_v5!A$2:H$7370, 2, FALSE), "")</f>
        <v>Movie</v>
      </c>
      <c r="C4617" s="2" t="str">
        <f>IF(A4617&lt;&gt;"", VLOOKUP(A4617, imdb_netflix_v5!A$2:H$7370, 3, FALSE), "")</f>
        <v>Biography, Drama</v>
      </c>
      <c r="D4617" s="2">
        <f>IF(A4617&lt;&gt;"", VLOOKUP(A4617, imdb_netflix_v5!A$2:H$7370, 4, FALSE), "")</f>
        <v>7.3</v>
      </c>
      <c r="E4617" s="2">
        <f>IF(A4617&lt;&gt;"", VLOOKUP(A4617, imdb_netflix_v5!A$2:H$7370, 5, FALSE), "")</f>
        <v>1988</v>
      </c>
      <c r="F4617" s="2" t="str">
        <f>IF(A4617&lt;&gt;"", VLOOKUP(A4617, imdb_netflix_v5!A$2:H$7370, 7, FALSE), "")</f>
        <v>NA</v>
      </c>
    </row>
    <row r="4618" ht="15.75" customHeight="1">
      <c r="A4618" s="1" t="str">
        <f>IFERROR(__xludf.DUMMYFUNCTION("""COMPUTED_VALUE"""),"wecrashed")</f>
        <v>wecrashed</v>
      </c>
      <c r="B4618" s="1" t="str">
        <f>IF(A4618&lt;&gt;"", VLOOKUP(A4618, imdb_netflix_v5!A$2:H$7370, 2, FALSE), "")</f>
        <v>TV Show</v>
      </c>
      <c r="C4618" s="2" t="str">
        <f>IF(A4618&lt;&gt;"", VLOOKUP(A4618, imdb_netflix_v5!A$2:H$7370, 3, FALSE), "")</f>
        <v>Biography, Drama</v>
      </c>
      <c r="D4618" s="2">
        <f>IF(A4618&lt;&gt;"", VLOOKUP(A4618, imdb_netflix_v5!A$2:H$7370, 4, FALSE), "")</f>
        <v>7.3</v>
      </c>
      <c r="E4618" s="2">
        <f>IF(A4618&lt;&gt;"", VLOOKUP(A4618, imdb_netflix_v5!A$2:H$7370, 5, FALSE), "")</f>
        <v>2022</v>
      </c>
      <c r="F4618" s="2" t="str">
        <f>IF(A4618&lt;&gt;"", VLOOKUP(A4618, imdb_netflix_v5!A$2:H$7370, 7, FALSE), "")</f>
        <v>NA</v>
      </c>
    </row>
    <row r="4619" ht="15.75" customHeight="1">
      <c r="A4619" s="1" t="str">
        <f>IFERROR(__xludf.DUMMYFUNCTION("""COMPUTED_VALUE"""),"the afterparty")</f>
        <v>the afterparty</v>
      </c>
      <c r="B4619" s="1" t="str">
        <f>IF(A4619&lt;&gt;"", VLOOKUP(A4619, imdb_netflix_v5!A$2:H$7370, 2, FALSE), "")</f>
        <v>TV Show</v>
      </c>
      <c r="C4619" s="2" t="str">
        <f>IF(A4619&lt;&gt;"", VLOOKUP(A4619, imdb_netflix_v5!A$2:H$7370, 3, FALSE), "")</f>
        <v>Comedy, Crime, Mystery</v>
      </c>
      <c r="D4619" s="2">
        <f>IF(A4619&lt;&gt;"", VLOOKUP(A4619, imdb_netflix_v5!A$2:H$7370, 4, FALSE), "")</f>
        <v>7.3</v>
      </c>
      <c r="E4619" s="2">
        <f>IF(A4619&lt;&gt;"", VLOOKUP(A4619, imdb_netflix_v5!A$2:H$7370, 5, FALSE), "")</f>
        <v>2022</v>
      </c>
      <c r="F4619" s="2" t="str">
        <f>IF(A4619&lt;&gt;"", VLOOKUP(A4619, imdb_netflix_v5!A$2:H$7370, 7, FALSE), "")</f>
        <v>NA</v>
      </c>
    </row>
    <row r="4620" ht="15.75" customHeight="1">
      <c r="A4620" s="1" t="str">
        <f>IFERROR(__xludf.DUMMYFUNCTION("""COMPUTED_VALUE"""),"moby dick")</f>
        <v>moby dick</v>
      </c>
      <c r="B4620" s="1" t="str">
        <f>IF(A4620&lt;&gt;"", VLOOKUP(A4620, imdb_netflix_v5!A$2:H$7370, 2, FALSE), "")</f>
        <v>Movie</v>
      </c>
      <c r="C4620" s="2" t="str">
        <f>IF(A4620&lt;&gt;"", VLOOKUP(A4620, imdb_netflix_v5!A$2:H$7370, 3, FALSE), "")</f>
        <v>Adventure, Drama</v>
      </c>
      <c r="D4620" s="2">
        <f>IF(A4620&lt;&gt;"", VLOOKUP(A4620, imdb_netflix_v5!A$2:H$7370, 4, FALSE), "")</f>
        <v>7.3</v>
      </c>
      <c r="E4620" s="2">
        <f>IF(A4620&lt;&gt;"", VLOOKUP(A4620, imdb_netflix_v5!A$2:H$7370, 5, FALSE), "")</f>
        <v>1956</v>
      </c>
      <c r="F4620" s="2" t="str">
        <f>IF(A4620&lt;&gt;"", VLOOKUP(A4620, imdb_netflix_v5!A$2:H$7370, 7, FALSE), "")</f>
        <v>NA</v>
      </c>
    </row>
    <row r="4621" ht="15.75" customHeight="1">
      <c r="A4621" s="1" t="str">
        <f>IFERROR(__xludf.DUMMYFUNCTION("""COMPUTED_VALUE"""),"the captain")</f>
        <v>the captain</v>
      </c>
      <c r="B4621" s="1" t="str">
        <f>IF(A4621&lt;&gt;"", VLOOKUP(A4621, imdb_netflix_v5!A$2:H$7370, 2, FALSE), "")</f>
        <v>Movie</v>
      </c>
      <c r="C4621" s="2" t="str">
        <f>IF(A4621&lt;&gt;"", VLOOKUP(A4621, imdb_netflix_v5!A$2:H$7370, 3, FALSE), "")</f>
        <v>Drama, History, Thriller</v>
      </c>
      <c r="D4621" s="2">
        <f>IF(A4621&lt;&gt;"", VLOOKUP(A4621, imdb_netflix_v5!A$2:H$7370, 4, FALSE), "")</f>
        <v>7.3</v>
      </c>
      <c r="E4621" s="2">
        <f>IF(A4621&lt;&gt;"", VLOOKUP(A4621, imdb_netflix_v5!A$2:H$7370, 5, FALSE), "")</f>
        <v>2017</v>
      </c>
      <c r="F4621" s="2" t="str">
        <f>IF(A4621&lt;&gt;"", VLOOKUP(A4621, imdb_netflix_v5!A$2:H$7370, 7, FALSE), "")</f>
        <v>NA</v>
      </c>
    </row>
    <row r="4622" ht="15.75" customHeight="1">
      <c r="A4622" s="1" t="str">
        <f>IFERROR(__xludf.DUMMYFUNCTION("""COMPUTED_VALUE"""),"the last black man in san francisco")</f>
        <v>the last black man in san francisco</v>
      </c>
      <c r="B4622" s="1" t="str">
        <f>IF(A4622&lt;&gt;"", VLOOKUP(A4622, imdb_netflix_v5!A$2:H$7370, 2, FALSE), "")</f>
        <v>Movie</v>
      </c>
      <c r="C4622" s="2" t="str">
        <f>IF(A4622&lt;&gt;"", VLOOKUP(A4622, imdb_netflix_v5!A$2:H$7370, 3, FALSE), "")</f>
        <v>Drama</v>
      </c>
      <c r="D4622" s="2">
        <f>IF(A4622&lt;&gt;"", VLOOKUP(A4622, imdb_netflix_v5!A$2:H$7370, 4, FALSE), "")</f>
        <v>7.3</v>
      </c>
      <c r="E4622" s="2">
        <f>IF(A4622&lt;&gt;"", VLOOKUP(A4622, imdb_netflix_v5!A$2:H$7370, 5, FALSE), "")</f>
        <v>2019</v>
      </c>
      <c r="F4622" s="2" t="str">
        <f>IF(A4622&lt;&gt;"", VLOOKUP(A4622, imdb_netflix_v5!A$2:H$7370, 7, FALSE), "")</f>
        <v>NA</v>
      </c>
    </row>
    <row r="4623" ht="15.75" customHeight="1">
      <c r="A4623" s="1" t="str">
        <f>IFERROR(__xludf.DUMMYFUNCTION("""COMPUTED_VALUE"""),"last resort")</f>
        <v>last resort</v>
      </c>
      <c r="B4623" s="1" t="str">
        <f>IF(A4623&lt;&gt;"", VLOOKUP(A4623, imdb_netflix_v5!A$2:H$7370, 2, FALSE), "")</f>
        <v>TV Show</v>
      </c>
      <c r="C4623" s="2" t="str">
        <f>IF(A4623&lt;&gt;"", VLOOKUP(A4623, imdb_netflix_v5!A$2:H$7370, 3, FALSE), "")</f>
        <v>Action, Drama, Mystery</v>
      </c>
      <c r="D4623" s="2">
        <f>IF(A4623&lt;&gt;"", VLOOKUP(A4623, imdb_netflix_v5!A$2:H$7370, 4, FALSE), "")</f>
        <v>7.3</v>
      </c>
      <c r="E4623" s="2">
        <f>IF(A4623&lt;&gt;"", VLOOKUP(A4623, imdb_netflix_v5!A$2:H$7370, 5, FALSE), "")</f>
        <v>2012</v>
      </c>
      <c r="F4623" s="2" t="str">
        <f>IF(A4623&lt;&gt;"", VLOOKUP(A4623, imdb_netflix_v5!A$2:H$7370, 7, FALSE), "")</f>
        <v>NA</v>
      </c>
    </row>
    <row r="4624" ht="15.75" customHeight="1">
      <c r="A4624" s="1" t="str">
        <f>IFERROR(__xludf.DUMMYFUNCTION("""COMPUTED_VALUE"""),"irma la douce")</f>
        <v>irma la douce</v>
      </c>
      <c r="B4624" s="1" t="str">
        <f>IF(A4624&lt;&gt;"", VLOOKUP(A4624, imdb_netflix_v5!A$2:H$7370, 2, FALSE), "")</f>
        <v>Movie</v>
      </c>
      <c r="C4624" s="2" t="str">
        <f>IF(A4624&lt;&gt;"", VLOOKUP(A4624, imdb_netflix_v5!A$2:H$7370, 3, FALSE), "")</f>
        <v>Comedy, Romance</v>
      </c>
      <c r="D4624" s="2">
        <f>IF(A4624&lt;&gt;"", VLOOKUP(A4624, imdb_netflix_v5!A$2:H$7370, 4, FALSE), "")</f>
        <v>7.3</v>
      </c>
      <c r="E4624" s="2">
        <f>IF(A4624&lt;&gt;"", VLOOKUP(A4624, imdb_netflix_v5!A$2:H$7370, 5, FALSE), "")</f>
        <v>1963</v>
      </c>
      <c r="F4624" s="2" t="str">
        <f>IF(A4624&lt;&gt;"", VLOOKUP(A4624, imdb_netflix_v5!A$2:H$7370, 7, FALSE), "")</f>
        <v>NA</v>
      </c>
    </row>
    <row r="4625" ht="15.75" customHeight="1">
      <c r="A4625" s="1" t="str">
        <f>IFERROR(__xludf.DUMMYFUNCTION("""COMPUTED_VALUE"""),"baby daddy")</f>
        <v>baby daddy</v>
      </c>
      <c r="B4625" s="1" t="str">
        <f>IF(A4625&lt;&gt;"", VLOOKUP(A4625, imdb_netflix_v5!A$2:H$7370, 2, FALSE), "")</f>
        <v>TV Show</v>
      </c>
      <c r="C4625" s="2" t="str">
        <f>IF(A4625&lt;&gt;"", VLOOKUP(A4625, imdb_netflix_v5!A$2:H$7370, 3, FALSE), "")</f>
        <v>Comedy, Drama, Family</v>
      </c>
      <c r="D4625" s="2">
        <f>IF(A4625&lt;&gt;"", VLOOKUP(A4625, imdb_netflix_v5!A$2:H$7370, 4, FALSE), "")</f>
        <v>7.3</v>
      </c>
      <c r="E4625" s="2">
        <f>IF(A4625&lt;&gt;"", VLOOKUP(A4625, imdb_netflix_v5!A$2:H$7370, 5, FALSE), "")</f>
        <v>2012</v>
      </c>
      <c r="F4625" s="2" t="str">
        <f>IF(A4625&lt;&gt;"", VLOOKUP(A4625, imdb_netflix_v5!A$2:H$7370, 7, FALSE), "")</f>
        <v>NA</v>
      </c>
    </row>
    <row r="4626" ht="15.75" customHeight="1">
      <c r="A4626" s="1" t="str">
        <f>IFERROR(__xludf.DUMMYFUNCTION("""COMPUTED_VALUE"""),"love is in the air")</f>
        <v>love is in the air</v>
      </c>
      <c r="B4626" s="1" t="str">
        <f>IF(A4626&lt;&gt;"", VLOOKUP(A4626, imdb_netflix_v5!A$2:H$7370, 2, FALSE), "")</f>
        <v>TV Show</v>
      </c>
      <c r="C4626" s="2" t="str">
        <f>IF(A4626&lt;&gt;"", VLOOKUP(A4626, imdb_netflix_v5!A$2:H$7370, 3, FALSE), "")</f>
        <v>Comedy, Romance</v>
      </c>
      <c r="D4626" s="2">
        <f>IF(A4626&lt;&gt;"", VLOOKUP(A4626, imdb_netflix_v5!A$2:H$7370, 4, FALSE), "")</f>
        <v>7.3</v>
      </c>
      <c r="E4626" s="2">
        <f>IF(A4626&lt;&gt;"", VLOOKUP(A4626, imdb_netflix_v5!A$2:H$7370, 5, FALSE), "")</f>
        <v>2020</v>
      </c>
      <c r="F4626" s="2">
        <f>IF(A4626&lt;&gt;"", VLOOKUP(A4626, imdb_netflix_v5!A$2:H$7370, 7, FALSE), "")</f>
        <v>10700000</v>
      </c>
    </row>
    <row r="4627" ht="15.75" customHeight="1">
      <c r="A4627" s="1" t="str">
        <f>IFERROR(__xludf.DUMMYFUNCTION("""COMPUTED_VALUE"""),"the sons room")</f>
        <v>the sons room</v>
      </c>
      <c r="B4627" s="1" t="str">
        <f>IF(A4627&lt;&gt;"", VLOOKUP(A4627, imdb_netflix_v5!A$2:H$7370, 2, FALSE), "")</f>
        <v>Movie</v>
      </c>
      <c r="C4627" s="2" t="str">
        <f>IF(A4627&lt;&gt;"", VLOOKUP(A4627, imdb_netflix_v5!A$2:H$7370, 3, FALSE), "")</f>
        <v>Drama</v>
      </c>
      <c r="D4627" s="2">
        <f>IF(A4627&lt;&gt;"", VLOOKUP(A4627, imdb_netflix_v5!A$2:H$7370, 4, FALSE), "")</f>
        <v>7.3</v>
      </c>
      <c r="E4627" s="2">
        <f>IF(A4627&lt;&gt;"", VLOOKUP(A4627, imdb_netflix_v5!A$2:H$7370, 5, FALSE), "")</f>
        <v>2001</v>
      </c>
      <c r="F4627" s="2" t="str">
        <f>IF(A4627&lt;&gt;"", VLOOKUP(A4627, imdb_netflix_v5!A$2:H$7370, 7, FALSE), "")</f>
        <v>NA</v>
      </c>
    </row>
    <row r="4628" ht="15.75" customHeight="1">
      <c r="A4628" s="1" t="str">
        <f>IFERROR(__xludf.DUMMYFUNCTION("""COMPUTED_VALUE"""),"a passage to india")</f>
        <v>a passage to india</v>
      </c>
      <c r="B4628" s="1" t="str">
        <f>IF(A4628&lt;&gt;"", VLOOKUP(A4628, imdb_netflix_v5!A$2:H$7370, 2, FALSE), "")</f>
        <v>Movie</v>
      </c>
      <c r="C4628" s="2" t="str">
        <f>IF(A4628&lt;&gt;"", VLOOKUP(A4628, imdb_netflix_v5!A$2:H$7370, 3, FALSE), "")</f>
        <v>Adventure, Drama, History</v>
      </c>
      <c r="D4628" s="2">
        <f>IF(A4628&lt;&gt;"", VLOOKUP(A4628, imdb_netflix_v5!A$2:H$7370, 4, FALSE), "")</f>
        <v>7.3</v>
      </c>
      <c r="E4628" s="2">
        <f>IF(A4628&lt;&gt;"", VLOOKUP(A4628, imdb_netflix_v5!A$2:H$7370, 5, FALSE), "")</f>
        <v>1984</v>
      </c>
      <c r="F4628" s="2" t="str">
        <f>IF(A4628&lt;&gt;"", VLOOKUP(A4628, imdb_netflix_v5!A$2:H$7370, 7, FALSE), "")</f>
        <v>NA</v>
      </c>
    </row>
    <row r="4629" ht="15.75" customHeight="1">
      <c r="A4629" s="1" t="str">
        <f>IFERROR(__xludf.DUMMYFUNCTION("""COMPUTED_VALUE"""),"grand hotel")</f>
        <v>grand hotel</v>
      </c>
      <c r="B4629" s="1" t="str">
        <f>IF(A4629&lt;&gt;"", VLOOKUP(A4629, imdb_netflix_v5!A$2:H$7370, 2, FALSE), "")</f>
        <v>Movie</v>
      </c>
      <c r="C4629" s="2" t="str">
        <f>IF(A4629&lt;&gt;"", VLOOKUP(A4629, imdb_netflix_v5!A$2:H$7370, 3, FALSE), "")</f>
        <v>Drama, Romance</v>
      </c>
      <c r="D4629" s="2">
        <f>IF(A4629&lt;&gt;"", VLOOKUP(A4629, imdb_netflix_v5!A$2:H$7370, 4, FALSE), "")</f>
        <v>7.3</v>
      </c>
      <c r="E4629" s="2">
        <f>IF(A4629&lt;&gt;"", VLOOKUP(A4629, imdb_netflix_v5!A$2:H$7370, 5, FALSE), "")</f>
        <v>1932</v>
      </c>
      <c r="F4629" s="2" t="str">
        <f>IF(A4629&lt;&gt;"", VLOOKUP(A4629, imdb_netflix_v5!A$2:H$7370, 7, FALSE), "")</f>
        <v>NA</v>
      </c>
    </row>
    <row r="4630" ht="15.75" customHeight="1">
      <c r="A4630" s="1" t="str">
        <f>IFERROR(__xludf.DUMMYFUNCTION("""COMPUTED_VALUE"""),"interiors")</f>
        <v>interiors</v>
      </c>
      <c r="B4630" s="1" t="str">
        <f>IF(A4630&lt;&gt;"", VLOOKUP(A4630, imdb_netflix_v5!A$2:H$7370, 2, FALSE), "")</f>
        <v>Movie</v>
      </c>
      <c r="C4630" s="2" t="str">
        <f>IF(A4630&lt;&gt;"", VLOOKUP(A4630, imdb_netflix_v5!A$2:H$7370, 3, FALSE), "")</f>
        <v>Drama</v>
      </c>
      <c r="D4630" s="2">
        <f>IF(A4630&lt;&gt;"", VLOOKUP(A4630, imdb_netflix_v5!A$2:H$7370, 4, FALSE), "")</f>
        <v>7.3</v>
      </c>
      <c r="E4630" s="2">
        <f>IF(A4630&lt;&gt;"", VLOOKUP(A4630, imdb_netflix_v5!A$2:H$7370, 5, FALSE), "")</f>
        <v>1978</v>
      </c>
      <c r="F4630" s="2" t="str">
        <f>IF(A4630&lt;&gt;"", VLOOKUP(A4630, imdb_netflix_v5!A$2:H$7370, 7, FALSE), "")</f>
        <v>NA</v>
      </c>
    </row>
    <row r="4631" ht="15.75" customHeight="1">
      <c r="A4631" s="1" t="str">
        <f>IFERROR(__xludf.DUMMYFUNCTION("""COMPUTED_VALUE"""),"blue jay")</f>
        <v>blue jay</v>
      </c>
      <c r="B4631" s="1" t="str">
        <f>IF(A4631&lt;&gt;"", VLOOKUP(A4631, imdb_netflix_v5!A$2:H$7370, 2, FALSE), "")</f>
        <v>Movie</v>
      </c>
      <c r="C4631" s="2" t="str">
        <f>IF(A4631&lt;&gt;"", VLOOKUP(A4631, imdb_netflix_v5!A$2:H$7370, 3, FALSE), "")</f>
        <v>Drama, Romance</v>
      </c>
      <c r="D4631" s="2">
        <f>IF(A4631&lt;&gt;"", VLOOKUP(A4631, imdb_netflix_v5!A$2:H$7370, 4, FALSE), "")</f>
        <v>7.3</v>
      </c>
      <c r="E4631" s="2">
        <f>IF(A4631&lt;&gt;"", VLOOKUP(A4631, imdb_netflix_v5!A$2:H$7370, 5, FALSE), "")</f>
        <v>2016</v>
      </c>
      <c r="F4631" s="2" t="str">
        <f>IF(A4631&lt;&gt;"", VLOOKUP(A4631, imdb_netflix_v5!A$2:H$7370, 7, FALSE), "")</f>
        <v>NA</v>
      </c>
    </row>
    <row r="4632" ht="15.75" customHeight="1">
      <c r="A4632" s="1" t="str">
        <f>IFERROR(__xludf.DUMMYFUNCTION("""COMPUTED_VALUE"""),"phoenix")</f>
        <v>phoenix</v>
      </c>
      <c r="B4632" s="1" t="str">
        <f>IF(A4632&lt;&gt;"", VLOOKUP(A4632, imdb_netflix_v5!A$2:H$7370, 2, FALSE), "")</f>
        <v>Movie</v>
      </c>
      <c r="C4632" s="2" t="str">
        <f>IF(A4632&lt;&gt;"", VLOOKUP(A4632, imdb_netflix_v5!A$2:H$7370, 3, FALSE), "")</f>
        <v>Drama, History, Music</v>
      </c>
      <c r="D4632" s="2">
        <f>IF(A4632&lt;&gt;"", VLOOKUP(A4632, imdb_netflix_v5!A$2:H$7370, 4, FALSE), "")</f>
        <v>7.3</v>
      </c>
      <c r="E4632" s="2">
        <f>IF(A4632&lt;&gt;"", VLOOKUP(A4632, imdb_netflix_v5!A$2:H$7370, 5, FALSE), "")</f>
        <v>2014</v>
      </c>
      <c r="F4632" s="2" t="str">
        <f>IF(A4632&lt;&gt;"", VLOOKUP(A4632, imdb_netflix_v5!A$2:H$7370, 7, FALSE), "")</f>
        <v>NA</v>
      </c>
    </row>
    <row r="4633" ht="15.75" customHeight="1">
      <c r="A4633" s="1" t="str">
        <f>IFERROR(__xludf.DUMMYFUNCTION("""COMPUTED_VALUE"""),"the ultimate gift")</f>
        <v>the ultimate gift</v>
      </c>
      <c r="B4633" s="1" t="str">
        <f>IF(A4633&lt;&gt;"", VLOOKUP(A4633, imdb_netflix_v5!A$2:H$7370, 2, FALSE), "")</f>
        <v>Movie</v>
      </c>
      <c r="C4633" s="2" t="str">
        <f>IF(A4633&lt;&gt;"", VLOOKUP(A4633, imdb_netflix_v5!A$2:H$7370, 3, FALSE), "")</f>
        <v>Drama, Family, Romance</v>
      </c>
      <c r="D4633" s="2">
        <f>IF(A4633&lt;&gt;"", VLOOKUP(A4633, imdb_netflix_v5!A$2:H$7370, 4, FALSE), "")</f>
        <v>7.3</v>
      </c>
      <c r="E4633" s="2">
        <f>IF(A4633&lt;&gt;"", VLOOKUP(A4633, imdb_netflix_v5!A$2:H$7370, 5, FALSE), "")</f>
        <v>2006</v>
      </c>
      <c r="F4633" s="2" t="str">
        <f>IF(A4633&lt;&gt;"", VLOOKUP(A4633, imdb_netflix_v5!A$2:H$7370, 7, FALSE), "")</f>
        <v>NA</v>
      </c>
    </row>
    <row r="4634" ht="15.75" customHeight="1">
      <c r="A4634" s="1" t="str">
        <f>IFERROR(__xludf.DUMMYFUNCTION("""COMPUTED_VALUE"""),"family ties")</f>
        <v>family ties</v>
      </c>
      <c r="B4634" s="1" t="str">
        <f>IF(A4634&lt;&gt;"", VLOOKUP(A4634, imdb_netflix_v5!A$2:H$7370, 2, FALSE), "")</f>
        <v>TV Show</v>
      </c>
      <c r="C4634" s="2" t="str">
        <f>IF(A4634&lt;&gt;"", VLOOKUP(A4634, imdb_netflix_v5!A$2:H$7370, 3, FALSE), "")</f>
        <v>Comedy, Drama, Family</v>
      </c>
      <c r="D4634" s="2">
        <f>IF(A4634&lt;&gt;"", VLOOKUP(A4634, imdb_netflix_v5!A$2:H$7370, 4, FALSE), "")</f>
        <v>7.3</v>
      </c>
      <c r="E4634" s="2">
        <f>IF(A4634&lt;&gt;"", VLOOKUP(A4634, imdb_netflix_v5!A$2:H$7370, 5, FALSE), "")</f>
        <v>1982</v>
      </c>
      <c r="F4634" s="2" t="str">
        <f>IF(A4634&lt;&gt;"", VLOOKUP(A4634, imdb_netflix_v5!A$2:H$7370, 7, FALSE), "")</f>
        <v>NA</v>
      </c>
    </row>
    <row r="4635" ht="15.75" customHeight="1">
      <c r="A4635" s="1" t="str">
        <f>IFERROR(__xludf.DUMMYFUNCTION("""COMPUTED_VALUE"""),"shadowlands")</f>
        <v>shadowlands</v>
      </c>
      <c r="B4635" s="1" t="str">
        <f>IF(A4635&lt;&gt;"", VLOOKUP(A4635, imdb_netflix_v5!A$2:H$7370, 2, FALSE), "")</f>
        <v>Movie</v>
      </c>
      <c r="C4635" s="2" t="str">
        <f>IF(A4635&lt;&gt;"", VLOOKUP(A4635, imdb_netflix_v5!A$2:H$7370, 3, FALSE), "")</f>
        <v>Biography, Drama, Romance</v>
      </c>
      <c r="D4635" s="2">
        <f>IF(A4635&lt;&gt;"", VLOOKUP(A4635, imdb_netflix_v5!A$2:H$7370, 4, FALSE), "")</f>
        <v>7.3</v>
      </c>
      <c r="E4635" s="2">
        <f>IF(A4635&lt;&gt;"", VLOOKUP(A4635, imdb_netflix_v5!A$2:H$7370, 5, FALSE), "")</f>
        <v>1993</v>
      </c>
      <c r="F4635" s="2" t="str">
        <f>IF(A4635&lt;&gt;"", VLOOKUP(A4635, imdb_netflix_v5!A$2:H$7370, 7, FALSE), "")</f>
        <v>NA</v>
      </c>
    </row>
    <row r="4636" ht="15.75" customHeight="1">
      <c r="A4636" s="1" t="str">
        <f>IFERROR(__xludf.DUMMYFUNCTION("""COMPUTED_VALUE"""),"monsieur hulots holiday")</f>
        <v>monsieur hulots holiday</v>
      </c>
      <c r="B4636" s="1" t="str">
        <f>IF(A4636&lt;&gt;"", VLOOKUP(A4636, imdb_netflix_v5!A$2:H$7370, 2, FALSE), "")</f>
        <v>Movie</v>
      </c>
      <c r="C4636" s="2" t="str">
        <f>IF(A4636&lt;&gt;"", VLOOKUP(A4636, imdb_netflix_v5!A$2:H$7370, 3, FALSE), "")</f>
        <v>Comedy</v>
      </c>
      <c r="D4636" s="2">
        <f>IF(A4636&lt;&gt;"", VLOOKUP(A4636, imdb_netflix_v5!A$2:H$7370, 4, FALSE), "")</f>
        <v>7.3</v>
      </c>
      <c r="E4636" s="2">
        <f>IF(A4636&lt;&gt;"", VLOOKUP(A4636, imdb_netflix_v5!A$2:H$7370, 5, FALSE), "")</f>
        <v>1953</v>
      </c>
      <c r="F4636" s="2" t="str">
        <f>IF(A4636&lt;&gt;"", VLOOKUP(A4636, imdb_netflix_v5!A$2:H$7370, 7, FALSE), "")</f>
        <v>NA</v>
      </c>
    </row>
    <row r="4637" ht="15.75" customHeight="1">
      <c r="A4637" s="1" t="str">
        <f>IFERROR(__xludf.DUMMYFUNCTION("""COMPUTED_VALUE"""),"detour")</f>
        <v>detour</v>
      </c>
      <c r="B4637" s="1" t="str">
        <f>IF(A4637&lt;&gt;"", VLOOKUP(A4637, imdb_netflix_v5!A$2:H$7370, 2, FALSE), "")</f>
        <v>Movie</v>
      </c>
      <c r="C4637" s="2" t="str">
        <f>IF(A4637&lt;&gt;"", VLOOKUP(A4637, imdb_netflix_v5!A$2:H$7370, 3, FALSE), "")</f>
        <v>Crime, Drama, Film-Noir</v>
      </c>
      <c r="D4637" s="2">
        <f>IF(A4637&lt;&gt;"", VLOOKUP(A4637, imdb_netflix_v5!A$2:H$7370, 4, FALSE), "")</f>
        <v>7.3</v>
      </c>
      <c r="E4637" s="2">
        <f>IF(A4637&lt;&gt;"", VLOOKUP(A4637, imdb_netflix_v5!A$2:H$7370, 5, FALSE), "")</f>
        <v>1945</v>
      </c>
      <c r="F4637" s="2" t="str">
        <f>IF(A4637&lt;&gt;"", VLOOKUP(A4637, imdb_netflix_v5!A$2:H$7370, 7, FALSE), "")</f>
        <v>NA</v>
      </c>
    </row>
    <row r="4638" ht="15.75" customHeight="1">
      <c r="A4638" s="1" t="str">
        <f>IFERROR(__xludf.DUMMYFUNCTION("""COMPUTED_VALUE"""),"abbott and costello meet frankenstein")</f>
        <v>abbott and costello meet frankenstein</v>
      </c>
      <c r="B4638" s="1" t="str">
        <f>IF(A4638&lt;&gt;"", VLOOKUP(A4638, imdb_netflix_v5!A$2:H$7370, 2, FALSE), "")</f>
        <v>Movie</v>
      </c>
      <c r="C4638" s="2" t="str">
        <f>IF(A4638&lt;&gt;"", VLOOKUP(A4638, imdb_netflix_v5!A$2:H$7370, 3, FALSE), "")</f>
        <v>Comedy, Family, Fantasy</v>
      </c>
      <c r="D4638" s="2">
        <f>IF(A4638&lt;&gt;"", VLOOKUP(A4638, imdb_netflix_v5!A$2:H$7370, 4, FALSE), "")</f>
        <v>7.3</v>
      </c>
      <c r="E4638" s="2">
        <f>IF(A4638&lt;&gt;"", VLOOKUP(A4638, imdb_netflix_v5!A$2:H$7370, 5, FALSE), "")</f>
        <v>1948</v>
      </c>
      <c r="F4638" s="2" t="str">
        <f>IF(A4638&lt;&gt;"", VLOOKUP(A4638, imdb_netflix_v5!A$2:H$7370, 7, FALSE), "")</f>
        <v>NA</v>
      </c>
    </row>
    <row r="4639" ht="15.75" customHeight="1">
      <c r="A4639" s="1" t="str">
        <f>IFERROR(__xludf.DUMMYFUNCTION("""COMPUTED_VALUE"""),"the best of enemies")</f>
        <v>the best of enemies</v>
      </c>
      <c r="B4639" s="1" t="str">
        <f>IF(A4639&lt;&gt;"", VLOOKUP(A4639, imdb_netflix_v5!A$2:H$7370, 2, FALSE), "")</f>
        <v>Movie</v>
      </c>
      <c r="C4639" s="2" t="str">
        <f>IF(A4639&lt;&gt;"", VLOOKUP(A4639, imdb_netflix_v5!A$2:H$7370, 3, FALSE), "")</f>
        <v>Biography, Drama, History</v>
      </c>
      <c r="D4639" s="2">
        <f>IF(A4639&lt;&gt;"", VLOOKUP(A4639, imdb_netflix_v5!A$2:H$7370, 4, FALSE), "")</f>
        <v>7.3</v>
      </c>
      <c r="E4639" s="2">
        <f>IF(A4639&lt;&gt;"", VLOOKUP(A4639, imdb_netflix_v5!A$2:H$7370, 5, FALSE), "")</f>
        <v>2019</v>
      </c>
      <c r="F4639" s="2" t="str">
        <f>IF(A4639&lt;&gt;"", VLOOKUP(A4639, imdb_netflix_v5!A$2:H$7370, 7, FALSE), "")</f>
        <v>NA</v>
      </c>
    </row>
    <row r="4640" ht="15.75" customHeight="1">
      <c r="A4640" s="1" t="str">
        <f>IFERROR(__xludf.DUMMYFUNCTION("""COMPUTED_VALUE"""),"red dog")</f>
        <v>red dog</v>
      </c>
      <c r="B4640" s="1" t="str">
        <f>IF(A4640&lt;&gt;"", VLOOKUP(A4640, imdb_netflix_v5!A$2:H$7370, 2, FALSE), "")</f>
        <v>Movie</v>
      </c>
      <c r="C4640" s="2" t="str">
        <f>IF(A4640&lt;&gt;"", VLOOKUP(A4640, imdb_netflix_v5!A$2:H$7370, 3, FALSE), "")</f>
        <v>Biography, Comedy, Drama</v>
      </c>
      <c r="D4640" s="2">
        <f>IF(A4640&lt;&gt;"", VLOOKUP(A4640, imdb_netflix_v5!A$2:H$7370, 4, FALSE), "")</f>
        <v>7.3</v>
      </c>
      <c r="E4640" s="2">
        <f>IF(A4640&lt;&gt;"", VLOOKUP(A4640, imdb_netflix_v5!A$2:H$7370, 5, FALSE), "")</f>
        <v>2011</v>
      </c>
      <c r="F4640" s="2" t="str">
        <f>IF(A4640&lt;&gt;"", VLOOKUP(A4640, imdb_netflix_v5!A$2:H$7370, 7, FALSE), "")</f>
        <v>NA</v>
      </c>
    </row>
    <row r="4641" ht="15.75" customHeight="1">
      <c r="A4641" s="1" t="str">
        <f>IFERROR(__xludf.DUMMYFUNCTION("""COMPUTED_VALUE"""),"chinese take-away")</f>
        <v>chinese take-away</v>
      </c>
      <c r="B4641" s="1" t="str">
        <f>IF(A4641&lt;&gt;"", VLOOKUP(A4641, imdb_netflix_v5!A$2:H$7370, 2, FALSE), "")</f>
        <v>Movie</v>
      </c>
      <c r="C4641" s="2" t="str">
        <f>IF(A4641&lt;&gt;"", VLOOKUP(A4641, imdb_netflix_v5!A$2:H$7370, 3, FALSE), "")</f>
        <v>Comedy, Drama</v>
      </c>
      <c r="D4641" s="2">
        <f>IF(A4641&lt;&gt;"", VLOOKUP(A4641, imdb_netflix_v5!A$2:H$7370, 4, FALSE), "")</f>
        <v>7.3</v>
      </c>
      <c r="E4641" s="2">
        <f>IF(A4641&lt;&gt;"", VLOOKUP(A4641, imdb_netflix_v5!A$2:H$7370, 5, FALSE), "")</f>
        <v>2011</v>
      </c>
      <c r="F4641" s="2" t="str">
        <f>IF(A4641&lt;&gt;"", VLOOKUP(A4641, imdb_netflix_v5!A$2:H$7370, 7, FALSE), "")</f>
        <v>NA</v>
      </c>
    </row>
    <row r="4642" ht="15.75" customHeight="1">
      <c r="A4642" s="1" t="str">
        <f>IFERROR(__xludf.DUMMYFUNCTION("""COMPUTED_VALUE"""),"village of the damned")</f>
        <v>village of the damned</v>
      </c>
      <c r="B4642" s="1" t="str">
        <f>IF(A4642&lt;&gt;"", VLOOKUP(A4642, imdb_netflix_v5!A$2:H$7370, 2, FALSE), "")</f>
        <v>Movie</v>
      </c>
      <c r="C4642" s="2" t="str">
        <f>IF(A4642&lt;&gt;"", VLOOKUP(A4642, imdb_netflix_v5!A$2:H$7370, 3, FALSE), "")</f>
        <v>Horror, Sci-Fi</v>
      </c>
      <c r="D4642" s="2">
        <f>IF(A4642&lt;&gt;"", VLOOKUP(A4642, imdb_netflix_v5!A$2:H$7370, 4, FALSE), "")</f>
        <v>7.3</v>
      </c>
      <c r="E4642" s="2">
        <f>IF(A4642&lt;&gt;"", VLOOKUP(A4642, imdb_netflix_v5!A$2:H$7370, 5, FALSE), "")</f>
        <v>1960</v>
      </c>
      <c r="F4642" s="2" t="str">
        <f>IF(A4642&lt;&gt;"", VLOOKUP(A4642, imdb_netflix_v5!A$2:H$7370, 7, FALSE), "")</f>
        <v>NA</v>
      </c>
    </row>
    <row r="4643" ht="15.75" customHeight="1">
      <c r="A4643" s="1" t="str">
        <f>IFERROR(__xludf.DUMMYFUNCTION("""COMPUTED_VALUE"""),"ebb and tide")</f>
        <v>ebb and tide</v>
      </c>
      <c r="B4643" s="1" t="str">
        <f>IF(A4643&lt;&gt;"", VLOOKUP(A4643, imdb_netflix_v5!A$2:H$7370, 2, FALSE), "")</f>
        <v>TV Show</v>
      </c>
      <c r="C4643" s="2" t="str">
        <f>IF(A4643&lt;&gt;"", VLOOKUP(A4643, imdb_netflix_v5!A$2:H$7370, 3, FALSE), "")</f>
        <v>Drama, Romance</v>
      </c>
      <c r="D4643" s="2">
        <f>IF(A4643&lt;&gt;"", VLOOKUP(A4643, imdb_netflix_v5!A$2:H$7370, 4, FALSE), "")</f>
        <v>7.3</v>
      </c>
      <c r="E4643" s="2">
        <f>IF(A4643&lt;&gt;"", VLOOKUP(A4643, imdb_netflix_v5!A$2:H$7370, 5, FALSE), "")</f>
        <v>2013</v>
      </c>
      <c r="F4643" s="2" t="str">
        <f>IF(A4643&lt;&gt;"", VLOOKUP(A4643, imdb_netflix_v5!A$2:H$7370, 7, FALSE), "")</f>
        <v>NA</v>
      </c>
    </row>
    <row r="4644" ht="15.75" customHeight="1">
      <c r="A4644" s="1" t="str">
        <f>IFERROR(__xludf.DUMMYFUNCTION("""COMPUTED_VALUE"""),"killer inside the mind of aaron hernandez")</f>
        <v>killer inside the mind of aaron hernandez</v>
      </c>
      <c r="B4644" s="1" t="str">
        <f>IF(A4644&lt;&gt;"", VLOOKUP(A4644, imdb_netflix_v5!A$2:H$7370, 2, FALSE), "")</f>
        <v>TV Show</v>
      </c>
      <c r="C4644" s="2" t="str">
        <f>IF(A4644&lt;&gt;"", VLOOKUP(A4644, imdb_netflix_v5!A$2:H$7370, 3, FALSE), "")</f>
        <v>Crime, Documentary, Sport</v>
      </c>
      <c r="D4644" s="2">
        <f>IF(A4644&lt;&gt;"", VLOOKUP(A4644, imdb_netflix_v5!A$2:H$7370, 4, FALSE), "")</f>
        <v>7.3</v>
      </c>
      <c r="E4644" s="2">
        <f>IF(A4644&lt;&gt;"", VLOOKUP(A4644, imdb_netflix_v5!A$2:H$7370, 5, FALSE), "")</f>
        <v>2020</v>
      </c>
      <c r="F4644" s="2" t="str">
        <f>IF(A4644&lt;&gt;"", VLOOKUP(A4644, imdb_netflix_v5!A$2:H$7370, 7, FALSE), "")</f>
        <v>NA</v>
      </c>
    </row>
    <row r="4645" ht="15.75" customHeight="1">
      <c r="A4645" s="1" t="str">
        <f>IFERROR(__xludf.DUMMYFUNCTION("""COMPUTED_VALUE"""),"the man in the moon")</f>
        <v>the man in the moon</v>
      </c>
      <c r="B4645" s="1" t="str">
        <f>IF(A4645&lt;&gt;"", VLOOKUP(A4645, imdb_netflix_v5!A$2:H$7370, 2, FALSE), "")</f>
        <v>Movie</v>
      </c>
      <c r="C4645" s="2" t="str">
        <f>IF(A4645&lt;&gt;"", VLOOKUP(A4645, imdb_netflix_v5!A$2:H$7370, 3, FALSE), "")</f>
        <v>Drama, Romance</v>
      </c>
      <c r="D4645" s="2">
        <f>IF(A4645&lt;&gt;"", VLOOKUP(A4645, imdb_netflix_v5!A$2:H$7370, 4, FALSE), "")</f>
        <v>7.3</v>
      </c>
      <c r="E4645" s="2">
        <f>IF(A4645&lt;&gt;"", VLOOKUP(A4645, imdb_netflix_v5!A$2:H$7370, 5, FALSE), "")</f>
        <v>1991</v>
      </c>
      <c r="F4645" s="2" t="str">
        <f>IF(A4645&lt;&gt;"", VLOOKUP(A4645, imdb_netflix_v5!A$2:H$7370, 7, FALSE), "")</f>
        <v>NA</v>
      </c>
    </row>
    <row r="4646" ht="15.75" customHeight="1">
      <c r="A4646" s="1" t="str">
        <f>IFERROR(__xludf.DUMMYFUNCTION("""COMPUTED_VALUE"""),"jin-roh the wolf brigade")</f>
        <v>jin-roh the wolf brigade</v>
      </c>
      <c r="B4646" s="1" t="str">
        <f>IF(A4646&lt;&gt;"", VLOOKUP(A4646, imdb_netflix_v5!A$2:H$7370, 2, FALSE), "")</f>
        <v>Movie</v>
      </c>
      <c r="C4646" s="2" t="str">
        <f>IF(A4646&lt;&gt;"", VLOOKUP(A4646, imdb_netflix_v5!A$2:H$7370, 3, FALSE), "")</f>
        <v>Animation, Drama, Sci-Fi</v>
      </c>
      <c r="D4646" s="2">
        <f>IF(A4646&lt;&gt;"", VLOOKUP(A4646, imdb_netflix_v5!A$2:H$7370, 4, FALSE), "")</f>
        <v>7.3</v>
      </c>
      <c r="E4646" s="2">
        <f>IF(A4646&lt;&gt;"", VLOOKUP(A4646, imdb_netflix_v5!A$2:H$7370, 5, FALSE), "")</f>
        <v>1999</v>
      </c>
      <c r="F4646" s="2" t="str">
        <f>IF(A4646&lt;&gt;"", VLOOKUP(A4646, imdb_netflix_v5!A$2:H$7370, 7, FALSE), "")</f>
        <v>NA</v>
      </c>
    </row>
    <row r="4647" ht="15.75" customHeight="1">
      <c r="A4647" s="1" t="str">
        <f>IFERROR(__xludf.DUMMYFUNCTION("""COMPUTED_VALUE"""),"a woman is a woman")</f>
        <v>a woman is a woman</v>
      </c>
      <c r="B4647" s="1" t="str">
        <f>IF(A4647&lt;&gt;"", VLOOKUP(A4647, imdb_netflix_v5!A$2:H$7370, 2, FALSE), "")</f>
        <v>Movie</v>
      </c>
      <c r="C4647" s="2" t="str">
        <f>IF(A4647&lt;&gt;"", VLOOKUP(A4647, imdb_netflix_v5!A$2:H$7370, 3, FALSE), "")</f>
        <v>Comedy, Drama, Romance</v>
      </c>
      <c r="D4647" s="2">
        <f>IF(A4647&lt;&gt;"", VLOOKUP(A4647, imdb_netflix_v5!A$2:H$7370, 4, FALSE), "")</f>
        <v>7.3</v>
      </c>
      <c r="E4647" s="2">
        <f>IF(A4647&lt;&gt;"", VLOOKUP(A4647, imdb_netflix_v5!A$2:H$7370, 5, FALSE), "")</f>
        <v>1961</v>
      </c>
      <c r="F4647" s="2" t="str">
        <f>IF(A4647&lt;&gt;"", VLOOKUP(A4647, imdb_netflix_v5!A$2:H$7370, 7, FALSE), "")</f>
        <v>NA</v>
      </c>
    </row>
    <row r="4648" ht="15.75" customHeight="1">
      <c r="A4648" s="1" t="str">
        <f>IFERROR(__xludf.DUMMYFUNCTION("""COMPUTED_VALUE"""),"ben x")</f>
        <v>ben x</v>
      </c>
      <c r="B4648" s="1" t="str">
        <f>IF(A4648&lt;&gt;"", VLOOKUP(A4648, imdb_netflix_v5!A$2:H$7370, 2, FALSE), "")</f>
        <v>Movie</v>
      </c>
      <c r="C4648" s="2" t="str">
        <f>IF(A4648&lt;&gt;"", VLOOKUP(A4648, imdb_netflix_v5!A$2:H$7370, 3, FALSE), "")</f>
        <v>Drama, Thriller</v>
      </c>
      <c r="D4648" s="2">
        <f>IF(A4648&lt;&gt;"", VLOOKUP(A4648, imdb_netflix_v5!A$2:H$7370, 4, FALSE), "")</f>
        <v>7.3</v>
      </c>
      <c r="E4648" s="2">
        <f>IF(A4648&lt;&gt;"", VLOOKUP(A4648, imdb_netflix_v5!A$2:H$7370, 5, FALSE), "")</f>
        <v>2007</v>
      </c>
      <c r="F4648" s="2" t="str">
        <f>IF(A4648&lt;&gt;"", VLOOKUP(A4648, imdb_netflix_v5!A$2:H$7370, 7, FALSE), "")</f>
        <v>NA</v>
      </c>
    </row>
    <row r="4649" ht="15.75" customHeight="1">
      <c r="A4649" s="1" t="str">
        <f>IFERROR(__xludf.DUMMYFUNCTION("""COMPUTED_VALUE"""),"the professionals")</f>
        <v>the professionals</v>
      </c>
      <c r="B4649" s="1" t="str">
        <f>IF(A4649&lt;&gt;"", VLOOKUP(A4649, imdb_netflix_v5!A$2:H$7370, 2, FALSE), "")</f>
        <v>Movie</v>
      </c>
      <c r="C4649" s="2" t="str">
        <f>IF(A4649&lt;&gt;"", VLOOKUP(A4649, imdb_netflix_v5!A$2:H$7370, 3, FALSE), "")</f>
        <v>Action, Adventure, Drama</v>
      </c>
      <c r="D4649" s="2">
        <f>IF(A4649&lt;&gt;"", VLOOKUP(A4649, imdb_netflix_v5!A$2:H$7370, 4, FALSE), "")</f>
        <v>7.3</v>
      </c>
      <c r="E4649" s="2">
        <f>IF(A4649&lt;&gt;"", VLOOKUP(A4649, imdb_netflix_v5!A$2:H$7370, 5, FALSE), "")</f>
        <v>1966</v>
      </c>
      <c r="F4649" s="2" t="str">
        <f>IF(A4649&lt;&gt;"", VLOOKUP(A4649, imdb_netflix_v5!A$2:H$7370, 7, FALSE), "")</f>
        <v>NA</v>
      </c>
    </row>
    <row r="4650" ht="15.75" customHeight="1">
      <c r="A4650" s="1" t="str">
        <f>IFERROR(__xludf.DUMMYFUNCTION("""COMPUTED_VALUE"""),"justified city primeval")</f>
        <v>justified city primeval</v>
      </c>
      <c r="B4650" s="1" t="str">
        <f>IF(A4650&lt;&gt;"", VLOOKUP(A4650, imdb_netflix_v5!A$2:H$7370, 2, FALSE), "")</f>
        <v>TV Show</v>
      </c>
      <c r="C4650" s="2" t="str">
        <f>IF(A4650&lt;&gt;"", VLOOKUP(A4650, imdb_netflix_v5!A$2:H$7370, 3, FALSE), "")</f>
        <v>Crime, Drama</v>
      </c>
      <c r="D4650" s="2">
        <f>IF(A4650&lt;&gt;"", VLOOKUP(A4650, imdb_netflix_v5!A$2:H$7370, 4, FALSE), "")</f>
        <v>7.3</v>
      </c>
      <c r="E4650" s="2">
        <f>IF(A4650&lt;&gt;"", VLOOKUP(A4650, imdb_netflix_v5!A$2:H$7370, 5, FALSE), "")</f>
        <v>2023</v>
      </c>
      <c r="F4650" s="2" t="str">
        <f>IF(A4650&lt;&gt;"", VLOOKUP(A4650, imdb_netflix_v5!A$2:H$7370, 7, FALSE), "")</f>
        <v>NA</v>
      </c>
    </row>
    <row r="4651" ht="15.75" customHeight="1">
      <c r="A4651" s="1" t="str">
        <f>IFERROR(__xludf.DUMMYFUNCTION("""COMPUTED_VALUE"""),"motherland fort salem")</f>
        <v>motherland fort salem</v>
      </c>
      <c r="B4651" s="1" t="str">
        <f>IF(A4651&lt;&gt;"", VLOOKUP(A4651, imdb_netflix_v5!A$2:H$7370, 2, FALSE), "")</f>
        <v>TV Show</v>
      </c>
      <c r="C4651" s="2" t="str">
        <f>IF(A4651&lt;&gt;"", VLOOKUP(A4651, imdb_netflix_v5!A$2:H$7370, 3, FALSE), "")</f>
        <v>Drama, Fantasy, Sci-Fi</v>
      </c>
      <c r="D4651" s="2">
        <f>IF(A4651&lt;&gt;"", VLOOKUP(A4651, imdb_netflix_v5!A$2:H$7370, 4, FALSE), "")</f>
        <v>7.3</v>
      </c>
      <c r="E4651" s="2">
        <f>IF(A4651&lt;&gt;"", VLOOKUP(A4651, imdb_netflix_v5!A$2:H$7370, 5, FALSE), "")</f>
        <v>2020</v>
      </c>
      <c r="F4651" s="2" t="str">
        <f>IF(A4651&lt;&gt;"", VLOOKUP(A4651, imdb_netflix_v5!A$2:H$7370, 7, FALSE), "")</f>
        <v>NA</v>
      </c>
    </row>
    <row r="4652" ht="15.75" customHeight="1">
      <c r="A4652" s="1" t="str">
        <f>IFERROR(__xludf.DUMMYFUNCTION("""COMPUTED_VALUE"""),"the lying game")</f>
        <v>the lying game</v>
      </c>
      <c r="B4652" s="1" t="str">
        <f>IF(A4652&lt;&gt;"", VLOOKUP(A4652, imdb_netflix_v5!A$2:H$7370, 2, FALSE), "")</f>
        <v>TV Show</v>
      </c>
      <c r="C4652" s="2" t="str">
        <f>IF(A4652&lt;&gt;"", VLOOKUP(A4652, imdb_netflix_v5!A$2:H$7370, 3, FALSE), "")</f>
        <v>Drama, Mystery</v>
      </c>
      <c r="D4652" s="2">
        <f>IF(A4652&lt;&gt;"", VLOOKUP(A4652, imdb_netflix_v5!A$2:H$7370, 4, FALSE), "")</f>
        <v>7.3</v>
      </c>
      <c r="E4652" s="2">
        <f>IF(A4652&lt;&gt;"", VLOOKUP(A4652, imdb_netflix_v5!A$2:H$7370, 5, FALSE), "")</f>
        <v>2011</v>
      </c>
      <c r="F4652" s="2" t="str">
        <f>IF(A4652&lt;&gt;"", VLOOKUP(A4652, imdb_netflix_v5!A$2:H$7370, 7, FALSE), "")</f>
        <v>NA</v>
      </c>
    </row>
    <row r="4653" ht="15.75" customHeight="1">
      <c r="A4653" s="1" t="str">
        <f>IFERROR(__xludf.DUMMYFUNCTION("""COMPUTED_VALUE"""),"mona lisa")</f>
        <v>mona lisa</v>
      </c>
      <c r="B4653" s="1" t="str">
        <f>IF(A4653&lt;&gt;"", VLOOKUP(A4653, imdb_netflix_v5!A$2:H$7370, 2, FALSE), "")</f>
        <v>Movie</v>
      </c>
      <c r="C4653" s="2" t="str">
        <f>IF(A4653&lt;&gt;"", VLOOKUP(A4653, imdb_netflix_v5!A$2:H$7370, 3, FALSE), "")</f>
        <v>Crime, Drama, Romance</v>
      </c>
      <c r="D4653" s="2">
        <f>IF(A4653&lt;&gt;"", VLOOKUP(A4653, imdb_netflix_v5!A$2:H$7370, 4, FALSE), "")</f>
        <v>7.3</v>
      </c>
      <c r="E4653" s="2">
        <f>IF(A4653&lt;&gt;"", VLOOKUP(A4653, imdb_netflix_v5!A$2:H$7370, 5, FALSE), "")</f>
        <v>1986</v>
      </c>
      <c r="F4653" s="2" t="str">
        <f>IF(A4653&lt;&gt;"", VLOOKUP(A4653, imdb_netflix_v5!A$2:H$7370, 7, FALSE), "")</f>
        <v>NA</v>
      </c>
    </row>
    <row r="4654" ht="15.75" customHeight="1">
      <c r="A4654" s="1" t="str">
        <f>IFERROR(__xludf.DUMMYFUNCTION("""COMPUTED_VALUE"""),"h2o just add water")</f>
        <v>h2o just add water</v>
      </c>
      <c r="B4654" s="1" t="str">
        <f>IF(A4654&lt;&gt;"", VLOOKUP(A4654, imdb_netflix_v5!A$2:H$7370, 2, FALSE), "")</f>
        <v>TV Show</v>
      </c>
      <c r="C4654" s="2" t="str">
        <f>IF(A4654&lt;&gt;"", VLOOKUP(A4654, imdb_netflix_v5!A$2:H$7370, 3, FALSE), "")</f>
        <v>Adventure, Comedy, Drama</v>
      </c>
      <c r="D4654" s="2">
        <f>IF(A4654&lt;&gt;"", VLOOKUP(A4654, imdb_netflix_v5!A$2:H$7370, 4, FALSE), "")</f>
        <v>7.3</v>
      </c>
      <c r="E4654" s="2">
        <f>IF(A4654&lt;&gt;"", VLOOKUP(A4654, imdb_netflix_v5!A$2:H$7370, 5, FALSE), "")</f>
        <v>2006</v>
      </c>
      <c r="F4654" s="2" t="str">
        <f>IF(A4654&lt;&gt;"", VLOOKUP(A4654, imdb_netflix_v5!A$2:H$7370, 7, FALSE), "")</f>
        <v>NA</v>
      </c>
    </row>
    <row r="4655" ht="15.75" customHeight="1">
      <c r="A4655" s="1" t="str">
        <f>IFERROR(__xludf.DUMMYFUNCTION("""COMPUTED_VALUE"""),"outcast")</f>
        <v>outcast</v>
      </c>
      <c r="B4655" s="1" t="str">
        <f>IF(A4655&lt;&gt;"", VLOOKUP(A4655, imdb_netflix_v5!A$2:H$7370, 2, FALSE), "")</f>
        <v>TV Show</v>
      </c>
      <c r="C4655" s="2" t="str">
        <f>IF(A4655&lt;&gt;"", VLOOKUP(A4655, imdb_netflix_v5!A$2:H$7370, 3, FALSE), "")</f>
        <v>Drama, Horror</v>
      </c>
      <c r="D4655" s="2">
        <f>IF(A4655&lt;&gt;"", VLOOKUP(A4655, imdb_netflix_v5!A$2:H$7370, 4, FALSE), "")</f>
        <v>7.3</v>
      </c>
      <c r="E4655" s="2">
        <f>IF(A4655&lt;&gt;"", VLOOKUP(A4655, imdb_netflix_v5!A$2:H$7370, 5, FALSE), "")</f>
        <v>2016</v>
      </c>
      <c r="F4655" s="2" t="str">
        <f>IF(A4655&lt;&gt;"", VLOOKUP(A4655, imdb_netflix_v5!A$2:H$7370, 7, FALSE), "")</f>
        <v>NA</v>
      </c>
    </row>
    <row r="4656" ht="15.75" customHeight="1">
      <c r="A4656" s="1" t="str">
        <f>IFERROR(__xludf.DUMMYFUNCTION("""COMPUTED_VALUE"""),"on the town")</f>
        <v>on the town</v>
      </c>
      <c r="B4656" s="1" t="str">
        <f>IF(A4656&lt;&gt;"", VLOOKUP(A4656, imdb_netflix_v5!A$2:H$7370, 2, FALSE), "")</f>
        <v>Movie</v>
      </c>
      <c r="C4656" s="2" t="str">
        <f>IF(A4656&lt;&gt;"", VLOOKUP(A4656, imdb_netflix_v5!A$2:H$7370, 3, FALSE), "")</f>
        <v>Comedy, Musical, Romance</v>
      </c>
      <c r="D4656" s="2">
        <f>IF(A4656&lt;&gt;"", VLOOKUP(A4656, imdb_netflix_v5!A$2:H$7370, 4, FALSE), "")</f>
        <v>7.3</v>
      </c>
      <c r="E4656" s="2">
        <f>IF(A4656&lt;&gt;"", VLOOKUP(A4656, imdb_netflix_v5!A$2:H$7370, 5, FALSE), "")</f>
        <v>1949</v>
      </c>
      <c r="F4656" s="2" t="str">
        <f>IF(A4656&lt;&gt;"", VLOOKUP(A4656, imdb_netflix_v5!A$2:H$7370, 7, FALSE), "")</f>
        <v>NA</v>
      </c>
    </row>
    <row r="4657" ht="15.75" customHeight="1">
      <c r="A4657" s="1" t="str">
        <f>IFERROR(__xludf.DUMMYFUNCTION("""COMPUTED_VALUE"""),"i can only imagine")</f>
        <v>i can only imagine</v>
      </c>
      <c r="B4657" s="1" t="str">
        <f>IF(A4657&lt;&gt;"", VLOOKUP(A4657, imdb_netflix_v5!A$2:H$7370, 2, FALSE), "")</f>
        <v>Movie</v>
      </c>
      <c r="C4657" s="2" t="str">
        <f>IF(A4657&lt;&gt;"", VLOOKUP(A4657, imdb_netflix_v5!A$2:H$7370, 3, FALSE), "")</f>
        <v>Biography, Drama, Family</v>
      </c>
      <c r="D4657" s="2">
        <f>IF(A4657&lt;&gt;"", VLOOKUP(A4657, imdb_netflix_v5!A$2:H$7370, 4, FALSE), "")</f>
        <v>7.3</v>
      </c>
      <c r="E4657" s="2">
        <f>IF(A4657&lt;&gt;"", VLOOKUP(A4657, imdb_netflix_v5!A$2:H$7370, 5, FALSE), "")</f>
        <v>2018</v>
      </c>
      <c r="F4657" s="2" t="str">
        <f>IF(A4657&lt;&gt;"", VLOOKUP(A4657, imdb_netflix_v5!A$2:H$7370, 7, FALSE), "")</f>
        <v>NA</v>
      </c>
    </row>
    <row r="4658" ht="15.75" customHeight="1">
      <c r="A4658" s="1" t="str">
        <f>IFERROR(__xludf.DUMMYFUNCTION("""COMPUTED_VALUE"""),"black doves")</f>
        <v>black doves</v>
      </c>
      <c r="B4658" s="1" t="str">
        <f>IF(A4658&lt;&gt;"", VLOOKUP(A4658, imdb_netflix_v5!A$2:H$7370, 2, FALSE), "")</f>
        <v>TV Show</v>
      </c>
      <c r="C4658" s="2" t="str">
        <f>IF(A4658&lt;&gt;"", VLOOKUP(A4658, imdb_netflix_v5!A$2:H$7370, 3, FALSE), "")</f>
        <v>Action, Drama, Mystery</v>
      </c>
      <c r="D4658" s="2">
        <f>IF(A4658&lt;&gt;"", VLOOKUP(A4658, imdb_netflix_v5!A$2:H$7370, 4, FALSE), "")</f>
        <v>7.3</v>
      </c>
      <c r="E4658" s="2">
        <f>IF(A4658&lt;&gt;"", VLOOKUP(A4658, imdb_netflix_v5!A$2:H$7370, 5, FALSE), "")</f>
        <v>2024</v>
      </c>
      <c r="F4658" s="2" t="str">
        <f>IF(A4658&lt;&gt;"", VLOOKUP(A4658, imdb_netflix_v5!A$2:H$7370, 7, FALSE), "")</f>
        <v>NA</v>
      </c>
    </row>
    <row r="4659" ht="15.75" customHeight="1">
      <c r="A4659" s="1" t="str">
        <f>IFERROR(__xludf.DUMMYFUNCTION("""COMPUTED_VALUE"""),"whats in a name?")</f>
        <v>whats in a name?</v>
      </c>
      <c r="B4659" s="1" t="str">
        <f>IF(A4659&lt;&gt;"", VLOOKUP(A4659, imdb_netflix_v5!A$2:H$7370, 2, FALSE), "")</f>
        <v>Movie</v>
      </c>
      <c r="C4659" s="2" t="str">
        <f>IF(A4659&lt;&gt;"", VLOOKUP(A4659, imdb_netflix_v5!A$2:H$7370, 3, FALSE), "")</f>
        <v>Comedy, Drama</v>
      </c>
      <c r="D4659" s="2">
        <f>IF(A4659&lt;&gt;"", VLOOKUP(A4659, imdb_netflix_v5!A$2:H$7370, 4, FALSE), "")</f>
        <v>7.3</v>
      </c>
      <c r="E4659" s="2">
        <f>IF(A4659&lt;&gt;"", VLOOKUP(A4659, imdb_netflix_v5!A$2:H$7370, 5, FALSE), "")</f>
        <v>2012</v>
      </c>
      <c r="F4659" s="2" t="str">
        <f>IF(A4659&lt;&gt;"", VLOOKUP(A4659, imdb_netflix_v5!A$2:H$7370, 7, FALSE), "")</f>
        <v>NA</v>
      </c>
    </row>
    <row r="4660" ht="15.75" customHeight="1">
      <c r="A4660" s="1" t="str">
        <f>IFERROR(__xludf.DUMMYFUNCTION("""COMPUTED_VALUE"""),"cartel land")</f>
        <v>cartel land</v>
      </c>
      <c r="B4660" s="1" t="str">
        <f>IF(A4660&lt;&gt;"", VLOOKUP(A4660, imdb_netflix_v5!A$2:H$7370, 2, FALSE), "")</f>
        <v>Movie</v>
      </c>
      <c r="C4660" s="2" t="str">
        <f>IF(A4660&lt;&gt;"", VLOOKUP(A4660, imdb_netflix_v5!A$2:H$7370, 3, FALSE), "")</f>
        <v>Documentary</v>
      </c>
      <c r="D4660" s="2">
        <f>IF(A4660&lt;&gt;"", VLOOKUP(A4660, imdb_netflix_v5!A$2:H$7370, 4, FALSE), "")</f>
        <v>7.3</v>
      </c>
      <c r="E4660" s="2">
        <f>IF(A4660&lt;&gt;"", VLOOKUP(A4660, imdb_netflix_v5!A$2:H$7370, 5, FALSE), "")</f>
        <v>2015</v>
      </c>
      <c r="F4660" s="2" t="str">
        <f>IF(A4660&lt;&gt;"", VLOOKUP(A4660, imdb_netflix_v5!A$2:H$7370, 7, FALSE), "")</f>
        <v>NA</v>
      </c>
    </row>
    <row r="4661" ht="15.75" customHeight="1">
      <c r="A4661" s="1" t="str">
        <f>IFERROR(__xludf.DUMMYFUNCTION("""COMPUTED_VALUE"""),"butterflies")</f>
        <v>butterflies</v>
      </c>
      <c r="B4661" s="1" t="str">
        <f>IF(A4661&lt;&gt;"", VLOOKUP(A4661, imdb_netflix_v5!A$2:H$7370, 2, FALSE), "")</f>
        <v>Movie</v>
      </c>
      <c r="C4661" s="2" t="str">
        <f>IF(A4661&lt;&gt;"", VLOOKUP(A4661, imdb_netflix_v5!A$2:H$7370, 3, FALSE), "")</f>
        <v>Comedy, Drama</v>
      </c>
      <c r="D4661" s="2">
        <f>IF(A4661&lt;&gt;"", VLOOKUP(A4661, imdb_netflix_v5!A$2:H$7370, 4, FALSE), "")</f>
        <v>7.3</v>
      </c>
      <c r="E4661" s="2">
        <f>IF(A4661&lt;&gt;"", VLOOKUP(A4661, imdb_netflix_v5!A$2:H$7370, 5, FALSE), "")</f>
        <v>2018</v>
      </c>
      <c r="F4661" s="2" t="str">
        <f>IF(A4661&lt;&gt;"", VLOOKUP(A4661, imdb_netflix_v5!A$2:H$7370, 7, FALSE), "")</f>
        <v>NA</v>
      </c>
    </row>
    <row r="4662" ht="15.75" customHeight="1">
      <c r="A4662" s="1" t="str">
        <f>IFERROR(__xludf.DUMMYFUNCTION("""COMPUTED_VALUE"""),"tess")</f>
        <v>tess</v>
      </c>
      <c r="B4662" s="1" t="str">
        <f>IF(A4662&lt;&gt;"", VLOOKUP(A4662, imdb_netflix_v5!A$2:H$7370, 2, FALSE), "")</f>
        <v>Movie</v>
      </c>
      <c r="C4662" s="2" t="str">
        <f>IF(A4662&lt;&gt;"", VLOOKUP(A4662, imdb_netflix_v5!A$2:H$7370, 3, FALSE), "")</f>
        <v>Drama, Romance</v>
      </c>
      <c r="D4662" s="2">
        <f>IF(A4662&lt;&gt;"", VLOOKUP(A4662, imdb_netflix_v5!A$2:H$7370, 4, FALSE), "")</f>
        <v>7.3</v>
      </c>
      <c r="E4662" s="2">
        <f>IF(A4662&lt;&gt;"", VLOOKUP(A4662, imdb_netflix_v5!A$2:H$7370, 5, FALSE), "")</f>
        <v>1979</v>
      </c>
      <c r="F4662" s="2" t="str">
        <f>IF(A4662&lt;&gt;"", VLOOKUP(A4662, imdb_netflix_v5!A$2:H$7370, 7, FALSE), "")</f>
        <v>NA</v>
      </c>
    </row>
    <row r="4663" ht="15.75" customHeight="1">
      <c r="A4663" s="1" t="str">
        <f>IFERROR(__xludf.DUMMYFUNCTION("""COMPUTED_VALUE"""),"atlantic city")</f>
        <v>atlantic city</v>
      </c>
      <c r="B4663" s="1" t="str">
        <f>IF(A4663&lt;&gt;"", VLOOKUP(A4663, imdb_netflix_v5!A$2:H$7370, 2, FALSE), "")</f>
        <v>Movie</v>
      </c>
      <c r="C4663" s="2" t="str">
        <f>IF(A4663&lt;&gt;"", VLOOKUP(A4663, imdb_netflix_v5!A$2:H$7370, 3, FALSE), "")</f>
        <v>Crime, Drama, Romance</v>
      </c>
      <c r="D4663" s="2">
        <f>IF(A4663&lt;&gt;"", VLOOKUP(A4663, imdb_netflix_v5!A$2:H$7370, 4, FALSE), "")</f>
        <v>7.3</v>
      </c>
      <c r="E4663" s="2">
        <f>IF(A4663&lt;&gt;"", VLOOKUP(A4663, imdb_netflix_v5!A$2:H$7370, 5, FALSE), "")</f>
        <v>1980</v>
      </c>
      <c r="F4663" s="2" t="str">
        <f>IF(A4663&lt;&gt;"", VLOOKUP(A4663, imdb_netflix_v5!A$2:H$7370, 7, FALSE), "")</f>
        <v>NA</v>
      </c>
    </row>
    <row r="4664" ht="15.75" customHeight="1">
      <c r="A4664" s="1" t="str">
        <f>IFERROR(__xludf.DUMMYFUNCTION("""COMPUTED_VALUE"""),"pusher iii")</f>
        <v>pusher iii</v>
      </c>
      <c r="B4664" s="1" t="str">
        <f>IF(A4664&lt;&gt;"", VLOOKUP(A4664, imdb_netflix_v5!A$2:H$7370, 2, FALSE), "")</f>
        <v>Movie</v>
      </c>
      <c r="C4664" s="2" t="str">
        <f>IF(A4664&lt;&gt;"", VLOOKUP(A4664, imdb_netflix_v5!A$2:H$7370, 3, FALSE), "")</f>
        <v>Crime, Drama, Thriller</v>
      </c>
      <c r="D4664" s="2">
        <f>IF(A4664&lt;&gt;"", VLOOKUP(A4664, imdb_netflix_v5!A$2:H$7370, 4, FALSE), "")</f>
        <v>7.3</v>
      </c>
      <c r="E4664" s="2">
        <f>IF(A4664&lt;&gt;"", VLOOKUP(A4664, imdb_netflix_v5!A$2:H$7370, 5, FALSE), "")</f>
        <v>2005</v>
      </c>
      <c r="F4664" s="2" t="str">
        <f>IF(A4664&lt;&gt;"", VLOOKUP(A4664, imdb_netflix_v5!A$2:H$7370, 7, FALSE), "")</f>
        <v>NA</v>
      </c>
    </row>
    <row r="4665" ht="15.75" customHeight="1">
      <c r="A4665" s="1" t="str">
        <f>IFERROR(__xludf.DUMMYFUNCTION("""COMPUTED_VALUE"""),"trade")</f>
        <v>trade</v>
      </c>
      <c r="B4665" s="1" t="str">
        <f>IF(A4665&lt;&gt;"", VLOOKUP(A4665, imdb_netflix_v5!A$2:H$7370, 2, FALSE), "")</f>
        <v>Movie</v>
      </c>
      <c r="C4665" s="2" t="str">
        <f>IF(A4665&lt;&gt;"", VLOOKUP(A4665, imdb_netflix_v5!A$2:H$7370, 3, FALSE), "")</f>
        <v>Crime, Drama, Thriller</v>
      </c>
      <c r="D4665" s="2">
        <f>IF(A4665&lt;&gt;"", VLOOKUP(A4665, imdb_netflix_v5!A$2:H$7370, 4, FALSE), "")</f>
        <v>7.3</v>
      </c>
      <c r="E4665" s="2">
        <f>IF(A4665&lt;&gt;"", VLOOKUP(A4665, imdb_netflix_v5!A$2:H$7370, 5, FALSE), "")</f>
        <v>2007</v>
      </c>
      <c r="F4665" s="2" t="str">
        <f>IF(A4665&lt;&gt;"", VLOOKUP(A4665, imdb_netflix_v5!A$2:H$7370, 7, FALSE), "")</f>
        <v>NA</v>
      </c>
    </row>
    <row r="4666" ht="15.75" customHeight="1">
      <c r="A4666" s="1" t="str">
        <f>IFERROR(__xludf.DUMMYFUNCTION("""COMPUTED_VALUE"""),"brickleberry")</f>
        <v>brickleberry</v>
      </c>
      <c r="B4666" s="1" t="str">
        <f>IF(A4666&lt;&gt;"", VLOOKUP(A4666, imdb_netflix_v5!A$2:H$7370, 2, FALSE), "")</f>
        <v>TV Show</v>
      </c>
      <c r="C4666" s="2" t="str">
        <f>IF(A4666&lt;&gt;"", VLOOKUP(A4666, imdb_netflix_v5!A$2:H$7370, 3, FALSE), "")</f>
        <v>Animation, Comedy</v>
      </c>
      <c r="D4666" s="2">
        <f>IF(A4666&lt;&gt;"", VLOOKUP(A4666, imdb_netflix_v5!A$2:H$7370, 4, FALSE), "")</f>
        <v>7.3</v>
      </c>
      <c r="E4666" s="2">
        <f>IF(A4666&lt;&gt;"", VLOOKUP(A4666, imdb_netflix_v5!A$2:H$7370, 5, FALSE), "")</f>
        <v>2012</v>
      </c>
      <c r="F4666" s="2" t="str">
        <f>IF(A4666&lt;&gt;"", VLOOKUP(A4666, imdb_netflix_v5!A$2:H$7370, 7, FALSE), "")</f>
        <v>NA</v>
      </c>
    </row>
    <row r="4667" ht="15.75" customHeight="1">
      <c r="A4667" s="1" t="str">
        <f>IFERROR(__xludf.DUMMYFUNCTION("""COMPUTED_VALUE"""),"13 tzameti")</f>
        <v>13 tzameti</v>
      </c>
      <c r="B4667" s="1" t="str">
        <f>IF(A4667&lt;&gt;"", VLOOKUP(A4667, imdb_netflix_v5!A$2:H$7370, 2, FALSE), "")</f>
        <v>Movie</v>
      </c>
      <c r="C4667" s="2" t="str">
        <f>IF(A4667&lt;&gt;"", VLOOKUP(A4667, imdb_netflix_v5!A$2:H$7370, 3, FALSE), "")</f>
        <v>Crime, Drama, Thriller</v>
      </c>
      <c r="D4667" s="2">
        <f>IF(A4667&lt;&gt;"", VLOOKUP(A4667, imdb_netflix_v5!A$2:H$7370, 4, FALSE), "")</f>
        <v>7.3</v>
      </c>
      <c r="E4667" s="2">
        <f>IF(A4667&lt;&gt;"", VLOOKUP(A4667, imdb_netflix_v5!A$2:H$7370, 5, FALSE), "")</f>
        <v>2005</v>
      </c>
      <c r="F4667" s="2" t="str">
        <f>IF(A4667&lt;&gt;"", VLOOKUP(A4667, imdb_netflix_v5!A$2:H$7370, 7, FALSE), "")</f>
        <v>NA</v>
      </c>
    </row>
    <row r="4668" ht="15.75" customHeight="1">
      <c r="A4668" s="1" t="str">
        <f>IFERROR(__xludf.DUMMYFUNCTION("""COMPUTED_VALUE"""),"holiday inn")</f>
        <v>holiday inn</v>
      </c>
      <c r="B4668" s="1" t="str">
        <f>IF(A4668&lt;&gt;"", VLOOKUP(A4668, imdb_netflix_v5!A$2:H$7370, 2, FALSE), "")</f>
        <v>Movie</v>
      </c>
      <c r="C4668" s="2" t="str">
        <f>IF(A4668&lt;&gt;"", VLOOKUP(A4668, imdb_netflix_v5!A$2:H$7370, 3, FALSE), "")</f>
        <v>Comedy, Drama, Music</v>
      </c>
      <c r="D4668" s="2">
        <f>IF(A4668&lt;&gt;"", VLOOKUP(A4668, imdb_netflix_v5!A$2:H$7370, 4, FALSE), "")</f>
        <v>7.3</v>
      </c>
      <c r="E4668" s="2">
        <f>IF(A4668&lt;&gt;"", VLOOKUP(A4668, imdb_netflix_v5!A$2:H$7370, 5, FALSE), "")</f>
        <v>1942</v>
      </c>
      <c r="F4668" s="2" t="str">
        <f>IF(A4668&lt;&gt;"", VLOOKUP(A4668, imdb_netflix_v5!A$2:H$7370, 7, FALSE), "")</f>
        <v>NA</v>
      </c>
    </row>
    <row r="4669" ht="15.75" customHeight="1">
      <c r="A4669" s="1" t="str">
        <f>IFERROR(__xludf.DUMMYFUNCTION("""COMPUTED_VALUE"""),"brigsby bear")</f>
        <v>brigsby bear</v>
      </c>
      <c r="B4669" s="1" t="str">
        <f>IF(A4669&lt;&gt;"", VLOOKUP(A4669, imdb_netflix_v5!A$2:H$7370, 2, FALSE), "")</f>
        <v>Movie</v>
      </c>
      <c r="C4669" s="2" t="str">
        <f>IF(A4669&lt;&gt;"", VLOOKUP(A4669, imdb_netflix_v5!A$2:H$7370, 3, FALSE), "")</f>
        <v>Comedy, Drama</v>
      </c>
      <c r="D4669" s="2">
        <f>IF(A4669&lt;&gt;"", VLOOKUP(A4669, imdb_netflix_v5!A$2:H$7370, 4, FALSE), "")</f>
        <v>7.3</v>
      </c>
      <c r="E4669" s="2">
        <f>IF(A4669&lt;&gt;"", VLOOKUP(A4669, imdb_netflix_v5!A$2:H$7370, 5, FALSE), "")</f>
        <v>2017</v>
      </c>
      <c r="F4669" s="2" t="str">
        <f>IF(A4669&lt;&gt;"", VLOOKUP(A4669, imdb_netflix_v5!A$2:H$7370, 7, FALSE), "")</f>
        <v>NA</v>
      </c>
    </row>
    <row r="4670" ht="15.75" customHeight="1">
      <c r="A4670" s="1" t="str">
        <f>IFERROR(__xludf.DUMMYFUNCTION("""COMPUTED_VALUE"""),"kiss of the spider woman")</f>
        <v>kiss of the spider woman</v>
      </c>
      <c r="B4670" s="1" t="str">
        <f>IF(A4670&lt;&gt;"", VLOOKUP(A4670, imdb_netflix_v5!A$2:H$7370, 2, FALSE), "")</f>
        <v>Movie</v>
      </c>
      <c r="C4670" s="2" t="str">
        <f>IF(A4670&lt;&gt;"", VLOOKUP(A4670, imdb_netflix_v5!A$2:H$7370, 3, FALSE), "")</f>
        <v>Drama</v>
      </c>
      <c r="D4670" s="2">
        <f>IF(A4670&lt;&gt;"", VLOOKUP(A4670, imdb_netflix_v5!A$2:H$7370, 4, FALSE), "")</f>
        <v>7.3</v>
      </c>
      <c r="E4670" s="2">
        <f>IF(A4670&lt;&gt;"", VLOOKUP(A4670, imdb_netflix_v5!A$2:H$7370, 5, FALSE), "")</f>
        <v>1985</v>
      </c>
      <c r="F4670" s="2" t="str">
        <f>IF(A4670&lt;&gt;"", VLOOKUP(A4670, imdb_netflix_v5!A$2:H$7370, 7, FALSE), "")</f>
        <v>NA</v>
      </c>
    </row>
    <row r="4671" ht="15.75" customHeight="1">
      <c r="A4671" s="1" t="str">
        <f>IFERROR(__xludf.DUMMYFUNCTION("""COMPUTED_VALUE"""),"a coffee in berlin")</f>
        <v>a coffee in berlin</v>
      </c>
      <c r="B4671" s="1" t="str">
        <f>IF(A4671&lt;&gt;"", VLOOKUP(A4671, imdb_netflix_v5!A$2:H$7370, 2, FALSE), "")</f>
        <v>Movie</v>
      </c>
      <c r="C4671" s="2" t="str">
        <f>IF(A4671&lt;&gt;"", VLOOKUP(A4671, imdb_netflix_v5!A$2:H$7370, 3, FALSE), "")</f>
        <v>Comedy, Drama</v>
      </c>
      <c r="D4671" s="2">
        <f>IF(A4671&lt;&gt;"", VLOOKUP(A4671, imdb_netflix_v5!A$2:H$7370, 4, FALSE), "")</f>
        <v>7.3</v>
      </c>
      <c r="E4671" s="2">
        <f>IF(A4671&lt;&gt;"", VLOOKUP(A4671, imdb_netflix_v5!A$2:H$7370, 5, FALSE), "")</f>
        <v>2012</v>
      </c>
      <c r="F4671" s="2" t="str">
        <f>IF(A4671&lt;&gt;"", VLOOKUP(A4671, imdb_netflix_v5!A$2:H$7370, 7, FALSE), "")</f>
        <v>NA</v>
      </c>
    </row>
    <row r="4672" ht="15.75" customHeight="1">
      <c r="A4672" s="1" t="str">
        <f>IFERROR(__xludf.DUMMYFUNCTION("""COMPUTED_VALUE"""),"twice born")</f>
        <v>twice born</v>
      </c>
      <c r="B4672" s="1" t="str">
        <f>IF(A4672&lt;&gt;"", VLOOKUP(A4672, imdb_netflix_v5!A$2:H$7370, 2, FALSE), "")</f>
        <v>Movie</v>
      </c>
      <c r="C4672" s="2" t="str">
        <f>IF(A4672&lt;&gt;"", VLOOKUP(A4672, imdb_netflix_v5!A$2:H$7370, 3, FALSE), "")</f>
        <v>Drama, Romance, War</v>
      </c>
      <c r="D4672" s="2">
        <f>IF(A4672&lt;&gt;"", VLOOKUP(A4672, imdb_netflix_v5!A$2:H$7370, 4, FALSE), "")</f>
        <v>7.3</v>
      </c>
      <c r="E4672" s="2">
        <f>IF(A4672&lt;&gt;"", VLOOKUP(A4672, imdb_netflix_v5!A$2:H$7370, 5, FALSE), "")</f>
        <v>2012</v>
      </c>
      <c r="F4672" s="2" t="str">
        <f>IF(A4672&lt;&gt;"", VLOOKUP(A4672, imdb_netflix_v5!A$2:H$7370, 7, FALSE), "")</f>
        <v>NA</v>
      </c>
    </row>
    <row r="4673" ht="15.75" customHeight="1">
      <c r="A4673" s="1" t="str">
        <f>IFERROR(__xludf.DUMMYFUNCTION("""COMPUTED_VALUE"""),"into the abyss")</f>
        <v>into the abyss</v>
      </c>
      <c r="B4673" s="1" t="str">
        <f>IF(A4673&lt;&gt;"", VLOOKUP(A4673, imdb_netflix_v5!A$2:H$7370, 2, FALSE), "")</f>
        <v>Movie</v>
      </c>
      <c r="C4673" s="2" t="str">
        <f>IF(A4673&lt;&gt;"", VLOOKUP(A4673, imdb_netflix_v5!A$2:H$7370, 3, FALSE), "")</f>
        <v>Crime, Documentary, Drama</v>
      </c>
      <c r="D4673" s="2">
        <f>IF(A4673&lt;&gt;"", VLOOKUP(A4673, imdb_netflix_v5!A$2:H$7370, 4, FALSE), "")</f>
        <v>7.3</v>
      </c>
      <c r="E4673" s="2">
        <f>IF(A4673&lt;&gt;"", VLOOKUP(A4673, imdb_netflix_v5!A$2:H$7370, 5, FALSE), "")</f>
        <v>2011</v>
      </c>
      <c r="F4673" s="2" t="str">
        <f>IF(A4673&lt;&gt;"", VLOOKUP(A4673, imdb_netflix_v5!A$2:H$7370, 7, FALSE), "")</f>
        <v>NA</v>
      </c>
    </row>
    <row r="4674" ht="15.75" customHeight="1">
      <c r="A4674" s="1" t="str">
        <f>IFERROR(__xludf.DUMMYFUNCTION("""COMPUTED_VALUE"""),"the shadow in my eye")</f>
        <v>the shadow in my eye</v>
      </c>
      <c r="B4674" s="1" t="str">
        <f>IF(A4674&lt;&gt;"", VLOOKUP(A4674, imdb_netflix_v5!A$2:H$7370, 2, FALSE), "")</f>
        <v>Movie</v>
      </c>
      <c r="C4674" s="2" t="str">
        <f>IF(A4674&lt;&gt;"", VLOOKUP(A4674, imdb_netflix_v5!A$2:H$7370, 3, FALSE), "")</f>
        <v>Drama, History, War</v>
      </c>
      <c r="D4674" s="2">
        <f>IF(A4674&lt;&gt;"", VLOOKUP(A4674, imdb_netflix_v5!A$2:H$7370, 4, FALSE), "")</f>
        <v>7.3</v>
      </c>
      <c r="E4674" s="2">
        <f>IF(A4674&lt;&gt;"", VLOOKUP(A4674, imdb_netflix_v5!A$2:H$7370, 5, FALSE), "")</f>
        <v>2021</v>
      </c>
      <c r="F4674" s="2" t="str">
        <f>IF(A4674&lt;&gt;"", VLOOKUP(A4674, imdb_netflix_v5!A$2:H$7370, 7, FALSE), "")</f>
        <v>NA</v>
      </c>
    </row>
    <row r="4675" ht="15.75" customHeight="1">
      <c r="A4675" s="1" t="str">
        <f>IFERROR(__xludf.DUMMYFUNCTION("""COMPUTED_VALUE"""),"dune prophecy")</f>
        <v>dune prophecy</v>
      </c>
      <c r="B4675" s="1" t="str">
        <f>IF(A4675&lt;&gt;"", VLOOKUP(A4675, imdb_netflix_v5!A$2:H$7370, 2, FALSE), "")</f>
        <v>TV Show</v>
      </c>
      <c r="C4675" s="2" t="str">
        <f>IF(A4675&lt;&gt;"", VLOOKUP(A4675, imdb_netflix_v5!A$2:H$7370, 3, FALSE), "")</f>
        <v>Action, Adventure, Drama</v>
      </c>
      <c r="D4675" s="2">
        <f>IF(A4675&lt;&gt;"", VLOOKUP(A4675, imdb_netflix_v5!A$2:H$7370, 4, FALSE), "")</f>
        <v>7.3</v>
      </c>
      <c r="E4675" s="2">
        <f>IF(A4675&lt;&gt;"", VLOOKUP(A4675, imdb_netflix_v5!A$2:H$7370, 5, FALSE), "")</f>
        <v>2024</v>
      </c>
      <c r="F4675" s="2" t="str">
        <f>IF(A4675&lt;&gt;"", VLOOKUP(A4675, imdb_netflix_v5!A$2:H$7370, 7, FALSE), "")</f>
        <v>NA</v>
      </c>
    </row>
    <row r="4676" ht="15.75" customHeight="1">
      <c r="A4676" s="1" t="str">
        <f>IFERROR(__xludf.DUMMYFUNCTION("""COMPUTED_VALUE"""),"young &amp; hungry")</f>
        <v>young &amp; hungry</v>
      </c>
      <c r="B4676" s="1" t="str">
        <f>IF(A4676&lt;&gt;"", VLOOKUP(A4676, imdb_netflix_v5!A$2:H$7370, 2, FALSE), "")</f>
        <v>TV Show</v>
      </c>
      <c r="C4676" s="2" t="str">
        <f>IF(A4676&lt;&gt;"", VLOOKUP(A4676, imdb_netflix_v5!A$2:H$7370, 3, FALSE), "")</f>
        <v>Comedy, Drama, Romance</v>
      </c>
      <c r="D4676" s="2">
        <f>IF(A4676&lt;&gt;"", VLOOKUP(A4676, imdb_netflix_v5!A$2:H$7370, 4, FALSE), "")</f>
        <v>7.3</v>
      </c>
      <c r="E4676" s="2">
        <f>IF(A4676&lt;&gt;"", VLOOKUP(A4676, imdb_netflix_v5!A$2:H$7370, 5, FALSE), "")</f>
        <v>2014</v>
      </c>
      <c r="F4676" s="2" t="str">
        <f>IF(A4676&lt;&gt;"", VLOOKUP(A4676, imdb_netflix_v5!A$2:H$7370, 7, FALSE), "")</f>
        <v>NA</v>
      </c>
    </row>
    <row r="4677" ht="15.75" customHeight="1">
      <c r="A4677" s="1" t="str">
        <f>IFERROR(__xludf.DUMMYFUNCTION("""COMPUTED_VALUE"""),"entergalactic")</f>
        <v>entergalactic</v>
      </c>
      <c r="B4677" s="1" t="str">
        <f>IF(A4677&lt;&gt;"", VLOOKUP(A4677, imdb_netflix_v5!A$2:H$7370, 2, FALSE), "")</f>
        <v>Movie</v>
      </c>
      <c r="C4677" s="2" t="str">
        <f>IF(A4677&lt;&gt;"", VLOOKUP(A4677, imdb_netflix_v5!A$2:H$7370, 3, FALSE), "")</f>
        <v>Animation, Comedy, Music</v>
      </c>
      <c r="D4677" s="2">
        <f>IF(A4677&lt;&gt;"", VLOOKUP(A4677, imdb_netflix_v5!A$2:H$7370, 4, FALSE), "")</f>
        <v>7.3</v>
      </c>
      <c r="E4677" s="2">
        <f>IF(A4677&lt;&gt;"", VLOOKUP(A4677, imdb_netflix_v5!A$2:H$7370, 5, FALSE), "")</f>
        <v>2022</v>
      </c>
      <c r="F4677" s="2" t="str">
        <f>IF(A4677&lt;&gt;"", VLOOKUP(A4677, imdb_netflix_v5!A$2:H$7370, 7, FALSE), "")</f>
        <v>NA</v>
      </c>
    </row>
    <row r="4678" ht="15.75" customHeight="1">
      <c r="A4678" s="1" t="str">
        <f>IFERROR(__xludf.DUMMYFUNCTION("""COMPUTED_VALUE"""),"keep sweet pray and obey")</f>
        <v>keep sweet pray and obey</v>
      </c>
      <c r="B4678" s="1" t="str">
        <f>IF(A4678&lt;&gt;"", VLOOKUP(A4678, imdb_netflix_v5!A$2:H$7370, 2, FALSE), "")</f>
        <v>TV Show</v>
      </c>
      <c r="C4678" s="2" t="str">
        <f>IF(A4678&lt;&gt;"", VLOOKUP(A4678, imdb_netflix_v5!A$2:H$7370, 3, FALSE), "")</f>
        <v>Crime, Documentary</v>
      </c>
      <c r="D4678" s="2">
        <f>IF(A4678&lt;&gt;"", VLOOKUP(A4678, imdb_netflix_v5!A$2:H$7370, 4, FALSE), "")</f>
        <v>7.3</v>
      </c>
      <c r="E4678" s="2">
        <f>IF(A4678&lt;&gt;"", VLOOKUP(A4678, imdb_netflix_v5!A$2:H$7370, 5, FALSE), "")</f>
        <v>2022</v>
      </c>
      <c r="F4678" s="2">
        <f>IF(A4678&lt;&gt;"", VLOOKUP(A4678, imdb_netflix_v5!A$2:H$7370, 7, FALSE), "")</f>
        <v>27640000</v>
      </c>
    </row>
    <row r="4679" ht="15.75" customHeight="1">
      <c r="A4679" s="1" t="str">
        <f>IFERROR(__xludf.DUMMYFUNCTION("""COMPUTED_VALUE"""),"café de flore")</f>
        <v>café de flore</v>
      </c>
      <c r="B4679" s="1" t="str">
        <f>IF(A4679&lt;&gt;"", VLOOKUP(A4679, imdb_netflix_v5!A$2:H$7370, 2, FALSE), "")</f>
        <v>Movie</v>
      </c>
      <c r="C4679" s="2" t="str">
        <f>IF(A4679&lt;&gt;"", VLOOKUP(A4679, imdb_netflix_v5!A$2:H$7370, 3, FALSE), "")</f>
        <v>Drama, Romance</v>
      </c>
      <c r="D4679" s="2">
        <f>IF(A4679&lt;&gt;"", VLOOKUP(A4679, imdb_netflix_v5!A$2:H$7370, 4, FALSE), "")</f>
        <v>7.3</v>
      </c>
      <c r="E4679" s="2">
        <f>IF(A4679&lt;&gt;"", VLOOKUP(A4679, imdb_netflix_v5!A$2:H$7370, 5, FALSE), "")</f>
        <v>2011</v>
      </c>
      <c r="F4679" s="2" t="str">
        <f>IF(A4679&lt;&gt;"", VLOOKUP(A4679, imdb_netflix_v5!A$2:H$7370, 7, FALSE), "")</f>
        <v>NA</v>
      </c>
    </row>
    <row r="4680" ht="15.75" customHeight="1">
      <c r="A4680" s="1" t="str">
        <f>IFERROR(__xludf.DUMMYFUNCTION("""COMPUTED_VALUE"""),"telling tales")</f>
        <v>telling tales</v>
      </c>
      <c r="B4680" s="1" t="str">
        <f>IF(A4680&lt;&gt;"", VLOOKUP(A4680, imdb_netflix_v5!A$2:H$7370, 2, FALSE), "")</f>
        <v>Movie</v>
      </c>
      <c r="C4680" s="2" t="str">
        <f>IF(A4680&lt;&gt;"", VLOOKUP(A4680, imdb_netflix_v5!A$2:H$7370, 3, FALSE), "")</f>
        <v>Comedy, Fantasy, Romance</v>
      </c>
      <c r="D4680" s="2">
        <f>IF(A4680&lt;&gt;"", VLOOKUP(A4680, imdb_netflix_v5!A$2:H$7370, 4, FALSE), "")</f>
        <v>7.3</v>
      </c>
      <c r="E4680" s="2">
        <f>IF(A4680&lt;&gt;"", VLOOKUP(A4680, imdb_netflix_v5!A$2:H$7370, 5, FALSE), "")</f>
        <v>2015</v>
      </c>
      <c r="F4680" s="2" t="str">
        <f>IF(A4680&lt;&gt;"", VLOOKUP(A4680, imdb_netflix_v5!A$2:H$7370, 7, FALSE), "")</f>
        <v>NA</v>
      </c>
    </row>
    <row r="4681" ht="15.75" customHeight="1">
      <c r="A4681" s="1" t="str">
        <f>IFERROR(__xludf.DUMMYFUNCTION("""COMPUTED_VALUE"""),"tosh.0")</f>
        <v>tosh.0</v>
      </c>
      <c r="B4681" s="1" t="str">
        <f>IF(A4681&lt;&gt;"", VLOOKUP(A4681, imdb_netflix_v5!A$2:H$7370, 2, FALSE), "")</f>
        <v>TV Show</v>
      </c>
      <c r="C4681" s="2" t="str">
        <f>IF(A4681&lt;&gt;"", VLOOKUP(A4681, imdb_netflix_v5!A$2:H$7370, 3, FALSE), "")</f>
        <v>Comedy</v>
      </c>
      <c r="D4681" s="2">
        <f>IF(A4681&lt;&gt;"", VLOOKUP(A4681, imdb_netflix_v5!A$2:H$7370, 4, FALSE), "")</f>
        <v>7.3</v>
      </c>
      <c r="E4681" s="2">
        <f>IF(A4681&lt;&gt;"", VLOOKUP(A4681, imdb_netflix_v5!A$2:H$7370, 5, FALSE), "")</f>
        <v>2009</v>
      </c>
      <c r="F4681" s="2" t="str">
        <f>IF(A4681&lt;&gt;"", VLOOKUP(A4681, imdb_netflix_v5!A$2:H$7370, 7, FALSE), "")</f>
        <v>NA</v>
      </c>
    </row>
    <row r="4682" ht="15.75" customHeight="1">
      <c r="A4682" s="1" t="str">
        <f>IFERROR(__xludf.DUMMYFUNCTION("""COMPUTED_VALUE"""),"read my lips")</f>
        <v>read my lips</v>
      </c>
      <c r="B4682" s="1" t="str">
        <f>IF(A4682&lt;&gt;"", VLOOKUP(A4682, imdb_netflix_v5!A$2:H$7370, 2, FALSE), "")</f>
        <v>Movie</v>
      </c>
      <c r="C4682" s="2" t="str">
        <f>IF(A4682&lt;&gt;"", VLOOKUP(A4682, imdb_netflix_v5!A$2:H$7370, 3, FALSE), "")</f>
        <v>Crime, Drama, Romance</v>
      </c>
      <c r="D4682" s="2">
        <f>IF(A4682&lt;&gt;"", VLOOKUP(A4682, imdb_netflix_v5!A$2:H$7370, 4, FALSE), "")</f>
        <v>7.3</v>
      </c>
      <c r="E4682" s="2">
        <f>IF(A4682&lt;&gt;"", VLOOKUP(A4682, imdb_netflix_v5!A$2:H$7370, 5, FALSE), "")</f>
        <v>2001</v>
      </c>
      <c r="F4682" s="2" t="str">
        <f>IF(A4682&lt;&gt;"", VLOOKUP(A4682, imdb_netflix_v5!A$2:H$7370, 7, FALSE), "")</f>
        <v>NA</v>
      </c>
    </row>
    <row r="4683" ht="15.75" customHeight="1">
      <c r="A4683" s="1" t="str">
        <f>IFERROR(__xludf.DUMMYFUNCTION("""COMPUTED_VALUE"""),"bala")</f>
        <v>bala</v>
      </c>
      <c r="B4683" s="1" t="str">
        <f>IF(A4683&lt;&gt;"", VLOOKUP(A4683, imdb_netflix_v5!A$2:H$7370, 2, FALSE), "")</f>
        <v>Movie</v>
      </c>
      <c r="C4683" s="2" t="str">
        <f>IF(A4683&lt;&gt;"", VLOOKUP(A4683, imdb_netflix_v5!A$2:H$7370, 3, FALSE), "")</f>
        <v>Comedy</v>
      </c>
      <c r="D4683" s="2">
        <f>IF(A4683&lt;&gt;"", VLOOKUP(A4683, imdb_netflix_v5!A$2:H$7370, 4, FALSE), "")</f>
        <v>7.3</v>
      </c>
      <c r="E4683" s="2">
        <f>IF(A4683&lt;&gt;"", VLOOKUP(A4683, imdb_netflix_v5!A$2:H$7370, 5, FALSE), "")</f>
        <v>2019</v>
      </c>
      <c r="F4683" s="2" t="str">
        <f>IF(A4683&lt;&gt;"", VLOOKUP(A4683, imdb_netflix_v5!A$2:H$7370, 7, FALSE), "")</f>
        <v>NA</v>
      </c>
    </row>
    <row r="4684" ht="15.75" customHeight="1">
      <c r="A4684" s="1" t="str">
        <f>IFERROR(__xludf.DUMMYFUNCTION("""COMPUTED_VALUE"""),"psycho raman")</f>
        <v>psycho raman</v>
      </c>
      <c r="B4684" s="1" t="str">
        <f>IF(A4684&lt;&gt;"", VLOOKUP(A4684, imdb_netflix_v5!A$2:H$7370, 2, FALSE), "")</f>
        <v>Movie</v>
      </c>
      <c r="C4684" s="2" t="str">
        <f>IF(A4684&lt;&gt;"", VLOOKUP(A4684, imdb_netflix_v5!A$2:H$7370, 3, FALSE), "")</f>
        <v>Crime, Drama, Thriller</v>
      </c>
      <c r="D4684" s="2">
        <f>IF(A4684&lt;&gt;"", VLOOKUP(A4684, imdb_netflix_v5!A$2:H$7370, 4, FALSE), "")</f>
        <v>7.3</v>
      </c>
      <c r="E4684" s="2">
        <f>IF(A4684&lt;&gt;"", VLOOKUP(A4684, imdb_netflix_v5!A$2:H$7370, 5, FALSE), "")</f>
        <v>2016</v>
      </c>
      <c r="F4684" s="2" t="str">
        <f>IF(A4684&lt;&gt;"", VLOOKUP(A4684, imdb_netflix_v5!A$2:H$7370, 7, FALSE), "")</f>
        <v>NA</v>
      </c>
    </row>
    <row r="4685" ht="15.75" customHeight="1">
      <c r="A4685" s="1" t="str">
        <f>IFERROR(__xludf.DUMMYFUNCTION("""COMPUTED_VALUE"""),"the last metro")</f>
        <v>the last metro</v>
      </c>
      <c r="B4685" s="1" t="str">
        <f>IF(A4685&lt;&gt;"", VLOOKUP(A4685, imdb_netflix_v5!A$2:H$7370, 2, FALSE), "")</f>
        <v>Movie</v>
      </c>
      <c r="C4685" s="2" t="str">
        <f>IF(A4685&lt;&gt;"", VLOOKUP(A4685, imdb_netflix_v5!A$2:H$7370, 3, FALSE), "")</f>
        <v>Drama, Romance, War</v>
      </c>
      <c r="D4685" s="2">
        <f>IF(A4685&lt;&gt;"", VLOOKUP(A4685, imdb_netflix_v5!A$2:H$7370, 4, FALSE), "")</f>
        <v>7.3</v>
      </c>
      <c r="E4685" s="2">
        <f>IF(A4685&lt;&gt;"", VLOOKUP(A4685, imdb_netflix_v5!A$2:H$7370, 5, FALSE), "")</f>
        <v>1980</v>
      </c>
      <c r="F4685" s="2" t="str">
        <f>IF(A4685&lt;&gt;"", VLOOKUP(A4685, imdb_netflix_v5!A$2:H$7370, 7, FALSE), "")</f>
        <v>NA</v>
      </c>
    </row>
    <row r="4686" ht="15.75" customHeight="1">
      <c r="A4686" s="1" t="str">
        <f>IFERROR(__xludf.DUMMYFUNCTION("""COMPUTED_VALUE"""),"our friend")</f>
        <v>our friend</v>
      </c>
      <c r="B4686" s="1" t="str">
        <f>IF(A4686&lt;&gt;"", VLOOKUP(A4686, imdb_netflix_v5!A$2:H$7370, 2, FALSE), "")</f>
        <v>Movie</v>
      </c>
      <c r="C4686" s="2" t="str">
        <f>IF(A4686&lt;&gt;"", VLOOKUP(A4686, imdb_netflix_v5!A$2:H$7370, 3, FALSE), "")</f>
        <v>Drama, Romance</v>
      </c>
      <c r="D4686" s="2">
        <f>IF(A4686&lt;&gt;"", VLOOKUP(A4686, imdb_netflix_v5!A$2:H$7370, 4, FALSE), "")</f>
        <v>7.3</v>
      </c>
      <c r="E4686" s="2">
        <f>IF(A4686&lt;&gt;"", VLOOKUP(A4686, imdb_netflix_v5!A$2:H$7370, 5, FALSE), "")</f>
        <v>2019</v>
      </c>
      <c r="F4686" s="2" t="str">
        <f>IF(A4686&lt;&gt;"", VLOOKUP(A4686, imdb_netflix_v5!A$2:H$7370, 7, FALSE), "")</f>
        <v>NA</v>
      </c>
    </row>
    <row r="4687" ht="15.75" customHeight="1">
      <c r="A4687" s="1" t="str">
        <f>IFERROR(__xludf.DUMMYFUNCTION("""COMPUTED_VALUE"""),"reprise")</f>
        <v>reprise</v>
      </c>
      <c r="B4687" s="1" t="str">
        <f>IF(A4687&lt;&gt;"", VLOOKUP(A4687, imdb_netflix_v5!A$2:H$7370, 2, FALSE), "")</f>
        <v>Movie</v>
      </c>
      <c r="C4687" s="2" t="str">
        <f>IF(A4687&lt;&gt;"", VLOOKUP(A4687, imdb_netflix_v5!A$2:H$7370, 3, FALSE), "")</f>
        <v>Drama</v>
      </c>
      <c r="D4687" s="2">
        <f>IF(A4687&lt;&gt;"", VLOOKUP(A4687, imdb_netflix_v5!A$2:H$7370, 4, FALSE), "")</f>
        <v>7.3</v>
      </c>
      <c r="E4687" s="2">
        <f>IF(A4687&lt;&gt;"", VLOOKUP(A4687, imdb_netflix_v5!A$2:H$7370, 5, FALSE), "")</f>
        <v>2006</v>
      </c>
      <c r="F4687" s="2" t="str">
        <f>IF(A4687&lt;&gt;"", VLOOKUP(A4687, imdb_netflix_v5!A$2:H$7370, 7, FALSE), "")</f>
        <v>NA</v>
      </c>
    </row>
    <row r="4688" ht="15.75" customHeight="1">
      <c r="A4688" s="1" t="str">
        <f>IFERROR(__xludf.DUMMYFUNCTION("""COMPUTED_VALUE"""),"chowder")</f>
        <v>chowder</v>
      </c>
      <c r="B4688" s="1" t="str">
        <f>IF(A4688&lt;&gt;"", VLOOKUP(A4688, imdb_netflix_v5!A$2:H$7370, 2, FALSE), "")</f>
        <v>TV Show</v>
      </c>
      <c r="C4688" s="2" t="str">
        <f>IF(A4688&lt;&gt;"", VLOOKUP(A4688, imdb_netflix_v5!A$2:H$7370, 3, FALSE), "")</f>
        <v>Adventure, Animation, Comedy</v>
      </c>
      <c r="D4688" s="2">
        <f>IF(A4688&lt;&gt;"", VLOOKUP(A4688, imdb_netflix_v5!A$2:H$7370, 4, FALSE), "")</f>
        <v>7.3</v>
      </c>
      <c r="E4688" s="2">
        <f>IF(A4688&lt;&gt;"", VLOOKUP(A4688, imdb_netflix_v5!A$2:H$7370, 5, FALSE), "")</f>
        <v>2007</v>
      </c>
      <c r="F4688" s="2" t="str">
        <f>IF(A4688&lt;&gt;"", VLOOKUP(A4688, imdb_netflix_v5!A$2:H$7370, 7, FALSE), "")</f>
        <v>NA</v>
      </c>
    </row>
    <row r="4689" ht="15.75" customHeight="1">
      <c r="A4689" s="1" t="str">
        <f>IFERROR(__xludf.DUMMYFUNCTION("""COMPUTED_VALUE"""),"beau travail")</f>
        <v>beau travail</v>
      </c>
      <c r="B4689" s="1" t="str">
        <f>IF(A4689&lt;&gt;"", VLOOKUP(A4689, imdb_netflix_v5!A$2:H$7370, 2, FALSE), "")</f>
        <v>Movie</v>
      </c>
      <c r="C4689" s="2" t="str">
        <f>IF(A4689&lt;&gt;"", VLOOKUP(A4689, imdb_netflix_v5!A$2:H$7370, 3, FALSE), "")</f>
        <v>Drama, War</v>
      </c>
      <c r="D4689" s="2">
        <f>IF(A4689&lt;&gt;"", VLOOKUP(A4689, imdb_netflix_v5!A$2:H$7370, 4, FALSE), "")</f>
        <v>7.3</v>
      </c>
      <c r="E4689" s="2">
        <f>IF(A4689&lt;&gt;"", VLOOKUP(A4689, imdb_netflix_v5!A$2:H$7370, 5, FALSE), "")</f>
        <v>1999</v>
      </c>
      <c r="F4689" s="2" t="str">
        <f>IF(A4689&lt;&gt;"", VLOOKUP(A4689, imdb_netflix_v5!A$2:H$7370, 7, FALSE), "")</f>
        <v>NA</v>
      </c>
    </row>
    <row r="4690" ht="15.75" customHeight="1">
      <c r="A4690" s="1" t="str">
        <f>IFERROR(__xludf.DUMMYFUNCTION("""COMPUTED_VALUE"""),"61 days")</f>
        <v>61 days</v>
      </c>
      <c r="B4690" s="1" t="str">
        <f>IF(A4690&lt;&gt;"", VLOOKUP(A4690, imdb_netflix_v5!A$2:H$7370, 2, FALSE), "")</f>
        <v>Movie</v>
      </c>
      <c r="C4690" s="2" t="str">
        <f>IF(A4690&lt;&gt;"", VLOOKUP(A4690, imdb_netflix_v5!A$2:H$7370, 3, FALSE), "")</f>
        <v>Comedy</v>
      </c>
      <c r="D4690" s="2">
        <f>IF(A4690&lt;&gt;"", VLOOKUP(A4690, imdb_netflix_v5!A$2:H$7370, 4, FALSE), "")</f>
        <v>7.3</v>
      </c>
      <c r="E4690" s="2">
        <f>IF(A4690&lt;&gt;"", VLOOKUP(A4690, imdb_netflix_v5!A$2:H$7370, 5, FALSE), "")</f>
        <v>2016</v>
      </c>
      <c r="F4690" s="2" t="str">
        <f>IF(A4690&lt;&gt;"", VLOOKUP(A4690, imdb_netflix_v5!A$2:H$7370, 7, FALSE), "")</f>
        <v>NA</v>
      </c>
    </row>
    <row r="4691" ht="15.75" customHeight="1">
      <c r="A4691" s="1" t="str">
        <f>IFERROR(__xludf.DUMMYFUNCTION("""COMPUTED_VALUE"""),"gadar ek prem katha")</f>
        <v>gadar ek prem katha</v>
      </c>
      <c r="B4691" s="1" t="str">
        <f>IF(A4691&lt;&gt;"", VLOOKUP(A4691, imdb_netflix_v5!A$2:H$7370, 2, FALSE), "")</f>
        <v>Movie</v>
      </c>
      <c r="C4691" s="2" t="str">
        <f>IF(A4691&lt;&gt;"", VLOOKUP(A4691, imdb_netflix_v5!A$2:H$7370, 3, FALSE), "")</f>
        <v>Action, Drama, Romance</v>
      </c>
      <c r="D4691" s="2">
        <f>IF(A4691&lt;&gt;"", VLOOKUP(A4691, imdb_netflix_v5!A$2:H$7370, 4, FALSE), "")</f>
        <v>7.3</v>
      </c>
      <c r="E4691" s="2">
        <f>IF(A4691&lt;&gt;"", VLOOKUP(A4691, imdb_netflix_v5!A$2:H$7370, 5, FALSE), "")</f>
        <v>2001</v>
      </c>
      <c r="F4691" s="2" t="str">
        <f>IF(A4691&lt;&gt;"", VLOOKUP(A4691, imdb_netflix_v5!A$2:H$7370, 7, FALSE), "")</f>
        <v>NA</v>
      </c>
    </row>
    <row r="4692" ht="15.75" customHeight="1">
      <c r="A4692" s="1" t="str">
        <f>IFERROR(__xludf.DUMMYFUNCTION("""COMPUTED_VALUE"""),"the edge of democracy")</f>
        <v>the edge of democracy</v>
      </c>
      <c r="B4692" s="1" t="str">
        <f>IF(A4692&lt;&gt;"", VLOOKUP(A4692, imdb_netflix_v5!A$2:H$7370, 2, FALSE), "")</f>
        <v>Movie</v>
      </c>
      <c r="C4692" s="2" t="str">
        <f>IF(A4692&lt;&gt;"", VLOOKUP(A4692, imdb_netflix_v5!A$2:H$7370, 3, FALSE), "")</f>
        <v>Documentary, History</v>
      </c>
      <c r="D4692" s="2">
        <f>IF(A4692&lt;&gt;"", VLOOKUP(A4692, imdb_netflix_v5!A$2:H$7370, 4, FALSE), "")</f>
        <v>7.3</v>
      </c>
      <c r="E4692" s="2">
        <f>IF(A4692&lt;&gt;"", VLOOKUP(A4692, imdb_netflix_v5!A$2:H$7370, 5, FALSE), "")</f>
        <v>2019</v>
      </c>
      <c r="F4692" s="2" t="str">
        <f>IF(A4692&lt;&gt;"", VLOOKUP(A4692, imdb_netflix_v5!A$2:H$7370, 7, FALSE), "")</f>
        <v>NA</v>
      </c>
    </row>
    <row r="4693" ht="15.75" customHeight="1">
      <c r="A4693" s="1" t="str">
        <f>IFERROR(__xludf.DUMMYFUNCTION("""COMPUTED_VALUE"""),"richard iii")</f>
        <v>richard iii</v>
      </c>
      <c r="B4693" s="1" t="str">
        <f>IF(A4693&lt;&gt;"", VLOOKUP(A4693, imdb_netflix_v5!A$2:H$7370, 2, FALSE), "")</f>
        <v>Movie</v>
      </c>
      <c r="C4693" s="2" t="str">
        <f>IF(A4693&lt;&gt;"", VLOOKUP(A4693, imdb_netflix_v5!A$2:H$7370, 3, FALSE), "")</f>
        <v>Drama, Sci-Fi, War</v>
      </c>
      <c r="D4693" s="2">
        <f>IF(A4693&lt;&gt;"", VLOOKUP(A4693, imdb_netflix_v5!A$2:H$7370, 4, FALSE), "")</f>
        <v>7.3</v>
      </c>
      <c r="E4693" s="2">
        <f>IF(A4693&lt;&gt;"", VLOOKUP(A4693, imdb_netflix_v5!A$2:H$7370, 5, FALSE), "")</f>
        <v>1995</v>
      </c>
      <c r="F4693" s="2" t="str">
        <f>IF(A4693&lt;&gt;"", VLOOKUP(A4693, imdb_netflix_v5!A$2:H$7370, 7, FALSE), "")</f>
        <v>NA</v>
      </c>
    </row>
    <row r="4694" ht="15.75" customHeight="1">
      <c r="A4694" s="1" t="str">
        <f>IFERROR(__xludf.DUMMYFUNCTION("""COMPUTED_VALUE"""),"the front page")</f>
        <v>the front page</v>
      </c>
      <c r="B4694" s="1" t="str">
        <f>IF(A4694&lt;&gt;"", VLOOKUP(A4694, imdb_netflix_v5!A$2:H$7370, 2, FALSE), "")</f>
        <v>Movie</v>
      </c>
      <c r="C4694" s="2" t="str">
        <f>IF(A4694&lt;&gt;"", VLOOKUP(A4694, imdb_netflix_v5!A$2:H$7370, 3, FALSE), "")</f>
        <v>Comedy, Drama, Romance</v>
      </c>
      <c r="D4694" s="2">
        <f>IF(A4694&lt;&gt;"", VLOOKUP(A4694, imdb_netflix_v5!A$2:H$7370, 4, FALSE), "")</f>
        <v>7.3</v>
      </c>
      <c r="E4694" s="2">
        <f>IF(A4694&lt;&gt;"", VLOOKUP(A4694, imdb_netflix_v5!A$2:H$7370, 5, FALSE), "")</f>
        <v>1974</v>
      </c>
      <c r="F4694" s="2" t="str">
        <f>IF(A4694&lt;&gt;"", VLOOKUP(A4694, imdb_netflix_v5!A$2:H$7370, 7, FALSE), "")</f>
        <v>NA</v>
      </c>
    </row>
    <row r="4695" ht="15.75" customHeight="1">
      <c r="A4695" s="1" t="str">
        <f>IFERROR(__xludf.DUMMYFUNCTION("""COMPUTED_VALUE"""),"polisse")</f>
        <v>polisse</v>
      </c>
      <c r="B4695" s="1" t="str">
        <f>IF(A4695&lt;&gt;"", VLOOKUP(A4695, imdb_netflix_v5!A$2:H$7370, 2, FALSE), "")</f>
        <v>Movie</v>
      </c>
      <c r="C4695" s="2" t="str">
        <f>IF(A4695&lt;&gt;"", VLOOKUP(A4695, imdb_netflix_v5!A$2:H$7370, 3, FALSE), "")</f>
        <v>Crime, Drama</v>
      </c>
      <c r="D4695" s="2">
        <f>IF(A4695&lt;&gt;"", VLOOKUP(A4695, imdb_netflix_v5!A$2:H$7370, 4, FALSE), "")</f>
        <v>7.3</v>
      </c>
      <c r="E4695" s="2">
        <f>IF(A4695&lt;&gt;"", VLOOKUP(A4695, imdb_netflix_v5!A$2:H$7370, 5, FALSE), "")</f>
        <v>2011</v>
      </c>
      <c r="F4695" s="2" t="str">
        <f>IF(A4695&lt;&gt;"", VLOOKUP(A4695, imdb_netflix_v5!A$2:H$7370, 7, FALSE), "")</f>
        <v>NA</v>
      </c>
    </row>
    <row r="4696" ht="15.75" customHeight="1">
      <c r="A4696" s="1" t="str">
        <f>IFERROR(__xludf.DUMMYFUNCTION("""COMPUTED_VALUE"""),"elena")</f>
        <v>elena</v>
      </c>
      <c r="B4696" s="1" t="str">
        <f>IF(A4696&lt;&gt;"", VLOOKUP(A4696, imdb_netflix_v5!A$2:H$7370, 2, FALSE), "")</f>
        <v>Movie</v>
      </c>
      <c r="C4696" s="2" t="str">
        <f>IF(A4696&lt;&gt;"", VLOOKUP(A4696, imdb_netflix_v5!A$2:H$7370, 3, FALSE), "")</f>
        <v>Crime, Drama, Thriller</v>
      </c>
      <c r="D4696" s="2">
        <f>IF(A4696&lt;&gt;"", VLOOKUP(A4696, imdb_netflix_v5!A$2:H$7370, 4, FALSE), "")</f>
        <v>7.3</v>
      </c>
      <c r="E4696" s="2">
        <f>IF(A4696&lt;&gt;"", VLOOKUP(A4696, imdb_netflix_v5!A$2:H$7370, 5, FALSE), "")</f>
        <v>2011</v>
      </c>
      <c r="F4696" s="2" t="str">
        <f>IF(A4696&lt;&gt;"", VLOOKUP(A4696, imdb_netflix_v5!A$2:H$7370, 7, FALSE), "")</f>
        <v>NA</v>
      </c>
    </row>
    <row r="4697" ht="15.75" customHeight="1">
      <c r="A4697" s="1" t="str">
        <f>IFERROR(__xludf.DUMMYFUNCTION("""COMPUTED_VALUE"""),"bad boy bubby")</f>
        <v>bad boy bubby</v>
      </c>
      <c r="B4697" s="1" t="str">
        <f>IF(A4697&lt;&gt;"", VLOOKUP(A4697, imdb_netflix_v5!A$2:H$7370, 2, FALSE), "")</f>
        <v>Movie</v>
      </c>
      <c r="C4697" s="2" t="str">
        <f>IF(A4697&lt;&gt;"", VLOOKUP(A4697, imdb_netflix_v5!A$2:H$7370, 3, FALSE), "")</f>
        <v>Comedy, Crime, Drama</v>
      </c>
      <c r="D4697" s="2">
        <f>IF(A4697&lt;&gt;"", VLOOKUP(A4697, imdb_netflix_v5!A$2:H$7370, 4, FALSE), "")</f>
        <v>7.3</v>
      </c>
      <c r="E4697" s="2">
        <f>IF(A4697&lt;&gt;"", VLOOKUP(A4697, imdb_netflix_v5!A$2:H$7370, 5, FALSE), "")</f>
        <v>1993</v>
      </c>
      <c r="F4697" s="2" t="str">
        <f>IF(A4697&lt;&gt;"", VLOOKUP(A4697, imdb_netflix_v5!A$2:H$7370, 7, FALSE), "")</f>
        <v>NA</v>
      </c>
    </row>
    <row r="4698" ht="15.75" customHeight="1">
      <c r="A4698" s="1" t="str">
        <f>IFERROR(__xludf.DUMMYFUNCTION("""COMPUTED_VALUE"""),"darling in the franxx")</f>
        <v>darling in the franxx</v>
      </c>
      <c r="B4698" s="1" t="str">
        <f>IF(A4698&lt;&gt;"", VLOOKUP(A4698, imdb_netflix_v5!A$2:H$7370, 2, FALSE), "")</f>
        <v>TV Show</v>
      </c>
      <c r="C4698" s="2" t="str">
        <f>IF(A4698&lt;&gt;"", VLOOKUP(A4698, imdb_netflix_v5!A$2:H$7370, 3, FALSE), "")</f>
        <v>Action, Animation, Drama</v>
      </c>
      <c r="D4698" s="2">
        <f>IF(A4698&lt;&gt;"", VLOOKUP(A4698, imdb_netflix_v5!A$2:H$7370, 4, FALSE), "")</f>
        <v>7.3</v>
      </c>
      <c r="E4698" s="2">
        <f>IF(A4698&lt;&gt;"", VLOOKUP(A4698, imdb_netflix_v5!A$2:H$7370, 5, FALSE), "")</f>
        <v>2018</v>
      </c>
      <c r="F4698" s="2" t="str">
        <f>IF(A4698&lt;&gt;"", VLOOKUP(A4698, imdb_netflix_v5!A$2:H$7370, 7, FALSE), "")</f>
        <v>NA</v>
      </c>
    </row>
    <row r="4699" ht="15.75" customHeight="1">
      <c r="A4699" s="1" t="str">
        <f>IFERROR(__xludf.DUMMYFUNCTION("""COMPUTED_VALUE"""),"faking it")</f>
        <v>faking it</v>
      </c>
      <c r="B4699" s="1" t="str">
        <f>IF(A4699&lt;&gt;"", VLOOKUP(A4699, imdb_netflix_v5!A$2:H$7370, 2, FALSE), "")</f>
        <v>TV Show</v>
      </c>
      <c r="C4699" s="2" t="str">
        <f>IF(A4699&lt;&gt;"", VLOOKUP(A4699, imdb_netflix_v5!A$2:H$7370, 3, FALSE), "")</f>
        <v>Comedy, Drama, Romance</v>
      </c>
      <c r="D4699" s="2">
        <f>IF(A4699&lt;&gt;"", VLOOKUP(A4699, imdb_netflix_v5!A$2:H$7370, 4, FALSE), "")</f>
        <v>7.3</v>
      </c>
      <c r="E4699" s="2">
        <f>IF(A4699&lt;&gt;"", VLOOKUP(A4699, imdb_netflix_v5!A$2:H$7370, 5, FALSE), "")</f>
        <v>2014</v>
      </c>
      <c r="F4699" s="2" t="str">
        <f>IF(A4699&lt;&gt;"", VLOOKUP(A4699, imdb_netflix_v5!A$2:H$7370, 7, FALSE), "")</f>
        <v>NA</v>
      </c>
    </row>
    <row r="4700" ht="15.75" customHeight="1">
      <c r="A4700" s="1" t="str">
        <f>IFERROR(__xludf.DUMMYFUNCTION("""COMPUTED_VALUE"""),"the killing of a chinese bookie")</f>
        <v>the killing of a chinese bookie</v>
      </c>
      <c r="B4700" s="1" t="str">
        <f>IF(A4700&lt;&gt;"", VLOOKUP(A4700, imdb_netflix_v5!A$2:H$7370, 2, FALSE), "")</f>
        <v>Movie</v>
      </c>
      <c r="C4700" s="2" t="str">
        <f>IF(A4700&lt;&gt;"", VLOOKUP(A4700, imdb_netflix_v5!A$2:H$7370, 3, FALSE), "")</f>
        <v>Crime, Drama, Thriller</v>
      </c>
      <c r="D4700" s="2">
        <f>IF(A4700&lt;&gt;"", VLOOKUP(A4700, imdb_netflix_v5!A$2:H$7370, 4, FALSE), "")</f>
        <v>7.3</v>
      </c>
      <c r="E4700" s="2">
        <f>IF(A4700&lt;&gt;"", VLOOKUP(A4700, imdb_netflix_v5!A$2:H$7370, 5, FALSE), "")</f>
        <v>1976</v>
      </c>
      <c r="F4700" s="2" t="str">
        <f>IF(A4700&lt;&gt;"", VLOOKUP(A4700, imdb_netflix_v5!A$2:H$7370, 7, FALSE), "")</f>
        <v>NA</v>
      </c>
    </row>
    <row r="4701" ht="15.75" customHeight="1">
      <c r="A4701" s="1" t="str">
        <f>IFERROR(__xludf.DUMMYFUNCTION("""COMPUTED_VALUE"""),"coming home")</f>
        <v>coming home</v>
      </c>
      <c r="B4701" s="1" t="str">
        <f>IF(A4701&lt;&gt;"", VLOOKUP(A4701, imdb_netflix_v5!A$2:H$7370, 2, FALSE), "")</f>
        <v>Movie</v>
      </c>
      <c r="C4701" s="2" t="str">
        <f>IF(A4701&lt;&gt;"", VLOOKUP(A4701, imdb_netflix_v5!A$2:H$7370, 3, FALSE), "")</f>
        <v>Drama, Romance, War</v>
      </c>
      <c r="D4701" s="2">
        <f>IF(A4701&lt;&gt;"", VLOOKUP(A4701, imdb_netflix_v5!A$2:H$7370, 4, FALSE), "")</f>
        <v>7.3</v>
      </c>
      <c r="E4701" s="2">
        <f>IF(A4701&lt;&gt;"", VLOOKUP(A4701, imdb_netflix_v5!A$2:H$7370, 5, FALSE), "")</f>
        <v>1978</v>
      </c>
      <c r="F4701" s="2" t="str">
        <f>IF(A4701&lt;&gt;"", VLOOKUP(A4701, imdb_netflix_v5!A$2:H$7370, 7, FALSE), "")</f>
        <v>NA</v>
      </c>
    </row>
    <row r="4702" ht="15.75" customHeight="1">
      <c r="A4702" s="1" t="str">
        <f>IFERROR(__xludf.DUMMYFUNCTION("""COMPUTED_VALUE"""),"midnight, texas")</f>
        <v>midnight, texas</v>
      </c>
      <c r="B4702" s="1" t="str">
        <f>IF(A4702&lt;&gt;"", VLOOKUP(A4702, imdb_netflix_v5!A$2:H$7370, 2, FALSE), "")</f>
        <v>TV Show</v>
      </c>
      <c r="C4702" s="2" t="str">
        <f>IF(A4702&lt;&gt;"", VLOOKUP(A4702, imdb_netflix_v5!A$2:H$7370, 3, FALSE), "")</f>
        <v>Drama, Fantasy, Mystery</v>
      </c>
      <c r="D4702" s="2">
        <f>IF(A4702&lt;&gt;"", VLOOKUP(A4702, imdb_netflix_v5!A$2:H$7370, 4, FALSE), "")</f>
        <v>7.3</v>
      </c>
      <c r="E4702" s="2">
        <f>IF(A4702&lt;&gt;"", VLOOKUP(A4702, imdb_netflix_v5!A$2:H$7370, 5, FALSE), "")</f>
        <v>2017</v>
      </c>
      <c r="F4702" s="2" t="str">
        <f>IF(A4702&lt;&gt;"", VLOOKUP(A4702, imdb_netflix_v5!A$2:H$7370, 7, FALSE), "")</f>
        <v>NA</v>
      </c>
    </row>
    <row r="4703" ht="15.75" customHeight="1">
      <c r="A4703" s="1" t="str">
        <f>IFERROR(__xludf.DUMMYFUNCTION("""COMPUTED_VALUE"""),"hope and glory")</f>
        <v>hope and glory</v>
      </c>
      <c r="B4703" s="1" t="str">
        <f>IF(A4703&lt;&gt;"", VLOOKUP(A4703, imdb_netflix_v5!A$2:H$7370, 2, FALSE), "")</f>
        <v>Movie</v>
      </c>
      <c r="C4703" s="2" t="str">
        <f>IF(A4703&lt;&gt;"", VLOOKUP(A4703, imdb_netflix_v5!A$2:H$7370, 3, FALSE), "")</f>
        <v>Comedy, Drama, Romance</v>
      </c>
      <c r="D4703" s="2">
        <f>IF(A4703&lt;&gt;"", VLOOKUP(A4703, imdb_netflix_v5!A$2:H$7370, 4, FALSE), "")</f>
        <v>7.3</v>
      </c>
      <c r="E4703" s="2">
        <f>IF(A4703&lt;&gt;"", VLOOKUP(A4703, imdb_netflix_v5!A$2:H$7370, 5, FALSE), "")</f>
        <v>1987</v>
      </c>
      <c r="F4703" s="2" t="str">
        <f>IF(A4703&lt;&gt;"", VLOOKUP(A4703, imdb_netflix_v5!A$2:H$7370, 7, FALSE), "")</f>
        <v>NA</v>
      </c>
    </row>
    <row r="4704" ht="15.75" customHeight="1">
      <c r="A4704" s="1" t="str">
        <f>IFERROR(__xludf.DUMMYFUNCTION("""COMPUTED_VALUE"""),"mithya")</f>
        <v>mithya</v>
      </c>
      <c r="B4704" s="1" t="str">
        <f>IF(A4704&lt;&gt;"", VLOOKUP(A4704, imdb_netflix_v5!A$2:H$7370, 2, FALSE), "")</f>
        <v>TV Show</v>
      </c>
      <c r="C4704" s="2" t="str">
        <f>IF(A4704&lt;&gt;"", VLOOKUP(A4704, imdb_netflix_v5!A$2:H$7370, 3, FALSE), "")</f>
        <v>Crime, Drama, Thriller</v>
      </c>
      <c r="D4704" s="2">
        <f>IF(A4704&lt;&gt;"", VLOOKUP(A4704, imdb_netflix_v5!A$2:H$7370, 4, FALSE), "")</f>
        <v>7.3</v>
      </c>
      <c r="E4704" s="2">
        <f>IF(A4704&lt;&gt;"", VLOOKUP(A4704, imdb_netflix_v5!A$2:H$7370, 5, FALSE), "")</f>
        <v>2022</v>
      </c>
      <c r="F4704" s="2" t="str">
        <f>IF(A4704&lt;&gt;"", VLOOKUP(A4704, imdb_netflix_v5!A$2:H$7370, 7, FALSE), "")</f>
        <v>NA</v>
      </c>
    </row>
    <row r="4705" ht="15.75" customHeight="1">
      <c r="A4705" s="1" t="str">
        <f>IFERROR(__xludf.DUMMYFUNCTION("""COMPUTED_VALUE"""),"gold")</f>
        <v>gold</v>
      </c>
      <c r="B4705" s="1" t="str">
        <f>IF(A4705&lt;&gt;"", VLOOKUP(A4705, imdb_netflix_v5!A$2:H$7370, 2, FALSE), "")</f>
        <v>Movie</v>
      </c>
      <c r="C4705" s="2" t="str">
        <f>IF(A4705&lt;&gt;"", VLOOKUP(A4705, imdb_netflix_v5!A$2:H$7370, 3, FALSE), "")</f>
        <v>Drama, History, Sport</v>
      </c>
      <c r="D4705" s="2">
        <f>IF(A4705&lt;&gt;"", VLOOKUP(A4705, imdb_netflix_v5!A$2:H$7370, 4, FALSE), "")</f>
        <v>7.3</v>
      </c>
      <c r="E4705" s="2">
        <f>IF(A4705&lt;&gt;"", VLOOKUP(A4705, imdb_netflix_v5!A$2:H$7370, 5, FALSE), "")</f>
        <v>2018</v>
      </c>
      <c r="F4705" s="2" t="str">
        <f>IF(A4705&lt;&gt;"", VLOOKUP(A4705, imdb_netflix_v5!A$2:H$7370, 7, FALSE), "")</f>
        <v>NA</v>
      </c>
    </row>
    <row r="4706" ht="15.75" customHeight="1">
      <c r="A4706" s="1" t="str">
        <f>IFERROR(__xludf.DUMMYFUNCTION("""COMPUTED_VALUE"""),"graduation")</f>
        <v>graduation</v>
      </c>
      <c r="B4706" s="1" t="str">
        <f>IF(A4706&lt;&gt;"", VLOOKUP(A4706, imdb_netflix_v5!A$2:H$7370, 2, FALSE), "")</f>
        <v>Movie</v>
      </c>
      <c r="C4706" s="2" t="str">
        <f>IF(A4706&lt;&gt;"", VLOOKUP(A4706, imdb_netflix_v5!A$2:H$7370, 3, FALSE), "")</f>
        <v>Crime, Drama</v>
      </c>
      <c r="D4706" s="2">
        <f>IF(A4706&lt;&gt;"", VLOOKUP(A4706, imdb_netflix_v5!A$2:H$7370, 4, FALSE), "")</f>
        <v>7.3</v>
      </c>
      <c r="E4706" s="2">
        <f>IF(A4706&lt;&gt;"", VLOOKUP(A4706, imdb_netflix_v5!A$2:H$7370, 5, FALSE), "")</f>
        <v>2016</v>
      </c>
      <c r="F4706" s="2" t="str">
        <f>IF(A4706&lt;&gt;"", VLOOKUP(A4706, imdb_netflix_v5!A$2:H$7370, 7, FALSE), "")</f>
        <v>NA</v>
      </c>
    </row>
    <row r="4707" ht="15.75" customHeight="1">
      <c r="A4707" s="1" t="str">
        <f>IFERROR(__xludf.DUMMYFUNCTION("""COMPUTED_VALUE"""),"clark")</f>
        <v>clark</v>
      </c>
      <c r="B4707" s="1" t="str">
        <f>IF(A4707&lt;&gt;"", VLOOKUP(A4707, imdb_netflix_v5!A$2:H$7370, 2, FALSE), "")</f>
        <v>TV Show</v>
      </c>
      <c r="C4707" s="2" t="str">
        <f>IF(A4707&lt;&gt;"", VLOOKUP(A4707, imdb_netflix_v5!A$2:H$7370, 3, FALSE), "")</f>
        <v>Action, Comedy, Crime</v>
      </c>
      <c r="D4707" s="2">
        <f>IF(A4707&lt;&gt;"", VLOOKUP(A4707, imdb_netflix_v5!A$2:H$7370, 4, FALSE), "")</f>
        <v>7.3</v>
      </c>
      <c r="E4707" s="2">
        <f>IF(A4707&lt;&gt;"", VLOOKUP(A4707, imdb_netflix_v5!A$2:H$7370, 5, FALSE), "")</f>
        <v>2022</v>
      </c>
      <c r="F4707" s="2">
        <f>IF(A4707&lt;&gt;"", VLOOKUP(A4707, imdb_netflix_v5!A$2:H$7370, 7, FALSE), "")</f>
        <v>10480000</v>
      </c>
    </row>
    <row r="4708" ht="15.75" customHeight="1">
      <c r="A4708" s="1" t="str">
        <f>IFERROR(__xludf.DUMMYFUNCTION("""COMPUTED_VALUE"""),"secret diary of a call girl")</f>
        <v>secret diary of a call girl</v>
      </c>
      <c r="B4708" s="1" t="str">
        <f>IF(A4708&lt;&gt;"", VLOOKUP(A4708, imdb_netflix_v5!A$2:H$7370, 2, FALSE), "")</f>
        <v>TV Show</v>
      </c>
      <c r="C4708" s="2" t="str">
        <f>IF(A4708&lt;&gt;"", VLOOKUP(A4708, imdb_netflix_v5!A$2:H$7370, 3, FALSE), "")</f>
        <v>Drama</v>
      </c>
      <c r="D4708" s="2">
        <f>IF(A4708&lt;&gt;"", VLOOKUP(A4708, imdb_netflix_v5!A$2:H$7370, 4, FALSE), "")</f>
        <v>7.3</v>
      </c>
      <c r="E4708" s="2">
        <f>IF(A4708&lt;&gt;"", VLOOKUP(A4708, imdb_netflix_v5!A$2:H$7370, 5, FALSE), "")</f>
        <v>2007</v>
      </c>
      <c r="F4708" s="2" t="str">
        <f>IF(A4708&lt;&gt;"", VLOOKUP(A4708, imdb_netflix_v5!A$2:H$7370, 7, FALSE), "")</f>
        <v>NA</v>
      </c>
    </row>
    <row r="4709" ht="15.75" customHeight="1">
      <c r="A4709" s="1" t="str">
        <f>IFERROR(__xludf.DUMMYFUNCTION("""COMPUTED_VALUE"""),"summer storm")</f>
        <v>summer storm</v>
      </c>
      <c r="B4709" s="1" t="str">
        <f>IF(A4709&lt;&gt;"", VLOOKUP(A4709, imdb_netflix_v5!A$2:H$7370, 2, FALSE), "")</f>
        <v>Movie</v>
      </c>
      <c r="C4709" s="2" t="str">
        <f>IF(A4709&lt;&gt;"", VLOOKUP(A4709, imdb_netflix_v5!A$2:H$7370, 3, FALSE), "")</f>
        <v>Comedy, Drama, Romance</v>
      </c>
      <c r="D4709" s="2">
        <f>IF(A4709&lt;&gt;"", VLOOKUP(A4709, imdb_netflix_v5!A$2:H$7370, 4, FALSE), "")</f>
        <v>7.3</v>
      </c>
      <c r="E4709" s="2">
        <f>IF(A4709&lt;&gt;"", VLOOKUP(A4709, imdb_netflix_v5!A$2:H$7370, 5, FALSE), "")</f>
        <v>2004</v>
      </c>
      <c r="F4709" s="2" t="str">
        <f>IF(A4709&lt;&gt;"", VLOOKUP(A4709, imdb_netflix_v5!A$2:H$7370, 7, FALSE), "")</f>
        <v>NA</v>
      </c>
    </row>
    <row r="4710" ht="15.75" customHeight="1">
      <c r="A4710" s="1" t="str">
        <f>IFERROR(__xludf.DUMMYFUNCTION("""COMPUTED_VALUE"""),"becker")</f>
        <v>becker</v>
      </c>
      <c r="B4710" s="1" t="str">
        <f>IF(A4710&lt;&gt;"", VLOOKUP(A4710, imdb_netflix_v5!A$2:H$7370, 2, FALSE), "")</f>
        <v>TV Show</v>
      </c>
      <c r="C4710" s="2" t="str">
        <f>IF(A4710&lt;&gt;"", VLOOKUP(A4710, imdb_netflix_v5!A$2:H$7370, 3, FALSE), "")</f>
        <v>Comedy</v>
      </c>
      <c r="D4710" s="2">
        <f>IF(A4710&lt;&gt;"", VLOOKUP(A4710, imdb_netflix_v5!A$2:H$7370, 4, FALSE), "")</f>
        <v>7.3</v>
      </c>
      <c r="E4710" s="2">
        <f>IF(A4710&lt;&gt;"", VLOOKUP(A4710, imdb_netflix_v5!A$2:H$7370, 5, FALSE), "")</f>
        <v>1998</v>
      </c>
      <c r="F4710" s="2" t="str">
        <f>IF(A4710&lt;&gt;"", VLOOKUP(A4710, imdb_netflix_v5!A$2:H$7370, 7, FALSE), "")</f>
        <v>NA</v>
      </c>
    </row>
    <row r="4711" ht="15.75" customHeight="1">
      <c r="A4711" s="1" t="str">
        <f>IFERROR(__xludf.DUMMYFUNCTION("""COMPUTED_VALUE"""),"desert flower")</f>
        <v>desert flower</v>
      </c>
      <c r="B4711" s="1" t="str">
        <f>IF(A4711&lt;&gt;"", VLOOKUP(A4711, imdb_netflix_v5!A$2:H$7370, 2, FALSE), "")</f>
        <v>Movie</v>
      </c>
      <c r="C4711" s="2" t="str">
        <f>IF(A4711&lt;&gt;"", VLOOKUP(A4711, imdb_netflix_v5!A$2:H$7370, 3, FALSE), "")</f>
        <v>Biography, Drama</v>
      </c>
      <c r="D4711" s="2">
        <f>IF(A4711&lt;&gt;"", VLOOKUP(A4711, imdb_netflix_v5!A$2:H$7370, 4, FALSE), "")</f>
        <v>7.3</v>
      </c>
      <c r="E4711" s="2">
        <f>IF(A4711&lt;&gt;"", VLOOKUP(A4711, imdb_netflix_v5!A$2:H$7370, 5, FALSE), "")</f>
        <v>2009</v>
      </c>
      <c r="F4711" s="2" t="str">
        <f>IF(A4711&lt;&gt;"", VLOOKUP(A4711, imdb_netflix_v5!A$2:H$7370, 7, FALSE), "")</f>
        <v>NA</v>
      </c>
    </row>
    <row r="4712" ht="15.75" customHeight="1">
      <c r="A4712" s="1" t="str">
        <f>IFERROR(__xludf.DUMMYFUNCTION("""COMPUTED_VALUE"""),"watch out, were mad")</f>
        <v>watch out, were mad</v>
      </c>
      <c r="B4712" s="1" t="str">
        <f>IF(A4712&lt;&gt;"", VLOOKUP(A4712, imdb_netflix_v5!A$2:H$7370, 2, FALSE), "")</f>
        <v>Movie</v>
      </c>
      <c r="C4712" s="2" t="str">
        <f>IF(A4712&lt;&gt;"", VLOOKUP(A4712, imdb_netflix_v5!A$2:H$7370, 3, FALSE), "")</f>
        <v>Action, Comedy</v>
      </c>
      <c r="D4712" s="2">
        <f>IF(A4712&lt;&gt;"", VLOOKUP(A4712, imdb_netflix_v5!A$2:H$7370, 4, FALSE), "")</f>
        <v>7.3</v>
      </c>
      <c r="E4712" s="2">
        <f>IF(A4712&lt;&gt;"", VLOOKUP(A4712, imdb_netflix_v5!A$2:H$7370, 5, FALSE), "")</f>
        <v>1974</v>
      </c>
      <c r="F4712" s="2">
        <f>IF(A4712&lt;&gt;"", VLOOKUP(A4712, imdb_netflix_v5!A$2:H$7370, 7, FALSE), "")</f>
        <v>2580000</v>
      </c>
    </row>
    <row r="4713" ht="15.75" customHeight="1">
      <c r="A4713" s="1" t="str">
        <f>IFERROR(__xludf.DUMMYFUNCTION("""COMPUTED_VALUE"""),"six")</f>
        <v>six</v>
      </c>
      <c r="B4713" s="1" t="str">
        <f>IF(A4713&lt;&gt;"", VLOOKUP(A4713, imdb_netflix_v5!A$2:H$7370, 2, FALSE), "")</f>
        <v>TV Show</v>
      </c>
      <c r="C4713" s="2" t="str">
        <f>IF(A4713&lt;&gt;"", VLOOKUP(A4713, imdb_netflix_v5!A$2:H$7370, 3, FALSE), "")</f>
        <v>Action, Drama, History</v>
      </c>
      <c r="D4713" s="2">
        <f>IF(A4713&lt;&gt;"", VLOOKUP(A4713, imdb_netflix_v5!A$2:H$7370, 4, FALSE), "")</f>
        <v>7.3</v>
      </c>
      <c r="E4713" s="2">
        <f>IF(A4713&lt;&gt;"", VLOOKUP(A4713, imdb_netflix_v5!A$2:H$7370, 5, FALSE), "")</f>
        <v>2017</v>
      </c>
      <c r="F4713" s="2" t="str">
        <f>IF(A4713&lt;&gt;"", VLOOKUP(A4713, imdb_netflix_v5!A$2:H$7370, 7, FALSE), "")</f>
        <v>NA</v>
      </c>
    </row>
    <row r="4714" ht="15.75" customHeight="1">
      <c r="A4714" s="1" t="str">
        <f>IFERROR(__xludf.DUMMYFUNCTION("""COMPUTED_VALUE"""),"labyrinth of lies")</f>
        <v>labyrinth of lies</v>
      </c>
      <c r="B4714" s="1" t="str">
        <f>IF(A4714&lt;&gt;"", VLOOKUP(A4714, imdb_netflix_v5!A$2:H$7370, 2, FALSE), "")</f>
        <v>Movie</v>
      </c>
      <c r="C4714" s="2" t="str">
        <f>IF(A4714&lt;&gt;"", VLOOKUP(A4714, imdb_netflix_v5!A$2:H$7370, 3, FALSE), "")</f>
        <v>Drama, History</v>
      </c>
      <c r="D4714" s="2">
        <f>IF(A4714&lt;&gt;"", VLOOKUP(A4714, imdb_netflix_v5!A$2:H$7370, 4, FALSE), "")</f>
        <v>7.3</v>
      </c>
      <c r="E4714" s="2">
        <f>IF(A4714&lt;&gt;"", VLOOKUP(A4714, imdb_netflix_v5!A$2:H$7370, 5, FALSE), "")</f>
        <v>2014</v>
      </c>
      <c r="F4714" s="2" t="str">
        <f>IF(A4714&lt;&gt;"", VLOOKUP(A4714, imdb_netflix_v5!A$2:H$7370, 7, FALSE), "")</f>
        <v>NA</v>
      </c>
    </row>
    <row r="4715" ht="15.75" customHeight="1">
      <c r="A4715" s="1" t="str">
        <f>IFERROR(__xludf.DUMMYFUNCTION("""COMPUTED_VALUE"""),"truman")</f>
        <v>truman</v>
      </c>
      <c r="B4715" s="1" t="str">
        <f>IF(A4715&lt;&gt;"", VLOOKUP(A4715, imdb_netflix_v5!A$2:H$7370, 2, FALSE), "")</f>
        <v>Movie</v>
      </c>
      <c r="C4715" s="2" t="str">
        <f>IF(A4715&lt;&gt;"", VLOOKUP(A4715, imdb_netflix_v5!A$2:H$7370, 3, FALSE), "")</f>
        <v>Comedy, Drama</v>
      </c>
      <c r="D4715" s="2">
        <f>IF(A4715&lt;&gt;"", VLOOKUP(A4715, imdb_netflix_v5!A$2:H$7370, 4, FALSE), "")</f>
        <v>7.3</v>
      </c>
      <c r="E4715" s="2">
        <f>IF(A4715&lt;&gt;"", VLOOKUP(A4715, imdb_netflix_v5!A$2:H$7370, 5, FALSE), "")</f>
        <v>2015</v>
      </c>
      <c r="F4715" s="2" t="str">
        <f>IF(A4715&lt;&gt;"", VLOOKUP(A4715, imdb_netflix_v5!A$2:H$7370, 7, FALSE), "")</f>
        <v>NA</v>
      </c>
    </row>
    <row r="4716" ht="15.75" customHeight="1">
      <c r="A4716" s="1" t="str">
        <f>IFERROR(__xludf.DUMMYFUNCTION("""COMPUTED_VALUE"""),"self made inspired by the life of madam c.j. walker")</f>
        <v>self made inspired by the life of madam c.j. walker</v>
      </c>
      <c r="B4716" s="1" t="str">
        <f>IF(A4716&lt;&gt;"", VLOOKUP(A4716, imdb_netflix_v5!A$2:H$7370, 2, FALSE), "")</f>
        <v>TV Show</v>
      </c>
      <c r="C4716" s="2" t="str">
        <f>IF(A4716&lt;&gt;"", VLOOKUP(A4716, imdb_netflix_v5!A$2:H$7370, 3, FALSE), "")</f>
        <v>Biography, Drama, History</v>
      </c>
      <c r="D4716" s="2">
        <f>IF(A4716&lt;&gt;"", VLOOKUP(A4716, imdb_netflix_v5!A$2:H$7370, 4, FALSE), "")</f>
        <v>7.3</v>
      </c>
      <c r="E4716" s="2">
        <f>IF(A4716&lt;&gt;"", VLOOKUP(A4716, imdb_netflix_v5!A$2:H$7370, 5, FALSE), "")</f>
        <v>2020</v>
      </c>
      <c r="F4716" s="2" t="str">
        <f>IF(A4716&lt;&gt;"", VLOOKUP(A4716, imdb_netflix_v5!A$2:H$7370, 7, FALSE), "")</f>
        <v>NA</v>
      </c>
    </row>
    <row r="4717" ht="15.75" customHeight="1">
      <c r="A4717" s="1" t="str">
        <f>IFERROR(__xludf.DUMMYFUNCTION("""COMPUTED_VALUE"""),"crossing lines")</f>
        <v>crossing lines</v>
      </c>
      <c r="B4717" s="1" t="str">
        <f>IF(A4717&lt;&gt;"", VLOOKUP(A4717, imdb_netflix_v5!A$2:H$7370, 2, FALSE), "")</f>
        <v>TV Show</v>
      </c>
      <c r="C4717" s="2" t="str">
        <f>IF(A4717&lt;&gt;"", VLOOKUP(A4717, imdb_netflix_v5!A$2:H$7370, 3, FALSE), "")</f>
        <v>Action, Crime, Drama</v>
      </c>
      <c r="D4717" s="2">
        <f>IF(A4717&lt;&gt;"", VLOOKUP(A4717, imdb_netflix_v5!A$2:H$7370, 4, FALSE), "")</f>
        <v>7.3</v>
      </c>
      <c r="E4717" s="2">
        <f>IF(A4717&lt;&gt;"", VLOOKUP(A4717, imdb_netflix_v5!A$2:H$7370, 5, FALSE), "")</f>
        <v>2013</v>
      </c>
      <c r="F4717" s="2" t="str">
        <f>IF(A4717&lt;&gt;"", VLOOKUP(A4717, imdb_netflix_v5!A$2:H$7370, 7, FALSE), "")</f>
        <v>NA</v>
      </c>
    </row>
    <row r="4718" ht="15.75" customHeight="1">
      <c r="A4718" s="1" t="str">
        <f>IFERROR(__xludf.DUMMYFUNCTION("""COMPUTED_VALUE"""),"the lodger a story of the london fog")</f>
        <v>the lodger a story of the london fog</v>
      </c>
      <c r="B4718" s="1" t="str">
        <f>IF(A4718&lt;&gt;"", VLOOKUP(A4718, imdb_netflix_v5!A$2:H$7370, 2, FALSE), "")</f>
        <v>Movie</v>
      </c>
      <c r="C4718" s="2" t="str">
        <f>IF(A4718&lt;&gt;"", VLOOKUP(A4718, imdb_netflix_v5!A$2:H$7370, 3, FALSE), "")</f>
        <v>Crime, Drama, Mystery</v>
      </c>
      <c r="D4718" s="2">
        <f>IF(A4718&lt;&gt;"", VLOOKUP(A4718, imdb_netflix_v5!A$2:H$7370, 4, FALSE), "")</f>
        <v>7.3</v>
      </c>
      <c r="E4718" s="2">
        <f>IF(A4718&lt;&gt;"", VLOOKUP(A4718, imdb_netflix_v5!A$2:H$7370, 5, FALSE), "")</f>
        <v>1927</v>
      </c>
      <c r="F4718" s="2" t="str">
        <f>IF(A4718&lt;&gt;"", VLOOKUP(A4718, imdb_netflix_v5!A$2:H$7370, 7, FALSE), "")</f>
        <v>NA</v>
      </c>
    </row>
    <row r="4719" ht="15.75" customHeight="1">
      <c r="A4719" s="1" t="str">
        <f>IFERROR(__xludf.DUMMYFUNCTION("""COMPUTED_VALUE"""),"the collini case")</f>
        <v>the collini case</v>
      </c>
      <c r="B4719" s="1" t="str">
        <f>IF(A4719&lt;&gt;"", VLOOKUP(A4719, imdb_netflix_v5!A$2:H$7370, 2, FALSE), "")</f>
        <v>Movie</v>
      </c>
      <c r="C4719" s="2" t="str">
        <f>IF(A4719&lt;&gt;"", VLOOKUP(A4719, imdb_netflix_v5!A$2:H$7370, 3, FALSE), "")</f>
        <v>Crime, Drama, Thriller</v>
      </c>
      <c r="D4719" s="2">
        <f>IF(A4719&lt;&gt;"", VLOOKUP(A4719, imdb_netflix_v5!A$2:H$7370, 4, FALSE), "")</f>
        <v>7.3</v>
      </c>
      <c r="E4719" s="2">
        <f>IF(A4719&lt;&gt;"", VLOOKUP(A4719, imdb_netflix_v5!A$2:H$7370, 5, FALSE), "")</f>
        <v>2019</v>
      </c>
      <c r="F4719" s="2" t="str">
        <f>IF(A4719&lt;&gt;"", VLOOKUP(A4719, imdb_netflix_v5!A$2:H$7370, 7, FALSE), "")</f>
        <v>NA</v>
      </c>
    </row>
    <row r="4720" ht="15.75" customHeight="1">
      <c r="A4720" s="1" t="str">
        <f>IFERROR(__xludf.DUMMYFUNCTION("""COMPUTED_VALUE"""),"written on the wind")</f>
        <v>written on the wind</v>
      </c>
      <c r="B4720" s="1" t="str">
        <f>IF(A4720&lt;&gt;"", VLOOKUP(A4720, imdb_netflix_v5!A$2:H$7370, 2, FALSE), "")</f>
        <v>Movie</v>
      </c>
      <c r="C4720" s="2" t="str">
        <f>IF(A4720&lt;&gt;"", VLOOKUP(A4720, imdb_netflix_v5!A$2:H$7370, 3, FALSE), "")</f>
        <v>Drama</v>
      </c>
      <c r="D4720" s="2">
        <f>IF(A4720&lt;&gt;"", VLOOKUP(A4720, imdb_netflix_v5!A$2:H$7370, 4, FALSE), "")</f>
        <v>7.3</v>
      </c>
      <c r="E4720" s="2">
        <f>IF(A4720&lt;&gt;"", VLOOKUP(A4720, imdb_netflix_v5!A$2:H$7370, 5, FALSE), "")</f>
        <v>1956</v>
      </c>
      <c r="F4720" s="2" t="str">
        <f>IF(A4720&lt;&gt;"", VLOOKUP(A4720, imdb_netflix_v5!A$2:H$7370, 7, FALSE), "")</f>
        <v>NA</v>
      </c>
    </row>
    <row r="4721" ht="15.75" customHeight="1">
      <c r="A4721" s="1" t="str">
        <f>IFERROR(__xludf.DUMMYFUNCTION("""COMPUTED_VALUE"""),"la chimera")</f>
        <v>la chimera</v>
      </c>
      <c r="B4721" s="1" t="str">
        <f>IF(A4721&lt;&gt;"", VLOOKUP(A4721, imdb_netflix_v5!A$2:H$7370, 2, FALSE), "")</f>
        <v>Movie</v>
      </c>
      <c r="C4721" s="2" t="str">
        <f>IF(A4721&lt;&gt;"", VLOOKUP(A4721, imdb_netflix_v5!A$2:H$7370, 3, FALSE), "")</f>
        <v>Adventure, Comedy, Fantasy</v>
      </c>
      <c r="D4721" s="2">
        <f>IF(A4721&lt;&gt;"", VLOOKUP(A4721, imdb_netflix_v5!A$2:H$7370, 4, FALSE), "")</f>
        <v>7.3</v>
      </c>
      <c r="E4721" s="2">
        <f>IF(A4721&lt;&gt;"", VLOOKUP(A4721, imdb_netflix_v5!A$2:H$7370, 5, FALSE), "")</f>
        <v>2023</v>
      </c>
      <c r="F4721" s="2" t="str">
        <f>IF(A4721&lt;&gt;"", VLOOKUP(A4721, imdb_netflix_v5!A$2:H$7370, 7, FALSE), "")</f>
        <v>NA</v>
      </c>
    </row>
    <row r="4722" ht="15.75" customHeight="1">
      <c r="A4722" s="1" t="str">
        <f>IFERROR(__xludf.DUMMYFUNCTION("""COMPUTED_VALUE"""),"gyeongseong creature")</f>
        <v>gyeongseong creature</v>
      </c>
      <c r="B4722" s="1" t="str">
        <f>IF(A4722&lt;&gt;"", VLOOKUP(A4722, imdb_netflix_v5!A$2:H$7370, 2, FALSE), "")</f>
        <v>TV Show</v>
      </c>
      <c r="C4722" s="2" t="str">
        <f>IF(A4722&lt;&gt;"", VLOOKUP(A4722, imdb_netflix_v5!A$2:H$7370, 3, FALSE), "")</f>
        <v>Action, Drama, History</v>
      </c>
      <c r="D4722" s="2">
        <f>IF(A4722&lt;&gt;"", VLOOKUP(A4722, imdb_netflix_v5!A$2:H$7370, 4, FALSE), "")</f>
        <v>7.3</v>
      </c>
      <c r="E4722" s="2">
        <f>IF(A4722&lt;&gt;"", VLOOKUP(A4722, imdb_netflix_v5!A$2:H$7370, 5, FALSE), "")</f>
        <v>2023</v>
      </c>
      <c r="F4722" s="2" t="str">
        <f>IF(A4722&lt;&gt;"", VLOOKUP(A4722, imdb_netflix_v5!A$2:H$7370, 7, FALSE), "")</f>
        <v>NA</v>
      </c>
    </row>
    <row r="4723" ht="15.75" customHeight="1">
      <c r="A4723" s="1" t="str">
        <f>IFERROR(__xludf.DUMMYFUNCTION("""COMPUTED_VALUE"""),"deadwind")</f>
        <v>deadwind</v>
      </c>
      <c r="B4723" s="1" t="str">
        <f>IF(A4723&lt;&gt;"", VLOOKUP(A4723, imdb_netflix_v5!A$2:H$7370, 2, FALSE), "")</f>
        <v>TV Show</v>
      </c>
      <c r="C4723" s="2" t="str">
        <f>IF(A4723&lt;&gt;"", VLOOKUP(A4723, imdb_netflix_v5!A$2:H$7370, 3, FALSE), "")</f>
        <v>Crime, Drama, Mystery</v>
      </c>
      <c r="D4723" s="2">
        <f>IF(A4723&lt;&gt;"", VLOOKUP(A4723, imdb_netflix_v5!A$2:H$7370, 4, FALSE), "")</f>
        <v>7.3</v>
      </c>
      <c r="E4723" s="2">
        <f>IF(A4723&lt;&gt;"", VLOOKUP(A4723, imdb_netflix_v5!A$2:H$7370, 5, FALSE), "")</f>
        <v>2018</v>
      </c>
      <c r="F4723" s="2" t="str">
        <f>IF(A4723&lt;&gt;"", VLOOKUP(A4723, imdb_netflix_v5!A$2:H$7370, 7, FALSE), "")</f>
        <v>NA</v>
      </c>
    </row>
    <row r="4724" ht="15.75" customHeight="1">
      <c r="A4724" s="1" t="str">
        <f>IFERROR(__xludf.DUMMYFUNCTION("""COMPUTED_VALUE"""),"topsy-turvy")</f>
        <v>topsy-turvy</v>
      </c>
      <c r="B4724" s="1" t="str">
        <f>IF(A4724&lt;&gt;"", VLOOKUP(A4724, imdb_netflix_v5!A$2:H$7370, 2, FALSE), "")</f>
        <v>Movie</v>
      </c>
      <c r="C4724" s="2" t="str">
        <f>IF(A4724&lt;&gt;"", VLOOKUP(A4724, imdb_netflix_v5!A$2:H$7370, 3, FALSE), "")</f>
        <v>Biography, Comedy, Drama</v>
      </c>
      <c r="D4724" s="2">
        <f>IF(A4724&lt;&gt;"", VLOOKUP(A4724, imdb_netflix_v5!A$2:H$7370, 4, FALSE), "")</f>
        <v>7.3</v>
      </c>
      <c r="E4724" s="2">
        <f>IF(A4724&lt;&gt;"", VLOOKUP(A4724, imdb_netflix_v5!A$2:H$7370, 5, FALSE), "")</f>
        <v>1999</v>
      </c>
      <c r="F4724" s="2" t="str">
        <f>IF(A4724&lt;&gt;"", VLOOKUP(A4724, imdb_netflix_v5!A$2:H$7370, 7, FALSE), "")</f>
        <v>NA</v>
      </c>
    </row>
    <row r="4725" ht="15.75" customHeight="1">
      <c r="A4725" s="1" t="str">
        <f>IFERROR(__xludf.DUMMYFUNCTION("""COMPUTED_VALUE"""),"mardaani")</f>
        <v>mardaani</v>
      </c>
      <c r="B4725" s="1" t="str">
        <f>IF(A4725&lt;&gt;"", VLOOKUP(A4725, imdb_netflix_v5!A$2:H$7370, 2, FALSE), "")</f>
        <v>Movie</v>
      </c>
      <c r="C4725" s="2" t="str">
        <f>IF(A4725&lt;&gt;"", VLOOKUP(A4725, imdb_netflix_v5!A$2:H$7370, 3, FALSE), "")</f>
        <v>Action, Crime, Drama</v>
      </c>
      <c r="D4725" s="2">
        <f>IF(A4725&lt;&gt;"", VLOOKUP(A4725, imdb_netflix_v5!A$2:H$7370, 4, FALSE), "")</f>
        <v>7.3</v>
      </c>
      <c r="E4725" s="2">
        <f>IF(A4725&lt;&gt;"", VLOOKUP(A4725, imdb_netflix_v5!A$2:H$7370, 5, FALSE), "")</f>
        <v>2014</v>
      </c>
      <c r="F4725" s="2" t="str">
        <f>IF(A4725&lt;&gt;"", VLOOKUP(A4725, imdb_netflix_v5!A$2:H$7370, 7, FALSE), "")</f>
        <v>NA</v>
      </c>
    </row>
    <row r="4726" ht="15.75" customHeight="1">
      <c r="A4726" s="1" t="str">
        <f>IFERROR(__xludf.DUMMYFUNCTION("""COMPUTED_VALUE"""),"batman caped crusader")</f>
        <v>batman caped crusader</v>
      </c>
      <c r="B4726" s="1" t="str">
        <f>IF(A4726&lt;&gt;"", VLOOKUP(A4726, imdb_netflix_v5!A$2:H$7370, 2, FALSE), "")</f>
        <v>TV Show</v>
      </c>
      <c r="C4726" s="2" t="str">
        <f>IF(A4726&lt;&gt;"", VLOOKUP(A4726, imdb_netflix_v5!A$2:H$7370, 3, FALSE), "")</f>
        <v>Action, Adventure, Animation</v>
      </c>
      <c r="D4726" s="2">
        <f>IF(A4726&lt;&gt;"", VLOOKUP(A4726, imdb_netflix_v5!A$2:H$7370, 4, FALSE), "")</f>
        <v>7.3</v>
      </c>
      <c r="E4726" s="2">
        <f>IF(A4726&lt;&gt;"", VLOOKUP(A4726, imdb_netflix_v5!A$2:H$7370, 5, FALSE), "")</f>
        <v>2024</v>
      </c>
      <c r="F4726" s="2" t="str">
        <f>IF(A4726&lt;&gt;"", VLOOKUP(A4726, imdb_netflix_v5!A$2:H$7370, 7, FALSE), "")</f>
        <v>NA</v>
      </c>
    </row>
    <row r="4727" ht="15.75" customHeight="1">
      <c r="A4727" s="1" t="str">
        <f>IFERROR(__xludf.DUMMYFUNCTION("""COMPUTED_VALUE"""),"ten inch hero")</f>
        <v>ten inch hero</v>
      </c>
      <c r="B4727" s="1" t="str">
        <f>IF(A4727&lt;&gt;"", VLOOKUP(A4727, imdb_netflix_v5!A$2:H$7370, 2, FALSE), "")</f>
        <v>Movie</v>
      </c>
      <c r="C4727" s="2" t="str">
        <f>IF(A4727&lt;&gt;"", VLOOKUP(A4727, imdb_netflix_v5!A$2:H$7370, 3, FALSE), "")</f>
        <v>Comedy, Drama, Romance</v>
      </c>
      <c r="D4727" s="2">
        <f>IF(A4727&lt;&gt;"", VLOOKUP(A4727, imdb_netflix_v5!A$2:H$7370, 4, FALSE), "")</f>
        <v>7.3</v>
      </c>
      <c r="E4727" s="2">
        <f>IF(A4727&lt;&gt;"", VLOOKUP(A4727, imdb_netflix_v5!A$2:H$7370, 5, FALSE), "")</f>
        <v>2007</v>
      </c>
      <c r="F4727" s="2" t="str">
        <f>IF(A4727&lt;&gt;"", VLOOKUP(A4727, imdb_netflix_v5!A$2:H$7370, 7, FALSE), "")</f>
        <v>NA</v>
      </c>
    </row>
    <row r="4728" ht="15.75" customHeight="1">
      <c r="A4728" s="1" t="str">
        <f>IFERROR(__xludf.DUMMYFUNCTION("""COMPUTED_VALUE"""),"let the bullets fly")</f>
        <v>let the bullets fly</v>
      </c>
      <c r="B4728" s="1" t="str">
        <f>IF(A4728&lt;&gt;"", VLOOKUP(A4728, imdb_netflix_v5!A$2:H$7370, 2, FALSE), "")</f>
        <v>Movie</v>
      </c>
      <c r="C4728" s="2" t="str">
        <f>IF(A4728&lt;&gt;"", VLOOKUP(A4728, imdb_netflix_v5!A$2:H$7370, 3, FALSE), "")</f>
        <v>Action, Comedy, Drama</v>
      </c>
      <c r="D4728" s="2">
        <f>IF(A4728&lt;&gt;"", VLOOKUP(A4728, imdb_netflix_v5!A$2:H$7370, 4, FALSE), "")</f>
        <v>7.3</v>
      </c>
      <c r="E4728" s="2">
        <f>IF(A4728&lt;&gt;"", VLOOKUP(A4728, imdb_netflix_v5!A$2:H$7370, 5, FALSE), "")</f>
        <v>2010</v>
      </c>
      <c r="F4728" s="2" t="str">
        <f>IF(A4728&lt;&gt;"", VLOOKUP(A4728, imdb_netflix_v5!A$2:H$7370, 7, FALSE), "")</f>
        <v>NA</v>
      </c>
    </row>
    <row r="4729" ht="15.75" customHeight="1">
      <c r="A4729" s="1" t="str">
        <f>IFERROR(__xludf.DUMMYFUNCTION("""COMPUTED_VALUE"""),"run silent run deep")</f>
        <v>run silent run deep</v>
      </c>
      <c r="B4729" s="1" t="str">
        <f>IF(A4729&lt;&gt;"", VLOOKUP(A4729, imdb_netflix_v5!A$2:H$7370, 2, FALSE), "")</f>
        <v>Movie</v>
      </c>
      <c r="C4729" s="2" t="str">
        <f>IF(A4729&lt;&gt;"", VLOOKUP(A4729, imdb_netflix_v5!A$2:H$7370, 3, FALSE), "")</f>
        <v>Action, Drama, War</v>
      </c>
      <c r="D4729" s="2">
        <f>IF(A4729&lt;&gt;"", VLOOKUP(A4729, imdb_netflix_v5!A$2:H$7370, 4, FALSE), "")</f>
        <v>7.3</v>
      </c>
      <c r="E4729" s="2">
        <f>IF(A4729&lt;&gt;"", VLOOKUP(A4729, imdb_netflix_v5!A$2:H$7370, 5, FALSE), "")</f>
        <v>1958</v>
      </c>
      <c r="F4729" s="2" t="str">
        <f>IF(A4729&lt;&gt;"", VLOOKUP(A4729, imdb_netflix_v5!A$2:H$7370, 7, FALSE), "")</f>
        <v>NA</v>
      </c>
    </row>
    <row r="4730" ht="15.75" customHeight="1">
      <c r="A4730" s="1" t="str">
        <f>IFERROR(__xludf.DUMMYFUNCTION("""COMPUTED_VALUE"""),"london files")</f>
        <v>london files</v>
      </c>
      <c r="B4730" s="1" t="str">
        <f>IF(A4730&lt;&gt;"", VLOOKUP(A4730, imdb_netflix_v5!A$2:H$7370, 2, FALSE), "")</f>
        <v>TV Show</v>
      </c>
      <c r="C4730" s="2" t="str">
        <f>IF(A4730&lt;&gt;"", VLOOKUP(A4730, imdb_netflix_v5!A$2:H$7370, 3, FALSE), "")</f>
        <v>Action, Crime, Drama</v>
      </c>
      <c r="D4730" s="2">
        <f>IF(A4730&lt;&gt;"", VLOOKUP(A4730, imdb_netflix_v5!A$2:H$7370, 4, FALSE), "")</f>
        <v>7.3</v>
      </c>
      <c r="E4730" s="2">
        <f>IF(A4730&lt;&gt;"", VLOOKUP(A4730, imdb_netflix_v5!A$2:H$7370, 5, FALSE), "")</f>
        <v>2022</v>
      </c>
      <c r="F4730" s="2" t="str">
        <f>IF(A4730&lt;&gt;"", VLOOKUP(A4730, imdb_netflix_v5!A$2:H$7370, 7, FALSE), "")</f>
        <v>NA</v>
      </c>
    </row>
    <row r="4731" ht="15.75" customHeight="1">
      <c r="A4731" s="1" t="str">
        <f>IFERROR(__xludf.DUMMYFUNCTION("""COMPUTED_VALUE"""),"mrs. davis")</f>
        <v>mrs. davis</v>
      </c>
      <c r="B4731" s="1" t="str">
        <f>IF(A4731&lt;&gt;"", VLOOKUP(A4731, imdb_netflix_v5!A$2:H$7370, 2, FALSE), "")</f>
        <v>TV Show</v>
      </c>
      <c r="C4731" s="2" t="str">
        <f>IF(A4731&lt;&gt;"", VLOOKUP(A4731, imdb_netflix_v5!A$2:H$7370, 3, FALSE), "")</f>
        <v>Comedy, Drama, Sci-Fi</v>
      </c>
      <c r="D4731" s="2">
        <f>IF(A4731&lt;&gt;"", VLOOKUP(A4731, imdb_netflix_v5!A$2:H$7370, 4, FALSE), "")</f>
        <v>7.3</v>
      </c>
      <c r="E4731" s="2">
        <f>IF(A4731&lt;&gt;"", VLOOKUP(A4731, imdb_netflix_v5!A$2:H$7370, 5, FALSE), "")</f>
        <v>2023</v>
      </c>
      <c r="F4731" s="2" t="str">
        <f>IF(A4731&lt;&gt;"", VLOOKUP(A4731, imdb_netflix_v5!A$2:H$7370, 7, FALSE), "")</f>
        <v>NA</v>
      </c>
    </row>
    <row r="4732" ht="15.75" customHeight="1">
      <c r="A4732" s="1" t="str">
        <f>IFERROR(__xludf.DUMMYFUNCTION("""COMPUTED_VALUE"""),"unsolved mysteries")</f>
        <v>unsolved mysteries</v>
      </c>
      <c r="B4732" s="1" t="str">
        <f>IF(A4732&lt;&gt;"", VLOOKUP(A4732, imdb_netflix_v5!A$2:H$7370, 2, FALSE), "")</f>
        <v>TV Show</v>
      </c>
      <c r="C4732" s="2" t="str">
        <f>IF(A4732&lt;&gt;"", VLOOKUP(A4732, imdb_netflix_v5!A$2:H$7370, 3, FALSE), "")</f>
        <v>Crime, Documentary, Mystery</v>
      </c>
      <c r="D4732" s="2">
        <f>IF(A4732&lt;&gt;"", VLOOKUP(A4732, imdb_netflix_v5!A$2:H$7370, 4, FALSE), "")</f>
        <v>7.3</v>
      </c>
      <c r="E4732" s="2">
        <f>IF(A4732&lt;&gt;"", VLOOKUP(A4732, imdb_netflix_v5!A$2:H$7370, 5, FALSE), "")</f>
        <v>2020</v>
      </c>
      <c r="F4732" s="2">
        <f>IF(A4732&lt;&gt;"", VLOOKUP(A4732, imdb_netflix_v5!A$2:H$7370, 7, FALSE), "")</f>
        <v>14060000</v>
      </c>
    </row>
    <row r="4733" ht="15.75" customHeight="1">
      <c r="A4733" s="1" t="str">
        <f>IFERROR(__xludf.DUMMYFUNCTION("""COMPUTED_VALUE"""),"shock corridor")</f>
        <v>shock corridor</v>
      </c>
      <c r="B4733" s="1" t="str">
        <f>IF(A4733&lt;&gt;"", VLOOKUP(A4733, imdb_netflix_v5!A$2:H$7370, 2, FALSE), "")</f>
        <v>Movie</v>
      </c>
      <c r="C4733" s="2" t="str">
        <f>IF(A4733&lt;&gt;"", VLOOKUP(A4733, imdb_netflix_v5!A$2:H$7370, 3, FALSE), "")</f>
        <v>Drama, Mystery, Thriller</v>
      </c>
      <c r="D4733" s="2">
        <f>IF(A4733&lt;&gt;"", VLOOKUP(A4733, imdb_netflix_v5!A$2:H$7370, 4, FALSE), "")</f>
        <v>7.3</v>
      </c>
      <c r="E4733" s="2">
        <f>IF(A4733&lt;&gt;"", VLOOKUP(A4733, imdb_netflix_v5!A$2:H$7370, 5, FALSE), "")</f>
        <v>1963</v>
      </c>
      <c r="F4733" s="2" t="str">
        <f>IF(A4733&lt;&gt;"", VLOOKUP(A4733, imdb_netflix_v5!A$2:H$7370, 7, FALSE), "")</f>
        <v>NA</v>
      </c>
    </row>
    <row r="4734" ht="15.75" customHeight="1">
      <c r="A4734" s="1" t="str">
        <f>IFERROR(__xludf.DUMMYFUNCTION("""COMPUTED_VALUE"""),"united")</f>
        <v>united</v>
      </c>
      <c r="B4734" s="1" t="str">
        <f>IF(A4734&lt;&gt;"", VLOOKUP(A4734, imdb_netflix_v5!A$2:H$7370, 2, FALSE), "")</f>
        <v>Movie</v>
      </c>
      <c r="C4734" s="2" t="str">
        <f>IF(A4734&lt;&gt;"", VLOOKUP(A4734, imdb_netflix_v5!A$2:H$7370, 3, FALSE), "")</f>
        <v>Drama, History, Sport</v>
      </c>
      <c r="D4734" s="2">
        <f>IF(A4734&lt;&gt;"", VLOOKUP(A4734, imdb_netflix_v5!A$2:H$7370, 4, FALSE), "")</f>
        <v>7.3</v>
      </c>
      <c r="E4734" s="2">
        <f>IF(A4734&lt;&gt;"", VLOOKUP(A4734, imdb_netflix_v5!A$2:H$7370, 5, FALSE), "")</f>
        <v>2011</v>
      </c>
      <c r="F4734" s="2" t="str">
        <f>IF(A4734&lt;&gt;"", VLOOKUP(A4734, imdb_netflix_v5!A$2:H$7370, 7, FALSE), "")</f>
        <v>NA</v>
      </c>
    </row>
    <row r="4735" ht="15.75" customHeight="1">
      <c r="A4735" s="1" t="str">
        <f>IFERROR(__xludf.DUMMYFUNCTION("""COMPUTED_VALUE"""),"my hero academia two heroes")</f>
        <v>my hero academia two heroes</v>
      </c>
      <c r="B4735" s="1" t="str">
        <f>IF(A4735&lt;&gt;"", VLOOKUP(A4735, imdb_netflix_v5!A$2:H$7370, 2, FALSE), "")</f>
        <v>Movie</v>
      </c>
      <c r="C4735" s="2" t="str">
        <f>IF(A4735&lt;&gt;"", VLOOKUP(A4735, imdb_netflix_v5!A$2:H$7370, 3, FALSE), "")</f>
        <v>Action, Adventure, Animation</v>
      </c>
      <c r="D4735" s="2">
        <f>IF(A4735&lt;&gt;"", VLOOKUP(A4735, imdb_netflix_v5!A$2:H$7370, 4, FALSE), "")</f>
        <v>7.3</v>
      </c>
      <c r="E4735" s="2">
        <f>IF(A4735&lt;&gt;"", VLOOKUP(A4735, imdb_netflix_v5!A$2:H$7370, 5, FALSE), "")</f>
        <v>2018</v>
      </c>
      <c r="F4735" s="2" t="str">
        <f>IF(A4735&lt;&gt;"", VLOOKUP(A4735, imdb_netflix_v5!A$2:H$7370, 7, FALSE), "")</f>
        <v>NA</v>
      </c>
    </row>
    <row r="4736" ht="15.75" customHeight="1">
      <c r="A4736" s="1" t="str">
        <f>IFERROR(__xludf.DUMMYFUNCTION("""COMPUTED_VALUE"""),"maine pyar kiya")</f>
        <v>maine pyar kiya</v>
      </c>
      <c r="B4736" s="1" t="str">
        <f>IF(A4736&lt;&gt;"", VLOOKUP(A4736, imdb_netflix_v5!A$2:H$7370, 2, FALSE), "")</f>
        <v>Movie</v>
      </c>
      <c r="C4736" s="2" t="str">
        <f>IF(A4736&lt;&gt;"", VLOOKUP(A4736, imdb_netflix_v5!A$2:H$7370, 3, FALSE), "")</f>
        <v>Drama, Musical, Romance</v>
      </c>
      <c r="D4736" s="2">
        <f>IF(A4736&lt;&gt;"", VLOOKUP(A4736, imdb_netflix_v5!A$2:H$7370, 4, FALSE), "")</f>
        <v>7.3</v>
      </c>
      <c r="E4736" s="2">
        <f>IF(A4736&lt;&gt;"", VLOOKUP(A4736, imdb_netflix_v5!A$2:H$7370, 5, FALSE), "")</f>
        <v>1989</v>
      </c>
      <c r="F4736" s="2" t="str">
        <f>IF(A4736&lt;&gt;"", VLOOKUP(A4736, imdb_netflix_v5!A$2:H$7370, 7, FALSE), "")</f>
        <v>NA</v>
      </c>
    </row>
    <row r="4737" ht="15.75" customHeight="1">
      <c r="A4737" s="1" t="str">
        <f>IFERROR(__xludf.DUMMYFUNCTION("""COMPUTED_VALUE"""),"white gold")</f>
        <v>white gold</v>
      </c>
      <c r="B4737" s="1" t="str">
        <f>IF(A4737&lt;&gt;"", VLOOKUP(A4737, imdb_netflix_v5!A$2:H$7370, 2, FALSE), "")</f>
        <v>TV Show</v>
      </c>
      <c r="C4737" s="2" t="str">
        <f>IF(A4737&lt;&gt;"", VLOOKUP(A4737, imdb_netflix_v5!A$2:H$7370, 3, FALSE), "")</f>
        <v>Comedy</v>
      </c>
      <c r="D4737" s="2">
        <f>IF(A4737&lt;&gt;"", VLOOKUP(A4737, imdb_netflix_v5!A$2:H$7370, 4, FALSE), "")</f>
        <v>7.3</v>
      </c>
      <c r="E4737" s="2">
        <f>IF(A4737&lt;&gt;"", VLOOKUP(A4737, imdb_netflix_v5!A$2:H$7370, 5, FALSE), "")</f>
        <v>2017</v>
      </c>
      <c r="F4737" s="2" t="str">
        <f>IF(A4737&lt;&gt;"", VLOOKUP(A4737, imdb_netflix_v5!A$2:H$7370, 7, FALSE), "")</f>
        <v>NA</v>
      </c>
    </row>
    <row r="4738" ht="15.75" customHeight="1">
      <c r="A4738" s="1" t="str">
        <f>IFERROR(__xludf.DUMMYFUNCTION("""COMPUTED_VALUE"""),"42nd street")</f>
        <v>42nd street</v>
      </c>
      <c r="B4738" s="1" t="str">
        <f>IF(A4738&lt;&gt;"", VLOOKUP(A4738, imdb_netflix_v5!A$2:H$7370, 2, FALSE), "")</f>
        <v>Movie</v>
      </c>
      <c r="C4738" s="2" t="str">
        <f>IF(A4738&lt;&gt;"", VLOOKUP(A4738, imdb_netflix_v5!A$2:H$7370, 3, FALSE), "")</f>
        <v>Comedy, Drama, Musical</v>
      </c>
      <c r="D4738" s="2">
        <f>IF(A4738&lt;&gt;"", VLOOKUP(A4738, imdb_netflix_v5!A$2:H$7370, 4, FALSE), "")</f>
        <v>7.3</v>
      </c>
      <c r="E4738" s="2">
        <f>IF(A4738&lt;&gt;"", VLOOKUP(A4738, imdb_netflix_v5!A$2:H$7370, 5, FALSE), "")</f>
        <v>1933</v>
      </c>
      <c r="F4738" s="2" t="str">
        <f>IF(A4738&lt;&gt;"", VLOOKUP(A4738, imdb_netflix_v5!A$2:H$7370, 7, FALSE), "")</f>
        <v>NA</v>
      </c>
    </row>
    <row r="4739" ht="15.75" customHeight="1">
      <c r="A4739" s="1" t="str">
        <f>IFERROR(__xludf.DUMMYFUNCTION("""COMPUTED_VALUE"""),"physical")</f>
        <v>physical</v>
      </c>
      <c r="B4739" s="1" t="str">
        <f>IF(A4739&lt;&gt;"", VLOOKUP(A4739, imdb_netflix_v5!A$2:H$7370, 2, FALSE), "")</f>
        <v>TV Show</v>
      </c>
      <c r="C4739" s="2" t="str">
        <f>IF(A4739&lt;&gt;"", VLOOKUP(A4739, imdb_netflix_v5!A$2:H$7370, 3, FALSE), "")</f>
        <v>Comedy, Drama</v>
      </c>
      <c r="D4739" s="2">
        <f>IF(A4739&lt;&gt;"", VLOOKUP(A4739, imdb_netflix_v5!A$2:H$7370, 4, FALSE), "")</f>
        <v>7.3</v>
      </c>
      <c r="E4739" s="2">
        <f>IF(A4739&lt;&gt;"", VLOOKUP(A4739, imdb_netflix_v5!A$2:H$7370, 5, FALSE), "")</f>
        <v>2021</v>
      </c>
      <c r="F4739" s="2" t="str">
        <f>IF(A4739&lt;&gt;"", VLOOKUP(A4739, imdb_netflix_v5!A$2:H$7370, 7, FALSE), "")</f>
        <v>NA</v>
      </c>
    </row>
    <row r="4740" ht="15.75" customHeight="1">
      <c r="A4740" s="1" t="str">
        <f>IFERROR(__xludf.DUMMYFUNCTION("""COMPUTED_VALUE"""),"snake in the eagles shadow")</f>
        <v>snake in the eagles shadow</v>
      </c>
      <c r="B4740" s="1" t="str">
        <f>IF(A4740&lt;&gt;"", VLOOKUP(A4740, imdb_netflix_v5!A$2:H$7370, 2, FALSE), "")</f>
        <v>Movie</v>
      </c>
      <c r="C4740" s="2" t="str">
        <f>IF(A4740&lt;&gt;"", VLOOKUP(A4740, imdb_netflix_v5!A$2:H$7370, 3, FALSE), "")</f>
        <v>Action, Comedy</v>
      </c>
      <c r="D4740" s="2">
        <f>IF(A4740&lt;&gt;"", VLOOKUP(A4740, imdb_netflix_v5!A$2:H$7370, 4, FALSE), "")</f>
        <v>7.3</v>
      </c>
      <c r="E4740" s="2">
        <f>IF(A4740&lt;&gt;"", VLOOKUP(A4740, imdb_netflix_v5!A$2:H$7370, 5, FALSE), "")</f>
        <v>1978</v>
      </c>
      <c r="F4740" s="2" t="str">
        <f>IF(A4740&lt;&gt;"", VLOOKUP(A4740, imdb_netflix_v5!A$2:H$7370, 7, FALSE), "")</f>
        <v>NA</v>
      </c>
    </row>
    <row r="4741" ht="15.75" customHeight="1">
      <c r="A4741" s="1" t="str">
        <f>IFERROR(__xludf.DUMMYFUNCTION("""COMPUTED_VALUE"""),"race gurram")</f>
        <v>race gurram</v>
      </c>
      <c r="B4741" s="1" t="str">
        <f>IF(A4741&lt;&gt;"", VLOOKUP(A4741, imdb_netflix_v5!A$2:H$7370, 2, FALSE), "")</f>
        <v>Movie</v>
      </c>
      <c r="C4741" s="2" t="str">
        <f>IF(A4741&lt;&gt;"", VLOOKUP(A4741, imdb_netflix_v5!A$2:H$7370, 3, FALSE), "")</f>
        <v>Action, Comedy</v>
      </c>
      <c r="D4741" s="2">
        <f>IF(A4741&lt;&gt;"", VLOOKUP(A4741, imdb_netflix_v5!A$2:H$7370, 4, FALSE), "")</f>
        <v>7.3</v>
      </c>
      <c r="E4741" s="2">
        <f>IF(A4741&lt;&gt;"", VLOOKUP(A4741, imdb_netflix_v5!A$2:H$7370, 5, FALSE), "")</f>
        <v>2014</v>
      </c>
      <c r="F4741" s="2" t="str">
        <f>IF(A4741&lt;&gt;"", VLOOKUP(A4741, imdb_netflix_v5!A$2:H$7370, 7, FALSE), "")</f>
        <v>NA</v>
      </c>
    </row>
    <row r="4742" ht="15.75" customHeight="1">
      <c r="A4742" s="1" t="str">
        <f>IFERROR(__xludf.DUMMYFUNCTION("""COMPUTED_VALUE"""),"the parade")</f>
        <v>the parade</v>
      </c>
      <c r="B4742" s="1" t="str">
        <f>IF(A4742&lt;&gt;"", VLOOKUP(A4742, imdb_netflix_v5!A$2:H$7370, 2, FALSE), "")</f>
        <v>Movie</v>
      </c>
      <c r="C4742" s="2" t="str">
        <f>IF(A4742&lt;&gt;"", VLOOKUP(A4742, imdb_netflix_v5!A$2:H$7370, 3, FALSE), "")</f>
        <v>Comedy, Drama, History</v>
      </c>
      <c r="D4742" s="2">
        <f>IF(A4742&lt;&gt;"", VLOOKUP(A4742, imdb_netflix_v5!A$2:H$7370, 4, FALSE), "")</f>
        <v>7.3</v>
      </c>
      <c r="E4742" s="2">
        <f>IF(A4742&lt;&gt;"", VLOOKUP(A4742, imdb_netflix_v5!A$2:H$7370, 5, FALSE), "")</f>
        <v>2011</v>
      </c>
      <c r="F4742" s="2" t="str">
        <f>IF(A4742&lt;&gt;"", VLOOKUP(A4742, imdb_netflix_v5!A$2:H$7370, 7, FALSE), "")</f>
        <v>NA</v>
      </c>
    </row>
    <row r="4743" ht="15.75" customHeight="1">
      <c r="A4743" s="1" t="str">
        <f>IFERROR(__xludf.DUMMYFUNCTION("""COMPUTED_VALUE"""),"waterloo")</f>
        <v>waterloo</v>
      </c>
      <c r="B4743" s="1" t="str">
        <f>IF(A4743&lt;&gt;"", VLOOKUP(A4743, imdb_netflix_v5!A$2:H$7370, 2, FALSE), "")</f>
        <v>Movie</v>
      </c>
      <c r="C4743" s="2" t="str">
        <f>IF(A4743&lt;&gt;"", VLOOKUP(A4743, imdb_netflix_v5!A$2:H$7370, 3, FALSE), "")</f>
        <v>Action, Biography, Drama</v>
      </c>
      <c r="D4743" s="2">
        <f>IF(A4743&lt;&gt;"", VLOOKUP(A4743, imdb_netflix_v5!A$2:H$7370, 4, FALSE), "")</f>
        <v>7.3</v>
      </c>
      <c r="E4743" s="2">
        <f>IF(A4743&lt;&gt;"", VLOOKUP(A4743, imdb_netflix_v5!A$2:H$7370, 5, FALSE), "")</f>
        <v>1970</v>
      </c>
      <c r="F4743" s="2" t="str">
        <f>IF(A4743&lt;&gt;"", VLOOKUP(A4743, imdb_netflix_v5!A$2:H$7370, 7, FALSE), "")</f>
        <v>NA</v>
      </c>
    </row>
    <row r="4744" ht="15.75" customHeight="1">
      <c r="A4744" s="1" t="str">
        <f>IFERROR(__xludf.DUMMYFUNCTION("""COMPUTED_VALUE"""),"norma rae")</f>
        <v>norma rae</v>
      </c>
      <c r="B4744" s="1" t="str">
        <f>IF(A4744&lt;&gt;"", VLOOKUP(A4744, imdb_netflix_v5!A$2:H$7370, 2, FALSE), "")</f>
        <v>Movie</v>
      </c>
      <c r="C4744" s="2" t="str">
        <f>IF(A4744&lt;&gt;"", VLOOKUP(A4744, imdb_netflix_v5!A$2:H$7370, 3, FALSE), "")</f>
        <v>Drama</v>
      </c>
      <c r="D4744" s="2">
        <f>IF(A4744&lt;&gt;"", VLOOKUP(A4744, imdb_netflix_v5!A$2:H$7370, 4, FALSE), "")</f>
        <v>7.3</v>
      </c>
      <c r="E4744" s="2">
        <f>IF(A4744&lt;&gt;"", VLOOKUP(A4744, imdb_netflix_v5!A$2:H$7370, 5, FALSE), "")</f>
        <v>1979</v>
      </c>
      <c r="F4744" s="2" t="str">
        <f>IF(A4744&lt;&gt;"", VLOOKUP(A4744, imdb_netflix_v5!A$2:H$7370, 7, FALSE), "")</f>
        <v>NA</v>
      </c>
    </row>
    <row r="4745" ht="15.75" customHeight="1">
      <c r="A4745" s="1" t="str">
        <f>IFERROR(__xludf.DUMMYFUNCTION("""COMPUTED_VALUE"""),"knock down the house")</f>
        <v>knock down the house</v>
      </c>
      <c r="B4745" s="1" t="str">
        <f>IF(A4745&lt;&gt;"", VLOOKUP(A4745, imdb_netflix_v5!A$2:H$7370, 2, FALSE), "")</f>
        <v>Movie</v>
      </c>
      <c r="C4745" s="2" t="str">
        <f>IF(A4745&lt;&gt;"", VLOOKUP(A4745, imdb_netflix_v5!A$2:H$7370, 3, FALSE), "")</f>
        <v>Documentary</v>
      </c>
      <c r="D4745" s="2">
        <f>IF(A4745&lt;&gt;"", VLOOKUP(A4745, imdb_netflix_v5!A$2:H$7370, 4, FALSE), "")</f>
        <v>7.3</v>
      </c>
      <c r="E4745" s="2">
        <f>IF(A4745&lt;&gt;"", VLOOKUP(A4745, imdb_netflix_v5!A$2:H$7370, 5, FALSE), "")</f>
        <v>2019</v>
      </c>
      <c r="F4745" s="2" t="str">
        <f>IF(A4745&lt;&gt;"", VLOOKUP(A4745, imdb_netflix_v5!A$2:H$7370, 7, FALSE), "")</f>
        <v>NA</v>
      </c>
    </row>
    <row r="4746" ht="15.75" customHeight="1">
      <c r="A4746" s="1" t="str">
        <f>IFERROR(__xludf.DUMMYFUNCTION("""COMPUTED_VALUE"""),"good witch")</f>
        <v>good witch</v>
      </c>
      <c r="B4746" s="1" t="str">
        <f>IF(A4746&lt;&gt;"", VLOOKUP(A4746, imdb_netflix_v5!A$2:H$7370, 2, FALSE), "")</f>
        <v>TV Show</v>
      </c>
      <c r="C4746" s="2" t="str">
        <f>IF(A4746&lt;&gt;"", VLOOKUP(A4746, imdb_netflix_v5!A$2:H$7370, 3, FALSE), "")</f>
        <v>Comedy, Drama, Fantasy</v>
      </c>
      <c r="D4746" s="2">
        <f>IF(A4746&lt;&gt;"", VLOOKUP(A4746, imdb_netflix_v5!A$2:H$7370, 4, FALSE), "")</f>
        <v>7.3</v>
      </c>
      <c r="E4746" s="2">
        <f>IF(A4746&lt;&gt;"", VLOOKUP(A4746, imdb_netflix_v5!A$2:H$7370, 5, FALSE), "")</f>
        <v>2015</v>
      </c>
      <c r="F4746" s="2" t="str">
        <f>IF(A4746&lt;&gt;"", VLOOKUP(A4746, imdb_netflix_v5!A$2:H$7370, 7, FALSE), "")</f>
        <v>NA</v>
      </c>
    </row>
    <row r="4747" ht="15.75" customHeight="1">
      <c r="A4747" s="1" t="str">
        <f>IFERROR(__xludf.DUMMYFUNCTION("""COMPUTED_VALUE"""),"sorry, wrong number")</f>
        <v>sorry, wrong number</v>
      </c>
      <c r="B4747" s="1" t="str">
        <f>IF(A4747&lt;&gt;"", VLOOKUP(A4747, imdb_netflix_v5!A$2:H$7370, 2, FALSE), "")</f>
        <v>Movie</v>
      </c>
      <c r="C4747" s="2" t="str">
        <f>IF(A4747&lt;&gt;"", VLOOKUP(A4747, imdb_netflix_v5!A$2:H$7370, 3, FALSE), "")</f>
        <v>Drama, Film-Noir, Mystery</v>
      </c>
      <c r="D4747" s="2">
        <f>IF(A4747&lt;&gt;"", VLOOKUP(A4747, imdb_netflix_v5!A$2:H$7370, 4, FALSE), "")</f>
        <v>7.3</v>
      </c>
      <c r="E4747" s="2">
        <f>IF(A4747&lt;&gt;"", VLOOKUP(A4747, imdb_netflix_v5!A$2:H$7370, 5, FALSE), "")</f>
        <v>1948</v>
      </c>
      <c r="F4747" s="2" t="str">
        <f>IF(A4747&lt;&gt;"", VLOOKUP(A4747, imdb_netflix_v5!A$2:H$7370, 7, FALSE), "")</f>
        <v>NA</v>
      </c>
    </row>
    <row r="4748" ht="15.75" customHeight="1">
      <c r="A4748" s="1" t="str">
        <f>IFERROR(__xludf.DUMMYFUNCTION("""COMPUTED_VALUE"""),"the naked spur")</f>
        <v>the naked spur</v>
      </c>
      <c r="B4748" s="1" t="str">
        <f>IF(A4748&lt;&gt;"", VLOOKUP(A4748, imdb_netflix_v5!A$2:H$7370, 2, FALSE), "")</f>
        <v>Movie</v>
      </c>
      <c r="C4748" s="2" t="str">
        <f>IF(A4748&lt;&gt;"", VLOOKUP(A4748, imdb_netflix_v5!A$2:H$7370, 3, FALSE), "")</f>
        <v>Drama, Thriller, Western</v>
      </c>
      <c r="D4748" s="2">
        <f>IF(A4748&lt;&gt;"", VLOOKUP(A4748, imdb_netflix_v5!A$2:H$7370, 4, FALSE), "")</f>
        <v>7.3</v>
      </c>
      <c r="E4748" s="2">
        <f>IF(A4748&lt;&gt;"", VLOOKUP(A4748, imdb_netflix_v5!A$2:H$7370, 5, FALSE), "")</f>
        <v>1953</v>
      </c>
      <c r="F4748" s="2" t="str">
        <f>IF(A4748&lt;&gt;"", VLOOKUP(A4748, imdb_netflix_v5!A$2:H$7370, 7, FALSE), "")</f>
        <v>NA</v>
      </c>
    </row>
    <row r="4749" ht="15.75" customHeight="1">
      <c r="A4749" s="1" t="str">
        <f>IFERROR(__xludf.DUMMYFUNCTION("""COMPUTED_VALUE"""),"mommy dead and dearest")</f>
        <v>mommy dead and dearest</v>
      </c>
      <c r="B4749" s="1" t="str">
        <f>IF(A4749&lt;&gt;"", VLOOKUP(A4749, imdb_netflix_v5!A$2:H$7370, 2, FALSE), "")</f>
        <v>Movie</v>
      </c>
      <c r="C4749" s="2" t="str">
        <f>IF(A4749&lt;&gt;"", VLOOKUP(A4749, imdb_netflix_v5!A$2:H$7370, 3, FALSE), "")</f>
        <v>Crime, Documentary</v>
      </c>
      <c r="D4749" s="2">
        <f>IF(A4749&lt;&gt;"", VLOOKUP(A4749, imdb_netflix_v5!A$2:H$7370, 4, FALSE), "")</f>
        <v>7.3</v>
      </c>
      <c r="E4749" s="2">
        <f>IF(A4749&lt;&gt;"", VLOOKUP(A4749, imdb_netflix_v5!A$2:H$7370, 5, FALSE), "")</f>
        <v>2017</v>
      </c>
      <c r="F4749" s="2" t="str">
        <f>IF(A4749&lt;&gt;"", VLOOKUP(A4749, imdb_netflix_v5!A$2:H$7370, 7, FALSE), "")</f>
        <v>NA</v>
      </c>
    </row>
    <row r="4750" ht="15.75" customHeight="1">
      <c r="A4750" s="1" t="str">
        <f>IFERROR(__xludf.DUMMYFUNCTION("""COMPUTED_VALUE"""),"the selfish giant")</f>
        <v>the selfish giant</v>
      </c>
      <c r="B4750" s="1" t="str">
        <f>IF(A4750&lt;&gt;"", VLOOKUP(A4750, imdb_netflix_v5!A$2:H$7370, 2, FALSE), "")</f>
        <v>Movie</v>
      </c>
      <c r="C4750" s="2" t="str">
        <f>IF(A4750&lt;&gt;"", VLOOKUP(A4750, imdb_netflix_v5!A$2:H$7370, 3, FALSE), "")</f>
        <v>Drama</v>
      </c>
      <c r="D4750" s="2">
        <f>IF(A4750&lt;&gt;"", VLOOKUP(A4750, imdb_netflix_v5!A$2:H$7370, 4, FALSE), "")</f>
        <v>7.3</v>
      </c>
      <c r="E4750" s="2">
        <f>IF(A4750&lt;&gt;"", VLOOKUP(A4750, imdb_netflix_v5!A$2:H$7370, 5, FALSE), "")</f>
        <v>2013</v>
      </c>
      <c r="F4750" s="2" t="str">
        <f>IF(A4750&lt;&gt;"", VLOOKUP(A4750, imdb_netflix_v5!A$2:H$7370, 7, FALSE), "")</f>
        <v>NA</v>
      </c>
    </row>
    <row r="4751" ht="15.75" customHeight="1">
      <c r="A4751" s="1" t="str">
        <f>IFERROR(__xludf.DUMMYFUNCTION("""COMPUTED_VALUE"""),"journey to italy")</f>
        <v>journey to italy</v>
      </c>
      <c r="B4751" s="1" t="str">
        <f>IF(A4751&lt;&gt;"", VLOOKUP(A4751, imdb_netflix_v5!A$2:H$7370, 2, FALSE), "")</f>
        <v>Movie</v>
      </c>
      <c r="C4751" s="2" t="str">
        <f>IF(A4751&lt;&gt;"", VLOOKUP(A4751, imdb_netflix_v5!A$2:H$7370, 3, FALSE), "")</f>
        <v>Drama, Romance</v>
      </c>
      <c r="D4751" s="2">
        <f>IF(A4751&lt;&gt;"", VLOOKUP(A4751, imdb_netflix_v5!A$2:H$7370, 4, FALSE), "")</f>
        <v>7.3</v>
      </c>
      <c r="E4751" s="2">
        <f>IF(A4751&lt;&gt;"", VLOOKUP(A4751, imdb_netflix_v5!A$2:H$7370, 5, FALSE), "")</f>
        <v>1954</v>
      </c>
      <c r="F4751" s="2" t="str">
        <f>IF(A4751&lt;&gt;"", VLOOKUP(A4751, imdb_netflix_v5!A$2:H$7370, 7, FALSE), "")</f>
        <v>NA</v>
      </c>
    </row>
    <row r="4752" ht="15.75" customHeight="1">
      <c r="A4752" s="1" t="str">
        <f>IFERROR(__xludf.DUMMYFUNCTION("""COMPUTED_VALUE"""),"the long, hot summer")</f>
        <v>the long, hot summer</v>
      </c>
      <c r="B4752" s="1" t="str">
        <f>IF(A4752&lt;&gt;"", VLOOKUP(A4752, imdb_netflix_v5!A$2:H$7370, 2, FALSE), "")</f>
        <v>Movie</v>
      </c>
      <c r="C4752" s="2" t="str">
        <f>IF(A4752&lt;&gt;"", VLOOKUP(A4752, imdb_netflix_v5!A$2:H$7370, 3, FALSE), "")</f>
        <v>Drama</v>
      </c>
      <c r="D4752" s="2">
        <f>IF(A4752&lt;&gt;"", VLOOKUP(A4752, imdb_netflix_v5!A$2:H$7370, 4, FALSE), "")</f>
        <v>7.3</v>
      </c>
      <c r="E4752" s="2">
        <f>IF(A4752&lt;&gt;"", VLOOKUP(A4752, imdb_netflix_v5!A$2:H$7370, 5, FALSE), "")</f>
        <v>1958</v>
      </c>
      <c r="F4752" s="2" t="str">
        <f>IF(A4752&lt;&gt;"", VLOOKUP(A4752, imdb_netflix_v5!A$2:H$7370, 7, FALSE), "")</f>
        <v>NA</v>
      </c>
    </row>
    <row r="4753" ht="15.75" customHeight="1">
      <c r="A4753" s="1" t="str">
        <f>IFERROR(__xludf.DUMMYFUNCTION("""COMPUTED_VALUE"""),"father goose")</f>
        <v>father goose</v>
      </c>
      <c r="B4753" s="1" t="str">
        <f>IF(A4753&lt;&gt;"", VLOOKUP(A4753, imdb_netflix_v5!A$2:H$7370, 2, FALSE), "")</f>
        <v>Movie</v>
      </c>
      <c r="C4753" s="2" t="str">
        <f>IF(A4753&lt;&gt;"", VLOOKUP(A4753, imdb_netflix_v5!A$2:H$7370, 3, FALSE), "")</f>
        <v>Adventure, Comedy, Romance</v>
      </c>
      <c r="D4753" s="2">
        <f>IF(A4753&lt;&gt;"", VLOOKUP(A4753, imdb_netflix_v5!A$2:H$7370, 4, FALSE), "")</f>
        <v>7.3</v>
      </c>
      <c r="E4753" s="2">
        <f>IF(A4753&lt;&gt;"", VLOOKUP(A4753, imdb_netflix_v5!A$2:H$7370, 5, FALSE), "")</f>
        <v>1964</v>
      </c>
      <c r="F4753" s="2" t="str">
        <f>IF(A4753&lt;&gt;"", VLOOKUP(A4753, imdb_netflix_v5!A$2:H$7370, 7, FALSE), "")</f>
        <v>NA</v>
      </c>
    </row>
    <row r="4754" ht="15.75" customHeight="1">
      <c r="A4754" s="1" t="str">
        <f>IFERROR(__xludf.DUMMYFUNCTION("""COMPUTED_VALUE"""),"metropolitan")</f>
        <v>metropolitan</v>
      </c>
      <c r="B4754" s="1" t="str">
        <f>IF(A4754&lt;&gt;"", VLOOKUP(A4754, imdb_netflix_v5!A$2:H$7370, 2, FALSE), "")</f>
        <v>Movie</v>
      </c>
      <c r="C4754" s="2" t="str">
        <f>IF(A4754&lt;&gt;"", VLOOKUP(A4754, imdb_netflix_v5!A$2:H$7370, 3, FALSE), "")</f>
        <v>Comedy, Drama, Romance</v>
      </c>
      <c r="D4754" s="2">
        <f>IF(A4754&lt;&gt;"", VLOOKUP(A4754, imdb_netflix_v5!A$2:H$7370, 4, FALSE), "")</f>
        <v>7.3</v>
      </c>
      <c r="E4754" s="2">
        <f>IF(A4754&lt;&gt;"", VLOOKUP(A4754, imdb_netflix_v5!A$2:H$7370, 5, FALSE), "")</f>
        <v>1989</v>
      </c>
      <c r="F4754" s="2" t="str">
        <f>IF(A4754&lt;&gt;"", VLOOKUP(A4754, imdb_netflix_v5!A$2:H$7370, 7, FALSE), "")</f>
        <v>NA</v>
      </c>
    </row>
    <row r="4755" ht="15.75" customHeight="1">
      <c r="A4755" s="1" t="str">
        <f>IFERROR(__xludf.DUMMYFUNCTION("""COMPUTED_VALUE"""),"lust for life")</f>
        <v>lust for life</v>
      </c>
      <c r="B4755" s="1" t="str">
        <f>IF(A4755&lt;&gt;"", VLOOKUP(A4755, imdb_netflix_v5!A$2:H$7370, 2, FALSE), "")</f>
        <v>Movie</v>
      </c>
      <c r="C4755" s="2" t="str">
        <f>IF(A4755&lt;&gt;"", VLOOKUP(A4755, imdb_netflix_v5!A$2:H$7370, 3, FALSE), "")</f>
        <v>Biography, Drama</v>
      </c>
      <c r="D4755" s="2">
        <f>IF(A4755&lt;&gt;"", VLOOKUP(A4755, imdb_netflix_v5!A$2:H$7370, 4, FALSE), "")</f>
        <v>7.3</v>
      </c>
      <c r="E4755" s="2">
        <f>IF(A4755&lt;&gt;"", VLOOKUP(A4755, imdb_netflix_v5!A$2:H$7370, 5, FALSE), "")</f>
        <v>1956</v>
      </c>
      <c r="F4755" s="2" t="str">
        <f>IF(A4755&lt;&gt;"", VLOOKUP(A4755, imdb_netflix_v5!A$2:H$7370, 7, FALSE), "")</f>
        <v>NA</v>
      </c>
    </row>
    <row r="4756" ht="15.75" customHeight="1">
      <c r="A4756" s="1" t="str">
        <f>IFERROR(__xludf.DUMMYFUNCTION("""COMPUTED_VALUE"""),"palm trees in the snow")</f>
        <v>palm trees in the snow</v>
      </c>
      <c r="B4756" s="1" t="str">
        <f>IF(A4756&lt;&gt;"", VLOOKUP(A4756, imdb_netflix_v5!A$2:H$7370, 2, FALSE), "")</f>
        <v>Movie</v>
      </c>
      <c r="C4756" s="2" t="str">
        <f>IF(A4756&lt;&gt;"", VLOOKUP(A4756, imdb_netflix_v5!A$2:H$7370, 3, FALSE), "")</f>
        <v>Drama, Romance</v>
      </c>
      <c r="D4756" s="2">
        <f>IF(A4756&lt;&gt;"", VLOOKUP(A4756, imdb_netflix_v5!A$2:H$7370, 4, FALSE), "")</f>
        <v>7.3</v>
      </c>
      <c r="E4756" s="2">
        <f>IF(A4756&lt;&gt;"", VLOOKUP(A4756, imdb_netflix_v5!A$2:H$7370, 5, FALSE), "")</f>
        <v>2015</v>
      </c>
      <c r="F4756" s="2" t="str">
        <f>IF(A4756&lt;&gt;"", VLOOKUP(A4756, imdb_netflix_v5!A$2:H$7370, 7, FALSE), "")</f>
        <v>NA</v>
      </c>
    </row>
    <row r="4757" ht="15.75" customHeight="1">
      <c r="A4757" s="1" t="str">
        <f>IFERROR(__xludf.DUMMYFUNCTION("""COMPUTED_VALUE"""),"the wanderers")</f>
        <v>the wanderers</v>
      </c>
      <c r="B4757" s="1" t="str">
        <f>IF(A4757&lt;&gt;"", VLOOKUP(A4757, imdb_netflix_v5!A$2:H$7370, 2, FALSE), "")</f>
        <v>Movie</v>
      </c>
      <c r="C4757" s="2" t="str">
        <f>IF(A4757&lt;&gt;"", VLOOKUP(A4757, imdb_netflix_v5!A$2:H$7370, 3, FALSE), "")</f>
        <v>Crime, Drama, Romance</v>
      </c>
      <c r="D4757" s="2">
        <f>IF(A4757&lt;&gt;"", VLOOKUP(A4757, imdb_netflix_v5!A$2:H$7370, 4, FALSE), "")</f>
        <v>7.3</v>
      </c>
      <c r="E4757" s="2">
        <f>IF(A4757&lt;&gt;"", VLOOKUP(A4757, imdb_netflix_v5!A$2:H$7370, 5, FALSE), "")</f>
        <v>1979</v>
      </c>
      <c r="F4757" s="2" t="str">
        <f>IF(A4757&lt;&gt;"", VLOOKUP(A4757, imdb_netflix_v5!A$2:H$7370, 7, FALSE), "")</f>
        <v>NA</v>
      </c>
    </row>
    <row r="4758" ht="15.75" customHeight="1">
      <c r="A4758" s="1" t="str">
        <f>IFERROR(__xludf.DUMMYFUNCTION("""COMPUTED_VALUE"""),"heaven can wait")</f>
        <v>heaven can wait</v>
      </c>
      <c r="B4758" s="1" t="str">
        <f>IF(A4758&lt;&gt;"", VLOOKUP(A4758, imdb_netflix_v5!A$2:H$7370, 2, FALSE), "")</f>
        <v>Movie</v>
      </c>
      <c r="C4758" s="2" t="str">
        <f>IF(A4758&lt;&gt;"", VLOOKUP(A4758, imdb_netflix_v5!A$2:H$7370, 3, FALSE), "")</f>
        <v>Comedy, Drama, Fantasy</v>
      </c>
      <c r="D4758" s="2">
        <f>IF(A4758&lt;&gt;"", VLOOKUP(A4758, imdb_netflix_v5!A$2:H$7370, 4, FALSE), "")</f>
        <v>7.3</v>
      </c>
      <c r="E4758" s="2">
        <f>IF(A4758&lt;&gt;"", VLOOKUP(A4758, imdb_netflix_v5!A$2:H$7370, 5, FALSE), "")</f>
        <v>1943</v>
      </c>
      <c r="F4758" s="2" t="str">
        <f>IF(A4758&lt;&gt;"", VLOOKUP(A4758, imdb_netflix_v5!A$2:H$7370, 7, FALSE), "")</f>
        <v>NA</v>
      </c>
    </row>
    <row r="4759" ht="15.75" customHeight="1">
      <c r="A4759" s="1" t="str">
        <f>IFERROR(__xludf.DUMMYFUNCTION("""COMPUTED_VALUE"""),"houdini")</f>
        <v>houdini</v>
      </c>
      <c r="B4759" s="1" t="str">
        <f>IF(A4759&lt;&gt;"", VLOOKUP(A4759, imdb_netflix_v5!A$2:H$7370, 2, FALSE), "")</f>
        <v>TV Show</v>
      </c>
      <c r="C4759" s="2" t="str">
        <f>IF(A4759&lt;&gt;"", VLOOKUP(A4759, imdb_netflix_v5!A$2:H$7370, 3, FALSE), "")</f>
        <v>Biography, Drama</v>
      </c>
      <c r="D4759" s="2">
        <f>IF(A4759&lt;&gt;"", VLOOKUP(A4759, imdb_netflix_v5!A$2:H$7370, 4, FALSE), "")</f>
        <v>7.3</v>
      </c>
      <c r="E4759" s="2">
        <f>IF(A4759&lt;&gt;"", VLOOKUP(A4759, imdb_netflix_v5!A$2:H$7370, 5, FALSE), "")</f>
        <v>2014</v>
      </c>
      <c r="F4759" s="2" t="str">
        <f>IF(A4759&lt;&gt;"", VLOOKUP(A4759, imdb_netflix_v5!A$2:H$7370, 7, FALSE), "")</f>
        <v>NA</v>
      </c>
    </row>
    <row r="4760" ht="15.75" customHeight="1">
      <c r="A4760" s="1" t="str">
        <f>IFERROR(__xludf.DUMMYFUNCTION("""COMPUTED_VALUE"""),"the man with the golden arm")</f>
        <v>the man with the golden arm</v>
      </c>
      <c r="B4760" s="1" t="str">
        <f>IF(A4760&lt;&gt;"", VLOOKUP(A4760, imdb_netflix_v5!A$2:H$7370, 2, FALSE), "")</f>
        <v>Movie</v>
      </c>
      <c r="C4760" s="2" t="str">
        <f>IF(A4760&lt;&gt;"", VLOOKUP(A4760, imdb_netflix_v5!A$2:H$7370, 3, FALSE), "")</f>
        <v>Crime, Drama, Romance</v>
      </c>
      <c r="D4760" s="2">
        <f>IF(A4760&lt;&gt;"", VLOOKUP(A4760, imdb_netflix_v5!A$2:H$7370, 4, FALSE), "")</f>
        <v>7.3</v>
      </c>
      <c r="E4760" s="2">
        <f>IF(A4760&lt;&gt;"", VLOOKUP(A4760, imdb_netflix_v5!A$2:H$7370, 5, FALSE), "")</f>
        <v>1955</v>
      </c>
      <c r="F4760" s="2" t="str">
        <f>IF(A4760&lt;&gt;"", VLOOKUP(A4760, imdb_netflix_v5!A$2:H$7370, 7, FALSE), "")</f>
        <v>NA</v>
      </c>
    </row>
    <row r="4761" ht="15.75" customHeight="1">
      <c r="A4761" s="1" t="str">
        <f>IFERROR(__xludf.DUMMYFUNCTION("""COMPUTED_VALUE"""),"ronia the robbers daughter")</f>
        <v>ronia the robbers daughter</v>
      </c>
      <c r="B4761" s="1" t="str">
        <f>IF(A4761&lt;&gt;"", VLOOKUP(A4761, imdb_netflix_v5!A$2:H$7370, 2, FALSE), "")</f>
        <v>Movie</v>
      </c>
      <c r="C4761" s="2" t="str">
        <f>IF(A4761&lt;&gt;"", VLOOKUP(A4761, imdb_netflix_v5!A$2:H$7370, 3, FALSE), "")</f>
        <v>Adventure, Drama, Family</v>
      </c>
      <c r="D4761" s="2">
        <f>IF(A4761&lt;&gt;"", VLOOKUP(A4761, imdb_netflix_v5!A$2:H$7370, 4, FALSE), "")</f>
        <v>7.3</v>
      </c>
      <c r="E4761" s="2">
        <f>IF(A4761&lt;&gt;"", VLOOKUP(A4761, imdb_netflix_v5!A$2:H$7370, 5, FALSE), "")</f>
        <v>1984</v>
      </c>
      <c r="F4761" s="2" t="str">
        <f>IF(A4761&lt;&gt;"", VLOOKUP(A4761, imdb_netflix_v5!A$2:H$7370, 7, FALSE), "")</f>
        <v>NA</v>
      </c>
    </row>
    <row r="4762" ht="15.75" customHeight="1">
      <c r="A4762" s="1" t="str">
        <f>IFERROR(__xludf.DUMMYFUNCTION("""COMPUTED_VALUE"""),"tender mercies")</f>
        <v>tender mercies</v>
      </c>
      <c r="B4762" s="1" t="str">
        <f>IF(A4762&lt;&gt;"", VLOOKUP(A4762, imdb_netflix_v5!A$2:H$7370, 2, FALSE), "")</f>
        <v>Movie</v>
      </c>
      <c r="C4762" s="2" t="str">
        <f>IF(A4762&lt;&gt;"", VLOOKUP(A4762, imdb_netflix_v5!A$2:H$7370, 3, FALSE), "")</f>
        <v>Drama, Music</v>
      </c>
      <c r="D4762" s="2">
        <f>IF(A4762&lt;&gt;"", VLOOKUP(A4762, imdb_netflix_v5!A$2:H$7370, 4, FALSE), "")</f>
        <v>7.3</v>
      </c>
      <c r="E4762" s="2">
        <f>IF(A4762&lt;&gt;"", VLOOKUP(A4762, imdb_netflix_v5!A$2:H$7370, 5, FALSE), "")</f>
        <v>1983</v>
      </c>
      <c r="F4762" s="2" t="str">
        <f>IF(A4762&lt;&gt;"", VLOOKUP(A4762, imdb_netflix_v5!A$2:H$7370, 7, FALSE), "")</f>
        <v>NA</v>
      </c>
    </row>
    <row r="4763" ht="15.75" customHeight="1">
      <c r="A4763" s="1" t="str">
        <f>IFERROR(__xludf.DUMMYFUNCTION("""COMPUTED_VALUE"""),"paper girls")</f>
        <v>paper girls</v>
      </c>
      <c r="B4763" s="1" t="str">
        <f>IF(A4763&lt;&gt;"", VLOOKUP(A4763, imdb_netflix_v5!A$2:H$7370, 2, FALSE), "")</f>
        <v>TV Show</v>
      </c>
      <c r="C4763" s="2" t="str">
        <f>IF(A4763&lt;&gt;"", VLOOKUP(A4763, imdb_netflix_v5!A$2:H$7370, 3, FALSE), "")</f>
        <v>Adventure, Drama, Sci-Fi</v>
      </c>
      <c r="D4763" s="2">
        <f>IF(A4763&lt;&gt;"", VLOOKUP(A4763, imdb_netflix_v5!A$2:H$7370, 4, FALSE), "")</f>
        <v>7.3</v>
      </c>
      <c r="E4763" s="2">
        <f>IF(A4763&lt;&gt;"", VLOOKUP(A4763, imdb_netflix_v5!A$2:H$7370, 5, FALSE), "")</f>
        <v>2022</v>
      </c>
      <c r="F4763" s="2" t="str">
        <f>IF(A4763&lt;&gt;"", VLOOKUP(A4763, imdb_netflix_v5!A$2:H$7370, 7, FALSE), "")</f>
        <v>NA</v>
      </c>
    </row>
    <row r="4764" ht="15.75" customHeight="1">
      <c r="A4764" s="1" t="str">
        <f>IFERROR(__xludf.DUMMYFUNCTION("""COMPUTED_VALUE"""),"christmas in connecticut")</f>
        <v>christmas in connecticut</v>
      </c>
      <c r="B4764" s="1" t="str">
        <f>IF(A4764&lt;&gt;"", VLOOKUP(A4764, imdb_netflix_v5!A$2:H$7370, 2, FALSE), "")</f>
        <v>Movie</v>
      </c>
      <c r="C4764" s="2" t="str">
        <f>IF(A4764&lt;&gt;"", VLOOKUP(A4764, imdb_netflix_v5!A$2:H$7370, 3, FALSE), "")</f>
        <v>Comedy, Romance</v>
      </c>
      <c r="D4764" s="2">
        <f>IF(A4764&lt;&gt;"", VLOOKUP(A4764, imdb_netflix_v5!A$2:H$7370, 4, FALSE), "")</f>
        <v>7.3</v>
      </c>
      <c r="E4764" s="2">
        <f>IF(A4764&lt;&gt;"", VLOOKUP(A4764, imdb_netflix_v5!A$2:H$7370, 5, FALSE), "")</f>
        <v>1945</v>
      </c>
      <c r="F4764" s="2" t="str">
        <f>IF(A4764&lt;&gt;"", VLOOKUP(A4764, imdb_netflix_v5!A$2:H$7370, 7, FALSE), "")</f>
        <v>NA</v>
      </c>
    </row>
    <row r="4765" ht="15.75" customHeight="1">
      <c r="A4765" s="1" t="str">
        <f>IFERROR(__xludf.DUMMYFUNCTION("""COMPUTED_VALUE"""),"the man from laramie")</f>
        <v>the man from laramie</v>
      </c>
      <c r="B4765" s="1" t="str">
        <f>IF(A4765&lt;&gt;"", VLOOKUP(A4765, imdb_netflix_v5!A$2:H$7370, 2, FALSE), "")</f>
        <v>Movie</v>
      </c>
      <c r="C4765" s="2" t="str">
        <f>IF(A4765&lt;&gt;"", VLOOKUP(A4765, imdb_netflix_v5!A$2:H$7370, 3, FALSE), "")</f>
        <v>Drama, Western</v>
      </c>
      <c r="D4765" s="2">
        <f>IF(A4765&lt;&gt;"", VLOOKUP(A4765, imdb_netflix_v5!A$2:H$7370, 4, FALSE), "")</f>
        <v>7.3</v>
      </c>
      <c r="E4765" s="2">
        <f>IF(A4765&lt;&gt;"", VLOOKUP(A4765, imdb_netflix_v5!A$2:H$7370, 5, FALSE), "")</f>
        <v>1955</v>
      </c>
      <c r="F4765" s="2" t="str">
        <f>IF(A4765&lt;&gt;"", VLOOKUP(A4765, imdb_netflix_v5!A$2:H$7370, 7, FALSE), "")</f>
        <v>NA</v>
      </c>
    </row>
    <row r="4766" ht="15.75" customHeight="1">
      <c r="A4766" s="1" t="str">
        <f>IFERROR(__xludf.DUMMYFUNCTION("""COMPUTED_VALUE"""),"fullmetal alchemist the movie conqueror of shamballa")</f>
        <v>fullmetal alchemist the movie conqueror of shamballa</v>
      </c>
      <c r="B4766" s="1" t="str">
        <f>IF(A4766&lt;&gt;"", VLOOKUP(A4766, imdb_netflix_v5!A$2:H$7370, 2, FALSE), "")</f>
        <v>Movie</v>
      </c>
      <c r="C4766" s="2" t="str">
        <f>IF(A4766&lt;&gt;"", VLOOKUP(A4766, imdb_netflix_v5!A$2:H$7370, 3, FALSE), "")</f>
        <v>Action, Adventure, Animation</v>
      </c>
      <c r="D4766" s="2">
        <f>IF(A4766&lt;&gt;"", VLOOKUP(A4766, imdb_netflix_v5!A$2:H$7370, 4, FALSE), "")</f>
        <v>7.3</v>
      </c>
      <c r="E4766" s="2">
        <f>IF(A4766&lt;&gt;"", VLOOKUP(A4766, imdb_netflix_v5!A$2:H$7370, 5, FALSE), "")</f>
        <v>2005</v>
      </c>
      <c r="F4766" s="2" t="str">
        <f>IF(A4766&lt;&gt;"", VLOOKUP(A4766, imdb_netflix_v5!A$2:H$7370, 7, FALSE), "")</f>
        <v>NA</v>
      </c>
    </row>
    <row r="4767" ht="15.75" customHeight="1">
      <c r="A4767" s="1" t="str">
        <f>IFERROR(__xludf.DUMMYFUNCTION("""COMPUTED_VALUE"""),"american rust")</f>
        <v>american rust</v>
      </c>
      <c r="B4767" s="1" t="str">
        <f>IF(A4767&lt;&gt;"", VLOOKUP(A4767, imdb_netflix_v5!A$2:H$7370, 2, FALSE), "")</f>
        <v>TV Show</v>
      </c>
      <c r="C4767" s="2" t="str">
        <f>IF(A4767&lt;&gt;"", VLOOKUP(A4767, imdb_netflix_v5!A$2:H$7370, 3, FALSE), "")</f>
        <v>Crime, Drama</v>
      </c>
      <c r="D4767" s="2">
        <f>IF(A4767&lt;&gt;"", VLOOKUP(A4767, imdb_netflix_v5!A$2:H$7370, 4, FALSE), "")</f>
        <v>7.3</v>
      </c>
      <c r="E4767" s="2">
        <f>IF(A4767&lt;&gt;"", VLOOKUP(A4767, imdb_netflix_v5!A$2:H$7370, 5, FALSE), "")</f>
        <v>2021</v>
      </c>
      <c r="F4767" s="2" t="str">
        <f>IF(A4767&lt;&gt;"", VLOOKUP(A4767, imdb_netflix_v5!A$2:H$7370, 7, FALSE), "")</f>
        <v>NA</v>
      </c>
    </row>
    <row r="4768" ht="15.75" customHeight="1">
      <c r="A4768" s="1" t="str">
        <f>IFERROR(__xludf.DUMMYFUNCTION("""COMPUTED_VALUE"""),"lost in la mancha")</f>
        <v>lost in la mancha</v>
      </c>
      <c r="B4768" s="1" t="str">
        <f>IF(A4768&lt;&gt;"", VLOOKUP(A4768, imdb_netflix_v5!A$2:H$7370, 2, FALSE), "")</f>
        <v>Movie</v>
      </c>
      <c r="C4768" s="2" t="str">
        <f>IF(A4768&lt;&gt;"", VLOOKUP(A4768, imdb_netflix_v5!A$2:H$7370, 3, FALSE), "")</f>
        <v>Documentary</v>
      </c>
      <c r="D4768" s="2">
        <f>IF(A4768&lt;&gt;"", VLOOKUP(A4768, imdb_netflix_v5!A$2:H$7370, 4, FALSE), "")</f>
        <v>7.3</v>
      </c>
      <c r="E4768" s="2">
        <f>IF(A4768&lt;&gt;"", VLOOKUP(A4768, imdb_netflix_v5!A$2:H$7370, 5, FALSE), "")</f>
        <v>2002</v>
      </c>
      <c r="F4768" s="2" t="str">
        <f>IF(A4768&lt;&gt;"", VLOOKUP(A4768, imdb_netflix_v5!A$2:H$7370, 7, FALSE), "")</f>
        <v>NA</v>
      </c>
    </row>
    <row r="4769" ht="15.75" customHeight="1">
      <c r="A4769" s="1" t="str">
        <f>IFERROR(__xludf.DUMMYFUNCTION("""COMPUTED_VALUE"""),"whats new, scooby-doo?")</f>
        <v>whats new, scooby-doo?</v>
      </c>
      <c r="B4769" s="1" t="str">
        <f>IF(A4769&lt;&gt;"", VLOOKUP(A4769, imdb_netflix_v5!A$2:H$7370, 2, FALSE), "")</f>
        <v>TV Show</v>
      </c>
      <c r="C4769" s="2" t="str">
        <f>IF(A4769&lt;&gt;"", VLOOKUP(A4769, imdb_netflix_v5!A$2:H$7370, 3, FALSE), "")</f>
        <v>Adventure, Animation, Comedy</v>
      </c>
      <c r="D4769" s="2">
        <f>IF(A4769&lt;&gt;"", VLOOKUP(A4769, imdb_netflix_v5!A$2:H$7370, 4, FALSE), "")</f>
        <v>7.3</v>
      </c>
      <c r="E4769" s="2">
        <f>IF(A4769&lt;&gt;"", VLOOKUP(A4769, imdb_netflix_v5!A$2:H$7370, 5, FALSE), "")</f>
        <v>2002</v>
      </c>
      <c r="F4769" s="2" t="str">
        <f>IF(A4769&lt;&gt;"", VLOOKUP(A4769, imdb_netflix_v5!A$2:H$7370, 7, FALSE), "")</f>
        <v>NA</v>
      </c>
    </row>
    <row r="4770" ht="15.75" customHeight="1">
      <c r="A4770" s="1" t="str">
        <f>IFERROR(__xludf.DUMMYFUNCTION("""COMPUTED_VALUE"""),"tell me your secrets")</f>
        <v>tell me your secrets</v>
      </c>
      <c r="B4770" s="1" t="str">
        <f>IF(A4770&lt;&gt;"", VLOOKUP(A4770, imdb_netflix_v5!A$2:H$7370, 2, FALSE), "")</f>
        <v>TV Show</v>
      </c>
      <c r="C4770" s="2" t="str">
        <f>IF(A4770&lt;&gt;"", VLOOKUP(A4770, imdb_netflix_v5!A$2:H$7370, 3, FALSE), "")</f>
        <v>Crime, Drama, Mystery</v>
      </c>
      <c r="D4770" s="2">
        <f>IF(A4770&lt;&gt;"", VLOOKUP(A4770, imdb_netflix_v5!A$2:H$7370, 4, FALSE), "")</f>
        <v>7.3</v>
      </c>
      <c r="E4770" s="2">
        <f>IF(A4770&lt;&gt;"", VLOOKUP(A4770, imdb_netflix_v5!A$2:H$7370, 5, FALSE), "")</f>
        <v>2021</v>
      </c>
      <c r="F4770" s="2" t="str">
        <f>IF(A4770&lt;&gt;"", VLOOKUP(A4770, imdb_netflix_v5!A$2:H$7370, 7, FALSE), "")</f>
        <v>NA</v>
      </c>
    </row>
    <row r="4771" ht="15.75" customHeight="1">
      <c r="A4771" s="1" t="str">
        <f>IFERROR(__xludf.DUMMYFUNCTION("""COMPUTED_VALUE"""),"daydreamer")</f>
        <v>daydreamer</v>
      </c>
      <c r="B4771" s="1" t="str">
        <f>IF(A4771&lt;&gt;"", VLOOKUP(A4771, imdb_netflix_v5!A$2:H$7370, 2, FALSE), "")</f>
        <v>TV Show</v>
      </c>
      <c r="C4771" s="2" t="str">
        <f>IF(A4771&lt;&gt;"", VLOOKUP(A4771, imdb_netflix_v5!A$2:H$7370, 3, FALSE), "")</f>
        <v>Comedy, Romance</v>
      </c>
      <c r="D4771" s="2">
        <f>IF(A4771&lt;&gt;"", VLOOKUP(A4771, imdb_netflix_v5!A$2:H$7370, 4, FALSE), "")</f>
        <v>7.3</v>
      </c>
      <c r="E4771" s="2">
        <f>IF(A4771&lt;&gt;"", VLOOKUP(A4771, imdb_netflix_v5!A$2:H$7370, 5, FALSE), "")</f>
        <v>2018</v>
      </c>
      <c r="F4771" s="2" t="str">
        <f>IF(A4771&lt;&gt;"", VLOOKUP(A4771, imdb_netflix_v5!A$2:H$7370, 7, FALSE), "")</f>
        <v>NA</v>
      </c>
    </row>
    <row r="4772" ht="15.75" customHeight="1">
      <c r="A4772" s="1" t="str">
        <f>IFERROR(__xludf.DUMMYFUNCTION("""COMPUTED_VALUE"""),"my favorite wife")</f>
        <v>my favorite wife</v>
      </c>
      <c r="B4772" s="1" t="str">
        <f>IF(A4772&lt;&gt;"", VLOOKUP(A4772, imdb_netflix_v5!A$2:H$7370, 2, FALSE), "")</f>
        <v>Movie</v>
      </c>
      <c r="C4772" s="2" t="str">
        <f>IF(A4772&lt;&gt;"", VLOOKUP(A4772, imdb_netflix_v5!A$2:H$7370, 3, FALSE), "")</f>
        <v>Comedy, Romance</v>
      </c>
      <c r="D4772" s="2">
        <f>IF(A4772&lt;&gt;"", VLOOKUP(A4772, imdb_netflix_v5!A$2:H$7370, 4, FALSE), "")</f>
        <v>7.3</v>
      </c>
      <c r="E4772" s="2">
        <f>IF(A4772&lt;&gt;"", VLOOKUP(A4772, imdb_netflix_v5!A$2:H$7370, 5, FALSE), "")</f>
        <v>1940</v>
      </c>
      <c r="F4772" s="2" t="str">
        <f>IF(A4772&lt;&gt;"", VLOOKUP(A4772, imdb_netflix_v5!A$2:H$7370, 7, FALSE), "")</f>
        <v>NA</v>
      </c>
    </row>
    <row r="4773" ht="15.75" customHeight="1">
      <c r="A4773" s="1" t="str">
        <f>IFERROR(__xludf.DUMMYFUNCTION("""COMPUTED_VALUE"""),"monsieur ibrahim")</f>
        <v>monsieur ibrahim</v>
      </c>
      <c r="B4773" s="1" t="str">
        <f>IF(A4773&lt;&gt;"", VLOOKUP(A4773, imdb_netflix_v5!A$2:H$7370, 2, FALSE), "")</f>
        <v>Movie</v>
      </c>
      <c r="C4773" s="2" t="str">
        <f>IF(A4773&lt;&gt;"", VLOOKUP(A4773, imdb_netflix_v5!A$2:H$7370, 3, FALSE), "")</f>
        <v>Comedy, Drama</v>
      </c>
      <c r="D4773" s="2">
        <f>IF(A4773&lt;&gt;"", VLOOKUP(A4773, imdb_netflix_v5!A$2:H$7370, 4, FALSE), "")</f>
        <v>7.3</v>
      </c>
      <c r="E4773" s="2">
        <f>IF(A4773&lt;&gt;"", VLOOKUP(A4773, imdb_netflix_v5!A$2:H$7370, 5, FALSE), "")</f>
        <v>2003</v>
      </c>
      <c r="F4773" s="2" t="str">
        <f>IF(A4773&lt;&gt;"", VLOOKUP(A4773, imdb_netflix_v5!A$2:H$7370, 7, FALSE), "")</f>
        <v>NA</v>
      </c>
    </row>
    <row r="4774" ht="15.75" customHeight="1">
      <c r="A4774" s="1" t="str">
        <f>IFERROR(__xludf.DUMMYFUNCTION("""COMPUTED_VALUE"""),"soaked in bleach")</f>
        <v>soaked in bleach</v>
      </c>
      <c r="B4774" s="1" t="str">
        <f>IF(A4774&lt;&gt;"", VLOOKUP(A4774, imdb_netflix_v5!A$2:H$7370, 2, FALSE), "")</f>
        <v>Movie</v>
      </c>
      <c r="C4774" s="2" t="str">
        <f>IF(A4774&lt;&gt;"", VLOOKUP(A4774, imdb_netflix_v5!A$2:H$7370, 3, FALSE), "")</f>
        <v>Crime, Documentary</v>
      </c>
      <c r="D4774" s="2">
        <f>IF(A4774&lt;&gt;"", VLOOKUP(A4774, imdb_netflix_v5!A$2:H$7370, 4, FALSE), "")</f>
        <v>7.3</v>
      </c>
      <c r="E4774" s="2">
        <f>IF(A4774&lt;&gt;"", VLOOKUP(A4774, imdb_netflix_v5!A$2:H$7370, 5, FALSE), "")</f>
        <v>2015</v>
      </c>
      <c r="F4774" s="2" t="str">
        <f>IF(A4774&lt;&gt;"", VLOOKUP(A4774, imdb_netflix_v5!A$2:H$7370, 7, FALSE), "")</f>
        <v>NA</v>
      </c>
    </row>
    <row r="4775" ht="15.75" customHeight="1">
      <c r="A4775" s="1" t="str">
        <f>IFERROR(__xludf.DUMMYFUNCTION("""COMPUTED_VALUE"""),"the misfortunates")</f>
        <v>the misfortunates</v>
      </c>
      <c r="B4775" s="1" t="str">
        <f>IF(A4775&lt;&gt;"", VLOOKUP(A4775, imdb_netflix_v5!A$2:H$7370, 2, FALSE), "")</f>
        <v>Movie</v>
      </c>
      <c r="C4775" s="2" t="str">
        <f>IF(A4775&lt;&gt;"", VLOOKUP(A4775, imdb_netflix_v5!A$2:H$7370, 3, FALSE), "")</f>
        <v>Comedy, Drama</v>
      </c>
      <c r="D4775" s="2">
        <f>IF(A4775&lt;&gt;"", VLOOKUP(A4775, imdb_netflix_v5!A$2:H$7370, 4, FALSE), "")</f>
        <v>7.3</v>
      </c>
      <c r="E4775" s="2">
        <f>IF(A4775&lt;&gt;"", VLOOKUP(A4775, imdb_netflix_v5!A$2:H$7370, 5, FALSE), "")</f>
        <v>2009</v>
      </c>
      <c r="F4775" s="2" t="str">
        <f>IF(A4775&lt;&gt;"", VLOOKUP(A4775, imdb_netflix_v5!A$2:H$7370, 7, FALSE), "")</f>
        <v>NA</v>
      </c>
    </row>
    <row r="4776" ht="15.75" customHeight="1">
      <c r="A4776" s="1" t="str">
        <f>IFERROR(__xludf.DUMMYFUNCTION("""COMPUTED_VALUE"""),"the spiral staircase")</f>
        <v>the spiral staircase</v>
      </c>
      <c r="B4776" s="1" t="str">
        <f>IF(A4776&lt;&gt;"", VLOOKUP(A4776, imdb_netflix_v5!A$2:H$7370, 2, FALSE), "")</f>
        <v>Movie</v>
      </c>
      <c r="C4776" s="2" t="str">
        <f>IF(A4776&lt;&gt;"", VLOOKUP(A4776, imdb_netflix_v5!A$2:H$7370, 3, FALSE), "")</f>
        <v>Drama, Horror, Mystery</v>
      </c>
      <c r="D4776" s="2">
        <f>IF(A4776&lt;&gt;"", VLOOKUP(A4776, imdb_netflix_v5!A$2:H$7370, 4, FALSE), "")</f>
        <v>7.3</v>
      </c>
      <c r="E4776" s="2">
        <f>IF(A4776&lt;&gt;"", VLOOKUP(A4776, imdb_netflix_v5!A$2:H$7370, 5, FALSE), "")</f>
        <v>1946</v>
      </c>
      <c r="F4776" s="2" t="str">
        <f>IF(A4776&lt;&gt;"", VLOOKUP(A4776, imdb_netflix_v5!A$2:H$7370, 7, FALSE), "")</f>
        <v>NA</v>
      </c>
    </row>
    <row r="4777" ht="15.75" customHeight="1">
      <c r="A4777" s="1" t="str">
        <f>IFERROR(__xludf.DUMMYFUNCTION("""COMPUTED_VALUE"""),"too old to die young")</f>
        <v>too old to die young</v>
      </c>
      <c r="B4777" s="1" t="str">
        <f>IF(A4777&lt;&gt;"", VLOOKUP(A4777, imdb_netflix_v5!A$2:H$7370, 2, FALSE), "")</f>
        <v>TV Show</v>
      </c>
      <c r="C4777" s="2" t="str">
        <f>IF(A4777&lt;&gt;"", VLOOKUP(A4777, imdb_netflix_v5!A$2:H$7370, 3, FALSE), "")</f>
        <v>Crime, Drama, Thriller</v>
      </c>
      <c r="D4777" s="2">
        <f>IF(A4777&lt;&gt;"", VLOOKUP(A4777, imdb_netflix_v5!A$2:H$7370, 4, FALSE), "")</f>
        <v>7.3</v>
      </c>
      <c r="E4777" s="2">
        <f>IF(A4777&lt;&gt;"", VLOOKUP(A4777, imdb_netflix_v5!A$2:H$7370, 5, FALSE), "")</f>
        <v>2019</v>
      </c>
      <c r="F4777" s="2" t="str">
        <f>IF(A4777&lt;&gt;"", VLOOKUP(A4777, imdb_netflix_v5!A$2:H$7370, 7, FALSE), "")</f>
        <v>NA</v>
      </c>
    </row>
    <row r="4778" ht="15.75" customHeight="1">
      <c r="A4778" s="1" t="str">
        <f>IFERROR(__xludf.DUMMYFUNCTION("""COMPUTED_VALUE"""),"the monster")</f>
        <v>the monster</v>
      </c>
      <c r="B4778" s="1" t="str">
        <f>IF(A4778&lt;&gt;"", VLOOKUP(A4778, imdb_netflix_v5!A$2:H$7370, 2, FALSE), "")</f>
        <v>Movie</v>
      </c>
      <c r="C4778" s="2" t="str">
        <f>IF(A4778&lt;&gt;"", VLOOKUP(A4778, imdb_netflix_v5!A$2:H$7370, 3, FALSE), "")</f>
        <v>Comedy, Crime, Mystery</v>
      </c>
      <c r="D4778" s="2">
        <f>IF(A4778&lt;&gt;"", VLOOKUP(A4778, imdb_netflix_v5!A$2:H$7370, 4, FALSE), "")</f>
        <v>7.3</v>
      </c>
      <c r="E4778" s="2">
        <f>IF(A4778&lt;&gt;"", VLOOKUP(A4778, imdb_netflix_v5!A$2:H$7370, 5, FALSE), "")</f>
        <v>1994</v>
      </c>
      <c r="F4778" s="2" t="str">
        <f>IF(A4778&lt;&gt;"", VLOOKUP(A4778, imdb_netflix_v5!A$2:H$7370, 7, FALSE), "")</f>
        <v>NA</v>
      </c>
    </row>
    <row r="4779" ht="15.75" customHeight="1">
      <c r="A4779" s="1" t="str">
        <f>IFERROR(__xludf.DUMMYFUNCTION("""COMPUTED_VALUE"""),"the plot against america")</f>
        <v>the plot against america</v>
      </c>
      <c r="B4779" s="1" t="str">
        <f>IF(A4779&lt;&gt;"", VLOOKUP(A4779, imdb_netflix_v5!A$2:H$7370, 2, FALSE), "")</f>
        <v>TV Show</v>
      </c>
      <c r="C4779" s="2" t="str">
        <f>IF(A4779&lt;&gt;"", VLOOKUP(A4779, imdb_netflix_v5!A$2:H$7370, 3, FALSE), "")</f>
        <v>Drama, Thriller</v>
      </c>
      <c r="D4779" s="2">
        <f>IF(A4779&lt;&gt;"", VLOOKUP(A4779, imdb_netflix_v5!A$2:H$7370, 4, FALSE), "")</f>
        <v>7.3</v>
      </c>
      <c r="E4779" s="2">
        <f>IF(A4779&lt;&gt;"", VLOOKUP(A4779, imdb_netflix_v5!A$2:H$7370, 5, FALSE), "")</f>
        <v>2020</v>
      </c>
      <c r="F4779" s="2" t="str">
        <f>IF(A4779&lt;&gt;"", VLOOKUP(A4779, imdb_netflix_v5!A$2:H$7370, 7, FALSE), "")</f>
        <v>NA</v>
      </c>
    </row>
    <row r="4780" ht="15.75" customHeight="1">
      <c r="A4780" s="1" t="str">
        <f>IFERROR(__xludf.DUMMYFUNCTION("""COMPUTED_VALUE"""),"samantha who?")</f>
        <v>samantha who?</v>
      </c>
      <c r="B4780" s="1" t="str">
        <f>IF(A4780&lt;&gt;"", VLOOKUP(A4780, imdb_netflix_v5!A$2:H$7370, 2, FALSE), "")</f>
        <v>TV Show</v>
      </c>
      <c r="C4780" s="2" t="str">
        <f>IF(A4780&lt;&gt;"", VLOOKUP(A4780, imdb_netflix_v5!A$2:H$7370, 3, FALSE), "")</f>
        <v>Comedy, Mystery, Romance</v>
      </c>
      <c r="D4780" s="2">
        <f>IF(A4780&lt;&gt;"", VLOOKUP(A4780, imdb_netflix_v5!A$2:H$7370, 4, FALSE), "")</f>
        <v>7.3</v>
      </c>
      <c r="E4780" s="2">
        <f>IF(A4780&lt;&gt;"", VLOOKUP(A4780, imdb_netflix_v5!A$2:H$7370, 5, FALSE), "")</f>
        <v>2007</v>
      </c>
      <c r="F4780" s="2" t="str">
        <f>IF(A4780&lt;&gt;"", VLOOKUP(A4780, imdb_netflix_v5!A$2:H$7370, 7, FALSE), "")</f>
        <v>NA</v>
      </c>
    </row>
    <row r="4781" ht="15.75" customHeight="1">
      <c r="A4781" s="1" t="str">
        <f>IFERROR(__xludf.DUMMYFUNCTION("""COMPUTED_VALUE"""),"the snow walker")</f>
        <v>the snow walker</v>
      </c>
      <c r="B4781" s="1" t="str">
        <f>IF(A4781&lt;&gt;"", VLOOKUP(A4781, imdb_netflix_v5!A$2:H$7370, 2, FALSE), "")</f>
        <v>Movie</v>
      </c>
      <c r="C4781" s="2" t="str">
        <f>IF(A4781&lt;&gt;"", VLOOKUP(A4781, imdb_netflix_v5!A$2:H$7370, 3, FALSE), "")</f>
        <v>Adventure, Drama</v>
      </c>
      <c r="D4781" s="2">
        <f>IF(A4781&lt;&gt;"", VLOOKUP(A4781, imdb_netflix_v5!A$2:H$7370, 4, FALSE), "")</f>
        <v>7.3</v>
      </c>
      <c r="E4781" s="2">
        <f>IF(A4781&lt;&gt;"", VLOOKUP(A4781, imdb_netflix_v5!A$2:H$7370, 5, FALSE), "")</f>
        <v>2003</v>
      </c>
      <c r="F4781" s="2" t="str">
        <f>IF(A4781&lt;&gt;"", VLOOKUP(A4781, imdb_netflix_v5!A$2:H$7370, 7, FALSE), "")</f>
        <v>NA</v>
      </c>
    </row>
    <row r="4782" ht="15.75" customHeight="1">
      <c r="A4782" s="1" t="str">
        <f>IFERROR(__xludf.DUMMYFUNCTION("""COMPUTED_VALUE"""),"shogun assassin")</f>
        <v>shogun assassin</v>
      </c>
      <c r="B4782" s="1" t="str">
        <f>IF(A4782&lt;&gt;"", VLOOKUP(A4782, imdb_netflix_v5!A$2:H$7370, 2, FALSE), "")</f>
        <v>Movie</v>
      </c>
      <c r="C4782" s="2" t="str">
        <f>IF(A4782&lt;&gt;"", VLOOKUP(A4782, imdb_netflix_v5!A$2:H$7370, 3, FALSE), "")</f>
        <v>Action, Adventure</v>
      </c>
      <c r="D4782" s="2">
        <f>IF(A4782&lt;&gt;"", VLOOKUP(A4782, imdb_netflix_v5!A$2:H$7370, 4, FALSE), "")</f>
        <v>7.3</v>
      </c>
      <c r="E4782" s="2">
        <f>IF(A4782&lt;&gt;"", VLOOKUP(A4782, imdb_netflix_v5!A$2:H$7370, 5, FALSE), "")</f>
        <v>1980</v>
      </c>
      <c r="F4782" s="2" t="str">
        <f>IF(A4782&lt;&gt;"", VLOOKUP(A4782, imdb_netflix_v5!A$2:H$7370, 7, FALSE), "")</f>
        <v>NA</v>
      </c>
    </row>
    <row r="4783" ht="15.75" customHeight="1">
      <c r="A4783" s="1" t="str">
        <f>IFERROR(__xludf.DUMMYFUNCTION("""COMPUTED_VALUE"""),"bonanza")</f>
        <v>bonanza</v>
      </c>
      <c r="B4783" s="1" t="str">
        <f>IF(A4783&lt;&gt;"", VLOOKUP(A4783, imdb_netflix_v5!A$2:H$7370, 2, FALSE), "")</f>
        <v>TV Show</v>
      </c>
      <c r="C4783" s="2" t="str">
        <f>IF(A4783&lt;&gt;"", VLOOKUP(A4783, imdb_netflix_v5!A$2:H$7370, 3, FALSE), "")</f>
        <v>Western</v>
      </c>
      <c r="D4783" s="2">
        <f>IF(A4783&lt;&gt;"", VLOOKUP(A4783, imdb_netflix_v5!A$2:H$7370, 4, FALSE), "")</f>
        <v>7.3</v>
      </c>
      <c r="E4783" s="2">
        <f>IF(A4783&lt;&gt;"", VLOOKUP(A4783, imdb_netflix_v5!A$2:H$7370, 5, FALSE), "")</f>
        <v>1959</v>
      </c>
      <c r="F4783" s="2" t="str">
        <f>IF(A4783&lt;&gt;"", VLOOKUP(A4783, imdb_netflix_v5!A$2:H$7370, 7, FALSE), "")</f>
        <v>NA</v>
      </c>
    </row>
    <row r="4784" ht="15.75" customHeight="1">
      <c r="A4784" s="1" t="str">
        <f>IFERROR(__xludf.DUMMYFUNCTION("""COMPUTED_VALUE"""),"wolf like me")</f>
        <v>wolf like me</v>
      </c>
      <c r="B4784" s="1" t="str">
        <f>IF(A4784&lt;&gt;"", VLOOKUP(A4784, imdb_netflix_v5!A$2:H$7370, 2, FALSE), "")</f>
        <v>TV Show</v>
      </c>
      <c r="C4784" s="2" t="str">
        <f>IF(A4784&lt;&gt;"", VLOOKUP(A4784, imdb_netflix_v5!A$2:H$7370, 3, FALSE), "")</f>
        <v>Comedy, Drama, Fantasy</v>
      </c>
      <c r="D4784" s="2">
        <f>IF(A4784&lt;&gt;"", VLOOKUP(A4784, imdb_netflix_v5!A$2:H$7370, 4, FALSE), "")</f>
        <v>7.3</v>
      </c>
      <c r="E4784" s="2">
        <f>IF(A4784&lt;&gt;"", VLOOKUP(A4784, imdb_netflix_v5!A$2:H$7370, 5, FALSE), "")</f>
        <v>2022</v>
      </c>
      <c r="F4784" s="2" t="str">
        <f>IF(A4784&lt;&gt;"", VLOOKUP(A4784, imdb_netflix_v5!A$2:H$7370, 7, FALSE), "")</f>
        <v>NA</v>
      </c>
    </row>
    <row r="4785" ht="15.75" customHeight="1">
      <c r="A4785" s="1" t="str">
        <f>IFERROR(__xludf.DUMMYFUNCTION("""COMPUTED_VALUE"""),"ancient apocalypse")</f>
        <v>ancient apocalypse</v>
      </c>
      <c r="B4785" s="1" t="str">
        <f>IF(A4785&lt;&gt;"", VLOOKUP(A4785, imdb_netflix_v5!A$2:H$7370, 2, FALSE), "")</f>
        <v>TV Show</v>
      </c>
      <c r="C4785" s="2" t="str">
        <f>IF(A4785&lt;&gt;"", VLOOKUP(A4785, imdb_netflix_v5!A$2:H$7370, 3, FALSE), "")</f>
        <v>Documentary, History</v>
      </c>
      <c r="D4785" s="2">
        <f>IF(A4785&lt;&gt;"", VLOOKUP(A4785, imdb_netflix_v5!A$2:H$7370, 4, FALSE), "")</f>
        <v>7.3</v>
      </c>
      <c r="E4785" s="2">
        <f>IF(A4785&lt;&gt;"", VLOOKUP(A4785, imdb_netflix_v5!A$2:H$7370, 5, FALSE), "")</f>
        <v>2022</v>
      </c>
      <c r="F4785" s="2">
        <f>IF(A4785&lt;&gt;"", VLOOKUP(A4785, imdb_netflix_v5!A$2:H$7370, 7, FALSE), "")</f>
        <v>24620000</v>
      </c>
    </row>
    <row r="4786" ht="15.75" customHeight="1">
      <c r="A4786" s="1" t="str">
        <f>IFERROR(__xludf.DUMMYFUNCTION("""COMPUTED_VALUE"""),"dont worry, im fine")</f>
        <v>dont worry, im fine</v>
      </c>
      <c r="B4786" s="1" t="str">
        <f>IF(A4786&lt;&gt;"", VLOOKUP(A4786, imdb_netflix_v5!A$2:H$7370, 2, FALSE), "")</f>
        <v>Movie</v>
      </c>
      <c r="C4786" s="2" t="str">
        <f>IF(A4786&lt;&gt;"", VLOOKUP(A4786, imdb_netflix_v5!A$2:H$7370, 3, FALSE), "")</f>
        <v>Drama</v>
      </c>
      <c r="D4786" s="2">
        <f>IF(A4786&lt;&gt;"", VLOOKUP(A4786, imdb_netflix_v5!A$2:H$7370, 4, FALSE), "")</f>
        <v>7.3</v>
      </c>
      <c r="E4786" s="2">
        <f>IF(A4786&lt;&gt;"", VLOOKUP(A4786, imdb_netflix_v5!A$2:H$7370, 5, FALSE), "")</f>
        <v>2006</v>
      </c>
      <c r="F4786" s="2" t="str">
        <f>IF(A4786&lt;&gt;"", VLOOKUP(A4786, imdb_netflix_v5!A$2:H$7370, 7, FALSE), "")</f>
        <v>NA</v>
      </c>
    </row>
    <row r="4787" ht="15.75" customHeight="1">
      <c r="A4787" s="1" t="str">
        <f>IFERROR(__xludf.DUMMYFUNCTION("""COMPUTED_VALUE"""),"the beverly hillbillies")</f>
        <v>the beverly hillbillies</v>
      </c>
      <c r="B4787" s="1" t="str">
        <f>IF(A4787&lt;&gt;"", VLOOKUP(A4787, imdb_netflix_v5!A$2:H$7370, 2, FALSE), "")</f>
        <v>TV Show</v>
      </c>
      <c r="C4787" s="2" t="str">
        <f>IF(A4787&lt;&gt;"", VLOOKUP(A4787, imdb_netflix_v5!A$2:H$7370, 3, FALSE), "")</f>
        <v>Comedy, Family</v>
      </c>
      <c r="D4787" s="2">
        <f>IF(A4787&lt;&gt;"", VLOOKUP(A4787, imdb_netflix_v5!A$2:H$7370, 4, FALSE), "")</f>
        <v>7.3</v>
      </c>
      <c r="E4787" s="2">
        <f>IF(A4787&lt;&gt;"", VLOOKUP(A4787, imdb_netflix_v5!A$2:H$7370, 5, FALSE), "")</f>
        <v>1962</v>
      </c>
      <c r="F4787" s="2" t="str">
        <f>IF(A4787&lt;&gt;"", VLOOKUP(A4787, imdb_netflix_v5!A$2:H$7370, 7, FALSE), "")</f>
        <v>NA</v>
      </c>
    </row>
    <row r="4788" ht="15.75" customHeight="1">
      <c r="A4788" s="1" t="str">
        <f>IFERROR(__xludf.DUMMYFUNCTION("""COMPUTED_VALUE"""),"better than us")</f>
        <v>better than us</v>
      </c>
      <c r="B4788" s="1" t="str">
        <f>IF(A4788&lt;&gt;"", VLOOKUP(A4788, imdb_netflix_v5!A$2:H$7370, 2, FALSE), "")</f>
        <v>TV Show</v>
      </c>
      <c r="C4788" s="2" t="str">
        <f>IF(A4788&lt;&gt;"", VLOOKUP(A4788, imdb_netflix_v5!A$2:H$7370, 3, FALSE), "")</f>
        <v>Drama, Sci-Fi</v>
      </c>
      <c r="D4788" s="2">
        <f>IF(A4788&lt;&gt;"", VLOOKUP(A4788, imdb_netflix_v5!A$2:H$7370, 4, FALSE), "")</f>
        <v>7.3</v>
      </c>
      <c r="E4788" s="2">
        <f>IF(A4788&lt;&gt;"", VLOOKUP(A4788, imdb_netflix_v5!A$2:H$7370, 5, FALSE), "")</f>
        <v>2018</v>
      </c>
      <c r="F4788" s="2" t="str">
        <f>IF(A4788&lt;&gt;"", VLOOKUP(A4788, imdb_netflix_v5!A$2:H$7370, 7, FALSE), "")</f>
        <v>NA</v>
      </c>
    </row>
    <row r="4789" ht="15.75" customHeight="1">
      <c r="A4789" s="1" t="str">
        <f>IFERROR(__xludf.DUMMYFUNCTION("""COMPUTED_VALUE"""),"easter parade")</f>
        <v>easter parade</v>
      </c>
      <c r="B4789" s="1" t="str">
        <f>IF(A4789&lt;&gt;"", VLOOKUP(A4789, imdb_netflix_v5!A$2:H$7370, 2, FALSE), "")</f>
        <v>Movie</v>
      </c>
      <c r="C4789" s="2" t="str">
        <f>IF(A4789&lt;&gt;"", VLOOKUP(A4789, imdb_netflix_v5!A$2:H$7370, 3, FALSE), "")</f>
        <v>Musical, Romance</v>
      </c>
      <c r="D4789" s="2">
        <f>IF(A4789&lt;&gt;"", VLOOKUP(A4789, imdb_netflix_v5!A$2:H$7370, 4, FALSE), "")</f>
        <v>7.3</v>
      </c>
      <c r="E4789" s="2">
        <f>IF(A4789&lt;&gt;"", VLOOKUP(A4789, imdb_netflix_v5!A$2:H$7370, 5, FALSE), "")</f>
        <v>1948</v>
      </c>
      <c r="F4789" s="2" t="str">
        <f>IF(A4789&lt;&gt;"", VLOOKUP(A4789, imdb_netflix_v5!A$2:H$7370, 7, FALSE), "")</f>
        <v>NA</v>
      </c>
    </row>
    <row r="4790" ht="15.75" customHeight="1">
      <c r="A4790" s="1" t="str">
        <f>IFERROR(__xludf.DUMMYFUNCTION("""COMPUTED_VALUE"""),"dollface")</f>
        <v>dollface</v>
      </c>
      <c r="B4790" s="1" t="str">
        <f>IF(A4790&lt;&gt;"", VLOOKUP(A4790, imdb_netflix_v5!A$2:H$7370, 2, FALSE), "")</f>
        <v>TV Show</v>
      </c>
      <c r="C4790" s="2" t="str">
        <f>IF(A4790&lt;&gt;"", VLOOKUP(A4790, imdb_netflix_v5!A$2:H$7370, 3, FALSE), "")</f>
        <v>Comedy</v>
      </c>
      <c r="D4790" s="2">
        <f>IF(A4790&lt;&gt;"", VLOOKUP(A4790, imdb_netflix_v5!A$2:H$7370, 4, FALSE), "")</f>
        <v>7.3</v>
      </c>
      <c r="E4790" s="2">
        <f>IF(A4790&lt;&gt;"", VLOOKUP(A4790, imdb_netflix_v5!A$2:H$7370, 5, FALSE), "")</f>
        <v>2019</v>
      </c>
      <c r="F4790" s="2" t="str">
        <f>IF(A4790&lt;&gt;"", VLOOKUP(A4790, imdb_netflix_v5!A$2:H$7370, 7, FALSE), "")</f>
        <v>NA</v>
      </c>
    </row>
    <row r="4791" ht="15.75" customHeight="1">
      <c r="A4791" s="1" t="str">
        <f>IFERROR(__xludf.DUMMYFUNCTION("""COMPUTED_VALUE"""),"in darkness")</f>
        <v>in darkness</v>
      </c>
      <c r="B4791" s="1" t="str">
        <f>IF(A4791&lt;&gt;"", VLOOKUP(A4791, imdb_netflix_v5!A$2:H$7370, 2, FALSE), "")</f>
        <v>Movie</v>
      </c>
      <c r="C4791" s="2" t="str">
        <f>IF(A4791&lt;&gt;"", VLOOKUP(A4791, imdb_netflix_v5!A$2:H$7370, 3, FALSE), "")</f>
        <v>Drama, War</v>
      </c>
      <c r="D4791" s="2">
        <f>IF(A4791&lt;&gt;"", VLOOKUP(A4791, imdb_netflix_v5!A$2:H$7370, 4, FALSE), "")</f>
        <v>7.3</v>
      </c>
      <c r="E4791" s="2">
        <f>IF(A4791&lt;&gt;"", VLOOKUP(A4791, imdb_netflix_v5!A$2:H$7370, 5, FALSE), "")</f>
        <v>2011</v>
      </c>
      <c r="F4791" s="2" t="str">
        <f>IF(A4791&lt;&gt;"", VLOOKUP(A4791, imdb_netflix_v5!A$2:H$7370, 7, FALSE), "")</f>
        <v>NA</v>
      </c>
    </row>
    <row r="4792" ht="15.75" customHeight="1">
      <c r="A4792" s="1" t="str">
        <f>IFERROR(__xludf.DUMMYFUNCTION("""COMPUTED_VALUE"""),"ishqiya")</f>
        <v>ishqiya</v>
      </c>
      <c r="B4792" s="1" t="str">
        <f>IF(A4792&lt;&gt;"", VLOOKUP(A4792, imdb_netflix_v5!A$2:H$7370, 2, FALSE), "")</f>
        <v>Movie</v>
      </c>
      <c r="C4792" s="2" t="str">
        <f>IF(A4792&lt;&gt;"", VLOOKUP(A4792, imdb_netflix_v5!A$2:H$7370, 3, FALSE), "")</f>
        <v>Comedy, Drama, Romance</v>
      </c>
      <c r="D4792" s="2">
        <f>IF(A4792&lt;&gt;"", VLOOKUP(A4792, imdb_netflix_v5!A$2:H$7370, 4, FALSE), "")</f>
        <v>7.3</v>
      </c>
      <c r="E4792" s="2">
        <f>IF(A4792&lt;&gt;"", VLOOKUP(A4792, imdb_netflix_v5!A$2:H$7370, 5, FALSE), "")</f>
        <v>2010</v>
      </c>
      <c r="F4792" s="2" t="str">
        <f>IF(A4792&lt;&gt;"", VLOOKUP(A4792, imdb_netflix_v5!A$2:H$7370, 7, FALSE), "")</f>
        <v>NA</v>
      </c>
    </row>
    <row r="4793" ht="15.75" customHeight="1">
      <c r="A4793" s="1" t="str">
        <f>IFERROR(__xludf.DUMMYFUNCTION("""COMPUTED_VALUE"""),"gunda")</f>
        <v>gunda</v>
      </c>
      <c r="B4793" s="1" t="str">
        <f>IF(A4793&lt;&gt;"", VLOOKUP(A4793, imdb_netflix_v5!A$2:H$7370, 2, FALSE), "")</f>
        <v>Movie</v>
      </c>
      <c r="C4793" s="2" t="str">
        <f>IF(A4793&lt;&gt;"", VLOOKUP(A4793, imdb_netflix_v5!A$2:H$7370, 3, FALSE), "")</f>
        <v>Action, Comedy, Crime</v>
      </c>
      <c r="D4793" s="2">
        <f>IF(A4793&lt;&gt;"", VLOOKUP(A4793, imdb_netflix_v5!A$2:H$7370, 4, FALSE), "")</f>
        <v>7.3</v>
      </c>
      <c r="E4793" s="2">
        <f>IF(A4793&lt;&gt;"", VLOOKUP(A4793, imdb_netflix_v5!A$2:H$7370, 5, FALSE), "")</f>
        <v>1998</v>
      </c>
      <c r="F4793" s="2" t="str">
        <f>IF(A4793&lt;&gt;"", VLOOKUP(A4793, imdb_netflix_v5!A$2:H$7370, 7, FALSE), "")</f>
        <v>NA</v>
      </c>
    </row>
    <row r="4794" ht="15.75" customHeight="1">
      <c r="A4794" s="1" t="str">
        <f>IFERROR(__xludf.DUMMYFUNCTION("""COMPUTED_VALUE"""),"the beast of war")</f>
        <v>the beast of war</v>
      </c>
      <c r="B4794" s="1" t="str">
        <f>IF(A4794&lt;&gt;"", VLOOKUP(A4794, imdb_netflix_v5!A$2:H$7370, 2, FALSE), "")</f>
        <v>Movie</v>
      </c>
      <c r="C4794" s="2" t="str">
        <f>IF(A4794&lt;&gt;"", VLOOKUP(A4794, imdb_netflix_v5!A$2:H$7370, 3, FALSE), "")</f>
        <v>Adventure, Drama, War</v>
      </c>
      <c r="D4794" s="2">
        <f>IF(A4794&lt;&gt;"", VLOOKUP(A4794, imdb_netflix_v5!A$2:H$7370, 4, FALSE), "")</f>
        <v>7.3</v>
      </c>
      <c r="E4794" s="2">
        <f>IF(A4794&lt;&gt;"", VLOOKUP(A4794, imdb_netflix_v5!A$2:H$7370, 5, FALSE), "")</f>
        <v>1988</v>
      </c>
      <c r="F4794" s="2" t="str">
        <f>IF(A4794&lt;&gt;"", VLOOKUP(A4794, imdb_netflix_v5!A$2:H$7370, 7, FALSE), "")</f>
        <v>NA</v>
      </c>
    </row>
    <row r="4795" ht="15.75" customHeight="1">
      <c r="A4795" s="1" t="str">
        <f>IFERROR(__xludf.DUMMYFUNCTION("""COMPUTED_VALUE"""),"la chèvre")</f>
        <v>la chèvre</v>
      </c>
      <c r="B4795" s="1" t="str">
        <f>IF(A4795&lt;&gt;"", VLOOKUP(A4795, imdb_netflix_v5!A$2:H$7370, 2, FALSE), "")</f>
        <v>Movie</v>
      </c>
      <c r="C4795" s="2" t="str">
        <f>IF(A4795&lt;&gt;"", VLOOKUP(A4795, imdb_netflix_v5!A$2:H$7370, 3, FALSE), "")</f>
        <v>Adventure, Comedy, Crime</v>
      </c>
      <c r="D4795" s="2">
        <f>IF(A4795&lt;&gt;"", VLOOKUP(A4795, imdb_netflix_v5!A$2:H$7370, 4, FALSE), "")</f>
        <v>7.3</v>
      </c>
      <c r="E4795" s="2">
        <f>IF(A4795&lt;&gt;"", VLOOKUP(A4795, imdb_netflix_v5!A$2:H$7370, 5, FALSE), "")</f>
        <v>1981</v>
      </c>
      <c r="F4795" s="2" t="str">
        <f>IF(A4795&lt;&gt;"", VLOOKUP(A4795, imdb_netflix_v5!A$2:H$7370, 7, FALSE), "")</f>
        <v>NA</v>
      </c>
    </row>
    <row r="4796" ht="15.75" customHeight="1">
      <c r="A4796" s="1" t="str">
        <f>IFERROR(__xludf.DUMMYFUNCTION("""COMPUTED_VALUE"""),"vaathi")</f>
        <v>vaathi</v>
      </c>
      <c r="B4796" s="1" t="str">
        <f>IF(A4796&lt;&gt;"", VLOOKUP(A4796, imdb_netflix_v5!A$2:H$7370, 2, FALSE), "")</f>
        <v>Movie</v>
      </c>
      <c r="C4796" s="2" t="str">
        <f>IF(A4796&lt;&gt;"", VLOOKUP(A4796, imdb_netflix_v5!A$2:H$7370, 3, FALSE), "")</f>
        <v>Action, Drama</v>
      </c>
      <c r="D4796" s="2">
        <f>IF(A4796&lt;&gt;"", VLOOKUP(A4796, imdb_netflix_v5!A$2:H$7370, 4, FALSE), "")</f>
        <v>7.3</v>
      </c>
      <c r="E4796" s="2">
        <f>IF(A4796&lt;&gt;"", VLOOKUP(A4796, imdb_netflix_v5!A$2:H$7370, 5, FALSE), "")</f>
        <v>2023</v>
      </c>
      <c r="F4796" s="2">
        <f>IF(A4796&lt;&gt;"", VLOOKUP(A4796, imdb_netflix_v5!A$2:H$7370, 7, FALSE), "")</f>
        <v>2430000</v>
      </c>
    </row>
    <row r="4797" ht="15.75" customHeight="1">
      <c r="A4797" s="1" t="str">
        <f>IFERROR(__xludf.DUMMYFUNCTION("""COMPUTED_VALUE"""),"gangsters paradise jerusalema")</f>
        <v>gangsters paradise jerusalema</v>
      </c>
      <c r="B4797" s="1" t="str">
        <f>IF(A4797&lt;&gt;"", VLOOKUP(A4797, imdb_netflix_v5!A$2:H$7370, 2, FALSE), "")</f>
        <v>Movie</v>
      </c>
      <c r="C4797" s="2" t="str">
        <f>IF(A4797&lt;&gt;"", VLOOKUP(A4797, imdb_netflix_v5!A$2:H$7370, 3, FALSE), "")</f>
        <v>Action, Crime, Drama</v>
      </c>
      <c r="D4797" s="2">
        <f>IF(A4797&lt;&gt;"", VLOOKUP(A4797, imdb_netflix_v5!A$2:H$7370, 4, FALSE), "")</f>
        <v>7.3</v>
      </c>
      <c r="E4797" s="2">
        <f>IF(A4797&lt;&gt;"", VLOOKUP(A4797, imdb_netflix_v5!A$2:H$7370, 5, FALSE), "")</f>
        <v>2008</v>
      </c>
      <c r="F4797" s="2" t="str">
        <f>IF(A4797&lt;&gt;"", VLOOKUP(A4797, imdb_netflix_v5!A$2:H$7370, 7, FALSE), "")</f>
        <v>NA</v>
      </c>
    </row>
    <row r="4798" ht="15.75" customHeight="1">
      <c r="A4798" s="1" t="str">
        <f>IFERROR(__xludf.DUMMYFUNCTION("""COMPUTED_VALUE"""),"shanghai express")</f>
        <v>shanghai express</v>
      </c>
      <c r="B4798" s="1" t="str">
        <f>IF(A4798&lt;&gt;"", VLOOKUP(A4798, imdb_netflix_v5!A$2:H$7370, 2, FALSE), "")</f>
        <v>Movie</v>
      </c>
      <c r="C4798" s="2" t="str">
        <f>IF(A4798&lt;&gt;"", VLOOKUP(A4798, imdb_netflix_v5!A$2:H$7370, 3, FALSE), "")</f>
        <v>Adventure, Drama, Film-Noir</v>
      </c>
      <c r="D4798" s="2">
        <f>IF(A4798&lt;&gt;"", VLOOKUP(A4798, imdb_netflix_v5!A$2:H$7370, 4, FALSE), "")</f>
        <v>7.3</v>
      </c>
      <c r="E4798" s="2">
        <f>IF(A4798&lt;&gt;"", VLOOKUP(A4798, imdb_netflix_v5!A$2:H$7370, 5, FALSE), "")</f>
        <v>1932</v>
      </c>
      <c r="F4798" s="2" t="str">
        <f>IF(A4798&lt;&gt;"", VLOOKUP(A4798, imdb_netflix_v5!A$2:H$7370, 7, FALSE), "")</f>
        <v>NA</v>
      </c>
    </row>
    <row r="4799" ht="15.75" customHeight="1">
      <c r="A4799" s="1" t="str">
        <f>IFERROR(__xludf.DUMMYFUNCTION("""COMPUTED_VALUE"""),"pauline at the beach")</f>
        <v>pauline at the beach</v>
      </c>
      <c r="B4799" s="1" t="str">
        <f>IF(A4799&lt;&gt;"", VLOOKUP(A4799, imdb_netflix_v5!A$2:H$7370, 2, FALSE), "")</f>
        <v>Movie</v>
      </c>
      <c r="C4799" s="2" t="str">
        <f>IF(A4799&lt;&gt;"", VLOOKUP(A4799, imdb_netflix_v5!A$2:H$7370, 3, FALSE), "")</f>
        <v>Comedy, Drama, Romance</v>
      </c>
      <c r="D4799" s="2">
        <f>IF(A4799&lt;&gt;"", VLOOKUP(A4799, imdb_netflix_v5!A$2:H$7370, 4, FALSE), "")</f>
        <v>7.3</v>
      </c>
      <c r="E4799" s="2">
        <f>IF(A4799&lt;&gt;"", VLOOKUP(A4799, imdb_netflix_v5!A$2:H$7370, 5, FALSE), "")</f>
        <v>1983</v>
      </c>
      <c r="F4799" s="2" t="str">
        <f>IF(A4799&lt;&gt;"", VLOOKUP(A4799, imdb_netflix_v5!A$2:H$7370, 7, FALSE), "")</f>
        <v>NA</v>
      </c>
    </row>
    <row r="4800" ht="15.75" customHeight="1">
      <c r="A4800" s="1" t="str">
        <f>IFERROR(__xludf.DUMMYFUNCTION("""COMPUTED_VALUE"""),"dasavatharam")</f>
        <v>dasavatharam</v>
      </c>
      <c r="B4800" s="1" t="str">
        <f>IF(A4800&lt;&gt;"", VLOOKUP(A4800, imdb_netflix_v5!A$2:H$7370, 2, FALSE), "")</f>
        <v>Movie</v>
      </c>
      <c r="C4800" s="2" t="str">
        <f>IF(A4800&lt;&gt;"", VLOOKUP(A4800, imdb_netflix_v5!A$2:H$7370, 3, FALSE), "")</f>
        <v>Action, Adventure, Drama</v>
      </c>
      <c r="D4800" s="2">
        <f>IF(A4800&lt;&gt;"", VLOOKUP(A4800, imdb_netflix_v5!A$2:H$7370, 4, FALSE), "")</f>
        <v>7.3</v>
      </c>
      <c r="E4800" s="2">
        <f>IF(A4800&lt;&gt;"", VLOOKUP(A4800, imdb_netflix_v5!A$2:H$7370, 5, FALSE), "")</f>
        <v>2008</v>
      </c>
      <c r="F4800" s="2" t="str">
        <f>IF(A4800&lt;&gt;"", VLOOKUP(A4800, imdb_netflix_v5!A$2:H$7370, 7, FALSE), "")</f>
        <v>NA</v>
      </c>
    </row>
    <row r="4801" ht="15.75" customHeight="1">
      <c r="A4801" s="1" t="str">
        <f>IFERROR(__xludf.DUMMYFUNCTION("""COMPUTED_VALUE"""),"endless love")</f>
        <v>endless love</v>
      </c>
      <c r="B4801" s="1" t="str">
        <f>IF(A4801&lt;&gt;"", VLOOKUP(A4801, imdb_netflix_v5!A$2:H$7370, 2, FALSE), "")</f>
        <v>TV Show</v>
      </c>
      <c r="C4801" s="2" t="str">
        <f>IF(A4801&lt;&gt;"", VLOOKUP(A4801, imdb_netflix_v5!A$2:H$7370, 3, FALSE), "")</f>
        <v>Drama, Romance</v>
      </c>
      <c r="D4801" s="2">
        <f>IF(A4801&lt;&gt;"", VLOOKUP(A4801, imdb_netflix_v5!A$2:H$7370, 4, FALSE), "")</f>
        <v>7.3</v>
      </c>
      <c r="E4801" s="2">
        <f>IF(A4801&lt;&gt;"", VLOOKUP(A4801, imdb_netflix_v5!A$2:H$7370, 5, FALSE), "")</f>
        <v>2015</v>
      </c>
      <c r="F4801" s="2" t="str">
        <f>IF(A4801&lt;&gt;"", VLOOKUP(A4801, imdb_netflix_v5!A$2:H$7370, 7, FALSE), "")</f>
        <v>NA</v>
      </c>
    </row>
    <row r="4802" ht="15.75" customHeight="1">
      <c r="A4802" s="1" t="str">
        <f>IFERROR(__xludf.DUMMYFUNCTION("""COMPUTED_VALUE"""),"once upon a time in china ii")</f>
        <v>once upon a time in china ii</v>
      </c>
      <c r="B4802" s="1" t="str">
        <f>IF(A4802&lt;&gt;"", VLOOKUP(A4802, imdb_netflix_v5!A$2:H$7370, 2, FALSE), "")</f>
        <v>Movie</v>
      </c>
      <c r="C4802" s="2" t="str">
        <f>IF(A4802&lt;&gt;"", VLOOKUP(A4802, imdb_netflix_v5!A$2:H$7370, 3, FALSE), "")</f>
        <v>Action, Adventure, Biography</v>
      </c>
      <c r="D4802" s="2">
        <f>IF(A4802&lt;&gt;"", VLOOKUP(A4802, imdb_netflix_v5!A$2:H$7370, 4, FALSE), "")</f>
        <v>7.3</v>
      </c>
      <c r="E4802" s="2">
        <f>IF(A4802&lt;&gt;"", VLOOKUP(A4802, imdb_netflix_v5!A$2:H$7370, 5, FALSE), "")</f>
        <v>1992</v>
      </c>
      <c r="F4802" s="2" t="str">
        <f>IF(A4802&lt;&gt;"", VLOOKUP(A4802, imdb_netflix_v5!A$2:H$7370, 7, FALSE), "")</f>
        <v>NA</v>
      </c>
    </row>
    <row r="4803" ht="15.75" customHeight="1">
      <c r="A4803" s="1" t="str">
        <f>IFERROR(__xludf.DUMMYFUNCTION("""COMPUTED_VALUE"""),"taxi no. 9 2 11 nau do gyarah")</f>
        <v>taxi no. 9 2 11 nau do gyarah</v>
      </c>
      <c r="B4803" s="1" t="str">
        <f>IF(A4803&lt;&gt;"", VLOOKUP(A4803, imdb_netflix_v5!A$2:H$7370, 2, FALSE), "")</f>
        <v>Movie</v>
      </c>
      <c r="C4803" s="2" t="str">
        <f>IF(A4803&lt;&gt;"", VLOOKUP(A4803, imdb_netflix_v5!A$2:H$7370, 3, FALSE), "")</f>
        <v>Comedy, Drama, Thriller</v>
      </c>
      <c r="D4803" s="2">
        <f>IF(A4803&lt;&gt;"", VLOOKUP(A4803, imdb_netflix_v5!A$2:H$7370, 4, FALSE), "")</f>
        <v>7.3</v>
      </c>
      <c r="E4803" s="2">
        <f>IF(A4803&lt;&gt;"", VLOOKUP(A4803, imdb_netflix_v5!A$2:H$7370, 5, FALSE), "")</f>
        <v>2006</v>
      </c>
      <c r="F4803" s="2" t="str">
        <f>IF(A4803&lt;&gt;"", VLOOKUP(A4803, imdb_netflix_v5!A$2:H$7370, 7, FALSE), "")</f>
        <v>NA</v>
      </c>
    </row>
    <row r="4804" ht="15.75" customHeight="1">
      <c r="A4804" s="1" t="str">
        <f>IFERROR(__xludf.DUMMYFUNCTION("""COMPUTED_VALUE"""),"hilary and jackie")</f>
        <v>hilary and jackie</v>
      </c>
      <c r="B4804" s="1" t="str">
        <f>IF(A4804&lt;&gt;"", VLOOKUP(A4804, imdb_netflix_v5!A$2:H$7370, 2, FALSE), "")</f>
        <v>Movie</v>
      </c>
      <c r="C4804" s="2" t="str">
        <f>IF(A4804&lt;&gt;"", VLOOKUP(A4804, imdb_netflix_v5!A$2:H$7370, 3, FALSE), "")</f>
        <v>Biography, Drama, Music</v>
      </c>
      <c r="D4804" s="2">
        <f>IF(A4804&lt;&gt;"", VLOOKUP(A4804, imdb_netflix_v5!A$2:H$7370, 4, FALSE), "")</f>
        <v>7.3</v>
      </c>
      <c r="E4804" s="2">
        <f>IF(A4804&lt;&gt;"", VLOOKUP(A4804, imdb_netflix_v5!A$2:H$7370, 5, FALSE), "")</f>
        <v>1998</v>
      </c>
      <c r="F4804" s="2" t="str">
        <f>IF(A4804&lt;&gt;"", VLOOKUP(A4804, imdb_netflix_v5!A$2:H$7370, 7, FALSE), "")</f>
        <v>NA</v>
      </c>
    </row>
    <row r="4805" ht="15.75" customHeight="1">
      <c r="A4805" s="1" t="str">
        <f>IFERROR(__xludf.DUMMYFUNCTION("""COMPUTED_VALUE"""),"ragtime")</f>
        <v>ragtime</v>
      </c>
      <c r="B4805" s="1" t="str">
        <f>IF(A4805&lt;&gt;"", VLOOKUP(A4805, imdb_netflix_v5!A$2:H$7370, 2, FALSE), "")</f>
        <v>Movie</v>
      </c>
      <c r="C4805" s="2" t="str">
        <f>IF(A4805&lt;&gt;"", VLOOKUP(A4805, imdb_netflix_v5!A$2:H$7370, 3, FALSE), "")</f>
        <v>Drama</v>
      </c>
      <c r="D4805" s="2">
        <f>IF(A4805&lt;&gt;"", VLOOKUP(A4805, imdb_netflix_v5!A$2:H$7370, 4, FALSE), "")</f>
        <v>7.3</v>
      </c>
      <c r="E4805" s="2">
        <f>IF(A4805&lt;&gt;"", VLOOKUP(A4805, imdb_netflix_v5!A$2:H$7370, 5, FALSE), "")</f>
        <v>1981</v>
      </c>
      <c r="F4805" s="2" t="str">
        <f>IF(A4805&lt;&gt;"", VLOOKUP(A4805, imdb_netflix_v5!A$2:H$7370, 7, FALSE), "")</f>
        <v>NA</v>
      </c>
    </row>
    <row r="4806" ht="15.75" customHeight="1">
      <c r="A4806" s="1" t="str">
        <f>IFERROR(__xludf.DUMMYFUNCTION("""COMPUTED_VALUE"""),"the man who fell to earth")</f>
        <v>the man who fell to earth</v>
      </c>
      <c r="B4806" s="1" t="str">
        <f>IF(A4806&lt;&gt;"", VLOOKUP(A4806, imdb_netflix_v5!A$2:H$7370, 2, FALSE), "")</f>
        <v>TV Show</v>
      </c>
      <c r="C4806" s="2" t="str">
        <f>IF(A4806&lt;&gt;"", VLOOKUP(A4806, imdb_netflix_v5!A$2:H$7370, 3, FALSE), "")</f>
        <v>Drama, Sci-Fi</v>
      </c>
      <c r="D4806" s="2">
        <f>IF(A4806&lt;&gt;"", VLOOKUP(A4806, imdb_netflix_v5!A$2:H$7370, 4, FALSE), "")</f>
        <v>7.3</v>
      </c>
      <c r="E4806" s="2">
        <f>IF(A4806&lt;&gt;"", VLOOKUP(A4806, imdb_netflix_v5!A$2:H$7370, 5, FALSE), "")</f>
        <v>2022</v>
      </c>
      <c r="F4806" s="2" t="str">
        <f>IF(A4806&lt;&gt;"", VLOOKUP(A4806, imdb_netflix_v5!A$2:H$7370, 7, FALSE), "")</f>
        <v>NA</v>
      </c>
    </row>
    <row r="4807" ht="15.75" customHeight="1">
      <c r="A4807" s="1" t="str">
        <f>IFERROR(__xludf.DUMMYFUNCTION("""COMPUTED_VALUE"""),"we are the nobles")</f>
        <v>we are the nobles</v>
      </c>
      <c r="B4807" s="1" t="str">
        <f>IF(A4807&lt;&gt;"", VLOOKUP(A4807, imdb_netflix_v5!A$2:H$7370, 2, FALSE), "")</f>
        <v>Movie</v>
      </c>
      <c r="C4807" s="2" t="str">
        <f>IF(A4807&lt;&gt;"", VLOOKUP(A4807, imdb_netflix_v5!A$2:H$7370, 3, FALSE), "")</f>
        <v>Comedy</v>
      </c>
      <c r="D4807" s="2">
        <f>IF(A4807&lt;&gt;"", VLOOKUP(A4807, imdb_netflix_v5!A$2:H$7370, 4, FALSE), "")</f>
        <v>7.3</v>
      </c>
      <c r="E4807" s="2">
        <f>IF(A4807&lt;&gt;"", VLOOKUP(A4807, imdb_netflix_v5!A$2:H$7370, 5, FALSE), "")</f>
        <v>2013</v>
      </c>
      <c r="F4807" s="2" t="str">
        <f>IF(A4807&lt;&gt;"", VLOOKUP(A4807, imdb_netflix_v5!A$2:H$7370, 7, FALSE), "")</f>
        <v>NA</v>
      </c>
    </row>
    <row r="4808" ht="15.75" customHeight="1">
      <c r="A4808" s="1" t="str">
        <f>IFERROR(__xludf.DUMMYFUNCTION("""COMPUTED_VALUE"""),"my favorite year")</f>
        <v>my favorite year</v>
      </c>
      <c r="B4808" s="1" t="str">
        <f>IF(A4808&lt;&gt;"", VLOOKUP(A4808, imdb_netflix_v5!A$2:H$7370, 2, FALSE), "")</f>
        <v>Movie</v>
      </c>
      <c r="C4808" s="2" t="str">
        <f>IF(A4808&lt;&gt;"", VLOOKUP(A4808, imdb_netflix_v5!A$2:H$7370, 3, FALSE), "")</f>
        <v>Comedy, Drama</v>
      </c>
      <c r="D4808" s="2">
        <f>IF(A4808&lt;&gt;"", VLOOKUP(A4808, imdb_netflix_v5!A$2:H$7370, 4, FALSE), "")</f>
        <v>7.3</v>
      </c>
      <c r="E4808" s="2">
        <f>IF(A4808&lt;&gt;"", VLOOKUP(A4808, imdb_netflix_v5!A$2:H$7370, 5, FALSE), "")</f>
        <v>1982</v>
      </c>
      <c r="F4808" s="2" t="str">
        <f>IF(A4808&lt;&gt;"", VLOOKUP(A4808, imdb_netflix_v5!A$2:H$7370, 7, FALSE), "")</f>
        <v>NA</v>
      </c>
    </row>
    <row r="4809" ht="15.75" customHeight="1">
      <c r="A4809" s="1" t="str">
        <f>IFERROR(__xludf.DUMMYFUNCTION("""COMPUTED_VALUE"""),"bread and tulips")</f>
        <v>bread and tulips</v>
      </c>
      <c r="B4809" s="1" t="str">
        <f>IF(A4809&lt;&gt;"", VLOOKUP(A4809, imdb_netflix_v5!A$2:H$7370, 2, FALSE), "")</f>
        <v>Movie</v>
      </c>
      <c r="C4809" s="2" t="str">
        <f>IF(A4809&lt;&gt;"", VLOOKUP(A4809, imdb_netflix_v5!A$2:H$7370, 3, FALSE), "")</f>
        <v>Comedy, Romance</v>
      </c>
      <c r="D4809" s="2">
        <f>IF(A4809&lt;&gt;"", VLOOKUP(A4809, imdb_netflix_v5!A$2:H$7370, 4, FALSE), "")</f>
        <v>7.3</v>
      </c>
      <c r="E4809" s="2">
        <f>IF(A4809&lt;&gt;"", VLOOKUP(A4809, imdb_netflix_v5!A$2:H$7370, 5, FALSE), "")</f>
        <v>2000</v>
      </c>
      <c r="F4809" s="2" t="str">
        <f>IF(A4809&lt;&gt;"", VLOOKUP(A4809, imdb_netflix_v5!A$2:H$7370, 7, FALSE), "")</f>
        <v>NA</v>
      </c>
    </row>
    <row r="4810" ht="15.75" customHeight="1">
      <c r="A4810" s="1" t="str">
        <f>IFERROR(__xludf.DUMMYFUNCTION("""COMPUTED_VALUE"""),"divines")</f>
        <v>divines</v>
      </c>
      <c r="B4810" s="1" t="str">
        <f>IF(A4810&lt;&gt;"", VLOOKUP(A4810, imdb_netflix_v5!A$2:H$7370, 2, FALSE), "")</f>
        <v>Movie</v>
      </c>
      <c r="C4810" s="2" t="str">
        <f>IF(A4810&lt;&gt;"", VLOOKUP(A4810, imdb_netflix_v5!A$2:H$7370, 3, FALSE), "")</f>
        <v>Crime, Drama</v>
      </c>
      <c r="D4810" s="2">
        <f>IF(A4810&lt;&gt;"", VLOOKUP(A4810, imdb_netflix_v5!A$2:H$7370, 4, FALSE), "")</f>
        <v>7.3</v>
      </c>
      <c r="E4810" s="2">
        <f>IF(A4810&lt;&gt;"", VLOOKUP(A4810, imdb_netflix_v5!A$2:H$7370, 5, FALSE), "")</f>
        <v>2016</v>
      </c>
      <c r="F4810" s="2" t="str">
        <f>IF(A4810&lt;&gt;"", VLOOKUP(A4810, imdb_netflix_v5!A$2:H$7370, 7, FALSE), "")</f>
        <v>NA</v>
      </c>
    </row>
    <row r="4811" ht="15.75" customHeight="1">
      <c r="A4811" s="1" t="str">
        <f>IFERROR(__xludf.DUMMYFUNCTION("""COMPUTED_VALUE"""),"in harms way")</f>
        <v>in harms way</v>
      </c>
      <c r="B4811" s="1" t="str">
        <f>IF(A4811&lt;&gt;"", VLOOKUP(A4811, imdb_netflix_v5!A$2:H$7370, 2, FALSE), "")</f>
        <v>Movie</v>
      </c>
      <c r="C4811" s="2" t="str">
        <f>IF(A4811&lt;&gt;"", VLOOKUP(A4811, imdb_netflix_v5!A$2:H$7370, 3, FALSE), "")</f>
        <v>Drama, Romance, War</v>
      </c>
      <c r="D4811" s="2">
        <f>IF(A4811&lt;&gt;"", VLOOKUP(A4811, imdb_netflix_v5!A$2:H$7370, 4, FALSE), "")</f>
        <v>7.3</v>
      </c>
      <c r="E4811" s="2">
        <f>IF(A4811&lt;&gt;"", VLOOKUP(A4811, imdb_netflix_v5!A$2:H$7370, 5, FALSE), "")</f>
        <v>1965</v>
      </c>
      <c r="F4811" s="2" t="str">
        <f>IF(A4811&lt;&gt;"", VLOOKUP(A4811, imdb_netflix_v5!A$2:H$7370, 7, FALSE), "")</f>
        <v>NA</v>
      </c>
    </row>
    <row r="4812" ht="15.75" customHeight="1">
      <c r="A4812" s="1" t="str">
        <f>IFERROR(__xludf.DUMMYFUNCTION("""COMPUTED_VALUE"""),"jane by design")</f>
        <v>jane by design</v>
      </c>
      <c r="B4812" s="1" t="str">
        <f>IF(A4812&lt;&gt;"", VLOOKUP(A4812, imdb_netflix_v5!A$2:H$7370, 2, FALSE), "")</f>
        <v>TV Show</v>
      </c>
      <c r="C4812" s="2" t="str">
        <f>IF(A4812&lt;&gt;"", VLOOKUP(A4812, imdb_netflix_v5!A$2:H$7370, 3, FALSE), "")</f>
        <v>Comedy, Drama</v>
      </c>
      <c r="D4812" s="2">
        <f>IF(A4812&lt;&gt;"", VLOOKUP(A4812, imdb_netflix_v5!A$2:H$7370, 4, FALSE), "")</f>
        <v>7.3</v>
      </c>
      <c r="E4812" s="2">
        <f>IF(A4812&lt;&gt;"", VLOOKUP(A4812, imdb_netflix_v5!A$2:H$7370, 5, FALSE), "")</f>
        <v>2012</v>
      </c>
      <c r="F4812" s="2" t="str">
        <f>IF(A4812&lt;&gt;"", VLOOKUP(A4812, imdb_netflix_v5!A$2:H$7370, 7, FALSE), "")</f>
        <v>NA</v>
      </c>
    </row>
    <row r="4813" ht="15.75" customHeight="1">
      <c r="A4813" s="1" t="str">
        <f>IFERROR(__xludf.DUMMYFUNCTION("""COMPUTED_VALUE"""),"the body snatcher")</f>
        <v>the body snatcher</v>
      </c>
      <c r="B4813" s="1" t="str">
        <f>IF(A4813&lt;&gt;"", VLOOKUP(A4813, imdb_netflix_v5!A$2:H$7370, 2, FALSE), "")</f>
        <v>Movie</v>
      </c>
      <c r="C4813" s="2" t="str">
        <f>IF(A4813&lt;&gt;"", VLOOKUP(A4813, imdb_netflix_v5!A$2:H$7370, 3, FALSE), "")</f>
        <v>Horror, Thriller</v>
      </c>
      <c r="D4813" s="2">
        <f>IF(A4813&lt;&gt;"", VLOOKUP(A4813, imdb_netflix_v5!A$2:H$7370, 4, FALSE), "")</f>
        <v>7.3</v>
      </c>
      <c r="E4813" s="2">
        <f>IF(A4813&lt;&gt;"", VLOOKUP(A4813, imdb_netflix_v5!A$2:H$7370, 5, FALSE), "")</f>
        <v>1945</v>
      </c>
      <c r="F4813" s="2" t="str">
        <f>IF(A4813&lt;&gt;"", VLOOKUP(A4813, imdb_netflix_v5!A$2:H$7370, 7, FALSE), "")</f>
        <v>NA</v>
      </c>
    </row>
    <row r="4814" ht="15.75" customHeight="1">
      <c r="A4814" s="1" t="str">
        <f>IFERROR(__xludf.DUMMYFUNCTION("""COMPUTED_VALUE"""),"mardaani 2")</f>
        <v>mardaani 2</v>
      </c>
      <c r="B4814" s="1" t="str">
        <f>IF(A4814&lt;&gt;"", VLOOKUP(A4814, imdb_netflix_v5!A$2:H$7370, 2, FALSE), "")</f>
        <v>Movie</v>
      </c>
      <c r="C4814" s="2" t="str">
        <f>IF(A4814&lt;&gt;"", VLOOKUP(A4814, imdb_netflix_v5!A$2:H$7370, 3, FALSE), "")</f>
        <v>Action, Crime, Drama</v>
      </c>
      <c r="D4814" s="2">
        <f>IF(A4814&lt;&gt;"", VLOOKUP(A4814, imdb_netflix_v5!A$2:H$7370, 4, FALSE), "")</f>
        <v>7.3</v>
      </c>
      <c r="E4814" s="2">
        <f>IF(A4814&lt;&gt;"", VLOOKUP(A4814, imdb_netflix_v5!A$2:H$7370, 5, FALSE), "")</f>
        <v>2019</v>
      </c>
      <c r="F4814" s="2" t="str">
        <f>IF(A4814&lt;&gt;"", VLOOKUP(A4814, imdb_netflix_v5!A$2:H$7370, 7, FALSE), "")</f>
        <v>NA</v>
      </c>
    </row>
    <row r="4815" ht="15.75" customHeight="1">
      <c r="A4815" s="1" t="str">
        <f>IFERROR(__xludf.DUMMYFUNCTION("""COMPUTED_VALUE"""),"bunny lake is missing")</f>
        <v>bunny lake is missing</v>
      </c>
      <c r="B4815" s="1" t="str">
        <f>IF(A4815&lt;&gt;"", VLOOKUP(A4815, imdb_netflix_v5!A$2:H$7370, 2, FALSE), "")</f>
        <v>Movie</v>
      </c>
      <c r="C4815" s="2" t="str">
        <f>IF(A4815&lt;&gt;"", VLOOKUP(A4815, imdb_netflix_v5!A$2:H$7370, 3, FALSE), "")</f>
        <v>Drama, Mystery, Thriller</v>
      </c>
      <c r="D4815" s="2">
        <f>IF(A4815&lt;&gt;"", VLOOKUP(A4815, imdb_netflix_v5!A$2:H$7370, 4, FALSE), "")</f>
        <v>7.3</v>
      </c>
      <c r="E4815" s="2">
        <f>IF(A4815&lt;&gt;"", VLOOKUP(A4815, imdb_netflix_v5!A$2:H$7370, 5, FALSE), "")</f>
        <v>1965</v>
      </c>
      <c r="F4815" s="2" t="str">
        <f>IF(A4815&lt;&gt;"", VLOOKUP(A4815, imdb_netflix_v5!A$2:H$7370, 7, FALSE), "")</f>
        <v>NA</v>
      </c>
    </row>
    <row r="4816" ht="15.75" customHeight="1">
      <c r="A4816" s="1" t="str">
        <f>IFERROR(__xludf.DUMMYFUNCTION("""COMPUTED_VALUE"""),"bully")</f>
        <v>bully</v>
      </c>
      <c r="B4816" s="1" t="str">
        <f>IF(A4816&lt;&gt;"", VLOOKUP(A4816, imdb_netflix_v5!A$2:H$7370, 2, FALSE), "")</f>
        <v>Movie</v>
      </c>
      <c r="C4816" s="2" t="str">
        <f>IF(A4816&lt;&gt;"", VLOOKUP(A4816, imdb_netflix_v5!A$2:H$7370, 3, FALSE), "")</f>
        <v>Documentary</v>
      </c>
      <c r="D4816" s="2">
        <f>IF(A4816&lt;&gt;"", VLOOKUP(A4816, imdb_netflix_v5!A$2:H$7370, 4, FALSE), "")</f>
        <v>7.3</v>
      </c>
      <c r="E4816" s="2">
        <f>IF(A4816&lt;&gt;"", VLOOKUP(A4816, imdb_netflix_v5!A$2:H$7370, 5, FALSE), "")</f>
        <v>2011</v>
      </c>
      <c r="F4816" s="2" t="str">
        <f>IF(A4816&lt;&gt;"", VLOOKUP(A4816, imdb_netflix_v5!A$2:H$7370, 7, FALSE), "")</f>
        <v>NA</v>
      </c>
    </row>
    <row r="4817" ht="15.75" customHeight="1">
      <c r="A4817" s="1" t="str">
        <f>IFERROR(__xludf.DUMMYFUNCTION("""COMPUTED_VALUE"""),"baptiste")</f>
        <v>baptiste</v>
      </c>
      <c r="B4817" s="1" t="str">
        <f>IF(A4817&lt;&gt;"", VLOOKUP(A4817, imdb_netflix_v5!A$2:H$7370, 2, FALSE), "")</f>
        <v>TV Show</v>
      </c>
      <c r="C4817" s="2" t="str">
        <f>IF(A4817&lt;&gt;"", VLOOKUP(A4817, imdb_netflix_v5!A$2:H$7370, 3, FALSE), "")</f>
        <v>Crime, Drama, Thriller</v>
      </c>
      <c r="D4817" s="2">
        <f>IF(A4817&lt;&gt;"", VLOOKUP(A4817, imdb_netflix_v5!A$2:H$7370, 4, FALSE), "")</f>
        <v>7.3</v>
      </c>
      <c r="E4817" s="2">
        <f>IF(A4817&lt;&gt;"", VLOOKUP(A4817, imdb_netflix_v5!A$2:H$7370, 5, FALSE), "")</f>
        <v>2019</v>
      </c>
      <c r="F4817" s="2" t="str">
        <f>IF(A4817&lt;&gt;"", VLOOKUP(A4817, imdb_netflix_v5!A$2:H$7370, 7, FALSE), "")</f>
        <v>NA</v>
      </c>
    </row>
    <row r="4818" ht="15.75" customHeight="1">
      <c r="A4818" s="1" t="str">
        <f>IFERROR(__xludf.DUMMYFUNCTION("""COMPUTED_VALUE"""),"batman the brave and the bold")</f>
        <v>batman the brave and the bold</v>
      </c>
      <c r="B4818" s="1" t="str">
        <f>IF(A4818&lt;&gt;"", VLOOKUP(A4818, imdb_netflix_v5!A$2:H$7370, 2, FALSE), "")</f>
        <v>TV Show</v>
      </c>
      <c r="C4818" s="2" t="str">
        <f>IF(A4818&lt;&gt;"", VLOOKUP(A4818, imdb_netflix_v5!A$2:H$7370, 3, FALSE), "")</f>
        <v>Action, Adventure, Animation</v>
      </c>
      <c r="D4818" s="2">
        <f>IF(A4818&lt;&gt;"", VLOOKUP(A4818, imdb_netflix_v5!A$2:H$7370, 4, FALSE), "")</f>
        <v>7.3</v>
      </c>
      <c r="E4818" s="2">
        <f>IF(A4818&lt;&gt;"", VLOOKUP(A4818, imdb_netflix_v5!A$2:H$7370, 5, FALSE), "")</f>
        <v>2008</v>
      </c>
      <c r="F4818" s="2" t="str">
        <f>IF(A4818&lt;&gt;"", VLOOKUP(A4818, imdb_netflix_v5!A$2:H$7370, 7, FALSE), "")</f>
        <v>NA</v>
      </c>
    </row>
    <row r="4819" ht="15.75" customHeight="1">
      <c r="A4819" s="1" t="str">
        <f>IFERROR(__xludf.DUMMYFUNCTION("""COMPUTED_VALUE"""),"yennai arindhaal")</f>
        <v>yennai arindhaal</v>
      </c>
      <c r="B4819" s="1" t="str">
        <f>IF(A4819&lt;&gt;"", VLOOKUP(A4819, imdb_netflix_v5!A$2:H$7370, 2, FALSE), "")</f>
        <v>Movie</v>
      </c>
      <c r="C4819" s="2" t="str">
        <f>IF(A4819&lt;&gt;"", VLOOKUP(A4819, imdb_netflix_v5!A$2:H$7370, 3, FALSE), "")</f>
        <v>Action, Crime, Drama</v>
      </c>
      <c r="D4819" s="2">
        <f>IF(A4819&lt;&gt;"", VLOOKUP(A4819, imdb_netflix_v5!A$2:H$7370, 4, FALSE), "")</f>
        <v>7.3</v>
      </c>
      <c r="E4819" s="2">
        <f>IF(A4819&lt;&gt;"", VLOOKUP(A4819, imdb_netflix_v5!A$2:H$7370, 5, FALSE), "")</f>
        <v>2015</v>
      </c>
      <c r="F4819" s="2" t="str">
        <f>IF(A4819&lt;&gt;"", VLOOKUP(A4819, imdb_netflix_v5!A$2:H$7370, 7, FALSE), "")</f>
        <v>NA</v>
      </c>
    </row>
    <row r="4820" ht="15.75" customHeight="1">
      <c r="A4820" s="1" t="str">
        <f>IFERROR(__xludf.DUMMYFUNCTION("""COMPUTED_VALUE"""),"patema inverted")</f>
        <v>patema inverted</v>
      </c>
      <c r="B4820" s="1" t="str">
        <f>IF(A4820&lt;&gt;"", VLOOKUP(A4820, imdb_netflix_v5!A$2:H$7370, 2, FALSE), "")</f>
        <v>Movie</v>
      </c>
      <c r="C4820" s="2" t="str">
        <f>IF(A4820&lt;&gt;"", VLOOKUP(A4820, imdb_netflix_v5!A$2:H$7370, 3, FALSE), "")</f>
        <v>Adventure, Animation, Drama</v>
      </c>
      <c r="D4820" s="2">
        <f>IF(A4820&lt;&gt;"", VLOOKUP(A4820, imdb_netflix_v5!A$2:H$7370, 4, FALSE), "")</f>
        <v>7.3</v>
      </c>
      <c r="E4820" s="2">
        <f>IF(A4820&lt;&gt;"", VLOOKUP(A4820, imdb_netflix_v5!A$2:H$7370, 5, FALSE), "")</f>
        <v>2013</v>
      </c>
      <c r="F4820" s="2" t="str">
        <f>IF(A4820&lt;&gt;"", VLOOKUP(A4820, imdb_netflix_v5!A$2:H$7370, 7, FALSE), "")</f>
        <v>NA</v>
      </c>
    </row>
    <row r="4821" ht="15.75" customHeight="1">
      <c r="A4821" s="1" t="str">
        <f>IFERROR(__xludf.DUMMYFUNCTION("""COMPUTED_VALUE"""),"dogfight")</f>
        <v>dogfight</v>
      </c>
      <c r="B4821" s="1" t="str">
        <f>IF(A4821&lt;&gt;"", VLOOKUP(A4821, imdb_netflix_v5!A$2:H$7370, 2, FALSE), "")</f>
        <v>Movie</v>
      </c>
      <c r="C4821" s="2" t="str">
        <f>IF(A4821&lt;&gt;"", VLOOKUP(A4821, imdb_netflix_v5!A$2:H$7370, 3, FALSE), "")</f>
        <v>Comedy, Drama, Romance</v>
      </c>
      <c r="D4821" s="2">
        <f>IF(A4821&lt;&gt;"", VLOOKUP(A4821, imdb_netflix_v5!A$2:H$7370, 4, FALSE), "")</f>
        <v>7.3</v>
      </c>
      <c r="E4821" s="2">
        <f>IF(A4821&lt;&gt;"", VLOOKUP(A4821, imdb_netflix_v5!A$2:H$7370, 5, FALSE), "")</f>
        <v>1991</v>
      </c>
      <c r="F4821" s="2" t="str">
        <f>IF(A4821&lt;&gt;"", VLOOKUP(A4821, imdb_netflix_v5!A$2:H$7370, 7, FALSE), "")</f>
        <v>NA</v>
      </c>
    </row>
    <row r="4822" ht="15.75" customHeight="1">
      <c r="A4822" s="1" t="str">
        <f>IFERROR(__xludf.DUMMYFUNCTION("""COMPUTED_VALUE"""),"mrs. chatterjee vs. norway")</f>
        <v>mrs. chatterjee vs. norway</v>
      </c>
      <c r="B4822" s="1" t="str">
        <f>IF(A4822&lt;&gt;"", VLOOKUP(A4822, imdb_netflix_v5!A$2:H$7370, 2, FALSE), "")</f>
        <v>Movie</v>
      </c>
      <c r="C4822" s="2" t="str">
        <f>IF(A4822&lt;&gt;"", VLOOKUP(A4822, imdb_netflix_v5!A$2:H$7370, 3, FALSE), "")</f>
        <v>Biography, Drama</v>
      </c>
      <c r="D4822" s="2">
        <f>IF(A4822&lt;&gt;"", VLOOKUP(A4822, imdb_netflix_v5!A$2:H$7370, 4, FALSE), "")</f>
        <v>7.3</v>
      </c>
      <c r="E4822" s="2">
        <f>IF(A4822&lt;&gt;"", VLOOKUP(A4822, imdb_netflix_v5!A$2:H$7370, 5, FALSE), "")</f>
        <v>2023</v>
      </c>
      <c r="F4822" s="2" t="str">
        <f>IF(A4822&lt;&gt;"", VLOOKUP(A4822, imdb_netflix_v5!A$2:H$7370, 7, FALSE), "")</f>
        <v>NA</v>
      </c>
    </row>
    <row r="4823" ht="15.75" customHeight="1">
      <c r="A4823" s="1" t="str">
        <f>IFERROR(__xludf.DUMMYFUNCTION("""COMPUTED_VALUE"""),"dear comrade")</f>
        <v>dear comrade</v>
      </c>
      <c r="B4823" s="1" t="str">
        <f>IF(A4823&lt;&gt;"", VLOOKUP(A4823, imdb_netflix_v5!A$2:H$7370, 2, FALSE), "")</f>
        <v>Movie</v>
      </c>
      <c r="C4823" s="2" t="str">
        <f>IF(A4823&lt;&gt;"", VLOOKUP(A4823, imdb_netflix_v5!A$2:H$7370, 3, FALSE), "")</f>
        <v>Action, Drama, Romance</v>
      </c>
      <c r="D4823" s="2">
        <f>IF(A4823&lt;&gt;"", VLOOKUP(A4823, imdb_netflix_v5!A$2:H$7370, 4, FALSE), "")</f>
        <v>7.3</v>
      </c>
      <c r="E4823" s="2">
        <f>IF(A4823&lt;&gt;"", VLOOKUP(A4823, imdb_netflix_v5!A$2:H$7370, 5, FALSE), "")</f>
        <v>2019</v>
      </c>
      <c r="F4823" s="2" t="str">
        <f>IF(A4823&lt;&gt;"", VLOOKUP(A4823, imdb_netflix_v5!A$2:H$7370, 7, FALSE), "")</f>
        <v>NA</v>
      </c>
    </row>
    <row r="4824" ht="15.75" customHeight="1">
      <c r="A4824" s="1" t="str">
        <f>IFERROR(__xludf.DUMMYFUNCTION("""COMPUTED_VALUE"""),"nil by mouth")</f>
        <v>nil by mouth</v>
      </c>
      <c r="B4824" s="1" t="str">
        <f>IF(A4824&lt;&gt;"", VLOOKUP(A4824, imdb_netflix_v5!A$2:H$7370, 2, FALSE), "")</f>
        <v>Movie</v>
      </c>
      <c r="C4824" s="2" t="str">
        <f>IF(A4824&lt;&gt;"", VLOOKUP(A4824, imdb_netflix_v5!A$2:H$7370, 3, FALSE), "")</f>
        <v>Drama</v>
      </c>
      <c r="D4824" s="2">
        <f>IF(A4824&lt;&gt;"", VLOOKUP(A4824, imdb_netflix_v5!A$2:H$7370, 4, FALSE), "")</f>
        <v>7.3</v>
      </c>
      <c r="E4824" s="2">
        <f>IF(A4824&lt;&gt;"", VLOOKUP(A4824, imdb_netflix_v5!A$2:H$7370, 5, FALSE), "")</f>
        <v>1997</v>
      </c>
      <c r="F4824" s="2" t="str">
        <f>IF(A4824&lt;&gt;"", VLOOKUP(A4824, imdb_netflix_v5!A$2:H$7370, 7, FALSE), "")</f>
        <v>NA</v>
      </c>
    </row>
    <row r="4825" ht="15.75" customHeight="1">
      <c r="A4825" s="1" t="str">
        <f>IFERROR(__xludf.DUMMYFUNCTION("""COMPUTED_VALUE"""),"mortal kombat legacy")</f>
        <v>mortal kombat legacy</v>
      </c>
      <c r="B4825" s="1" t="str">
        <f>IF(A4825&lt;&gt;"", VLOOKUP(A4825, imdb_netflix_v5!A$2:H$7370, 2, FALSE), "")</f>
        <v>TV Show</v>
      </c>
      <c r="C4825" s="2" t="str">
        <f>IF(A4825&lt;&gt;"", VLOOKUP(A4825, imdb_netflix_v5!A$2:H$7370, 3, FALSE), "")</f>
        <v>Action, Adventure, Crime</v>
      </c>
      <c r="D4825" s="2">
        <f>IF(A4825&lt;&gt;"", VLOOKUP(A4825, imdb_netflix_v5!A$2:H$7370, 4, FALSE), "")</f>
        <v>7.3</v>
      </c>
      <c r="E4825" s="2">
        <f>IF(A4825&lt;&gt;"", VLOOKUP(A4825, imdb_netflix_v5!A$2:H$7370, 5, FALSE), "")</f>
        <v>2011</v>
      </c>
      <c r="F4825" s="2" t="str">
        <f>IF(A4825&lt;&gt;"", VLOOKUP(A4825, imdb_netflix_v5!A$2:H$7370, 7, FALSE), "")</f>
        <v>NA</v>
      </c>
    </row>
    <row r="4826" ht="15.75" customHeight="1">
      <c r="A4826" s="1" t="str">
        <f>IFERROR(__xludf.DUMMYFUNCTION("""COMPUTED_VALUE"""),"mr. pickles")</f>
        <v>mr. pickles</v>
      </c>
      <c r="B4826" s="1" t="str">
        <f>IF(A4826&lt;&gt;"", VLOOKUP(A4826, imdb_netflix_v5!A$2:H$7370, 2, FALSE), "")</f>
        <v>TV Show</v>
      </c>
      <c r="C4826" s="2" t="str">
        <f>IF(A4826&lt;&gt;"", VLOOKUP(A4826, imdb_netflix_v5!A$2:H$7370, 3, FALSE), "")</f>
        <v>Animation, Comedy, Horror</v>
      </c>
      <c r="D4826" s="2">
        <f>IF(A4826&lt;&gt;"", VLOOKUP(A4826, imdb_netflix_v5!A$2:H$7370, 4, FALSE), "")</f>
        <v>7.3</v>
      </c>
      <c r="E4826" s="2">
        <f>IF(A4826&lt;&gt;"", VLOOKUP(A4826, imdb_netflix_v5!A$2:H$7370, 5, FALSE), "")</f>
        <v>2013</v>
      </c>
      <c r="F4826" s="2" t="str">
        <f>IF(A4826&lt;&gt;"", VLOOKUP(A4826, imdb_netflix_v5!A$2:H$7370, 7, FALSE), "")</f>
        <v>NA</v>
      </c>
    </row>
    <row r="4827" ht="15.75" customHeight="1">
      <c r="A4827" s="1" t="str">
        <f>IFERROR(__xludf.DUMMYFUNCTION("""COMPUTED_VALUE"""),"the in-laws")</f>
        <v>the in-laws</v>
      </c>
      <c r="B4827" s="1" t="str">
        <f>IF(A4827&lt;&gt;"", VLOOKUP(A4827, imdb_netflix_v5!A$2:H$7370, 2, FALSE), "")</f>
        <v>Movie</v>
      </c>
      <c r="C4827" s="2" t="str">
        <f>IF(A4827&lt;&gt;"", VLOOKUP(A4827, imdb_netflix_v5!A$2:H$7370, 3, FALSE), "")</f>
        <v>Action, Adventure, Comedy</v>
      </c>
      <c r="D4827" s="2">
        <f>IF(A4827&lt;&gt;"", VLOOKUP(A4827, imdb_netflix_v5!A$2:H$7370, 4, FALSE), "")</f>
        <v>7.3</v>
      </c>
      <c r="E4827" s="2">
        <f>IF(A4827&lt;&gt;"", VLOOKUP(A4827, imdb_netflix_v5!A$2:H$7370, 5, FALSE), "")</f>
        <v>1979</v>
      </c>
      <c r="F4827" s="2" t="str">
        <f>IF(A4827&lt;&gt;"", VLOOKUP(A4827, imdb_netflix_v5!A$2:H$7370, 7, FALSE), "")</f>
        <v>NA</v>
      </c>
    </row>
    <row r="4828" ht="15.75" customHeight="1">
      <c r="A4828" s="1" t="str">
        <f>IFERROR(__xludf.DUMMYFUNCTION("""COMPUTED_VALUE"""),"the scent of green papaya")</f>
        <v>the scent of green papaya</v>
      </c>
      <c r="B4828" s="1" t="str">
        <f>IF(A4828&lt;&gt;"", VLOOKUP(A4828, imdb_netflix_v5!A$2:H$7370, 2, FALSE), "")</f>
        <v>Movie</v>
      </c>
      <c r="C4828" s="2" t="str">
        <f>IF(A4828&lt;&gt;"", VLOOKUP(A4828, imdb_netflix_v5!A$2:H$7370, 3, FALSE), "")</f>
        <v>Drama, Music, Romance</v>
      </c>
      <c r="D4828" s="2">
        <f>IF(A4828&lt;&gt;"", VLOOKUP(A4828, imdb_netflix_v5!A$2:H$7370, 4, FALSE), "")</f>
        <v>7.3</v>
      </c>
      <c r="E4828" s="2">
        <f>IF(A4828&lt;&gt;"", VLOOKUP(A4828, imdb_netflix_v5!A$2:H$7370, 5, FALSE), "")</f>
        <v>1993</v>
      </c>
      <c r="F4828" s="2" t="str">
        <f>IF(A4828&lt;&gt;"", VLOOKUP(A4828, imdb_netflix_v5!A$2:H$7370, 7, FALSE), "")</f>
        <v>NA</v>
      </c>
    </row>
    <row r="4829" ht="15.75" customHeight="1">
      <c r="A4829" s="1" t="str">
        <f>IFERROR(__xludf.DUMMYFUNCTION("""COMPUTED_VALUE"""),"love for rent")</f>
        <v>love for rent</v>
      </c>
      <c r="B4829" s="1" t="str">
        <f>IF(A4829&lt;&gt;"", VLOOKUP(A4829, imdb_netflix_v5!A$2:H$7370, 2, FALSE), "")</f>
        <v>TV Show</v>
      </c>
      <c r="C4829" s="2" t="str">
        <f>IF(A4829&lt;&gt;"", VLOOKUP(A4829, imdb_netflix_v5!A$2:H$7370, 3, FALSE), "")</f>
        <v>Comedy, Romance</v>
      </c>
      <c r="D4829" s="2">
        <f>IF(A4829&lt;&gt;"", VLOOKUP(A4829, imdb_netflix_v5!A$2:H$7370, 4, FALSE), "")</f>
        <v>7.3</v>
      </c>
      <c r="E4829" s="2">
        <f>IF(A4829&lt;&gt;"", VLOOKUP(A4829, imdb_netflix_v5!A$2:H$7370, 5, FALSE), "")</f>
        <v>2015</v>
      </c>
      <c r="F4829" s="2" t="str">
        <f>IF(A4829&lt;&gt;"", VLOOKUP(A4829, imdb_netflix_v5!A$2:H$7370, 7, FALSE), "")</f>
        <v>NA</v>
      </c>
    </row>
    <row r="4830" ht="15.75" customHeight="1">
      <c r="A4830" s="1" t="str">
        <f>IFERROR(__xludf.DUMMYFUNCTION("""COMPUTED_VALUE"""),"on my skin the last seven days of stefano cucchi")</f>
        <v>on my skin the last seven days of stefano cucchi</v>
      </c>
      <c r="B4830" s="1" t="str">
        <f>IF(A4830&lt;&gt;"", VLOOKUP(A4830, imdb_netflix_v5!A$2:H$7370, 2, FALSE), "")</f>
        <v>Movie</v>
      </c>
      <c r="C4830" s="2" t="str">
        <f>IF(A4830&lt;&gt;"", VLOOKUP(A4830, imdb_netflix_v5!A$2:H$7370, 3, FALSE), "")</f>
        <v>Biography, Drama</v>
      </c>
      <c r="D4830" s="2">
        <f>IF(A4830&lt;&gt;"", VLOOKUP(A4830, imdb_netflix_v5!A$2:H$7370, 4, FALSE), "")</f>
        <v>7.3</v>
      </c>
      <c r="E4830" s="2">
        <f>IF(A4830&lt;&gt;"", VLOOKUP(A4830, imdb_netflix_v5!A$2:H$7370, 5, FALSE), "")</f>
        <v>2018</v>
      </c>
      <c r="F4830" s="2" t="str">
        <f>IF(A4830&lt;&gt;"", VLOOKUP(A4830, imdb_netflix_v5!A$2:H$7370, 7, FALSE), "")</f>
        <v>NA</v>
      </c>
    </row>
    <row r="4831" ht="15.75" customHeight="1">
      <c r="A4831" s="1" t="str">
        <f>IFERROR(__xludf.DUMMYFUNCTION("""COMPUTED_VALUE"""),"midnight runners")</f>
        <v>midnight runners</v>
      </c>
      <c r="B4831" s="1" t="str">
        <f>IF(A4831&lt;&gt;"", VLOOKUP(A4831, imdb_netflix_v5!A$2:H$7370, 2, FALSE), "")</f>
        <v>Movie</v>
      </c>
      <c r="C4831" s="2" t="str">
        <f>IF(A4831&lt;&gt;"", VLOOKUP(A4831, imdb_netflix_v5!A$2:H$7370, 3, FALSE), "")</f>
        <v>Action, Comedy</v>
      </c>
      <c r="D4831" s="2">
        <f>IF(A4831&lt;&gt;"", VLOOKUP(A4831, imdb_netflix_v5!A$2:H$7370, 4, FALSE), "")</f>
        <v>7.3</v>
      </c>
      <c r="E4831" s="2">
        <f>IF(A4831&lt;&gt;"", VLOOKUP(A4831, imdb_netflix_v5!A$2:H$7370, 5, FALSE), "")</f>
        <v>2017</v>
      </c>
      <c r="F4831" s="2" t="str">
        <f>IF(A4831&lt;&gt;"", VLOOKUP(A4831, imdb_netflix_v5!A$2:H$7370, 7, FALSE), "")</f>
        <v>NA</v>
      </c>
    </row>
    <row r="4832" ht="15.75" customHeight="1">
      <c r="A4832" s="1" t="str">
        <f>IFERROR(__xludf.DUMMYFUNCTION("""COMPUTED_VALUE"""),"talk to me")</f>
        <v>talk to me</v>
      </c>
      <c r="B4832" s="1" t="str">
        <f>IF(A4832&lt;&gt;"", VLOOKUP(A4832, imdb_netflix_v5!A$2:H$7370, 2, FALSE), "")</f>
        <v>Movie</v>
      </c>
      <c r="C4832" s="2" t="str">
        <f>IF(A4832&lt;&gt;"", VLOOKUP(A4832, imdb_netflix_v5!A$2:H$7370, 3, FALSE), "")</f>
        <v>Biography, Drama, History</v>
      </c>
      <c r="D4832" s="2">
        <f>IF(A4832&lt;&gt;"", VLOOKUP(A4832, imdb_netflix_v5!A$2:H$7370, 4, FALSE), "")</f>
        <v>7.3</v>
      </c>
      <c r="E4832" s="2">
        <f>IF(A4832&lt;&gt;"", VLOOKUP(A4832, imdb_netflix_v5!A$2:H$7370, 5, FALSE), "")</f>
        <v>2007</v>
      </c>
      <c r="F4832" s="2" t="str">
        <f>IF(A4832&lt;&gt;"", VLOOKUP(A4832, imdb_netflix_v5!A$2:H$7370, 7, FALSE), "")</f>
        <v>NA</v>
      </c>
    </row>
    <row r="4833" ht="15.75" customHeight="1">
      <c r="A4833" s="1" t="str">
        <f>IFERROR(__xludf.DUMMYFUNCTION("""COMPUTED_VALUE"""),"the ignorant fairies")</f>
        <v>the ignorant fairies</v>
      </c>
      <c r="B4833" s="1" t="str">
        <f>IF(A4833&lt;&gt;"", VLOOKUP(A4833, imdb_netflix_v5!A$2:H$7370, 2, FALSE), "")</f>
        <v>Movie</v>
      </c>
      <c r="C4833" s="2" t="str">
        <f>IF(A4833&lt;&gt;"", VLOOKUP(A4833, imdb_netflix_v5!A$2:H$7370, 3, FALSE), "")</f>
        <v>Drama, Romance</v>
      </c>
      <c r="D4833" s="2">
        <f>IF(A4833&lt;&gt;"", VLOOKUP(A4833, imdb_netflix_v5!A$2:H$7370, 4, FALSE), "")</f>
        <v>7.3</v>
      </c>
      <c r="E4833" s="2">
        <f>IF(A4833&lt;&gt;"", VLOOKUP(A4833, imdb_netflix_v5!A$2:H$7370, 5, FALSE), "")</f>
        <v>2001</v>
      </c>
      <c r="F4833" s="2" t="str">
        <f>IF(A4833&lt;&gt;"", VLOOKUP(A4833, imdb_netflix_v5!A$2:H$7370, 7, FALSE), "")</f>
        <v>NA</v>
      </c>
    </row>
    <row r="4834" ht="15.75" customHeight="1">
      <c r="A4834" s="1" t="str">
        <f>IFERROR(__xludf.DUMMYFUNCTION("""COMPUTED_VALUE"""),"remington steele")</f>
        <v>remington steele</v>
      </c>
      <c r="B4834" s="1" t="str">
        <f>IF(A4834&lt;&gt;"", VLOOKUP(A4834, imdb_netflix_v5!A$2:H$7370, 2, FALSE), "")</f>
        <v>TV Show</v>
      </c>
      <c r="C4834" s="2" t="str">
        <f>IF(A4834&lt;&gt;"", VLOOKUP(A4834, imdb_netflix_v5!A$2:H$7370, 3, FALSE), "")</f>
        <v>Action, Adventure, Comedy</v>
      </c>
      <c r="D4834" s="2">
        <f>IF(A4834&lt;&gt;"", VLOOKUP(A4834, imdb_netflix_v5!A$2:H$7370, 4, FALSE), "")</f>
        <v>7.3</v>
      </c>
      <c r="E4834" s="2">
        <f>IF(A4834&lt;&gt;"", VLOOKUP(A4834, imdb_netflix_v5!A$2:H$7370, 5, FALSE), "")</f>
        <v>1982</v>
      </c>
      <c r="F4834" s="2" t="str">
        <f>IF(A4834&lt;&gt;"", VLOOKUP(A4834, imdb_netflix_v5!A$2:H$7370, 7, FALSE), "")</f>
        <v>NA</v>
      </c>
    </row>
    <row r="4835" ht="15.75" customHeight="1">
      <c r="A4835" s="1" t="str">
        <f>IFERROR(__xludf.DUMMYFUNCTION("""COMPUTED_VALUE"""),"jl50")</f>
        <v>jl50</v>
      </c>
      <c r="B4835" s="1" t="str">
        <f>IF(A4835&lt;&gt;"", VLOOKUP(A4835, imdb_netflix_v5!A$2:H$7370, 2, FALSE), "")</f>
        <v>TV Show</v>
      </c>
      <c r="C4835" s="2" t="str">
        <f>IF(A4835&lt;&gt;"", VLOOKUP(A4835, imdb_netflix_v5!A$2:H$7370, 3, FALSE), "")</f>
        <v>Drama, Sci-Fi, Thriller</v>
      </c>
      <c r="D4835" s="2">
        <f>IF(A4835&lt;&gt;"", VLOOKUP(A4835, imdb_netflix_v5!A$2:H$7370, 4, FALSE), "")</f>
        <v>7.3</v>
      </c>
      <c r="E4835" s="2">
        <f>IF(A4835&lt;&gt;"", VLOOKUP(A4835, imdb_netflix_v5!A$2:H$7370, 5, FALSE), "")</f>
        <v>2020</v>
      </c>
      <c r="F4835" s="2" t="str">
        <f>IF(A4835&lt;&gt;"", VLOOKUP(A4835, imdb_netflix_v5!A$2:H$7370, 7, FALSE), "")</f>
        <v>NA</v>
      </c>
    </row>
    <row r="4836" ht="15.75" customHeight="1">
      <c r="A4836" s="1" t="str">
        <f>IFERROR(__xludf.DUMMYFUNCTION("""COMPUTED_VALUE"""),"conversations with a killer the jeffrey dahmer tapes")</f>
        <v>conversations with a killer the jeffrey dahmer tapes</v>
      </c>
      <c r="B4836" s="1" t="str">
        <f>IF(A4836&lt;&gt;"", VLOOKUP(A4836, imdb_netflix_v5!A$2:H$7370, 2, FALSE), "")</f>
        <v>TV Show</v>
      </c>
      <c r="C4836" s="2" t="str">
        <f>IF(A4836&lt;&gt;"", VLOOKUP(A4836, imdb_netflix_v5!A$2:H$7370, 3, FALSE), "")</f>
        <v>Biography, Crime, Documentary</v>
      </c>
      <c r="D4836" s="2">
        <f>IF(A4836&lt;&gt;"", VLOOKUP(A4836, imdb_netflix_v5!A$2:H$7370, 4, FALSE), "")</f>
        <v>7.3</v>
      </c>
      <c r="E4836" s="2">
        <f>IF(A4836&lt;&gt;"", VLOOKUP(A4836, imdb_netflix_v5!A$2:H$7370, 5, FALSE), "")</f>
        <v>2022</v>
      </c>
      <c r="F4836" s="2">
        <f>IF(A4836&lt;&gt;"", VLOOKUP(A4836, imdb_netflix_v5!A$2:H$7370, 7, FALSE), "")</f>
        <v>27710000</v>
      </c>
    </row>
    <row r="4837" ht="15.75" customHeight="1">
      <c r="A4837" s="1" t="str">
        <f>IFERROR(__xludf.DUMMYFUNCTION("""COMPUTED_VALUE"""),"the dead zone")</f>
        <v>the dead zone</v>
      </c>
      <c r="B4837" s="1" t="str">
        <f>IF(A4837&lt;&gt;"", VLOOKUP(A4837, imdb_netflix_v5!A$2:H$7370, 2, FALSE), "")</f>
        <v>TV Show</v>
      </c>
      <c r="C4837" s="2" t="str">
        <f>IF(A4837&lt;&gt;"", VLOOKUP(A4837, imdb_netflix_v5!A$2:H$7370, 3, FALSE), "")</f>
        <v>Drama, Fantasy, Mystery</v>
      </c>
      <c r="D4837" s="2">
        <f>IF(A4837&lt;&gt;"", VLOOKUP(A4837, imdb_netflix_v5!A$2:H$7370, 4, FALSE), "")</f>
        <v>7.3</v>
      </c>
      <c r="E4837" s="2">
        <f>IF(A4837&lt;&gt;"", VLOOKUP(A4837, imdb_netflix_v5!A$2:H$7370, 5, FALSE), "")</f>
        <v>2002</v>
      </c>
      <c r="F4837" s="2" t="str">
        <f>IF(A4837&lt;&gt;"", VLOOKUP(A4837, imdb_netflix_v5!A$2:H$7370, 7, FALSE), "")</f>
        <v>NA</v>
      </c>
    </row>
    <row r="4838" ht="15.75" customHeight="1">
      <c r="A4838" s="1" t="str">
        <f>IFERROR(__xludf.DUMMYFUNCTION("""COMPUTED_VALUE"""),"defying gravity")</f>
        <v>defying gravity</v>
      </c>
      <c r="B4838" s="1" t="str">
        <f>IF(A4838&lt;&gt;"", VLOOKUP(A4838, imdb_netflix_v5!A$2:H$7370, 2, FALSE), "")</f>
        <v>TV Show</v>
      </c>
      <c r="C4838" s="2" t="str">
        <f>IF(A4838&lt;&gt;"", VLOOKUP(A4838, imdb_netflix_v5!A$2:H$7370, 3, FALSE), "")</f>
        <v>Drama, Sci-Fi</v>
      </c>
      <c r="D4838" s="2">
        <f>IF(A4838&lt;&gt;"", VLOOKUP(A4838, imdb_netflix_v5!A$2:H$7370, 4, FALSE), "")</f>
        <v>7.3</v>
      </c>
      <c r="E4838" s="2">
        <f>IF(A4838&lt;&gt;"", VLOOKUP(A4838, imdb_netflix_v5!A$2:H$7370, 5, FALSE), "")</f>
        <v>2009</v>
      </c>
      <c r="F4838" s="2" t="str">
        <f>IF(A4838&lt;&gt;"", VLOOKUP(A4838, imdb_netflix_v5!A$2:H$7370, 7, FALSE), "")</f>
        <v>NA</v>
      </c>
    </row>
    <row r="4839" ht="15.75" customHeight="1">
      <c r="A4839" s="1" t="str">
        <f>IFERROR(__xludf.DUMMYFUNCTION("""COMPUTED_VALUE"""),"we are who we are")</f>
        <v>we are who we are</v>
      </c>
      <c r="B4839" s="1" t="str">
        <f>IF(A4839&lt;&gt;"", VLOOKUP(A4839, imdb_netflix_v5!A$2:H$7370, 2, FALSE), "")</f>
        <v>TV Show</v>
      </c>
      <c r="C4839" s="2" t="str">
        <f>IF(A4839&lt;&gt;"", VLOOKUP(A4839, imdb_netflix_v5!A$2:H$7370, 3, FALSE), "")</f>
        <v>Drama</v>
      </c>
      <c r="D4839" s="2">
        <f>IF(A4839&lt;&gt;"", VLOOKUP(A4839, imdb_netflix_v5!A$2:H$7370, 4, FALSE), "")</f>
        <v>7.3</v>
      </c>
      <c r="E4839" s="2">
        <f>IF(A4839&lt;&gt;"", VLOOKUP(A4839, imdb_netflix_v5!A$2:H$7370, 5, FALSE), "")</f>
        <v>2020</v>
      </c>
      <c r="F4839" s="2" t="str">
        <f>IF(A4839&lt;&gt;"", VLOOKUP(A4839, imdb_netflix_v5!A$2:H$7370, 7, FALSE), "")</f>
        <v>NA</v>
      </c>
    </row>
    <row r="4840" ht="15.75" customHeight="1">
      <c r="A4840" s="1" t="str">
        <f>IFERROR(__xludf.DUMMYFUNCTION("""COMPUTED_VALUE"""),"red sorghum")</f>
        <v>red sorghum</v>
      </c>
      <c r="B4840" s="1" t="str">
        <f>IF(A4840&lt;&gt;"", VLOOKUP(A4840, imdb_netflix_v5!A$2:H$7370, 2, FALSE), "")</f>
        <v>Movie</v>
      </c>
      <c r="C4840" s="2" t="str">
        <f>IF(A4840&lt;&gt;"", VLOOKUP(A4840, imdb_netflix_v5!A$2:H$7370, 3, FALSE), "")</f>
        <v>Drama, History, Romance</v>
      </c>
      <c r="D4840" s="2">
        <f>IF(A4840&lt;&gt;"", VLOOKUP(A4840, imdb_netflix_v5!A$2:H$7370, 4, FALSE), "")</f>
        <v>7.3</v>
      </c>
      <c r="E4840" s="2">
        <f>IF(A4840&lt;&gt;"", VLOOKUP(A4840, imdb_netflix_v5!A$2:H$7370, 5, FALSE), "")</f>
        <v>1988</v>
      </c>
      <c r="F4840" s="2" t="str">
        <f>IF(A4840&lt;&gt;"", VLOOKUP(A4840, imdb_netflix_v5!A$2:H$7370, 7, FALSE), "")</f>
        <v>NA</v>
      </c>
    </row>
    <row r="4841" ht="15.75" customHeight="1">
      <c r="A4841" s="1" t="str">
        <f>IFERROR(__xludf.DUMMYFUNCTION("""COMPUTED_VALUE"""),"attarintiki daredi")</f>
        <v>attarintiki daredi</v>
      </c>
      <c r="B4841" s="1" t="str">
        <f>IF(A4841&lt;&gt;"", VLOOKUP(A4841, imdb_netflix_v5!A$2:H$7370, 2, FALSE), "")</f>
        <v>Movie</v>
      </c>
      <c r="C4841" s="2" t="str">
        <f>IF(A4841&lt;&gt;"", VLOOKUP(A4841, imdb_netflix_v5!A$2:H$7370, 3, FALSE), "")</f>
        <v>Action, Comedy, Drama</v>
      </c>
      <c r="D4841" s="2">
        <f>IF(A4841&lt;&gt;"", VLOOKUP(A4841, imdb_netflix_v5!A$2:H$7370, 4, FALSE), "")</f>
        <v>7.3</v>
      </c>
      <c r="E4841" s="2">
        <f>IF(A4841&lt;&gt;"", VLOOKUP(A4841, imdb_netflix_v5!A$2:H$7370, 5, FALSE), "")</f>
        <v>2013</v>
      </c>
      <c r="F4841" s="2" t="str">
        <f>IF(A4841&lt;&gt;"", VLOOKUP(A4841, imdb_netflix_v5!A$2:H$7370, 7, FALSE), "")</f>
        <v>NA</v>
      </c>
    </row>
    <row r="4842" ht="15.75" customHeight="1">
      <c r="A4842" s="1" t="str">
        <f>IFERROR(__xludf.DUMMYFUNCTION("""COMPUTED_VALUE"""),"crossfire")</f>
        <v>crossfire</v>
      </c>
      <c r="B4842" s="1" t="str">
        <f>IF(A4842&lt;&gt;"", VLOOKUP(A4842, imdb_netflix_v5!A$2:H$7370, 2, FALSE), "")</f>
        <v>Movie</v>
      </c>
      <c r="C4842" s="2" t="str">
        <f>IF(A4842&lt;&gt;"", VLOOKUP(A4842, imdb_netflix_v5!A$2:H$7370, 3, FALSE), "")</f>
        <v>Crime, Drama, Film-Noir</v>
      </c>
      <c r="D4842" s="2">
        <f>IF(A4842&lt;&gt;"", VLOOKUP(A4842, imdb_netflix_v5!A$2:H$7370, 4, FALSE), "")</f>
        <v>7.3</v>
      </c>
      <c r="E4842" s="2">
        <f>IF(A4842&lt;&gt;"", VLOOKUP(A4842, imdb_netflix_v5!A$2:H$7370, 5, FALSE), "")</f>
        <v>1947</v>
      </c>
      <c r="F4842" s="2" t="str">
        <f>IF(A4842&lt;&gt;"", VLOOKUP(A4842, imdb_netflix_v5!A$2:H$7370, 7, FALSE), "")</f>
        <v>NA</v>
      </c>
    </row>
    <row r="4843" ht="15.75" customHeight="1">
      <c r="A4843" s="1" t="str">
        <f>IFERROR(__xludf.DUMMYFUNCTION("""COMPUTED_VALUE"""),"the glenn miller story")</f>
        <v>the glenn miller story</v>
      </c>
      <c r="B4843" s="1" t="str">
        <f>IF(A4843&lt;&gt;"", VLOOKUP(A4843, imdb_netflix_v5!A$2:H$7370, 2, FALSE), "")</f>
        <v>Movie</v>
      </c>
      <c r="C4843" s="2" t="str">
        <f>IF(A4843&lt;&gt;"", VLOOKUP(A4843, imdb_netflix_v5!A$2:H$7370, 3, FALSE), "")</f>
        <v>Biography, Drama, Music</v>
      </c>
      <c r="D4843" s="2">
        <f>IF(A4843&lt;&gt;"", VLOOKUP(A4843, imdb_netflix_v5!A$2:H$7370, 4, FALSE), "")</f>
        <v>7.3</v>
      </c>
      <c r="E4843" s="2">
        <f>IF(A4843&lt;&gt;"", VLOOKUP(A4843, imdb_netflix_v5!A$2:H$7370, 5, FALSE), "")</f>
        <v>1954</v>
      </c>
      <c r="F4843" s="2" t="str">
        <f>IF(A4843&lt;&gt;"", VLOOKUP(A4843, imdb_netflix_v5!A$2:H$7370, 7, FALSE), "")</f>
        <v>NA</v>
      </c>
    </row>
    <row r="4844" ht="15.75" customHeight="1">
      <c r="A4844" s="1" t="str">
        <f>IFERROR(__xludf.DUMMYFUNCTION("""COMPUTED_VALUE"""),"the hunger games")</f>
        <v>the hunger games</v>
      </c>
      <c r="B4844" s="1" t="str">
        <f>IF(A4844&lt;&gt;"", VLOOKUP(A4844, imdb_netflix_v5!A$2:H$7370, 2, FALSE), "")</f>
        <v>Movie</v>
      </c>
      <c r="C4844" s="2" t="str">
        <f>IF(A4844&lt;&gt;"", VLOOKUP(A4844, imdb_netflix_v5!A$2:H$7370, 3, FALSE), "")</f>
        <v>Action, Adventure, Sci-Fi</v>
      </c>
      <c r="D4844" s="2">
        <f>IF(A4844&lt;&gt;"", VLOOKUP(A4844, imdb_netflix_v5!A$2:H$7370, 4, FALSE), "")</f>
        <v>7.2</v>
      </c>
      <c r="E4844" s="2">
        <f>IF(A4844&lt;&gt;"", VLOOKUP(A4844, imdb_netflix_v5!A$2:H$7370, 5, FALSE), "")</f>
        <v>2012</v>
      </c>
      <c r="F4844" s="2">
        <f>IF(A4844&lt;&gt;"", VLOOKUP(A4844, imdb_netflix_v5!A$2:H$7370, 7, FALSE), "")</f>
        <v>4900000</v>
      </c>
    </row>
    <row r="4845" ht="15.75" customHeight="1">
      <c r="A4845" s="1" t="str">
        <f>IFERROR(__xludf.DUMMYFUNCTION("""COMPUTED_VALUE"""),"i am legend")</f>
        <v>i am legend</v>
      </c>
      <c r="B4845" s="1" t="str">
        <f>IF(A4845&lt;&gt;"", VLOOKUP(A4845, imdb_netflix_v5!A$2:H$7370, 2, FALSE), "")</f>
        <v>Movie</v>
      </c>
      <c r="C4845" s="2" t="str">
        <f>IF(A4845&lt;&gt;"", VLOOKUP(A4845, imdb_netflix_v5!A$2:H$7370, 3, FALSE), "")</f>
        <v>Drama, Horror, Sci-Fi</v>
      </c>
      <c r="D4845" s="2">
        <f>IF(A4845&lt;&gt;"", VLOOKUP(A4845, imdb_netflix_v5!A$2:H$7370, 4, FALSE), "")</f>
        <v>7.2</v>
      </c>
      <c r="E4845" s="2">
        <f>IF(A4845&lt;&gt;"", VLOOKUP(A4845, imdb_netflix_v5!A$2:H$7370, 5, FALSE), "")</f>
        <v>2007</v>
      </c>
      <c r="F4845" s="2" t="str">
        <f>IF(A4845&lt;&gt;"", VLOOKUP(A4845, imdb_netflix_v5!A$2:H$7370, 7, FALSE), "")</f>
        <v>NA</v>
      </c>
    </row>
    <row r="4846" ht="15.75" customHeight="1">
      <c r="A4846" s="1" t="str">
        <f>IFERROR(__xludf.DUMMYFUNCTION("""COMPUTED_VALUE"""),"ant-man")</f>
        <v>ant-man</v>
      </c>
      <c r="B4846" s="1" t="str">
        <f>IF(A4846&lt;&gt;"", VLOOKUP(A4846, imdb_netflix_v5!A$2:H$7370, 2, FALSE), "")</f>
        <v>Movie</v>
      </c>
      <c r="C4846" s="2" t="str">
        <f>IF(A4846&lt;&gt;"", VLOOKUP(A4846, imdb_netflix_v5!A$2:H$7370, 3, FALSE), "")</f>
        <v>Action, Comedy, Sci-Fi</v>
      </c>
      <c r="D4846" s="2">
        <f>IF(A4846&lt;&gt;"", VLOOKUP(A4846, imdb_netflix_v5!A$2:H$7370, 4, FALSE), "")</f>
        <v>7.2</v>
      </c>
      <c r="E4846" s="2">
        <f>IF(A4846&lt;&gt;"", VLOOKUP(A4846, imdb_netflix_v5!A$2:H$7370, 5, FALSE), "")</f>
        <v>2015</v>
      </c>
      <c r="F4846" s="2" t="str">
        <f>IF(A4846&lt;&gt;"", VLOOKUP(A4846, imdb_netflix_v5!A$2:H$7370, 7, FALSE), "")</f>
        <v>NA</v>
      </c>
    </row>
    <row r="4847" ht="15.75" customHeight="1">
      <c r="A4847" s="1" t="str">
        <f>IFERROR(__xludf.DUMMYFUNCTION("""COMPUTED_VALUE"""),"now you see me")</f>
        <v>now you see me</v>
      </c>
      <c r="B4847" s="1" t="str">
        <f>IF(A4847&lt;&gt;"", VLOOKUP(A4847, imdb_netflix_v5!A$2:H$7370, 2, FALSE), "")</f>
        <v>Movie</v>
      </c>
      <c r="C4847" s="2" t="str">
        <f>IF(A4847&lt;&gt;"", VLOOKUP(A4847, imdb_netflix_v5!A$2:H$7370, 3, FALSE), "")</f>
        <v>Crime, Mystery, Thriller</v>
      </c>
      <c r="D4847" s="2">
        <f>IF(A4847&lt;&gt;"", VLOOKUP(A4847, imdb_netflix_v5!A$2:H$7370, 4, FALSE), "")</f>
        <v>7.2</v>
      </c>
      <c r="E4847" s="2">
        <f>IF(A4847&lt;&gt;"", VLOOKUP(A4847, imdb_netflix_v5!A$2:H$7370, 5, FALSE), "")</f>
        <v>2013</v>
      </c>
      <c r="F4847" s="2" t="str">
        <f>IF(A4847&lt;&gt;"", VLOOKUP(A4847, imdb_netflix_v5!A$2:H$7370, 7, FALSE), "")</f>
        <v>NA</v>
      </c>
    </row>
    <row r="4848" ht="15.75" customHeight="1">
      <c r="A4848" s="1" t="str">
        <f>IFERROR(__xludf.DUMMYFUNCTION("""COMPUTED_VALUE"""),"the matrix reloaded")</f>
        <v>the matrix reloaded</v>
      </c>
      <c r="B4848" s="1" t="str">
        <f>IF(A4848&lt;&gt;"", VLOOKUP(A4848, imdb_netflix_v5!A$2:H$7370, 2, FALSE), "")</f>
        <v>Movie</v>
      </c>
      <c r="C4848" s="2" t="str">
        <f>IF(A4848&lt;&gt;"", VLOOKUP(A4848, imdb_netflix_v5!A$2:H$7370, 3, FALSE), "")</f>
        <v>Action, Sci-Fi</v>
      </c>
      <c r="D4848" s="2">
        <f>IF(A4848&lt;&gt;"", VLOOKUP(A4848, imdb_netflix_v5!A$2:H$7370, 4, FALSE), "")</f>
        <v>7.2</v>
      </c>
      <c r="E4848" s="2">
        <f>IF(A4848&lt;&gt;"", VLOOKUP(A4848, imdb_netflix_v5!A$2:H$7370, 5, FALSE), "")</f>
        <v>2003</v>
      </c>
      <c r="F4848" s="2" t="str">
        <f>IF(A4848&lt;&gt;"", VLOOKUP(A4848, imdb_netflix_v5!A$2:H$7370, 7, FALSE), "")</f>
        <v>NA</v>
      </c>
    </row>
    <row r="4849" ht="15.75" customHeight="1">
      <c r="A4849" s="1" t="str">
        <f>IFERROR(__xludf.DUMMYFUNCTION("""COMPUTED_VALUE"""),"dont look up")</f>
        <v>dont look up</v>
      </c>
      <c r="B4849" s="1" t="str">
        <f>IF(A4849&lt;&gt;"", VLOOKUP(A4849, imdb_netflix_v5!A$2:H$7370, 2, FALSE), "")</f>
        <v>Movie</v>
      </c>
      <c r="C4849" s="2" t="str">
        <f>IF(A4849&lt;&gt;"", VLOOKUP(A4849, imdb_netflix_v5!A$2:H$7370, 3, FALSE), "")</f>
        <v>Comedy, Drama, Sci-Fi</v>
      </c>
      <c r="D4849" s="2">
        <f>IF(A4849&lt;&gt;"", VLOOKUP(A4849, imdb_netflix_v5!A$2:H$7370, 4, FALSE), "")</f>
        <v>7.2</v>
      </c>
      <c r="E4849" s="2">
        <f>IF(A4849&lt;&gt;"", VLOOKUP(A4849, imdb_netflix_v5!A$2:H$7370, 5, FALSE), "")</f>
        <v>2021</v>
      </c>
      <c r="F4849" s="2">
        <f>IF(A4849&lt;&gt;"", VLOOKUP(A4849, imdb_netflix_v5!A$2:H$7370, 7, FALSE), "")</f>
        <v>5360000</v>
      </c>
    </row>
    <row r="4850" ht="15.75" customHeight="1">
      <c r="A4850" s="1" t="str">
        <f>IFERROR(__xludf.DUMMYFUNCTION("""COMPUTED_VALUE"""),"21 jump street")</f>
        <v>21 jump street</v>
      </c>
      <c r="B4850" s="1" t="str">
        <f>IF(A4850&lt;&gt;"", VLOOKUP(A4850, imdb_netflix_v5!A$2:H$7370, 2, FALSE), "")</f>
        <v>Movie</v>
      </c>
      <c r="C4850" s="2" t="str">
        <f>IF(A4850&lt;&gt;"", VLOOKUP(A4850, imdb_netflix_v5!A$2:H$7370, 3, FALSE), "")</f>
        <v>Action, Comedy, Crime</v>
      </c>
      <c r="D4850" s="2">
        <f>IF(A4850&lt;&gt;"", VLOOKUP(A4850, imdb_netflix_v5!A$2:H$7370, 4, FALSE), "")</f>
        <v>7.2</v>
      </c>
      <c r="E4850" s="2">
        <f>IF(A4850&lt;&gt;"", VLOOKUP(A4850, imdb_netflix_v5!A$2:H$7370, 5, FALSE), "")</f>
        <v>2012</v>
      </c>
      <c r="F4850" s="2">
        <f>IF(A4850&lt;&gt;"", VLOOKUP(A4850, imdb_netflix_v5!A$2:H$7370, 7, FALSE), "")</f>
        <v>11690000</v>
      </c>
    </row>
    <row r="4851" ht="15.75" customHeight="1">
      <c r="A4851" s="1" t="str">
        <f>IFERROR(__xludf.DUMMYFUNCTION("""COMPUTED_VALUE"""),"the great gatsby")</f>
        <v>the great gatsby</v>
      </c>
      <c r="B4851" s="1" t="str">
        <f>IF(A4851&lt;&gt;"", VLOOKUP(A4851, imdb_netflix_v5!A$2:H$7370, 2, FALSE), "")</f>
        <v>Movie</v>
      </c>
      <c r="C4851" s="2" t="str">
        <f>IF(A4851&lt;&gt;"", VLOOKUP(A4851, imdb_netflix_v5!A$2:H$7370, 3, FALSE), "")</f>
        <v>Drama, Romance</v>
      </c>
      <c r="D4851" s="2">
        <f>IF(A4851&lt;&gt;"", VLOOKUP(A4851, imdb_netflix_v5!A$2:H$7370, 4, FALSE), "")</f>
        <v>7.2</v>
      </c>
      <c r="E4851" s="2">
        <f>IF(A4851&lt;&gt;"", VLOOKUP(A4851, imdb_netflix_v5!A$2:H$7370, 5, FALSE), "")</f>
        <v>2013</v>
      </c>
      <c r="F4851" s="2" t="str">
        <f>IF(A4851&lt;&gt;"", VLOOKUP(A4851, imdb_netflix_v5!A$2:H$7370, 7, FALSE), "")</f>
        <v>NA</v>
      </c>
    </row>
    <row r="4852" ht="15.75" customHeight="1">
      <c r="A4852" s="1" t="str">
        <f>IFERROR(__xludf.DUMMYFUNCTION("""COMPUTED_VALUE"""),"fantastic beasts and where to find them")</f>
        <v>fantastic beasts and where to find them</v>
      </c>
      <c r="B4852" s="1" t="str">
        <f>IF(A4852&lt;&gt;"", VLOOKUP(A4852, imdb_netflix_v5!A$2:H$7370, 2, FALSE), "")</f>
        <v>Movie</v>
      </c>
      <c r="C4852" s="2" t="str">
        <f>IF(A4852&lt;&gt;"", VLOOKUP(A4852, imdb_netflix_v5!A$2:H$7370, 3, FALSE), "")</f>
        <v>Adventure, Family, Fantasy</v>
      </c>
      <c r="D4852" s="2">
        <f>IF(A4852&lt;&gt;"", VLOOKUP(A4852, imdb_netflix_v5!A$2:H$7370, 4, FALSE), "")</f>
        <v>7.2</v>
      </c>
      <c r="E4852" s="2">
        <f>IF(A4852&lt;&gt;"", VLOOKUP(A4852, imdb_netflix_v5!A$2:H$7370, 5, FALSE), "")</f>
        <v>2016</v>
      </c>
      <c r="F4852" s="2" t="str">
        <f>IF(A4852&lt;&gt;"", VLOOKUP(A4852, imdb_netflix_v5!A$2:H$7370, 7, FALSE), "")</f>
        <v>NA</v>
      </c>
    </row>
    <row r="4853" ht="15.75" customHeight="1">
      <c r="A4853" s="1" t="str">
        <f>IFERROR(__xludf.DUMMYFUNCTION("""COMPUTED_VALUE"""),"american hustle")</f>
        <v>american hustle</v>
      </c>
      <c r="B4853" s="1" t="str">
        <f>IF(A4853&lt;&gt;"", VLOOKUP(A4853, imdb_netflix_v5!A$2:H$7370, 2, FALSE), "")</f>
        <v>Movie</v>
      </c>
      <c r="C4853" s="2" t="str">
        <f>IF(A4853&lt;&gt;"", VLOOKUP(A4853, imdb_netflix_v5!A$2:H$7370, 3, FALSE), "")</f>
        <v>Crime, Drama</v>
      </c>
      <c r="D4853" s="2">
        <f>IF(A4853&lt;&gt;"", VLOOKUP(A4853, imdb_netflix_v5!A$2:H$7370, 4, FALSE), "")</f>
        <v>7.2</v>
      </c>
      <c r="E4853" s="2">
        <f>IF(A4853&lt;&gt;"", VLOOKUP(A4853, imdb_netflix_v5!A$2:H$7370, 5, FALSE), "")</f>
        <v>2013</v>
      </c>
      <c r="F4853" s="2" t="str">
        <f>IF(A4853&lt;&gt;"", VLOOKUP(A4853, imdb_netflix_v5!A$2:H$7370, 7, FALSE), "")</f>
        <v>NA</v>
      </c>
    </row>
    <row r="4854" ht="15.75" customHeight="1">
      <c r="A4854" s="1" t="str">
        <f>IFERROR(__xludf.DUMMYFUNCTION("""COMPUTED_VALUE"""),"the equalizer")</f>
        <v>the equalizer</v>
      </c>
      <c r="B4854" s="1" t="str">
        <f>IF(A4854&lt;&gt;"", VLOOKUP(A4854, imdb_netflix_v5!A$2:H$7370, 2, FALSE), "")</f>
        <v>Movie</v>
      </c>
      <c r="C4854" s="2" t="str">
        <f>IF(A4854&lt;&gt;"", VLOOKUP(A4854, imdb_netflix_v5!A$2:H$7370, 3, FALSE), "")</f>
        <v>Action, Crime, Thriller</v>
      </c>
      <c r="D4854" s="2">
        <f>IF(A4854&lt;&gt;"", VLOOKUP(A4854, imdb_netflix_v5!A$2:H$7370, 4, FALSE), "")</f>
        <v>7.2</v>
      </c>
      <c r="E4854" s="2">
        <f>IF(A4854&lt;&gt;"", VLOOKUP(A4854, imdb_netflix_v5!A$2:H$7370, 5, FALSE), "")</f>
        <v>2014</v>
      </c>
      <c r="F4854" s="2" t="str">
        <f>IF(A4854&lt;&gt;"", VLOOKUP(A4854, imdb_netflix_v5!A$2:H$7370, 7, FALSE), "")</f>
        <v>NA</v>
      </c>
    </row>
    <row r="4855" ht="15.75" customHeight="1">
      <c r="A4855" s="1" t="str">
        <f>IFERROR(__xludf.DUMMYFUNCTION("""COMPUTED_VALUE"""),"the menu")</f>
        <v>the menu</v>
      </c>
      <c r="B4855" s="1" t="str">
        <f>IF(A4855&lt;&gt;"", VLOOKUP(A4855, imdb_netflix_v5!A$2:H$7370, 2, FALSE), "")</f>
        <v>Movie</v>
      </c>
      <c r="C4855" s="2" t="str">
        <f>IF(A4855&lt;&gt;"", VLOOKUP(A4855, imdb_netflix_v5!A$2:H$7370, 3, FALSE), "")</f>
        <v>Comedy, Horror, Thriller</v>
      </c>
      <c r="D4855" s="2">
        <f>IF(A4855&lt;&gt;"", VLOOKUP(A4855, imdb_netflix_v5!A$2:H$7370, 4, FALSE), "")</f>
        <v>7.2</v>
      </c>
      <c r="E4855" s="2">
        <f>IF(A4855&lt;&gt;"", VLOOKUP(A4855, imdb_netflix_v5!A$2:H$7370, 5, FALSE), "")</f>
        <v>2022</v>
      </c>
      <c r="F4855" s="2" t="str">
        <f>IF(A4855&lt;&gt;"", VLOOKUP(A4855, imdb_netflix_v5!A$2:H$7370, 7, FALSE), "")</f>
        <v>NA</v>
      </c>
    </row>
    <row r="4856" ht="15.75" customHeight="1">
      <c r="A4856" s="1" t="str">
        <f>IFERROR(__xludf.DUMMYFUNCTION("""COMPUTED_VALUE"""),"the suicide squad")</f>
        <v>the suicide squad</v>
      </c>
      <c r="B4856" s="1" t="str">
        <f>IF(A4856&lt;&gt;"", VLOOKUP(A4856, imdb_netflix_v5!A$2:H$7370, 2, FALSE), "")</f>
        <v>Movie</v>
      </c>
      <c r="C4856" s="2" t="str">
        <f>IF(A4856&lt;&gt;"", VLOOKUP(A4856, imdb_netflix_v5!A$2:H$7370, 3, FALSE), "")</f>
        <v>Action, Adventure, Comedy</v>
      </c>
      <c r="D4856" s="2">
        <f>IF(A4856&lt;&gt;"", VLOOKUP(A4856, imdb_netflix_v5!A$2:H$7370, 4, FALSE), "")</f>
        <v>7.2</v>
      </c>
      <c r="E4856" s="2">
        <f>IF(A4856&lt;&gt;"", VLOOKUP(A4856, imdb_netflix_v5!A$2:H$7370, 5, FALSE), "")</f>
        <v>2021</v>
      </c>
      <c r="F4856" s="2" t="str">
        <f>IF(A4856&lt;&gt;"", VLOOKUP(A4856, imdb_netflix_v5!A$2:H$7370, 7, FALSE), "")</f>
        <v>NA</v>
      </c>
    </row>
    <row r="4857" ht="15.75" customHeight="1">
      <c r="A4857" s="1" t="str">
        <f>IFERROR(__xludf.DUMMYFUNCTION("""COMPUTED_VALUE"""),"monsters university")</f>
        <v>monsters university</v>
      </c>
      <c r="B4857" s="1" t="str">
        <f>IF(A4857&lt;&gt;"", VLOOKUP(A4857, imdb_netflix_v5!A$2:H$7370, 2, FALSE), "")</f>
        <v>Movie</v>
      </c>
      <c r="C4857" s="2" t="str">
        <f>IF(A4857&lt;&gt;"", VLOOKUP(A4857, imdb_netflix_v5!A$2:H$7370, 3, FALSE), "")</f>
        <v>Adventure, Animation, Comedy</v>
      </c>
      <c r="D4857" s="2">
        <f>IF(A4857&lt;&gt;"", VLOOKUP(A4857, imdb_netflix_v5!A$2:H$7370, 4, FALSE), "")</f>
        <v>7.2</v>
      </c>
      <c r="E4857" s="2">
        <f>IF(A4857&lt;&gt;"", VLOOKUP(A4857, imdb_netflix_v5!A$2:H$7370, 5, FALSE), "")</f>
        <v>2013</v>
      </c>
      <c r="F4857" s="2" t="str">
        <f>IF(A4857&lt;&gt;"", VLOOKUP(A4857, imdb_netflix_v5!A$2:H$7370, 7, FALSE), "")</f>
        <v>NA</v>
      </c>
    </row>
    <row r="4858" ht="15.75" customHeight="1">
      <c r="A4858" s="1" t="str">
        <f>IFERROR(__xludf.DUMMYFUNCTION("""COMPUTED_VALUE"""),"10 cloverfield lane")</f>
        <v>10 cloverfield lane</v>
      </c>
      <c r="B4858" s="1" t="str">
        <f>IF(A4858&lt;&gt;"", VLOOKUP(A4858, imdb_netflix_v5!A$2:H$7370, 2, FALSE), "")</f>
        <v>Movie</v>
      </c>
      <c r="C4858" s="2" t="str">
        <f>IF(A4858&lt;&gt;"", VLOOKUP(A4858, imdb_netflix_v5!A$2:H$7370, 3, FALSE), "")</f>
        <v>Drama, Horror, Sci-Fi</v>
      </c>
      <c r="D4858" s="2">
        <f>IF(A4858&lt;&gt;"", VLOOKUP(A4858, imdb_netflix_v5!A$2:H$7370, 4, FALSE), "")</f>
        <v>7.2</v>
      </c>
      <c r="E4858" s="2">
        <f>IF(A4858&lt;&gt;"", VLOOKUP(A4858, imdb_netflix_v5!A$2:H$7370, 5, FALSE), "")</f>
        <v>2016</v>
      </c>
      <c r="F4858" s="2" t="str">
        <f>IF(A4858&lt;&gt;"", VLOOKUP(A4858, imdb_netflix_v5!A$2:H$7370, 7, FALSE), "")</f>
        <v>NA</v>
      </c>
    </row>
    <row r="4859" ht="15.75" customHeight="1">
      <c r="A4859" s="1" t="str">
        <f>IFERROR(__xludf.DUMMYFUNCTION("""COMPUTED_VALUE"""),"notting hill")</f>
        <v>notting hill</v>
      </c>
      <c r="B4859" s="1" t="str">
        <f>IF(A4859&lt;&gt;"", VLOOKUP(A4859, imdb_netflix_v5!A$2:H$7370, 2, FALSE), "")</f>
        <v>Movie</v>
      </c>
      <c r="C4859" s="2" t="str">
        <f>IF(A4859&lt;&gt;"", VLOOKUP(A4859, imdb_netflix_v5!A$2:H$7370, 3, FALSE), "")</f>
        <v>Comedy, Drama, Romance</v>
      </c>
      <c r="D4859" s="2">
        <f>IF(A4859&lt;&gt;"", VLOOKUP(A4859, imdb_netflix_v5!A$2:H$7370, 4, FALSE), "")</f>
        <v>7.2</v>
      </c>
      <c r="E4859" s="2">
        <f>IF(A4859&lt;&gt;"", VLOOKUP(A4859, imdb_netflix_v5!A$2:H$7370, 5, FALSE), "")</f>
        <v>1999</v>
      </c>
      <c r="F4859" s="2" t="str">
        <f>IF(A4859&lt;&gt;"", VLOOKUP(A4859, imdb_netflix_v5!A$2:H$7370, 7, FALSE), "")</f>
        <v>NA</v>
      </c>
    </row>
    <row r="4860" ht="15.75" customHeight="1">
      <c r="A4860" s="1" t="str">
        <f>IFERROR(__xludf.DUMMYFUNCTION("""COMPUTED_VALUE"""),"from dusk till dawn")</f>
        <v>from dusk till dawn</v>
      </c>
      <c r="B4860" s="1" t="str">
        <f>IF(A4860&lt;&gt;"", VLOOKUP(A4860, imdb_netflix_v5!A$2:H$7370, 2, FALSE), "")</f>
        <v>Movie</v>
      </c>
      <c r="C4860" s="2" t="str">
        <f>IF(A4860&lt;&gt;"", VLOOKUP(A4860, imdb_netflix_v5!A$2:H$7370, 3, FALSE), "")</f>
        <v>Action, Crime, Horror</v>
      </c>
      <c r="D4860" s="2">
        <f>IF(A4860&lt;&gt;"", VLOOKUP(A4860, imdb_netflix_v5!A$2:H$7370, 4, FALSE), "")</f>
        <v>7.2</v>
      </c>
      <c r="E4860" s="2">
        <f>IF(A4860&lt;&gt;"", VLOOKUP(A4860, imdb_netflix_v5!A$2:H$7370, 5, FALSE), "")</f>
        <v>1996</v>
      </c>
      <c r="F4860" s="2" t="str">
        <f>IF(A4860&lt;&gt;"", VLOOKUP(A4860, imdb_netflix_v5!A$2:H$7370, 7, FALSE), "")</f>
        <v>NA</v>
      </c>
    </row>
    <row r="4861" ht="15.75" customHeight="1">
      <c r="A4861" s="1" t="str">
        <f>IFERROR(__xludf.DUMMYFUNCTION("""COMPUTED_VALUE"""),"the man from u.n.c.l.e.")</f>
        <v>the man from u.n.c.l.e.</v>
      </c>
      <c r="B4861" s="1" t="str">
        <f>IF(A4861&lt;&gt;"", VLOOKUP(A4861, imdb_netflix_v5!A$2:H$7370, 2, FALSE), "")</f>
        <v>Movie</v>
      </c>
      <c r="C4861" s="2" t="str">
        <f>IF(A4861&lt;&gt;"", VLOOKUP(A4861, imdb_netflix_v5!A$2:H$7370, 3, FALSE), "")</f>
        <v>Action, Adventure, Comedy</v>
      </c>
      <c r="D4861" s="2">
        <f>IF(A4861&lt;&gt;"", VLOOKUP(A4861, imdb_netflix_v5!A$2:H$7370, 4, FALSE), "")</f>
        <v>7.2</v>
      </c>
      <c r="E4861" s="2">
        <f>IF(A4861&lt;&gt;"", VLOOKUP(A4861, imdb_netflix_v5!A$2:H$7370, 5, FALSE), "")</f>
        <v>2015</v>
      </c>
      <c r="F4861" s="2" t="str">
        <f>IF(A4861&lt;&gt;"", VLOOKUP(A4861, imdb_netflix_v5!A$2:H$7370, 7, FALSE), "")</f>
        <v>NA</v>
      </c>
    </row>
    <row r="4862" ht="15.75" customHeight="1">
      <c r="A4862" s="1" t="str">
        <f>IFERROR(__xludf.DUMMYFUNCTION("""COMPUTED_VALUE"""),"school of rock")</f>
        <v>school of rock</v>
      </c>
      <c r="B4862" s="1" t="str">
        <f>IF(A4862&lt;&gt;"", VLOOKUP(A4862, imdb_netflix_v5!A$2:H$7370, 2, FALSE), "")</f>
        <v>Movie</v>
      </c>
      <c r="C4862" s="2" t="str">
        <f>IF(A4862&lt;&gt;"", VLOOKUP(A4862, imdb_netflix_v5!A$2:H$7370, 3, FALSE), "")</f>
        <v>Comedy, Music</v>
      </c>
      <c r="D4862" s="2">
        <f>IF(A4862&lt;&gt;"", VLOOKUP(A4862, imdb_netflix_v5!A$2:H$7370, 4, FALSE), "")</f>
        <v>7.2</v>
      </c>
      <c r="E4862" s="2">
        <f>IF(A4862&lt;&gt;"", VLOOKUP(A4862, imdb_netflix_v5!A$2:H$7370, 5, FALSE), "")</f>
        <v>2003</v>
      </c>
      <c r="F4862" s="2" t="str">
        <f>IF(A4862&lt;&gt;"", VLOOKUP(A4862, imdb_netflix_v5!A$2:H$7370, 7, FALSE), "")</f>
        <v>NA</v>
      </c>
    </row>
    <row r="4863" ht="15.75" customHeight="1">
      <c r="A4863" s="1" t="str">
        <f>IFERROR(__xludf.DUMMYFUNCTION("""COMPUTED_VALUE"""),"8 mile")</f>
        <v>8 mile</v>
      </c>
      <c r="B4863" s="1" t="str">
        <f>IF(A4863&lt;&gt;"", VLOOKUP(A4863, imdb_netflix_v5!A$2:H$7370, 2, FALSE), "")</f>
        <v>Movie</v>
      </c>
      <c r="C4863" s="2" t="str">
        <f>IF(A4863&lt;&gt;"", VLOOKUP(A4863, imdb_netflix_v5!A$2:H$7370, 3, FALSE), "")</f>
        <v>Drama, Music</v>
      </c>
      <c r="D4863" s="2">
        <f>IF(A4863&lt;&gt;"", VLOOKUP(A4863, imdb_netflix_v5!A$2:H$7370, 4, FALSE), "")</f>
        <v>7.2</v>
      </c>
      <c r="E4863" s="2">
        <f>IF(A4863&lt;&gt;"", VLOOKUP(A4863, imdb_netflix_v5!A$2:H$7370, 5, FALSE), "")</f>
        <v>2002</v>
      </c>
      <c r="F4863" s="2" t="str">
        <f>IF(A4863&lt;&gt;"", VLOOKUP(A4863, imdb_netflix_v5!A$2:H$7370, 7, FALSE), "")</f>
        <v>NA</v>
      </c>
    </row>
    <row r="4864" ht="15.75" customHeight="1">
      <c r="A4864" s="1" t="str">
        <f>IFERROR(__xludf.DUMMYFUNCTION("""COMPUTED_VALUE"""),"a.i. artificial intelligence")</f>
        <v>a.i. artificial intelligence</v>
      </c>
      <c r="B4864" s="1" t="str">
        <f>IF(A4864&lt;&gt;"", VLOOKUP(A4864, imdb_netflix_v5!A$2:H$7370, 2, FALSE), "")</f>
        <v>Movie</v>
      </c>
      <c r="C4864" s="2" t="str">
        <f>IF(A4864&lt;&gt;"", VLOOKUP(A4864, imdb_netflix_v5!A$2:H$7370, 3, FALSE), "")</f>
        <v>Adventure, Drama, Sci-Fi</v>
      </c>
      <c r="D4864" s="2">
        <f>IF(A4864&lt;&gt;"", VLOOKUP(A4864, imdb_netflix_v5!A$2:H$7370, 4, FALSE), "")</f>
        <v>7.2</v>
      </c>
      <c r="E4864" s="2">
        <f>IF(A4864&lt;&gt;"", VLOOKUP(A4864, imdb_netflix_v5!A$2:H$7370, 5, FALSE), "")</f>
        <v>2001</v>
      </c>
      <c r="F4864" s="2" t="str">
        <f>IF(A4864&lt;&gt;"", VLOOKUP(A4864, imdb_netflix_v5!A$2:H$7370, 7, FALSE), "")</f>
        <v>NA</v>
      </c>
    </row>
    <row r="4865" ht="15.75" customHeight="1">
      <c r="A4865" s="1" t="str">
        <f>IFERROR(__xludf.DUMMYFUNCTION("""COMPUTED_VALUE"""),"insomnia")</f>
        <v>insomnia</v>
      </c>
      <c r="B4865" s="1" t="str">
        <f>IF(A4865&lt;&gt;"", VLOOKUP(A4865, imdb_netflix_v5!A$2:H$7370, 2, FALSE), "")</f>
        <v>Movie</v>
      </c>
      <c r="C4865" s="2" t="str">
        <f>IF(A4865&lt;&gt;"", VLOOKUP(A4865, imdb_netflix_v5!A$2:H$7370, 3, FALSE), "")</f>
        <v>Drama, Mystery, Thriller</v>
      </c>
      <c r="D4865" s="2">
        <f>IF(A4865&lt;&gt;"", VLOOKUP(A4865, imdb_netflix_v5!A$2:H$7370, 4, FALSE), "")</f>
        <v>7.2</v>
      </c>
      <c r="E4865" s="2">
        <f>IF(A4865&lt;&gt;"", VLOOKUP(A4865, imdb_netflix_v5!A$2:H$7370, 5, FALSE), "")</f>
        <v>2002</v>
      </c>
      <c r="F4865" s="2" t="str">
        <f>IF(A4865&lt;&gt;"", VLOOKUP(A4865, imdb_netflix_v5!A$2:H$7370, 7, FALSE), "")</f>
        <v>NA</v>
      </c>
    </row>
    <row r="4866" ht="15.75" customHeight="1">
      <c r="A4866" s="1" t="str">
        <f>IFERROR(__xludf.DUMMYFUNCTION("""COMPUTED_VALUE"""),"a bugs life")</f>
        <v>a bugs life</v>
      </c>
      <c r="B4866" s="1" t="str">
        <f>IF(A4866&lt;&gt;"", VLOOKUP(A4866, imdb_netflix_v5!A$2:H$7370, 2, FALSE), "")</f>
        <v>Movie</v>
      </c>
      <c r="C4866" s="2" t="str">
        <f>IF(A4866&lt;&gt;"", VLOOKUP(A4866, imdb_netflix_v5!A$2:H$7370, 3, FALSE), "")</f>
        <v>Adventure, Animation, Comedy</v>
      </c>
      <c r="D4866" s="2">
        <f>IF(A4866&lt;&gt;"", VLOOKUP(A4866, imdb_netflix_v5!A$2:H$7370, 4, FALSE), "")</f>
        <v>7.2</v>
      </c>
      <c r="E4866" s="2">
        <f>IF(A4866&lt;&gt;"", VLOOKUP(A4866, imdb_netflix_v5!A$2:H$7370, 5, FALSE), "")</f>
        <v>1998</v>
      </c>
      <c r="F4866" s="2" t="str">
        <f>IF(A4866&lt;&gt;"", VLOOKUP(A4866, imdb_netflix_v5!A$2:H$7370, 7, FALSE), "")</f>
        <v>NA</v>
      </c>
    </row>
    <row r="4867" ht="15.75" customHeight="1">
      <c r="A4867" s="1" t="str">
        <f>IFERROR(__xludf.DUMMYFUNCTION("""COMPUTED_VALUE"""),"finding dory")</f>
        <v>finding dory</v>
      </c>
      <c r="B4867" s="1" t="str">
        <f>IF(A4867&lt;&gt;"", VLOOKUP(A4867, imdb_netflix_v5!A$2:H$7370, 2, FALSE), "")</f>
        <v>Movie</v>
      </c>
      <c r="C4867" s="2" t="str">
        <f>IF(A4867&lt;&gt;"", VLOOKUP(A4867, imdb_netflix_v5!A$2:H$7370, 3, FALSE), "")</f>
        <v>Adventure, Animation, Comedy</v>
      </c>
      <c r="D4867" s="2">
        <f>IF(A4867&lt;&gt;"", VLOOKUP(A4867, imdb_netflix_v5!A$2:H$7370, 4, FALSE), "")</f>
        <v>7.2</v>
      </c>
      <c r="E4867" s="2">
        <f>IF(A4867&lt;&gt;"", VLOOKUP(A4867, imdb_netflix_v5!A$2:H$7370, 5, FALSE), "")</f>
        <v>2016</v>
      </c>
      <c r="F4867" s="2" t="str">
        <f>IF(A4867&lt;&gt;"", VLOOKUP(A4867, imdb_netflix_v5!A$2:H$7370, 7, FALSE), "")</f>
        <v>NA</v>
      </c>
    </row>
    <row r="4868" ht="15.75" customHeight="1">
      <c r="A4868" s="1" t="str">
        <f>IFERROR(__xludf.DUMMYFUNCTION("""COMPUTED_VALUE"""),"grease")</f>
        <v>grease</v>
      </c>
      <c r="B4868" s="1" t="str">
        <f>IF(A4868&lt;&gt;"", VLOOKUP(A4868, imdb_netflix_v5!A$2:H$7370, 2, FALSE), "")</f>
        <v>Movie</v>
      </c>
      <c r="C4868" s="2" t="str">
        <f>IF(A4868&lt;&gt;"", VLOOKUP(A4868, imdb_netflix_v5!A$2:H$7370, 3, FALSE), "")</f>
        <v>Comedy, Musical, Romance</v>
      </c>
      <c r="D4868" s="2">
        <f>IF(A4868&lt;&gt;"", VLOOKUP(A4868, imdb_netflix_v5!A$2:H$7370, 4, FALSE), "")</f>
        <v>7.2</v>
      </c>
      <c r="E4868" s="2">
        <f>IF(A4868&lt;&gt;"", VLOOKUP(A4868, imdb_netflix_v5!A$2:H$7370, 5, FALSE), "")</f>
        <v>1978</v>
      </c>
      <c r="F4868" s="2" t="str">
        <f>IF(A4868&lt;&gt;"", VLOOKUP(A4868, imdb_netflix_v5!A$2:H$7370, 7, FALSE), "")</f>
        <v>NA</v>
      </c>
    </row>
    <row r="4869" ht="15.75" customHeight="1">
      <c r="A4869" s="1" t="str">
        <f>IFERROR(__xludf.DUMMYFUNCTION("""COMPUTED_VALUE"""),"the patriot")</f>
        <v>the patriot</v>
      </c>
      <c r="B4869" s="1" t="str">
        <f>IF(A4869&lt;&gt;"", VLOOKUP(A4869, imdb_netflix_v5!A$2:H$7370, 2, FALSE), "")</f>
        <v>Movie</v>
      </c>
      <c r="C4869" s="2" t="str">
        <f>IF(A4869&lt;&gt;"", VLOOKUP(A4869, imdb_netflix_v5!A$2:H$7370, 3, FALSE), "")</f>
        <v>Action, Drama, History</v>
      </c>
      <c r="D4869" s="2">
        <f>IF(A4869&lt;&gt;"", VLOOKUP(A4869, imdb_netflix_v5!A$2:H$7370, 4, FALSE), "")</f>
        <v>7.2</v>
      </c>
      <c r="E4869" s="2">
        <f>IF(A4869&lt;&gt;"", VLOOKUP(A4869, imdb_netflix_v5!A$2:H$7370, 5, FALSE), "")</f>
        <v>2000</v>
      </c>
      <c r="F4869" s="2" t="str">
        <f>IF(A4869&lt;&gt;"", VLOOKUP(A4869, imdb_netflix_v5!A$2:H$7370, 7, FALSE), "")</f>
        <v>NA</v>
      </c>
    </row>
    <row r="4870" ht="15.75" customHeight="1">
      <c r="A4870" s="1" t="str">
        <f>IFERROR(__xludf.DUMMYFUNCTION("""COMPUTED_VALUE"""),"red dragon")</f>
        <v>red dragon</v>
      </c>
      <c r="B4870" s="1" t="str">
        <f>IF(A4870&lt;&gt;"", VLOOKUP(A4870, imdb_netflix_v5!A$2:H$7370, 2, FALSE), "")</f>
        <v>Movie</v>
      </c>
      <c r="C4870" s="2" t="str">
        <f>IF(A4870&lt;&gt;"", VLOOKUP(A4870, imdb_netflix_v5!A$2:H$7370, 3, FALSE), "")</f>
        <v>Crime, Drama, Thriller</v>
      </c>
      <c r="D4870" s="2">
        <f>IF(A4870&lt;&gt;"", VLOOKUP(A4870, imdb_netflix_v5!A$2:H$7370, 4, FALSE), "")</f>
        <v>7.2</v>
      </c>
      <c r="E4870" s="2">
        <f>IF(A4870&lt;&gt;"", VLOOKUP(A4870, imdb_netflix_v5!A$2:H$7370, 5, FALSE), "")</f>
        <v>2002</v>
      </c>
      <c r="F4870" s="2" t="str">
        <f>IF(A4870&lt;&gt;"", VLOOKUP(A4870, imdb_netflix_v5!A$2:H$7370, 7, FALSE), "")</f>
        <v>NA</v>
      </c>
    </row>
    <row r="4871" ht="15.75" customHeight="1">
      <c r="A4871" s="1" t="str">
        <f>IFERROR(__xludf.DUMMYFUNCTION("""COMPUTED_VALUE"""),"a quiet place part ii")</f>
        <v>a quiet place part ii</v>
      </c>
      <c r="B4871" s="1" t="str">
        <f>IF(A4871&lt;&gt;"", VLOOKUP(A4871, imdb_netflix_v5!A$2:H$7370, 2, FALSE), "")</f>
        <v>Movie</v>
      </c>
      <c r="C4871" s="2" t="str">
        <f>IF(A4871&lt;&gt;"", VLOOKUP(A4871, imdb_netflix_v5!A$2:H$7370, 3, FALSE), "")</f>
        <v>Drama, Horror, Sci-Fi</v>
      </c>
      <c r="D4871" s="2">
        <f>IF(A4871&lt;&gt;"", VLOOKUP(A4871, imdb_netflix_v5!A$2:H$7370, 4, FALSE), "")</f>
        <v>7.2</v>
      </c>
      <c r="E4871" s="2">
        <f>IF(A4871&lt;&gt;"", VLOOKUP(A4871, imdb_netflix_v5!A$2:H$7370, 5, FALSE), "")</f>
        <v>2020</v>
      </c>
      <c r="F4871" s="2">
        <f>IF(A4871&lt;&gt;"", VLOOKUP(A4871, imdb_netflix_v5!A$2:H$7370, 7, FALSE), "")</f>
        <v>5750000</v>
      </c>
    </row>
    <row r="4872" ht="15.75" customHeight="1">
      <c r="A4872" s="1" t="str">
        <f>IFERROR(__xludf.DUMMYFUNCTION("""COMPUTED_VALUE"""),"goldeneye")</f>
        <v>goldeneye</v>
      </c>
      <c r="B4872" s="1" t="str">
        <f>IF(A4872&lt;&gt;"", VLOOKUP(A4872, imdb_netflix_v5!A$2:H$7370, 2, FALSE), "")</f>
        <v>Movie</v>
      </c>
      <c r="C4872" s="2" t="str">
        <f>IF(A4872&lt;&gt;"", VLOOKUP(A4872, imdb_netflix_v5!A$2:H$7370, 3, FALSE), "")</f>
        <v>Action, Adventure, Thriller</v>
      </c>
      <c r="D4872" s="2">
        <f>IF(A4872&lt;&gt;"", VLOOKUP(A4872, imdb_netflix_v5!A$2:H$7370, 4, FALSE), "")</f>
        <v>7.2</v>
      </c>
      <c r="E4872" s="2">
        <f>IF(A4872&lt;&gt;"", VLOOKUP(A4872, imdb_netflix_v5!A$2:H$7370, 5, FALSE), "")</f>
        <v>1995</v>
      </c>
      <c r="F4872" s="2" t="str">
        <f>IF(A4872&lt;&gt;"", VLOOKUP(A4872, imdb_netflix_v5!A$2:H$7370, 7, FALSE), "")</f>
        <v>NA</v>
      </c>
    </row>
    <row r="4873" ht="15.75" customHeight="1">
      <c r="A4873" s="1" t="str">
        <f>IFERROR(__xludf.DUMMYFUNCTION("""COMPUTED_VALUE"""),"encanto")</f>
        <v>encanto</v>
      </c>
      <c r="B4873" s="1" t="str">
        <f>IF(A4873&lt;&gt;"", VLOOKUP(A4873, imdb_netflix_v5!A$2:H$7370, 2, FALSE), "")</f>
        <v>Movie</v>
      </c>
      <c r="C4873" s="2" t="str">
        <f>IF(A4873&lt;&gt;"", VLOOKUP(A4873, imdb_netflix_v5!A$2:H$7370, 3, FALSE), "")</f>
        <v>Animation, Comedy, Family</v>
      </c>
      <c r="D4873" s="2">
        <f>IF(A4873&lt;&gt;"", VLOOKUP(A4873, imdb_netflix_v5!A$2:H$7370, 4, FALSE), "")</f>
        <v>7.2</v>
      </c>
      <c r="E4873" s="2">
        <f>IF(A4873&lt;&gt;"", VLOOKUP(A4873, imdb_netflix_v5!A$2:H$7370, 5, FALSE), "")</f>
        <v>2021</v>
      </c>
      <c r="F4873" s="2" t="str">
        <f>IF(A4873&lt;&gt;"", VLOOKUP(A4873, imdb_netflix_v5!A$2:H$7370, 7, FALSE), "")</f>
        <v>NA</v>
      </c>
    </row>
    <row r="4874" ht="15.75" customHeight="1">
      <c r="A4874" s="1" t="str">
        <f>IFERROR(__xludf.DUMMYFUNCTION("""COMPUTED_VALUE"""),"meet joe black")</f>
        <v>meet joe black</v>
      </c>
      <c r="B4874" s="1" t="str">
        <f>IF(A4874&lt;&gt;"", VLOOKUP(A4874, imdb_netflix_v5!A$2:H$7370, 2, FALSE), "")</f>
        <v>Movie</v>
      </c>
      <c r="C4874" s="2" t="str">
        <f>IF(A4874&lt;&gt;"", VLOOKUP(A4874, imdb_netflix_v5!A$2:H$7370, 3, FALSE), "")</f>
        <v>Drama, Fantasy, Romance</v>
      </c>
      <c r="D4874" s="2">
        <f>IF(A4874&lt;&gt;"", VLOOKUP(A4874, imdb_netflix_v5!A$2:H$7370, 4, FALSE), "")</f>
        <v>7.2</v>
      </c>
      <c r="E4874" s="2">
        <f>IF(A4874&lt;&gt;"", VLOOKUP(A4874, imdb_netflix_v5!A$2:H$7370, 5, FALSE), "")</f>
        <v>1998</v>
      </c>
      <c r="F4874" s="2" t="str">
        <f>IF(A4874&lt;&gt;"", VLOOKUP(A4874, imdb_netflix_v5!A$2:H$7370, 7, FALSE), "")</f>
        <v>NA</v>
      </c>
    </row>
    <row r="4875" ht="15.75" customHeight="1">
      <c r="A4875" s="1" t="str">
        <f>IFERROR(__xludf.DUMMYFUNCTION("""COMPUTED_VALUE"""),"rocknrolla")</f>
        <v>rocknrolla</v>
      </c>
      <c r="B4875" s="1" t="str">
        <f>IF(A4875&lt;&gt;"", VLOOKUP(A4875, imdb_netflix_v5!A$2:H$7370, 2, FALSE), "")</f>
        <v>Movie</v>
      </c>
      <c r="C4875" s="2" t="str">
        <f>IF(A4875&lt;&gt;"", VLOOKUP(A4875, imdb_netflix_v5!A$2:H$7370, 3, FALSE), "")</f>
        <v>Action, Crime, Thriller</v>
      </c>
      <c r="D4875" s="2">
        <f>IF(A4875&lt;&gt;"", VLOOKUP(A4875, imdb_netflix_v5!A$2:H$7370, 4, FALSE), "")</f>
        <v>7.2</v>
      </c>
      <c r="E4875" s="2">
        <f>IF(A4875&lt;&gt;"", VLOOKUP(A4875, imdb_netflix_v5!A$2:H$7370, 5, FALSE), "")</f>
        <v>2008</v>
      </c>
      <c r="F4875" s="2" t="str">
        <f>IF(A4875&lt;&gt;"", VLOOKUP(A4875, imdb_netflix_v5!A$2:H$7370, 7, FALSE), "")</f>
        <v>NA</v>
      </c>
    </row>
    <row r="4876" ht="15.75" customHeight="1">
      <c r="A4876" s="1" t="str">
        <f>IFERROR(__xludf.DUMMYFUNCTION("""COMPUTED_VALUE"""),"the road")</f>
        <v>the road</v>
      </c>
      <c r="B4876" s="1" t="str">
        <f>IF(A4876&lt;&gt;"", VLOOKUP(A4876, imdb_netflix_v5!A$2:H$7370, 2, FALSE), "")</f>
        <v>Movie</v>
      </c>
      <c r="C4876" s="2" t="str">
        <f>IF(A4876&lt;&gt;"", VLOOKUP(A4876, imdb_netflix_v5!A$2:H$7370, 3, FALSE), "")</f>
        <v>Drama, Thriller</v>
      </c>
      <c r="D4876" s="2">
        <f>IF(A4876&lt;&gt;"", VLOOKUP(A4876, imdb_netflix_v5!A$2:H$7370, 4, FALSE), "")</f>
        <v>7.2</v>
      </c>
      <c r="E4876" s="2">
        <f>IF(A4876&lt;&gt;"", VLOOKUP(A4876, imdb_netflix_v5!A$2:H$7370, 5, FALSE), "")</f>
        <v>2009</v>
      </c>
      <c r="F4876" s="2" t="str">
        <f>IF(A4876&lt;&gt;"", VLOOKUP(A4876, imdb_netflix_v5!A$2:H$7370, 7, FALSE), "")</f>
        <v>NA</v>
      </c>
    </row>
    <row r="4877" ht="15.75" customHeight="1">
      <c r="A4877" s="1" t="str">
        <f>IFERROR(__xludf.DUMMYFUNCTION("""COMPUTED_VALUE"""),"natural born killers")</f>
        <v>natural born killers</v>
      </c>
      <c r="B4877" s="1" t="str">
        <f>IF(A4877&lt;&gt;"", VLOOKUP(A4877, imdb_netflix_v5!A$2:H$7370, 2, FALSE), "")</f>
        <v>Movie</v>
      </c>
      <c r="C4877" s="2" t="str">
        <f>IF(A4877&lt;&gt;"", VLOOKUP(A4877, imdb_netflix_v5!A$2:H$7370, 3, FALSE), "")</f>
        <v>Crime, Romance</v>
      </c>
      <c r="D4877" s="2">
        <f>IF(A4877&lt;&gt;"", VLOOKUP(A4877, imdb_netflix_v5!A$2:H$7370, 4, FALSE), "")</f>
        <v>7.2</v>
      </c>
      <c r="E4877" s="2">
        <f>IF(A4877&lt;&gt;"", VLOOKUP(A4877, imdb_netflix_v5!A$2:H$7370, 5, FALSE), "")</f>
        <v>1994</v>
      </c>
      <c r="F4877" s="2" t="str">
        <f>IF(A4877&lt;&gt;"", VLOOKUP(A4877, imdb_netflix_v5!A$2:H$7370, 7, FALSE), "")</f>
        <v>NA</v>
      </c>
    </row>
    <row r="4878" ht="15.75" customHeight="1">
      <c r="A4878" s="1" t="str">
        <f>IFERROR(__xludf.DUMMYFUNCTION("""COMPUTED_VALUE"""),"lawless")</f>
        <v>lawless</v>
      </c>
      <c r="B4878" s="1" t="str">
        <f>IF(A4878&lt;&gt;"", VLOOKUP(A4878, imdb_netflix_v5!A$2:H$7370, 2, FALSE), "")</f>
        <v>Movie</v>
      </c>
      <c r="C4878" s="2" t="str">
        <f>IF(A4878&lt;&gt;"", VLOOKUP(A4878, imdb_netflix_v5!A$2:H$7370, 3, FALSE), "")</f>
        <v>Biography, Crime, Drama</v>
      </c>
      <c r="D4878" s="2">
        <f>IF(A4878&lt;&gt;"", VLOOKUP(A4878, imdb_netflix_v5!A$2:H$7370, 4, FALSE), "")</f>
        <v>7.2</v>
      </c>
      <c r="E4878" s="2">
        <f>IF(A4878&lt;&gt;"", VLOOKUP(A4878, imdb_netflix_v5!A$2:H$7370, 5, FALSE), "")</f>
        <v>2012</v>
      </c>
      <c r="F4878" s="2" t="str">
        <f>IF(A4878&lt;&gt;"", VLOOKUP(A4878, imdb_netflix_v5!A$2:H$7370, 7, FALSE), "")</f>
        <v>NA</v>
      </c>
    </row>
    <row r="4879" ht="15.75" customHeight="1">
      <c r="A4879" s="1" t="str">
        <f>IFERROR(__xludf.DUMMYFUNCTION("""COMPUTED_VALUE"""),"the descent")</f>
        <v>the descent</v>
      </c>
      <c r="B4879" s="1" t="str">
        <f>IF(A4879&lt;&gt;"", VLOOKUP(A4879, imdb_netflix_v5!A$2:H$7370, 2, FALSE), "")</f>
        <v>Movie</v>
      </c>
      <c r="C4879" s="2" t="str">
        <f>IF(A4879&lt;&gt;"", VLOOKUP(A4879, imdb_netflix_v5!A$2:H$7370, 3, FALSE), "")</f>
        <v>Adventure, Horror, Thriller</v>
      </c>
      <c r="D4879" s="2">
        <f>IF(A4879&lt;&gt;"", VLOOKUP(A4879, imdb_netflix_v5!A$2:H$7370, 4, FALSE), "")</f>
        <v>7.2</v>
      </c>
      <c r="E4879" s="2">
        <f>IF(A4879&lt;&gt;"", VLOOKUP(A4879, imdb_netflix_v5!A$2:H$7370, 5, FALSE), "")</f>
        <v>2005</v>
      </c>
      <c r="F4879" s="2" t="str">
        <f>IF(A4879&lt;&gt;"", VLOOKUP(A4879, imdb_netflix_v5!A$2:H$7370, 7, FALSE), "")</f>
        <v>NA</v>
      </c>
    </row>
    <row r="4880" ht="15.75" customHeight="1">
      <c r="A4880" s="1" t="str">
        <f>IFERROR(__xludf.DUMMYFUNCTION("""COMPUTED_VALUE"""),"the passion of the christ")</f>
        <v>the passion of the christ</v>
      </c>
      <c r="B4880" s="1" t="str">
        <f>IF(A4880&lt;&gt;"", VLOOKUP(A4880, imdb_netflix_v5!A$2:H$7370, 2, FALSE), "")</f>
        <v>Movie</v>
      </c>
      <c r="C4880" s="2" t="str">
        <f>IF(A4880&lt;&gt;"", VLOOKUP(A4880, imdb_netflix_v5!A$2:H$7370, 3, FALSE), "")</f>
        <v>Drama</v>
      </c>
      <c r="D4880" s="2">
        <f>IF(A4880&lt;&gt;"", VLOOKUP(A4880, imdb_netflix_v5!A$2:H$7370, 4, FALSE), "")</f>
        <v>7.2</v>
      </c>
      <c r="E4880" s="2">
        <f>IF(A4880&lt;&gt;"", VLOOKUP(A4880, imdb_netflix_v5!A$2:H$7370, 5, FALSE), "")</f>
        <v>2004</v>
      </c>
      <c r="F4880" s="2" t="str">
        <f>IF(A4880&lt;&gt;"", VLOOKUP(A4880, imdb_netflix_v5!A$2:H$7370, 7, FALSE), "")</f>
        <v>NA</v>
      </c>
    </row>
    <row r="4881" ht="15.75" customHeight="1">
      <c r="A4881" s="1" t="str">
        <f>IFERROR(__xludf.DUMMYFUNCTION("""COMPUTED_VALUE"""),"the fountain")</f>
        <v>the fountain</v>
      </c>
      <c r="B4881" s="1" t="str">
        <f>IF(A4881&lt;&gt;"", VLOOKUP(A4881, imdb_netflix_v5!A$2:H$7370, 2, FALSE), "")</f>
        <v>Movie</v>
      </c>
      <c r="C4881" s="2" t="str">
        <f>IF(A4881&lt;&gt;"", VLOOKUP(A4881, imdb_netflix_v5!A$2:H$7370, 3, FALSE), "")</f>
        <v>Drama, Mystery, Romance</v>
      </c>
      <c r="D4881" s="2">
        <f>IF(A4881&lt;&gt;"", VLOOKUP(A4881, imdb_netflix_v5!A$2:H$7370, 4, FALSE), "")</f>
        <v>7.2</v>
      </c>
      <c r="E4881" s="2">
        <f>IF(A4881&lt;&gt;"", VLOOKUP(A4881, imdb_netflix_v5!A$2:H$7370, 5, FALSE), "")</f>
        <v>2006</v>
      </c>
      <c r="F4881" s="2" t="str">
        <f>IF(A4881&lt;&gt;"", VLOOKUP(A4881, imdb_netflix_v5!A$2:H$7370, 7, FALSE), "")</f>
        <v>NA</v>
      </c>
    </row>
    <row r="4882" ht="15.75" customHeight="1">
      <c r="A4882" s="1" t="str">
        <f>IFERROR(__xludf.DUMMYFUNCTION("""COMPUTED_VALUE"""),"dungeons &amp; dragons honor among thieves")</f>
        <v>dungeons &amp; dragons honor among thieves</v>
      </c>
      <c r="B4882" s="1" t="str">
        <f>IF(A4882&lt;&gt;"", VLOOKUP(A4882, imdb_netflix_v5!A$2:H$7370, 2, FALSE), "")</f>
        <v>Movie</v>
      </c>
      <c r="C4882" s="2" t="str">
        <f>IF(A4882&lt;&gt;"", VLOOKUP(A4882, imdb_netflix_v5!A$2:H$7370, 3, FALSE), "")</f>
        <v>Action, Adventure, Comedy</v>
      </c>
      <c r="D4882" s="2">
        <f>IF(A4882&lt;&gt;"", VLOOKUP(A4882, imdb_netflix_v5!A$2:H$7370, 4, FALSE), "")</f>
        <v>7.2</v>
      </c>
      <c r="E4882" s="2">
        <f>IF(A4882&lt;&gt;"", VLOOKUP(A4882, imdb_netflix_v5!A$2:H$7370, 5, FALSE), "")</f>
        <v>2023</v>
      </c>
      <c r="F4882" s="2" t="str">
        <f>IF(A4882&lt;&gt;"", VLOOKUP(A4882, imdb_netflix_v5!A$2:H$7370, 7, FALSE), "")</f>
        <v>NA</v>
      </c>
    </row>
    <row r="4883" ht="15.75" customHeight="1">
      <c r="A4883" s="1" t="str">
        <f>IFERROR(__xludf.DUMMYFUNCTION("""COMPUTED_VALUE"""),"chicago")</f>
        <v>chicago</v>
      </c>
      <c r="B4883" s="1" t="str">
        <f>IF(A4883&lt;&gt;"", VLOOKUP(A4883, imdb_netflix_v5!A$2:H$7370, 2, FALSE), "")</f>
        <v>Movie</v>
      </c>
      <c r="C4883" s="2" t="str">
        <f>IF(A4883&lt;&gt;"", VLOOKUP(A4883, imdb_netflix_v5!A$2:H$7370, 3, FALSE), "")</f>
        <v>Comedy, Crime, Musical</v>
      </c>
      <c r="D4883" s="2">
        <f>IF(A4883&lt;&gt;"", VLOOKUP(A4883, imdb_netflix_v5!A$2:H$7370, 4, FALSE), "")</f>
        <v>7.2</v>
      </c>
      <c r="E4883" s="2">
        <f>IF(A4883&lt;&gt;"", VLOOKUP(A4883, imdb_netflix_v5!A$2:H$7370, 5, FALSE), "")</f>
        <v>2002</v>
      </c>
      <c r="F4883" s="2" t="str">
        <f>IF(A4883&lt;&gt;"", VLOOKUP(A4883, imdb_netflix_v5!A$2:H$7370, 7, FALSE), "")</f>
        <v>NA</v>
      </c>
    </row>
    <row r="4884" ht="15.75" customHeight="1">
      <c r="A4884" s="1" t="str">
        <f>IFERROR(__xludf.DUMMYFUNCTION("""COMPUTED_VALUE"""),"closer")</f>
        <v>closer</v>
      </c>
      <c r="B4884" s="1" t="str">
        <f>IF(A4884&lt;&gt;"", VLOOKUP(A4884, imdb_netflix_v5!A$2:H$7370, 2, FALSE), "")</f>
        <v>Movie</v>
      </c>
      <c r="C4884" s="2" t="str">
        <f>IF(A4884&lt;&gt;"", VLOOKUP(A4884, imdb_netflix_v5!A$2:H$7370, 3, FALSE), "")</f>
        <v>Drama, Romance</v>
      </c>
      <c r="D4884" s="2">
        <f>IF(A4884&lt;&gt;"", VLOOKUP(A4884, imdb_netflix_v5!A$2:H$7370, 4, FALSE), "")</f>
        <v>7.2</v>
      </c>
      <c r="E4884" s="2">
        <f>IF(A4884&lt;&gt;"", VLOOKUP(A4884, imdb_netflix_v5!A$2:H$7370, 5, FALSE), "")</f>
        <v>2004</v>
      </c>
      <c r="F4884" s="2" t="str">
        <f>IF(A4884&lt;&gt;"", VLOOKUP(A4884, imdb_netflix_v5!A$2:H$7370, 7, FALSE), "")</f>
        <v>NA</v>
      </c>
    </row>
    <row r="4885" ht="15.75" customHeight="1">
      <c r="A4885" s="1" t="str">
        <f>IFERROR(__xludf.DUMMYFUNCTION("""COMPUTED_VALUE"""),"fracture")</f>
        <v>fracture</v>
      </c>
      <c r="B4885" s="1" t="str">
        <f>IF(A4885&lt;&gt;"", VLOOKUP(A4885, imdb_netflix_v5!A$2:H$7370, 2, FALSE), "")</f>
        <v>Movie</v>
      </c>
      <c r="C4885" s="2" t="str">
        <f>IF(A4885&lt;&gt;"", VLOOKUP(A4885, imdb_netflix_v5!A$2:H$7370, 3, FALSE), "")</f>
        <v>Crime, Drama, Thriller</v>
      </c>
      <c r="D4885" s="2">
        <f>IF(A4885&lt;&gt;"", VLOOKUP(A4885, imdb_netflix_v5!A$2:H$7370, 4, FALSE), "")</f>
        <v>7.2</v>
      </c>
      <c r="E4885" s="2">
        <f>IF(A4885&lt;&gt;"", VLOOKUP(A4885, imdb_netflix_v5!A$2:H$7370, 5, FALSE), "")</f>
        <v>2007</v>
      </c>
      <c r="F4885" s="2" t="str">
        <f>IF(A4885&lt;&gt;"", VLOOKUP(A4885, imdb_netflix_v5!A$2:H$7370, 7, FALSE), "")</f>
        <v>NA</v>
      </c>
    </row>
    <row r="4886" ht="15.75" customHeight="1">
      <c r="A4886" s="1" t="str">
        <f>IFERROR(__xludf.DUMMYFUNCTION("""COMPUTED_VALUE"""),"the darjeeling limited")</f>
        <v>the darjeeling limited</v>
      </c>
      <c r="B4886" s="1" t="str">
        <f>IF(A4886&lt;&gt;"", VLOOKUP(A4886, imdb_netflix_v5!A$2:H$7370, 2, FALSE), "")</f>
        <v>Movie</v>
      </c>
      <c r="C4886" s="2" t="str">
        <f>IF(A4886&lt;&gt;"", VLOOKUP(A4886, imdb_netflix_v5!A$2:H$7370, 3, FALSE), "")</f>
        <v>Adventure, Comedy, Drama</v>
      </c>
      <c r="D4886" s="2">
        <f>IF(A4886&lt;&gt;"", VLOOKUP(A4886, imdb_netflix_v5!A$2:H$7370, 4, FALSE), "")</f>
        <v>7.2</v>
      </c>
      <c r="E4886" s="2">
        <f>IF(A4886&lt;&gt;"", VLOOKUP(A4886, imdb_netflix_v5!A$2:H$7370, 5, FALSE), "")</f>
        <v>2007</v>
      </c>
      <c r="F4886" s="2" t="str">
        <f>IF(A4886&lt;&gt;"", VLOOKUP(A4886, imdb_netflix_v5!A$2:H$7370, 7, FALSE), "")</f>
        <v>NA</v>
      </c>
    </row>
    <row r="4887" ht="15.75" customHeight="1">
      <c r="A4887" s="1" t="str">
        <f>IFERROR(__xludf.DUMMYFUNCTION("""COMPUTED_VALUE"""),"the life aquatic with steve zissou")</f>
        <v>the life aquatic with steve zissou</v>
      </c>
      <c r="B4887" s="1" t="str">
        <f>IF(A4887&lt;&gt;"", VLOOKUP(A4887, imdb_netflix_v5!A$2:H$7370, 2, FALSE), "")</f>
        <v>Movie</v>
      </c>
      <c r="C4887" s="2" t="str">
        <f>IF(A4887&lt;&gt;"", VLOOKUP(A4887, imdb_netflix_v5!A$2:H$7370, 3, FALSE), "")</f>
        <v>Action, Adventure, Comedy</v>
      </c>
      <c r="D4887" s="2">
        <f>IF(A4887&lt;&gt;"", VLOOKUP(A4887, imdb_netflix_v5!A$2:H$7370, 4, FALSE), "")</f>
        <v>7.2</v>
      </c>
      <c r="E4887" s="2">
        <f>IF(A4887&lt;&gt;"", VLOOKUP(A4887, imdb_netflix_v5!A$2:H$7370, 5, FALSE), "")</f>
        <v>2004</v>
      </c>
      <c r="F4887" s="2" t="str">
        <f>IF(A4887&lt;&gt;"", VLOOKUP(A4887, imdb_netflix_v5!A$2:H$7370, 7, FALSE), "")</f>
        <v>NA</v>
      </c>
    </row>
    <row r="4888" ht="15.75" customHeight="1">
      <c r="A4888" s="1" t="str">
        <f>IFERROR(__xludf.DUMMYFUNCTION("""COMPUTED_VALUE"""),"the age of adaline")</f>
        <v>the age of adaline</v>
      </c>
      <c r="B4888" s="1" t="str">
        <f>IF(A4888&lt;&gt;"", VLOOKUP(A4888, imdb_netflix_v5!A$2:H$7370, 2, FALSE), "")</f>
        <v>Movie</v>
      </c>
      <c r="C4888" s="2" t="str">
        <f>IF(A4888&lt;&gt;"", VLOOKUP(A4888, imdb_netflix_v5!A$2:H$7370, 3, FALSE), "")</f>
        <v>Drama, Fantasy, Romance</v>
      </c>
      <c r="D4888" s="2">
        <f>IF(A4888&lt;&gt;"", VLOOKUP(A4888, imdb_netflix_v5!A$2:H$7370, 4, FALSE), "")</f>
        <v>7.2</v>
      </c>
      <c r="E4888" s="2">
        <f>IF(A4888&lt;&gt;"", VLOOKUP(A4888, imdb_netflix_v5!A$2:H$7370, 5, FALSE), "")</f>
        <v>2015</v>
      </c>
      <c r="F4888" s="2">
        <f>IF(A4888&lt;&gt;"", VLOOKUP(A4888, imdb_netflix_v5!A$2:H$7370, 7, FALSE), "")</f>
        <v>9340000</v>
      </c>
    </row>
    <row r="4889" ht="15.75" customHeight="1">
      <c r="A4889" s="1" t="str">
        <f>IFERROR(__xludf.DUMMYFUNCTION("""COMPUTED_VALUE"""),"chocolat")</f>
        <v>chocolat</v>
      </c>
      <c r="B4889" s="1" t="str">
        <f>IF(A4889&lt;&gt;"", VLOOKUP(A4889, imdb_netflix_v5!A$2:H$7370, 2, FALSE), "")</f>
        <v>Movie</v>
      </c>
      <c r="C4889" s="2" t="str">
        <f>IF(A4889&lt;&gt;"", VLOOKUP(A4889, imdb_netflix_v5!A$2:H$7370, 3, FALSE), "")</f>
        <v>Drama, Romance</v>
      </c>
      <c r="D4889" s="2">
        <f>IF(A4889&lt;&gt;"", VLOOKUP(A4889, imdb_netflix_v5!A$2:H$7370, 4, FALSE), "")</f>
        <v>7.2</v>
      </c>
      <c r="E4889" s="2">
        <f>IF(A4889&lt;&gt;"", VLOOKUP(A4889, imdb_netflix_v5!A$2:H$7370, 5, FALSE), "")</f>
        <v>2000</v>
      </c>
      <c r="F4889" s="2" t="str">
        <f>IF(A4889&lt;&gt;"", VLOOKUP(A4889, imdb_netflix_v5!A$2:H$7370, 7, FALSE), "")</f>
        <v>NA</v>
      </c>
    </row>
    <row r="4890" ht="15.75" customHeight="1">
      <c r="A4890" s="1" t="str">
        <f>IFERROR(__xludf.DUMMYFUNCTION("""COMPUTED_VALUE"""),"ronin")</f>
        <v>ronin</v>
      </c>
      <c r="B4890" s="1" t="str">
        <f>IF(A4890&lt;&gt;"", VLOOKUP(A4890, imdb_netflix_v5!A$2:H$7370, 2, FALSE), "")</f>
        <v>Movie</v>
      </c>
      <c r="C4890" s="2" t="str">
        <f>IF(A4890&lt;&gt;"", VLOOKUP(A4890, imdb_netflix_v5!A$2:H$7370, 3, FALSE), "")</f>
        <v>Action, Crime, Thriller</v>
      </c>
      <c r="D4890" s="2">
        <f>IF(A4890&lt;&gt;"", VLOOKUP(A4890, imdb_netflix_v5!A$2:H$7370, 4, FALSE), "")</f>
        <v>7.2</v>
      </c>
      <c r="E4890" s="2">
        <f>IF(A4890&lt;&gt;"", VLOOKUP(A4890, imdb_netflix_v5!A$2:H$7370, 5, FALSE), "")</f>
        <v>1998</v>
      </c>
      <c r="F4890" s="2" t="str">
        <f>IF(A4890&lt;&gt;"", VLOOKUP(A4890, imdb_netflix_v5!A$2:H$7370, 7, FALSE), "")</f>
        <v>NA</v>
      </c>
    </row>
    <row r="4891" ht="15.75" customHeight="1">
      <c r="A4891" s="1" t="str">
        <f>IFERROR(__xludf.DUMMYFUNCTION("""COMPUTED_VALUE"""),"rise of the guardians")</f>
        <v>rise of the guardians</v>
      </c>
      <c r="B4891" s="1" t="str">
        <f>IF(A4891&lt;&gt;"", VLOOKUP(A4891, imdb_netflix_v5!A$2:H$7370, 2, FALSE), "")</f>
        <v>Movie</v>
      </c>
      <c r="C4891" s="2" t="str">
        <f>IF(A4891&lt;&gt;"", VLOOKUP(A4891, imdb_netflix_v5!A$2:H$7370, 3, FALSE), "")</f>
        <v>Action, Adventure, Animation</v>
      </c>
      <c r="D4891" s="2">
        <f>IF(A4891&lt;&gt;"", VLOOKUP(A4891, imdb_netflix_v5!A$2:H$7370, 4, FALSE), "")</f>
        <v>7.2</v>
      </c>
      <c r="E4891" s="2">
        <f>IF(A4891&lt;&gt;"", VLOOKUP(A4891, imdb_netflix_v5!A$2:H$7370, 5, FALSE), "")</f>
        <v>2012</v>
      </c>
      <c r="F4891" s="2" t="str">
        <f>IF(A4891&lt;&gt;"", VLOOKUP(A4891, imdb_netflix_v5!A$2:H$7370, 7, FALSE), "")</f>
        <v>NA</v>
      </c>
    </row>
    <row r="4892" ht="15.75" customHeight="1">
      <c r="A4892" s="1" t="str">
        <f>IFERROR(__xludf.DUMMYFUNCTION("""COMPUTED_VALUE"""),"the book of boba fett")</f>
        <v>the book of boba fett</v>
      </c>
      <c r="B4892" s="1" t="str">
        <f>IF(A4892&lt;&gt;"", VLOOKUP(A4892, imdb_netflix_v5!A$2:H$7370, 2, FALSE), "")</f>
        <v>TV Show</v>
      </c>
      <c r="C4892" s="2" t="str">
        <f>IF(A4892&lt;&gt;"", VLOOKUP(A4892, imdb_netflix_v5!A$2:H$7370, 3, FALSE), "")</f>
        <v>Action, Adventure, Sci-Fi</v>
      </c>
      <c r="D4892" s="2">
        <f>IF(A4892&lt;&gt;"", VLOOKUP(A4892, imdb_netflix_v5!A$2:H$7370, 4, FALSE), "")</f>
        <v>7.2</v>
      </c>
      <c r="E4892" s="2">
        <f>IF(A4892&lt;&gt;"", VLOOKUP(A4892, imdb_netflix_v5!A$2:H$7370, 5, FALSE), "")</f>
        <v>2021</v>
      </c>
      <c r="F4892" s="2" t="str">
        <f>IF(A4892&lt;&gt;"", VLOOKUP(A4892, imdb_netflix_v5!A$2:H$7370, 7, FALSE), "")</f>
        <v>NA</v>
      </c>
    </row>
    <row r="4893" ht="15.75" customHeight="1">
      <c r="A4893" s="1" t="str">
        <f>IFERROR(__xludf.DUMMYFUNCTION("""COMPUTED_VALUE"""),"the bank job")</f>
        <v>the bank job</v>
      </c>
      <c r="B4893" s="1" t="str">
        <f>IF(A4893&lt;&gt;"", VLOOKUP(A4893, imdb_netflix_v5!A$2:H$7370, 2, FALSE), "")</f>
        <v>Movie</v>
      </c>
      <c r="C4893" s="2" t="str">
        <f>IF(A4893&lt;&gt;"", VLOOKUP(A4893, imdb_netflix_v5!A$2:H$7370, 3, FALSE), "")</f>
        <v>Crime, Thriller</v>
      </c>
      <c r="D4893" s="2">
        <f>IF(A4893&lt;&gt;"", VLOOKUP(A4893, imdb_netflix_v5!A$2:H$7370, 4, FALSE), "")</f>
        <v>7.2</v>
      </c>
      <c r="E4893" s="2">
        <f>IF(A4893&lt;&gt;"", VLOOKUP(A4893, imdb_netflix_v5!A$2:H$7370, 5, FALSE), "")</f>
        <v>2008</v>
      </c>
      <c r="F4893" s="2" t="str">
        <f>IF(A4893&lt;&gt;"", VLOOKUP(A4893, imdb_netflix_v5!A$2:H$7370, 7, FALSE), "")</f>
        <v>NA</v>
      </c>
    </row>
    <row r="4894" ht="15.75" customHeight="1">
      <c r="A4894" s="1" t="str">
        <f>IFERROR(__xludf.DUMMYFUNCTION("""COMPUTED_VALUE"""),"unbroken")</f>
        <v>unbroken</v>
      </c>
      <c r="B4894" s="1" t="str">
        <f>IF(A4894&lt;&gt;"", VLOOKUP(A4894, imdb_netflix_v5!A$2:H$7370, 2, FALSE), "")</f>
        <v>Movie</v>
      </c>
      <c r="C4894" s="2" t="str">
        <f>IF(A4894&lt;&gt;"", VLOOKUP(A4894, imdb_netflix_v5!A$2:H$7370, 3, FALSE), "")</f>
        <v>Biography, Drama, Sport</v>
      </c>
      <c r="D4894" s="2">
        <f>IF(A4894&lt;&gt;"", VLOOKUP(A4894, imdb_netflix_v5!A$2:H$7370, 4, FALSE), "")</f>
        <v>7.2</v>
      </c>
      <c r="E4894" s="2">
        <f>IF(A4894&lt;&gt;"", VLOOKUP(A4894, imdb_netflix_v5!A$2:H$7370, 5, FALSE), "")</f>
        <v>2014</v>
      </c>
      <c r="F4894" s="2" t="str">
        <f>IF(A4894&lt;&gt;"", VLOOKUP(A4894, imdb_netflix_v5!A$2:H$7370, 7, FALSE), "")</f>
        <v>NA</v>
      </c>
    </row>
    <row r="4895" ht="15.75" customHeight="1">
      <c r="A4895" s="1" t="str">
        <f>IFERROR(__xludf.DUMMYFUNCTION("""COMPUTED_VALUE"""),"the founder")</f>
        <v>the founder</v>
      </c>
      <c r="B4895" s="1" t="str">
        <f>IF(A4895&lt;&gt;"", VLOOKUP(A4895, imdb_netflix_v5!A$2:H$7370, 2, FALSE), "")</f>
        <v>Movie</v>
      </c>
      <c r="C4895" s="2" t="str">
        <f>IF(A4895&lt;&gt;"", VLOOKUP(A4895, imdb_netflix_v5!A$2:H$7370, 3, FALSE), "")</f>
        <v>Biography, Drama</v>
      </c>
      <c r="D4895" s="2">
        <f>IF(A4895&lt;&gt;"", VLOOKUP(A4895, imdb_netflix_v5!A$2:H$7370, 4, FALSE), "")</f>
        <v>7.2</v>
      </c>
      <c r="E4895" s="2">
        <f>IF(A4895&lt;&gt;"", VLOOKUP(A4895, imdb_netflix_v5!A$2:H$7370, 5, FALSE), "")</f>
        <v>2016</v>
      </c>
      <c r="F4895" s="2" t="str">
        <f>IF(A4895&lt;&gt;"", VLOOKUP(A4895, imdb_netflix_v5!A$2:H$7370, 7, FALSE), "")</f>
        <v>NA</v>
      </c>
    </row>
    <row r="4896" ht="15.75" customHeight="1">
      <c r="A4896" s="1" t="str">
        <f>IFERROR(__xludf.DUMMYFUNCTION("""COMPUTED_VALUE"""),"dr. no")</f>
        <v>dr. no</v>
      </c>
      <c r="B4896" s="1" t="str">
        <f>IF(A4896&lt;&gt;"", VLOOKUP(A4896, imdb_netflix_v5!A$2:H$7370, 2, FALSE), "")</f>
        <v>Movie</v>
      </c>
      <c r="C4896" s="2" t="str">
        <f>IF(A4896&lt;&gt;"", VLOOKUP(A4896, imdb_netflix_v5!A$2:H$7370, 3, FALSE), "")</f>
        <v>Action, Adventure, Thriller</v>
      </c>
      <c r="D4896" s="2">
        <f>IF(A4896&lt;&gt;"", VLOOKUP(A4896, imdb_netflix_v5!A$2:H$7370, 4, FALSE), "")</f>
        <v>7.2</v>
      </c>
      <c r="E4896" s="2">
        <f>IF(A4896&lt;&gt;"", VLOOKUP(A4896, imdb_netflix_v5!A$2:H$7370, 5, FALSE), "")</f>
        <v>1962</v>
      </c>
      <c r="F4896" s="2" t="str">
        <f>IF(A4896&lt;&gt;"", VLOOKUP(A4896, imdb_netflix_v5!A$2:H$7370, 7, FALSE), "")</f>
        <v>NA</v>
      </c>
    </row>
    <row r="4897" ht="15.75" customHeight="1">
      <c r="A4897" s="1" t="str">
        <f>IFERROR(__xludf.DUMMYFUNCTION("""COMPUTED_VALUE"""),"steve jobs")</f>
        <v>steve jobs</v>
      </c>
      <c r="B4897" s="1" t="str">
        <f>IF(A4897&lt;&gt;"", VLOOKUP(A4897, imdb_netflix_v5!A$2:H$7370, 2, FALSE), "")</f>
        <v>Movie</v>
      </c>
      <c r="C4897" s="2" t="str">
        <f>IF(A4897&lt;&gt;"", VLOOKUP(A4897, imdb_netflix_v5!A$2:H$7370, 3, FALSE), "")</f>
        <v>Biography, Drama</v>
      </c>
      <c r="D4897" s="2">
        <f>IF(A4897&lt;&gt;"", VLOOKUP(A4897, imdb_netflix_v5!A$2:H$7370, 4, FALSE), "")</f>
        <v>7.2</v>
      </c>
      <c r="E4897" s="2">
        <f>IF(A4897&lt;&gt;"", VLOOKUP(A4897, imdb_netflix_v5!A$2:H$7370, 5, FALSE), "")</f>
        <v>2015</v>
      </c>
      <c r="F4897" s="2" t="str">
        <f>IF(A4897&lt;&gt;"", VLOOKUP(A4897, imdb_netflix_v5!A$2:H$7370, 7, FALSE), "")</f>
        <v>NA</v>
      </c>
    </row>
    <row r="4898" ht="15.75" customHeight="1">
      <c r="A4898" s="1" t="str">
        <f>IFERROR(__xludf.DUMMYFUNCTION("""COMPUTED_VALUE"""),"team america world police")</f>
        <v>team america world police</v>
      </c>
      <c r="B4898" s="1" t="str">
        <f>IF(A4898&lt;&gt;"", VLOOKUP(A4898, imdb_netflix_v5!A$2:H$7370, 2, FALSE), "")</f>
        <v>Movie</v>
      </c>
      <c r="C4898" s="2" t="str">
        <f>IF(A4898&lt;&gt;"", VLOOKUP(A4898, imdb_netflix_v5!A$2:H$7370, 3, FALSE), "")</f>
        <v>Action, Comedy</v>
      </c>
      <c r="D4898" s="2">
        <f>IF(A4898&lt;&gt;"", VLOOKUP(A4898, imdb_netflix_v5!A$2:H$7370, 4, FALSE), "")</f>
        <v>7.2</v>
      </c>
      <c r="E4898" s="2">
        <f>IF(A4898&lt;&gt;"", VLOOKUP(A4898, imdb_netflix_v5!A$2:H$7370, 5, FALSE), "")</f>
        <v>2004</v>
      </c>
      <c r="F4898" s="2" t="str">
        <f>IF(A4898&lt;&gt;"", VLOOKUP(A4898, imdb_netflix_v5!A$2:H$7370, 7, FALSE), "")</f>
        <v>NA</v>
      </c>
    </row>
    <row r="4899" ht="15.75" customHeight="1">
      <c r="A4899" s="1" t="str">
        <f>IFERROR(__xludf.DUMMYFUNCTION("""COMPUTED_VALUE"""),"bridge to terabithia")</f>
        <v>bridge to terabithia</v>
      </c>
      <c r="B4899" s="1" t="str">
        <f>IF(A4899&lt;&gt;"", VLOOKUP(A4899, imdb_netflix_v5!A$2:H$7370, 2, FALSE), "")</f>
        <v>Movie</v>
      </c>
      <c r="C4899" s="2" t="str">
        <f>IF(A4899&lt;&gt;"", VLOOKUP(A4899, imdb_netflix_v5!A$2:H$7370, 3, FALSE), "")</f>
        <v>Drama, Family, Fantasy</v>
      </c>
      <c r="D4899" s="2">
        <f>IF(A4899&lt;&gt;"", VLOOKUP(A4899, imdb_netflix_v5!A$2:H$7370, 4, FALSE), "")</f>
        <v>7.2</v>
      </c>
      <c r="E4899" s="2">
        <f>IF(A4899&lt;&gt;"", VLOOKUP(A4899, imdb_netflix_v5!A$2:H$7370, 5, FALSE), "")</f>
        <v>2007</v>
      </c>
      <c r="F4899" s="2" t="str">
        <f>IF(A4899&lt;&gt;"", VLOOKUP(A4899, imdb_netflix_v5!A$2:H$7370, 7, FALSE), "")</f>
        <v>NA</v>
      </c>
    </row>
    <row r="4900" ht="15.75" customHeight="1">
      <c r="A4900" s="1" t="str">
        <f>IFERROR(__xludf.DUMMYFUNCTION("""COMPUTED_VALUE"""),"michael clayton")</f>
        <v>michael clayton</v>
      </c>
      <c r="B4900" s="1" t="str">
        <f>IF(A4900&lt;&gt;"", VLOOKUP(A4900, imdb_netflix_v5!A$2:H$7370, 2, FALSE), "")</f>
        <v>Movie</v>
      </c>
      <c r="C4900" s="2" t="str">
        <f>IF(A4900&lt;&gt;"", VLOOKUP(A4900, imdb_netflix_v5!A$2:H$7370, 3, FALSE), "")</f>
        <v>Crime, Drama, Mystery</v>
      </c>
      <c r="D4900" s="2">
        <f>IF(A4900&lt;&gt;"", VLOOKUP(A4900, imdb_netflix_v5!A$2:H$7370, 4, FALSE), "")</f>
        <v>7.2</v>
      </c>
      <c r="E4900" s="2">
        <f>IF(A4900&lt;&gt;"", VLOOKUP(A4900, imdb_netflix_v5!A$2:H$7370, 5, FALSE), "")</f>
        <v>2007</v>
      </c>
      <c r="F4900" s="2" t="str">
        <f>IF(A4900&lt;&gt;"", VLOOKUP(A4900, imdb_netflix_v5!A$2:H$7370, 7, FALSE), "")</f>
        <v>NA</v>
      </c>
    </row>
    <row r="4901" ht="15.75" customHeight="1">
      <c r="A4901" s="1" t="str">
        <f>IFERROR(__xludf.DUMMYFUNCTION("""COMPUTED_VALUE"""),"the virgin suicides")</f>
        <v>the virgin suicides</v>
      </c>
      <c r="B4901" s="1" t="str">
        <f>IF(A4901&lt;&gt;"", VLOOKUP(A4901, imdb_netflix_v5!A$2:H$7370, 2, FALSE), "")</f>
        <v>Movie</v>
      </c>
      <c r="C4901" s="2" t="str">
        <f>IF(A4901&lt;&gt;"", VLOOKUP(A4901, imdb_netflix_v5!A$2:H$7370, 3, FALSE), "")</f>
        <v>Drama, Romance</v>
      </c>
      <c r="D4901" s="2">
        <f>IF(A4901&lt;&gt;"", VLOOKUP(A4901, imdb_netflix_v5!A$2:H$7370, 4, FALSE), "")</f>
        <v>7.2</v>
      </c>
      <c r="E4901" s="2">
        <f>IF(A4901&lt;&gt;"", VLOOKUP(A4901, imdb_netflix_v5!A$2:H$7370, 5, FALSE), "")</f>
        <v>1999</v>
      </c>
      <c r="F4901" s="2" t="str">
        <f>IF(A4901&lt;&gt;"", VLOOKUP(A4901, imdb_netflix_v5!A$2:H$7370, 7, FALSE), "")</f>
        <v>NA</v>
      </c>
    </row>
    <row r="4902" ht="15.75" customHeight="1">
      <c r="A4902" s="1" t="str">
        <f>IFERROR(__xludf.DUMMYFUNCTION("""COMPUTED_VALUE"""),"the princess and the frog")</f>
        <v>the princess and the frog</v>
      </c>
      <c r="B4902" s="1" t="str">
        <f>IF(A4902&lt;&gt;"", VLOOKUP(A4902, imdb_netflix_v5!A$2:H$7370, 2, FALSE), "")</f>
        <v>Movie</v>
      </c>
      <c r="C4902" s="2" t="str">
        <f>IF(A4902&lt;&gt;"", VLOOKUP(A4902, imdb_netflix_v5!A$2:H$7370, 3, FALSE), "")</f>
        <v>Adventure, Animation, Comedy</v>
      </c>
      <c r="D4902" s="2">
        <f>IF(A4902&lt;&gt;"", VLOOKUP(A4902, imdb_netflix_v5!A$2:H$7370, 4, FALSE), "")</f>
        <v>7.2</v>
      </c>
      <c r="E4902" s="2">
        <f>IF(A4902&lt;&gt;"", VLOOKUP(A4902, imdb_netflix_v5!A$2:H$7370, 5, FALSE), "")</f>
        <v>2009</v>
      </c>
      <c r="F4902" s="2" t="str">
        <f>IF(A4902&lt;&gt;"", VLOOKUP(A4902, imdb_netflix_v5!A$2:H$7370, 7, FALSE), "")</f>
        <v>NA</v>
      </c>
    </row>
    <row r="4903" ht="15.75" customHeight="1">
      <c r="A4903" s="1" t="str">
        <f>IFERROR(__xludf.DUMMYFUNCTION("""COMPUTED_VALUE"""),"the ballad of buster scruggs")</f>
        <v>the ballad of buster scruggs</v>
      </c>
      <c r="B4903" s="1" t="str">
        <f>IF(A4903&lt;&gt;"", VLOOKUP(A4903, imdb_netflix_v5!A$2:H$7370, 2, FALSE), "")</f>
        <v>Movie</v>
      </c>
      <c r="C4903" s="2" t="str">
        <f>IF(A4903&lt;&gt;"", VLOOKUP(A4903, imdb_netflix_v5!A$2:H$7370, 3, FALSE), "")</f>
        <v>Comedy, Drama, Musical</v>
      </c>
      <c r="D4903" s="2">
        <f>IF(A4903&lt;&gt;"", VLOOKUP(A4903, imdb_netflix_v5!A$2:H$7370, 4, FALSE), "")</f>
        <v>7.2</v>
      </c>
      <c r="E4903" s="2">
        <f>IF(A4903&lt;&gt;"", VLOOKUP(A4903, imdb_netflix_v5!A$2:H$7370, 5, FALSE), "")</f>
        <v>2018</v>
      </c>
      <c r="F4903" s="2" t="str">
        <f>IF(A4903&lt;&gt;"", VLOOKUP(A4903, imdb_netflix_v5!A$2:H$7370, 7, FALSE), "")</f>
        <v>NA</v>
      </c>
    </row>
    <row r="4904" ht="15.75" customHeight="1">
      <c r="A4904" s="1" t="str">
        <f>IFERROR(__xludf.DUMMYFUNCTION("""COMPUTED_VALUE"""),"the ghost writer")</f>
        <v>the ghost writer</v>
      </c>
      <c r="B4904" s="1" t="str">
        <f>IF(A4904&lt;&gt;"", VLOOKUP(A4904, imdb_netflix_v5!A$2:H$7370, 2, FALSE), "")</f>
        <v>Movie</v>
      </c>
      <c r="C4904" s="2" t="str">
        <f>IF(A4904&lt;&gt;"", VLOOKUP(A4904, imdb_netflix_v5!A$2:H$7370, 3, FALSE), "")</f>
        <v>Crime, Drama, Mystery</v>
      </c>
      <c r="D4904" s="2">
        <f>IF(A4904&lt;&gt;"", VLOOKUP(A4904, imdb_netflix_v5!A$2:H$7370, 4, FALSE), "")</f>
        <v>7.2</v>
      </c>
      <c r="E4904" s="2">
        <f>IF(A4904&lt;&gt;"", VLOOKUP(A4904, imdb_netflix_v5!A$2:H$7370, 5, FALSE), "")</f>
        <v>2010</v>
      </c>
      <c r="F4904" s="2" t="str">
        <f>IF(A4904&lt;&gt;"", VLOOKUP(A4904, imdb_netflix_v5!A$2:H$7370, 7, FALSE), "")</f>
        <v>NA</v>
      </c>
    </row>
    <row r="4905" ht="15.75" customHeight="1">
      <c r="A4905" s="1" t="str">
        <f>IFERROR(__xludf.DUMMYFUNCTION("""COMPUTED_VALUE"""),"war horse")</f>
        <v>war horse</v>
      </c>
      <c r="B4905" s="1" t="str">
        <f>IF(A4905&lt;&gt;"", VLOOKUP(A4905, imdb_netflix_v5!A$2:H$7370, 2, FALSE), "")</f>
        <v>Movie</v>
      </c>
      <c r="C4905" s="2" t="str">
        <f>IF(A4905&lt;&gt;"", VLOOKUP(A4905, imdb_netflix_v5!A$2:H$7370, 3, FALSE), "")</f>
        <v>Adventure, Drama, War</v>
      </c>
      <c r="D4905" s="2">
        <f>IF(A4905&lt;&gt;"", VLOOKUP(A4905, imdb_netflix_v5!A$2:H$7370, 4, FALSE), "")</f>
        <v>7.2</v>
      </c>
      <c r="E4905" s="2">
        <f>IF(A4905&lt;&gt;"", VLOOKUP(A4905, imdb_netflix_v5!A$2:H$7370, 5, FALSE), "")</f>
        <v>2011</v>
      </c>
      <c r="F4905" s="2" t="str">
        <f>IF(A4905&lt;&gt;"", VLOOKUP(A4905, imdb_netflix_v5!A$2:H$7370, 7, FALSE), "")</f>
        <v>NA</v>
      </c>
    </row>
    <row r="4906" ht="15.75" customHeight="1">
      <c r="A4906" s="1" t="str">
        <f>IFERROR(__xludf.DUMMYFUNCTION("""COMPUTED_VALUE"""),"the lost boys")</f>
        <v>the lost boys</v>
      </c>
      <c r="B4906" s="1" t="str">
        <f>IF(A4906&lt;&gt;"", VLOOKUP(A4906, imdb_netflix_v5!A$2:H$7370, 2, FALSE), "")</f>
        <v>Movie</v>
      </c>
      <c r="C4906" s="2" t="str">
        <f>IF(A4906&lt;&gt;"", VLOOKUP(A4906, imdb_netflix_v5!A$2:H$7370, 3, FALSE), "")</f>
        <v>Comedy, Horror</v>
      </c>
      <c r="D4906" s="2">
        <f>IF(A4906&lt;&gt;"", VLOOKUP(A4906, imdb_netflix_v5!A$2:H$7370, 4, FALSE), "")</f>
        <v>7.2</v>
      </c>
      <c r="E4906" s="2">
        <f>IF(A4906&lt;&gt;"", VLOOKUP(A4906, imdb_netflix_v5!A$2:H$7370, 5, FALSE), "")</f>
        <v>1987</v>
      </c>
      <c r="F4906" s="2" t="str">
        <f>IF(A4906&lt;&gt;"", VLOOKUP(A4906, imdb_netflix_v5!A$2:H$7370, 7, FALSE), "")</f>
        <v>NA</v>
      </c>
    </row>
    <row r="4907" ht="15.75" customHeight="1">
      <c r="A4907" s="1" t="str">
        <f>IFERROR(__xludf.DUMMYFUNCTION("""COMPUTED_VALUE"""),"vice")</f>
        <v>vice</v>
      </c>
      <c r="B4907" s="1" t="str">
        <f>IF(A4907&lt;&gt;"", VLOOKUP(A4907, imdb_netflix_v5!A$2:H$7370, 2, FALSE), "")</f>
        <v>Movie</v>
      </c>
      <c r="C4907" s="2" t="str">
        <f>IF(A4907&lt;&gt;"", VLOOKUP(A4907, imdb_netflix_v5!A$2:H$7370, 3, FALSE), "")</f>
        <v>Biography, Comedy, Drama</v>
      </c>
      <c r="D4907" s="2">
        <f>IF(A4907&lt;&gt;"", VLOOKUP(A4907, imdb_netflix_v5!A$2:H$7370, 4, FALSE), "")</f>
        <v>7.2</v>
      </c>
      <c r="E4907" s="2">
        <f>IF(A4907&lt;&gt;"", VLOOKUP(A4907, imdb_netflix_v5!A$2:H$7370, 5, FALSE), "")</f>
        <v>2018</v>
      </c>
      <c r="F4907" s="2" t="str">
        <f>IF(A4907&lt;&gt;"", VLOOKUP(A4907, imdb_netflix_v5!A$2:H$7370, 7, FALSE), "")</f>
        <v>NA</v>
      </c>
    </row>
    <row r="4908" ht="15.75" customHeight="1">
      <c r="A4908" s="1" t="str">
        <f>IFERROR(__xludf.DUMMYFUNCTION("""COMPUTED_VALUE"""),"the post")</f>
        <v>the post</v>
      </c>
      <c r="B4908" s="1" t="str">
        <f>IF(A4908&lt;&gt;"", VLOOKUP(A4908, imdb_netflix_v5!A$2:H$7370, 2, FALSE), "")</f>
        <v>Movie</v>
      </c>
      <c r="C4908" s="2" t="str">
        <f>IF(A4908&lt;&gt;"", VLOOKUP(A4908, imdb_netflix_v5!A$2:H$7370, 3, FALSE), "")</f>
        <v>Biography, Drama, History</v>
      </c>
      <c r="D4908" s="2">
        <f>IF(A4908&lt;&gt;"", VLOOKUP(A4908, imdb_netflix_v5!A$2:H$7370, 4, FALSE), "")</f>
        <v>7.2</v>
      </c>
      <c r="E4908" s="2">
        <f>IF(A4908&lt;&gt;"", VLOOKUP(A4908, imdb_netflix_v5!A$2:H$7370, 5, FALSE), "")</f>
        <v>2017</v>
      </c>
      <c r="F4908" s="2" t="str">
        <f>IF(A4908&lt;&gt;"", VLOOKUP(A4908, imdb_netflix_v5!A$2:H$7370, 7, FALSE), "")</f>
        <v>NA</v>
      </c>
    </row>
    <row r="4909" ht="15.75" customHeight="1">
      <c r="A4909" s="1" t="str">
        <f>IFERROR(__xludf.DUMMYFUNCTION("""COMPUTED_VALUE"""),"sleeping beauty")</f>
        <v>sleeping beauty</v>
      </c>
      <c r="B4909" s="1" t="str">
        <f>IF(A4909&lt;&gt;"", VLOOKUP(A4909, imdb_netflix_v5!A$2:H$7370, 2, FALSE), "")</f>
        <v>Movie</v>
      </c>
      <c r="C4909" s="2" t="str">
        <f>IF(A4909&lt;&gt;"", VLOOKUP(A4909, imdb_netflix_v5!A$2:H$7370, 3, FALSE), "")</f>
        <v>Adventure, Animation, Family</v>
      </c>
      <c r="D4909" s="2">
        <f>IF(A4909&lt;&gt;"", VLOOKUP(A4909, imdb_netflix_v5!A$2:H$7370, 4, FALSE), "")</f>
        <v>7.2</v>
      </c>
      <c r="E4909" s="2">
        <f>IF(A4909&lt;&gt;"", VLOOKUP(A4909, imdb_netflix_v5!A$2:H$7370, 5, FALSE), "")</f>
        <v>1959</v>
      </c>
      <c r="F4909" s="2" t="str">
        <f>IF(A4909&lt;&gt;"", VLOOKUP(A4909, imdb_netflix_v5!A$2:H$7370, 7, FALSE), "")</f>
        <v>NA</v>
      </c>
    </row>
    <row r="4910" ht="15.75" customHeight="1">
      <c r="A4910" s="1" t="str">
        <f>IFERROR(__xludf.DUMMYFUNCTION("""COMPUTED_VALUE"""),"cold mountain")</f>
        <v>cold mountain</v>
      </c>
      <c r="B4910" s="1" t="str">
        <f>IF(A4910&lt;&gt;"", VLOOKUP(A4910, imdb_netflix_v5!A$2:H$7370, 2, FALSE), "")</f>
        <v>Movie</v>
      </c>
      <c r="C4910" s="2" t="str">
        <f>IF(A4910&lt;&gt;"", VLOOKUP(A4910, imdb_netflix_v5!A$2:H$7370, 3, FALSE), "")</f>
        <v>Adventure, Drama, Romance</v>
      </c>
      <c r="D4910" s="2">
        <f>IF(A4910&lt;&gt;"", VLOOKUP(A4910, imdb_netflix_v5!A$2:H$7370, 4, FALSE), "")</f>
        <v>7.2</v>
      </c>
      <c r="E4910" s="2">
        <f>IF(A4910&lt;&gt;"", VLOOKUP(A4910, imdb_netflix_v5!A$2:H$7370, 5, FALSE), "")</f>
        <v>2003</v>
      </c>
      <c r="F4910" s="2" t="str">
        <f>IF(A4910&lt;&gt;"", VLOOKUP(A4910, imdb_netflix_v5!A$2:H$7370, 7, FALSE), "")</f>
        <v>NA</v>
      </c>
    </row>
    <row r="4911" ht="15.75" customHeight="1">
      <c r="A4911" s="1" t="str">
        <f>IFERROR(__xludf.DUMMYFUNCTION("""COMPUTED_VALUE"""),"big trouble in little china")</f>
        <v>big trouble in little china</v>
      </c>
      <c r="B4911" s="1" t="str">
        <f>IF(A4911&lt;&gt;"", VLOOKUP(A4911, imdb_netflix_v5!A$2:H$7370, 2, FALSE), "")</f>
        <v>Movie</v>
      </c>
      <c r="C4911" s="2" t="str">
        <f>IF(A4911&lt;&gt;"", VLOOKUP(A4911, imdb_netflix_v5!A$2:H$7370, 3, FALSE), "")</f>
        <v>Action, Adventure, Comedy</v>
      </c>
      <c r="D4911" s="2">
        <f>IF(A4911&lt;&gt;"", VLOOKUP(A4911, imdb_netflix_v5!A$2:H$7370, 4, FALSE), "")</f>
        <v>7.2</v>
      </c>
      <c r="E4911" s="2">
        <f>IF(A4911&lt;&gt;"", VLOOKUP(A4911, imdb_netflix_v5!A$2:H$7370, 5, FALSE), "")</f>
        <v>1986</v>
      </c>
      <c r="F4911" s="2" t="str">
        <f>IF(A4911&lt;&gt;"", VLOOKUP(A4911, imdb_netflix_v5!A$2:H$7370, 7, FALSE), "")</f>
        <v>NA</v>
      </c>
    </row>
    <row r="4912" ht="15.75" customHeight="1">
      <c r="A4912" s="1" t="str">
        <f>IFERROR(__xludf.DUMMYFUNCTION("""COMPUTED_VALUE"""),"tremors")</f>
        <v>tremors</v>
      </c>
      <c r="B4912" s="1" t="str">
        <f>IF(A4912&lt;&gt;"", VLOOKUP(A4912, imdb_netflix_v5!A$2:H$7370, 2, FALSE), "")</f>
        <v>Movie</v>
      </c>
      <c r="C4912" s="2" t="str">
        <f>IF(A4912&lt;&gt;"", VLOOKUP(A4912, imdb_netflix_v5!A$2:H$7370, 3, FALSE), "")</f>
        <v>Comedy, Horror</v>
      </c>
      <c r="D4912" s="2">
        <f>IF(A4912&lt;&gt;"", VLOOKUP(A4912, imdb_netflix_v5!A$2:H$7370, 4, FALSE), "")</f>
        <v>7.2</v>
      </c>
      <c r="E4912" s="2">
        <f>IF(A4912&lt;&gt;"", VLOOKUP(A4912, imdb_netflix_v5!A$2:H$7370, 5, FALSE), "")</f>
        <v>1990</v>
      </c>
      <c r="F4912" s="2" t="str">
        <f>IF(A4912&lt;&gt;"", VLOOKUP(A4912, imdb_netflix_v5!A$2:H$7370, 7, FALSE), "")</f>
        <v>NA</v>
      </c>
    </row>
    <row r="4913" ht="15.75" customHeight="1">
      <c r="A4913" s="1" t="str">
        <f>IFERROR(__xludf.DUMMYFUNCTION("""COMPUTED_VALUE"""),"coherence")</f>
        <v>coherence</v>
      </c>
      <c r="B4913" s="1" t="str">
        <f>IF(A4913&lt;&gt;"", VLOOKUP(A4913, imdb_netflix_v5!A$2:H$7370, 2, FALSE), "")</f>
        <v>Movie</v>
      </c>
      <c r="C4913" s="2" t="str">
        <f>IF(A4913&lt;&gt;"", VLOOKUP(A4913, imdb_netflix_v5!A$2:H$7370, 3, FALSE), "")</f>
        <v>Horror, Mystery, Sci-Fi</v>
      </c>
      <c r="D4913" s="2">
        <f>IF(A4913&lt;&gt;"", VLOOKUP(A4913, imdb_netflix_v5!A$2:H$7370, 4, FALSE), "")</f>
        <v>7.2</v>
      </c>
      <c r="E4913" s="2">
        <f>IF(A4913&lt;&gt;"", VLOOKUP(A4913, imdb_netflix_v5!A$2:H$7370, 5, FALSE), "")</f>
        <v>2013</v>
      </c>
      <c r="F4913" s="2" t="str">
        <f>IF(A4913&lt;&gt;"", VLOOKUP(A4913, imdb_netflix_v5!A$2:H$7370, 7, FALSE), "")</f>
        <v>NA</v>
      </c>
    </row>
    <row r="4914" ht="15.75" customHeight="1">
      <c r="A4914" s="1" t="str">
        <f>IFERROR(__xludf.DUMMYFUNCTION("""COMPUTED_VALUE"""),"we were soldiers")</f>
        <v>we were soldiers</v>
      </c>
      <c r="B4914" s="1" t="str">
        <f>IF(A4914&lt;&gt;"", VLOOKUP(A4914, imdb_netflix_v5!A$2:H$7370, 2, FALSE), "")</f>
        <v>Movie</v>
      </c>
      <c r="C4914" s="2" t="str">
        <f>IF(A4914&lt;&gt;"", VLOOKUP(A4914, imdb_netflix_v5!A$2:H$7370, 3, FALSE), "")</f>
        <v>Action, Drama, History</v>
      </c>
      <c r="D4914" s="2">
        <f>IF(A4914&lt;&gt;"", VLOOKUP(A4914, imdb_netflix_v5!A$2:H$7370, 4, FALSE), "")</f>
        <v>7.2</v>
      </c>
      <c r="E4914" s="2">
        <f>IF(A4914&lt;&gt;"", VLOOKUP(A4914, imdb_netflix_v5!A$2:H$7370, 5, FALSE), "")</f>
        <v>2002</v>
      </c>
      <c r="F4914" s="2" t="str">
        <f>IF(A4914&lt;&gt;"", VLOOKUP(A4914, imdb_netflix_v5!A$2:H$7370, 7, FALSE), "")</f>
        <v>NA</v>
      </c>
    </row>
    <row r="4915" ht="15.75" customHeight="1">
      <c r="A4915" s="1" t="str">
        <f>IFERROR(__xludf.DUMMYFUNCTION("""COMPUTED_VALUE"""),"they live")</f>
        <v>they live</v>
      </c>
      <c r="B4915" s="1" t="str">
        <f>IF(A4915&lt;&gt;"", VLOOKUP(A4915, imdb_netflix_v5!A$2:H$7370, 2, FALSE), "")</f>
        <v>Movie</v>
      </c>
      <c r="C4915" s="2" t="str">
        <f>IF(A4915&lt;&gt;"", VLOOKUP(A4915, imdb_netflix_v5!A$2:H$7370, 3, FALSE), "")</f>
        <v>Action, Horror, Sci-Fi</v>
      </c>
      <c r="D4915" s="2">
        <f>IF(A4915&lt;&gt;"", VLOOKUP(A4915, imdb_netflix_v5!A$2:H$7370, 4, FALSE), "")</f>
        <v>7.2</v>
      </c>
      <c r="E4915" s="2">
        <f>IF(A4915&lt;&gt;"", VLOOKUP(A4915, imdb_netflix_v5!A$2:H$7370, 5, FALSE), "")</f>
        <v>1988</v>
      </c>
      <c r="F4915" s="2" t="str">
        <f>IF(A4915&lt;&gt;"", VLOOKUP(A4915, imdb_netflix_v5!A$2:H$7370, 7, FALSE), "")</f>
        <v>NA</v>
      </c>
    </row>
    <row r="4916" ht="15.75" customHeight="1">
      <c r="A4916" s="1" t="str">
        <f>IFERROR(__xludf.DUMMYFUNCTION("""COMPUTED_VALUE"""),"the prince of egypt")</f>
        <v>the prince of egypt</v>
      </c>
      <c r="B4916" s="1" t="str">
        <f>IF(A4916&lt;&gt;"", VLOOKUP(A4916, imdb_netflix_v5!A$2:H$7370, 2, FALSE), "")</f>
        <v>Movie</v>
      </c>
      <c r="C4916" s="2" t="str">
        <f>IF(A4916&lt;&gt;"", VLOOKUP(A4916, imdb_netflix_v5!A$2:H$7370, 3, FALSE), "")</f>
        <v>Adventure, Animation, Drama</v>
      </c>
      <c r="D4916" s="2">
        <f>IF(A4916&lt;&gt;"", VLOOKUP(A4916, imdb_netflix_v5!A$2:H$7370, 4, FALSE), "")</f>
        <v>7.2</v>
      </c>
      <c r="E4916" s="2">
        <f>IF(A4916&lt;&gt;"", VLOOKUP(A4916, imdb_netflix_v5!A$2:H$7370, 5, FALSE), "")</f>
        <v>1998</v>
      </c>
      <c r="F4916" s="2" t="str">
        <f>IF(A4916&lt;&gt;"", VLOOKUP(A4916, imdb_netflix_v5!A$2:H$7370, 7, FALSE), "")</f>
        <v>NA</v>
      </c>
    </row>
    <row r="4917" ht="15.75" customHeight="1">
      <c r="A4917" s="1" t="str">
        <f>IFERROR(__xludf.DUMMYFUNCTION("""COMPUTED_VALUE"""),"chasing amy")</f>
        <v>chasing amy</v>
      </c>
      <c r="B4917" s="1" t="str">
        <f>IF(A4917&lt;&gt;"", VLOOKUP(A4917, imdb_netflix_v5!A$2:H$7370, 2, FALSE), "")</f>
        <v>Movie</v>
      </c>
      <c r="C4917" s="2" t="str">
        <f>IF(A4917&lt;&gt;"", VLOOKUP(A4917, imdb_netflix_v5!A$2:H$7370, 3, FALSE), "")</f>
        <v>Comedy, Drama, Romance</v>
      </c>
      <c r="D4917" s="2">
        <f>IF(A4917&lt;&gt;"", VLOOKUP(A4917, imdb_netflix_v5!A$2:H$7370, 4, FALSE), "")</f>
        <v>7.2</v>
      </c>
      <c r="E4917" s="2">
        <f>IF(A4917&lt;&gt;"", VLOOKUP(A4917, imdb_netflix_v5!A$2:H$7370, 5, FALSE), "")</f>
        <v>1997</v>
      </c>
      <c r="F4917" s="2" t="str">
        <f>IF(A4917&lt;&gt;"", VLOOKUP(A4917, imdb_netflix_v5!A$2:H$7370, 7, FALSE), "")</f>
        <v>NA</v>
      </c>
    </row>
    <row r="4918" ht="15.75" customHeight="1">
      <c r="A4918" s="1" t="str">
        <f>IFERROR(__xludf.DUMMYFUNCTION("""COMPUTED_VALUE"""),"dumbo")</f>
        <v>dumbo</v>
      </c>
      <c r="B4918" s="1" t="str">
        <f>IF(A4918&lt;&gt;"", VLOOKUP(A4918, imdb_netflix_v5!A$2:H$7370, 2, FALSE), "")</f>
        <v>Movie</v>
      </c>
      <c r="C4918" s="2" t="str">
        <f>IF(A4918&lt;&gt;"", VLOOKUP(A4918, imdb_netflix_v5!A$2:H$7370, 3, FALSE), "")</f>
        <v>Adventure, Animation, Drama</v>
      </c>
      <c r="D4918" s="2">
        <f>IF(A4918&lt;&gt;"", VLOOKUP(A4918, imdb_netflix_v5!A$2:H$7370, 4, FALSE), "")</f>
        <v>7.2</v>
      </c>
      <c r="E4918" s="2">
        <f>IF(A4918&lt;&gt;"", VLOOKUP(A4918, imdb_netflix_v5!A$2:H$7370, 5, FALSE), "")</f>
        <v>1941</v>
      </c>
      <c r="F4918" s="2" t="str">
        <f>IF(A4918&lt;&gt;"", VLOOKUP(A4918, imdb_netflix_v5!A$2:H$7370, 7, FALSE), "")</f>
        <v>NA</v>
      </c>
    </row>
    <row r="4919" ht="15.75" customHeight="1">
      <c r="A4919" s="1" t="str">
        <f>IFERROR(__xludf.DUMMYFUNCTION("""COMPUTED_VALUE"""),"luke cage")</f>
        <v>luke cage</v>
      </c>
      <c r="B4919" s="1" t="str">
        <f>IF(A4919&lt;&gt;"", VLOOKUP(A4919, imdb_netflix_v5!A$2:H$7370, 2, FALSE), "")</f>
        <v>TV Show</v>
      </c>
      <c r="C4919" s="2" t="str">
        <f>IF(A4919&lt;&gt;"", VLOOKUP(A4919, imdb_netflix_v5!A$2:H$7370, 3, FALSE), "")</f>
        <v>Action, Crime, Drama</v>
      </c>
      <c r="D4919" s="2">
        <f>IF(A4919&lt;&gt;"", VLOOKUP(A4919, imdb_netflix_v5!A$2:H$7370, 4, FALSE), "")</f>
        <v>7.2</v>
      </c>
      <c r="E4919" s="2">
        <f>IF(A4919&lt;&gt;"", VLOOKUP(A4919, imdb_netflix_v5!A$2:H$7370, 5, FALSE), "")</f>
        <v>2016</v>
      </c>
      <c r="F4919" s="2" t="str">
        <f>IF(A4919&lt;&gt;"", VLOOKUP(A4919, imdb_netflix_v5!A$2:H$7370, 7, FALSE), "")</f>
        <v>NA</v>
      </c>
    </row>
    <row r="4920" ht="15.75" customHeight="1">
      <c r="A4920" s="1" t="str">
        <f>IFERROR(__xludf.DUMMYFUNCTION("""COMPUTED_VALUE"""),"the wheel of time")</f>
        <v>the wheel of time</v>
      </c>
      <c r="B4920" s="1" t="str">
        <f>IF(A4920&lt;&gt;"", VLOOKUP(A4920, imdb_netflix_v5!A$2:H$7370, 2, FALSE), "")</f>
        <v>TV Show</v>
      </c>
      <c r="C4920" s="2" t="str">
        <f>IF(A4920&lt;&gt;"", VLOOKUP(A4920, imdb_netflix_v5!A$2:H$7370, 3, FALSE), "")</f>
        <v>Action, Adventure, Drama</v>
      </c>
      <c r="D4920" s="2">
        <f>IF(A4920&lt;&gt;"", VLOOKUP(A4920, imdb_netflix_v5!A$2:H$7370, 4, FALSE), "")</f>
        <v>7.2</v>
      </c>
      <c r="E4920" s="2">
        <f>IF(A4920&lt;&gt;"", VLOOKUP(A4920, imdb_netflix_v5!A$2:H$7370, 5, FALSE), "")</f>
        <v>2021</v>
      </c>
      <c r="F4920" s="2" t="str">
        <f>IF(A4920&lt;&gt;"", VLOOKUP(A4920, imdb_netflix_v5!A$2:H$7370, 7, FALSE), "")</f>
        <v>NA</v>
      </c>
    </row>
    <row r="4921" ht="15.75" customHeight="1">
      <c r="A4921" s="1" t="str">
        <f>IFERROR(__xludf.DUMMYFUNCTION("""COMPUTED_VALUE"""),"where the crawdads sing")</f>
        <v>where the crawdads sing</v>
      </c>
      <c r="B4921" s="1" t="str">
        <f>IF(A4921&lt;&gt;"", VLOOKUP(A4921, imdb_netflix_v5!A$2:H$7370, 2, FALSE), "")</f>
        <v>Movie</v>
      </c>
      <c r="C4921" s="2" t="str">
        <f>IF(A4921&lt;&gt;"", VLOOKUP(A4921, imdb_netflix_v5!A$2:H$7370, 3, FALSE), "")</f>
        <v>Drama, Mystery, Romance</v>
      </c>
      <c r="D4921" s="2">
        <f>IF(A4921&lt;&gt;"", VLOOKUP(A4921, imdb_netflix_v5!A$2:H$7370, 4, FALSE), "")</f>
        <v>7.2</v>
      </c>
      <c r="E4921" s="2">
        <f>IF(A4921&lt;&gt;"", VLOOKUP(A4921, imdb_netflix_v5!A$2:H$7370, 5, FALSE), "")</f>
        <v>2022</v>
      </c>
      <c r="F4921" s="2">
        <f>IF(A4921&lt;&gt;"", VLOOKUP(A4921, imdb_netflix_v5!A$2:H$7370, 7, FALSE), "")</f>
        <v>9640000</v>
      </c>
    </row>
    <row r="4922" ht="15.75" customHeight="1">
      <c r="A4922" s="1" t="str">
        <f>IFERROR(__xludf.DUMMYFUNCTION("""COMPUTED_VALUE"""),"an education")</f>
        <v>an education</v>
      </c>
      <c r="B4922" s="1" t="str">
        <f>IF(A4922&lt;&gt;"", VLOOKUP(A4922, imdb_netflix_v5!A$2:H$7370, 2, FALSE), "")</f>
        <v>Movie</v>
      </c>
      <c r="C4922" s="2" t="str">
        <f>IF(A4922&lt;&gt;"", VLOOKUP(A4922, imdb_netflix_v5!A$2:H$7370, 3, FALSE), "")</f>
        <v>Drama</v>
      </c>
      <c r="D4922" s="2">
        <f>IF(A4922&lt;&gt;"", VLOOKUP(A4922, imdb_netflix_v5!A$2:H$7370, 4, FALSE), "")</f>
        <v>7.2</v>
      </c>
      <c r="E4922" s="2">
        <f>IF(A4922&lt;&gt;"", VLOOKUP(A4922, imdb_netflix_v5!A$2:H$7370, 5, FALSE), "")</f>
        <v>2009</v>
      </c>
      <c r="F4922" s="2" t="str">
        <f>IF(A4922&lt;&gt;"", VLOOKUP(A4922, imdb_netflix_v5!A$2:H$7370, 7, FALSE), "")</f>
        <v>NA</v>
      </c>
    </row>
    <row r="4923" ht="15.75" customHeight="1">
      <c r="A4923" s="1" t="str">
        <f>IFERROR(__xludf.DUMMYFUNCTION("""COMPUTED_VALUE"""),"treasure planet")</f>
        <v>treasure planet</v>
      </c>
      <c r="B4923" s="1" t="str">
        <f>IF(A4923&lt;&gt;"", VLOOKUP(A4923, imdb_netflix_v5!A$2:H$7370, 2, FALSE), "")</f>
        <v>Movie</v>
      </c>
      <c r="C4923" s="2" t="str">
        <f>IF(A4923&lt;&gt;"", VLOOKUP(A4923, imdb_netflix_v5!A$2:H$7370, 3, FALSE), "")</f>
        <v>Adventure, Animation, Family</v>
      </c>
      <c r="D4923" s="2">
        <f>IF(A4923&lt;&gt;"", VLOOKUP(A4923, imdb_netflix_v5!A$2:H$7370, 4, FALSE), "")</f>
        <v>7.2</v>
      </c>
      <c r="E4923" s="2">
        <f>IF(A4923&lt;&gt;"", VLOOKUP(A4923, imdb_netflix_v5!A$2:H$7370, 5, FALSE), "")</f>
        <v>2002</v>
      </c>
      <c r="F4923" s="2" t="str">
        <f>IF(A4923&lt;&gt;"", VLOOKUP(A4923, imdb_netflix_v5!A$2:H$7370, 7, FALSE), "")</f>
        <v>NA</v>
      </c>
    </row>
    <row r="4924" ht="15.75" customHeight="1">
      <c r="A4924" s="1" t="str">
        <f>IFERROR(__xludf.DUMMYFUNCTION("""COMPUTED_VALUE"""),"about schmidt")</f>
        <v>about schmidt</v>
      </c>
      <c r="B4924" s="1" t="str">
        <f>IF(A4924&lt;&gt;"", VLOOKUP(A4924, imdb_netflix_v5!A$2:H$7370, 2, FALSE), "")</f>
        <v>Movie</v>
      </c>
      <c r="C4924" s="2" t="str">
        <f>IF(A4924&lt;&gt;"", VLOOKUP(A4924, imdb_netflix_v5!A$2:H$7370, 3, FALSE), "")</f>
        <v>Drama</v>
      </c>
      <c r="D4924" s="2">
        <f>IF(A4924&lt;&gt;"", VLOOKUP(A4924, imdb_netflix_v5!A$2:H$7370, 4, FALSE), "")</f>
        <v>7.2</v>
      </c>
      <c r="E4924" s="2">
        <f>IF(A4924&lt;&gt;"", VLOOKUP(A4924, imdb_netflix_v5!A$2:H$7370, 5, FALSE), "")</f>
        <v>2002</v>
      </c>
      <c r="F4924" s="2" t="str">
        <f>IF(A4924&lt;&gt;"", VLOOKUP(A4924, imdb_netflix_v5!A$2:H$7370, 7, FALSE), "")</f>
        <v>NA</v>
      </c>
    </row>
    <row r="4925" ht="15.75" customHeight="1">
      <c r="A4925" s="1" t="str">
        <f>IFERROR(__xludf.DUMMYFUNCTION("""COMPUTED_VALUE"""),"willow")</f>
        <v>willow</v>
      </c>
      <c r="B4925" s="1" t="str">
        <f>IF(A4925&lt;&gt;"", VLOOKUP(A4925, imdb_netflix_v5!A$2:H$7370, 2, FALSE), "")</f>
        <v>Movie</v>
      </c>
      <c r="C4925" s="2" t="str">
        <f>IF(A4925&lt;&gt;"", VLOOKUP(A4925, imdb_netflix_v5!A$2:H$7370, 3, FALSE), "")</f>
        <v>Action, Adventure, Drama</v>
      </c>
      <c r="D4925" s="2">
        <f>IF(A4925&lt;&gt;"", VLOOKUP(A4925, imdb_netflix_v5!A$2:H$7370, 4, FALSE), "")</f>
        <v>7.2</v>
      </c>
      <c r="E4925" s="2">
        <f>IF(A4925&lt;&gt;"", VLOOKUP(A4925, imdb_netflix_v5!A$2:H$7370, 5, FALSE), "")</f>
        <v>1988</v>
      </c>
      <c r="F4925" s="2" t="str">
        <f>IF(A4925&lt;&gt;"", VLOOKUP(A4925, imdb_netflix_v5!A$2:H$7370, 7, FALSE), "")</f>
        <v>NA</v>
      </c>
    </row>
    <row r="4926" ht="15.75" customHeight="1">
      <c r="A4926" s="1" t="str">
        <f>IFERROR(__xludf.DUMMYFUNCTION("""COMPUTED_VALUE"""),"caddyshack")</f>
        <v>caddyshack</v>
      </c>
      <c r="B4926" s="1" t="str">
        <f>IF(A4926&lt;&gt;"", VLOOKUP(A4926, imdb_netflix_v5!A$2:H$7370, 2, FALSE), "")</f>
        <v>Movie</v>
      </c>
      <c r="C4926" s="2" t="str">
        <f>IF(A4926&lt;&gt;"", VLOOKUP(A4926, imdb_netflix_v5!A$2:H$7370, 3, FALSE), "")</f>
        <v>Comedy, Sport</v>
      </c>
      <c r="D4926" s="2">
        <f>IF(A4926&lt;&gt;"", VLOOKUP(A4926, imdb_netflix_v5!A$2:H$7370, 4, FALSE), "")</f>
        <v>7.2</v>
      </c>
      <c r="E4926" s="2">
        <f>IF(A4926&lt;&gt;"", VLOOKUP(A4926, imdb_netflix_v5!A$2:H$7370, 5, FALSE), "")</f>
        <v>1980</v>
      </c>
      <c r="F4926" s="2" t="str">
        <f>IF(A4926&lt;&gt;"", VLOOKUP(A4926, imdb_netflix_v5!A$2:H$7370, 7, FALSE), "")</f>
        <v>NA</v>
      </c>
    </row>
    <row r="4927" ht="15.75" customHeight="1">
      <c r="A4927" s="1" t="str">
        <f>IFERROR(__xludf.DUMMYFUNCTION("""COMPUTED_VALUE"""),"friday")</f>
        <v>friday</v>
      </c>
      <c r="B4927" s="1" t="str">
        <f>IF(A4927&lt;&gt;"", VLOOKUP(A4927, imdb_netflix_v5!A$2:H$7370, 2, FALSE), "")</f>
        <v>Movie</v>
      </c>
      <c r="C4927" s="2" t="str">
        <f>IF(A4927&lt;&gt;"", VLOOKUP(A4927, imdb_netflix_v5!A$2:H$7370, 3, FALSE), "")</f>
        <v>Comedy, Drama</v>
      </c>
      <c r="D4927" s="2">
        <f>IF(A4927&lt;&gt;"", VLOOKUP(A4927, imdb_netflix_v5!A$2:H$7370, 4, FALSE), "")</f>
        <v>7.2</v>
      </c>
      <c r="E4927" s="2">
        <f>IF(A4927&lt;&gt;"", VLOOKUP(A4927, imdb_netflix_v5!A$2:H$7370, 5, FALSE), "")</f>
        <v>1995</v>
      </c>
      <c r="F4927" s="2" t="str">
        <f>IF(A4927&lt;&gt;"", VLOOKUP(A4927, imdb_netflix_v5!A$2:H$7370, 7, FALSE), "")</f>
        <v>NA</v>
      </c>
    </row>
    <row r="4928" ht="15.75" customHeight="1">
      <c r="A4928" s="1" t="str">
        <f>IFERROR(__xludf.DUMMYFUNCTION("""COMPUTED_VALUE"""),"men of honor")</f>
        <v>men of honor</v>
      </c>
      <c r="B4928" s="1" t="str">
        <f>IF(A4928&lt;&gt;"", VLOOKUP(A4928, imdb_netflix_v5!A$2:H$7370, 2, FALSE), "")</f>
        <v>Movie</v>
      </c>
      <c r="C4928" s="2" t="str">
        <f>IF(A4928&lt;&gt;"", VLOOKUP(A4928, imdb_netflix_v5!A$2:H$7370, 3, FALSE), "")</f>
        <v>Biography, Drama</v>
      </c>
      <c r="D4928" s="2">
        <f>IF(A4928&lt;&gt;"", VLOOKUP(A4928, imdb_netflix_v5!A$2:H$7370, 4, FALSE), "")</f>
        <v>7.2</v>
      </c>
      <c r="E4928" s="2">
        <f>IF(A4928&lt;&gt;"", VLOOKUP(A4928, imdb_netflix_v5!A$2:H$7370, 5, FALSE), "")</f>
        <v>2000</v>
      </c>
      <c r="F4928" s="2" t="str">
        <f>IF(A4928&lt;&gt;"", VLOOKUP(A4928, imdb_netflix_v5!A$2:H$7370, 7, FALSE), "")</f>
        <v>NA</v>
      </c>
    </row>
    <row r="4929" ht="15.75" customHeight="1">
      <c r="A4929" s="1" t="str">
        <f>IFERROR(__xludf.DUMMYFUNCTION("""COMPUTED_VALUE"""),"silence")</f>
        <v>silence</v>
      </c>
      <c r="B4929" s="1" t="str">
        <f>IF(A4929&lt;&gt;"", VLOOKUP(A4929, imdb_netflix_v5!A$2:H$7370, 2, FALSE), "")</f>
        <v>Movie</v>
      </c>
      <c r="C4929" s="2" t="str">
        <f>IF(A4929&lt;&gt;"", VLOOKUP(A4929, imdb_netflix_v5!A$2:H$7370, 3, FALSE), "")</f>
        <v>Drama, History</v>
      </c>
      <c r="D4929" s="2">
        <f>IF(A4929&lt;&gt;"", VLOOKUP(A4929, imdb_netflix_v5!A$2:H$7370, 4, FALSE), "")</f>
        <v>7.2</v>
      </c>
      <c r="E4929" s="2">
        <f>IF(A4929&lt;&gt;"", VLOOKUP(A4929, imdb_netflix_v5!A$2:H$7370, 5, FALSE), "")</f>
        <v>2016</v>
      </c>
      <c r="F4929" s="2" t="str">
        <f>IF(A4929&lt;&gt;"", VLOOKUP(A4929, imdb_netflix_v5!A$2:H$7370, 7, FALSE), "")</f>
        <v>NA</v>
      </c>
    </row>
    <row r="4930" ht="15.75" customHeight="1">
      <c r="A4930" s="1" t="str">
        <f>IFERROR(__xludf.DUMMYFUNCTION("""COMPUTED_VALUE"""),"pay it forward")</f>
        <v>pay it forward</v>
      </c>
      <c r="B4930" s="1" t="str">
        <f>IF(A4930&lt;&gt;"", VLOOKUP(A4930, imdb_netflix_v5!A$2:H$7370, 2, FALSE), "")</f>
        <v>Movie</v>
      </c>
      <c r="C4930" s="2" t="str">
        <f>IF(A4930&lt;&gt;"", VLOOKUP(A4930, imdb_netflix_v5!A$2:H$7370, 3, FALSE), "")</f>
        <v>Drama</v>
      </c>
      <c r="D4930" s="2">
        <f>IF(A4930&lt;&gt;"", VLOOKUP(A4930, imdb_netflix_v5!A$2:H$7370, 4, FALSE), "")</f>
        <v>7.2</v>
      </c>
      <c r="E4930" s="2">
        <f>IF(A4930&lt;&gt;"", VLOOKUP(A4930, imdb_netflix_v5!A$2:H$7370, 5, FALSE), "")</f>
        <v>2000</v>
      </c>
      <c r="F4930" s="2" t="str">
        <f>IF(A4930&lt;&gt;"", VLOOKUP(A4930, imdb_netflix_v5!A$2:H$7370, 7, FALSE), "")</f>
        <v>NA</v>
      </c>
    </row>
    <row r="4931" ht="15.75" customHeight="1">
      <c r="A4931" s="1" t="str">
        <f>IFERROR(__xludf.DUMMYFUNCTION("""COMPUTED_VALUE"""),"mean streets")</f>
        <v>mean streets</v>
      </c>
      <c r="B4931" s="1" t="str">
        <f>IF(A4931&lt;&gt;"", VLOOKUP(A4931, imdb_netflix_v5!A$2:H$7370, 2, FALSE), "")</f>
        <v>Movie</v>
      </c>
      <c r="C4931" s="2" t="str">
        <f>IF(A4931&lt;&gt;"", VLOOKUP(A4931, imdb_netflix_v5!A$2:H$7370, 3, FALSE), "")</f>
        <v>Crime, Drama, Thriller</v>
      </c>
      <c r="D4931" s="2">
        <f>IF(A4931&lt;&gt;"", VLOOKUP(A4931, imdb_netflix_v5!A$2:H$7370, 4, FALSE), "")</f>
        <v>7.2</v>
      </c>
      <c r="E4931" s="2">
        <f>IF(A4931&lt;&gt;"", VLOOKUP(A4931, imdb_netflix_v5!A$2:H$7370, 5, FALSE), "")</f>
        <v>1973</v>
      </c>
      <c r="F4931" s="2" t="str">
        <f>IF(A4931&lt;&gt;"", VLOOKUP(A4931, imdb_netflix_v5!A$2:H$7370, 7, FALSE), "")</f>
        <v>NA</v>
      </c>
    </row>
    <row r="4932" ht="15.75" customHeight="1">
      <c r="A4932" s="1" t="str">
        <f>IFERROR(__xludf.DUMMYFUNCTION("""COMPUTED_VALUE"""),"the butler")</f>
        <v>the butler</v>
      </c>
      <c r="B4932" s="1" t="str">
        <f>IF(A4932&lt;&gt;"", VLOOKUP(A4932, imdb_netflix_v5!A$2:H$7370, 2, FALSE), "")</f>
        <v>Movie</v>
      </c>
      <c r="C4932" s="2" t="str">
        <f>IF(A4932&lt;&gt;"", VLOOKUP(A4932, imdb_netflix_v5!A$2:H$7370, 3, FALSE), "")</f>
        <v>Biography, Drama</v>
      </c>
      <c r="D4932" s="2">
        <f>IF(A4932&lt;&gt;"", VLOOKUP(A4932, imdb_netflix_v5!A$2:H$7370, 4, FALSE), "")</f>
        <v>7.2</v>
      </c>
      <c r="E4932" s="2">
        <f>IF(A4932&lt;&gt;"", VLOOKUP(A4932, imdb_netflix_v5!A$2:H$7370, 5, FALSE), "")</f>
        <v>2013</v>
      </c>
      <c r="F4932" s="2" t="str">
        <f>IF(A4932&lt;&gt;"", VLOOKUP(A4932, imdb_netflix_v5!A$2:H$7370, 7, FALSE), "")</f>
        <v>NA</v>
      </c>
    </row>
    <row r="4933" ht="15.75" customHeight="1">
      <c r="A4933" s="1" t="str">
        <f>IFERROR(__xludf.DUMMYFUNCTION("""COMPUTED_VALUE"""),"fences")</f>
        <v>fences</v>
      </c>
      <c r="B4933" s="1" t="str">
        <f>IF(A4933&lt;&gt;"", VLOOKUP(A4933, imdb_netflix_v5!A$2:H$7370, 2, FALSE), "")</f>
        <v>Movie</v>
      </c>
      <c r="C4933" s="2" t="str">
        <f>IF(A4933&lt;&gt;"", VLOOKUP(A4933, imdb_netflix_v5!A$2:H$7370, 3, FALSE), "")</f>
        <v>Drama</v>
      </c>
      <c r="D4933" s="2">
        <f>IF(A4933&lt;&gt;"", VLOOKUP(A4933, imdb_netflix_v5!A$2:H$7370, 4, FALSE), "")</f>
        <v>7.2</v>
      </c>
      <c r="E4933" s="2">
        <f>IF(A4933&lt;&gt;"", VLOOKUP(A4933, imdb_netflix_v5!A$2:H$7370, 5, FALSE), "")</f>
        <v>2016</v>
      </c>
      <c r="F4933" s="2" t="str">
        <f>IF(A4933&lt;&gt;"", VLOOKUP(A4933, imdb_netflix_v5!A$2:H$7370, 7, FALSE), "")</f>
        <v>NA</v>
      </c>
    </row>
    <row r="4934" ht="15.75" customHeight="1">
      <c r="A4934" s="1" t="str">
        <f>IFERROR(__xludf.DUMMYFUNCTION("""COMPUTED_VALUE"""),"easy rider")</f>
        <v>easy rider</v>
      </c>
      <c r="B4934" s="1" t="str">
        <f>IF(A4934&lt;&gt;"", VLOOKUP(A4934, imdb_netflix_v5!A$2:H$7370, 2, FALSE), "")</f>
        <v>Movie</v>
      </c>
      <c r="C4934" s="2" t="str">
        <f>IF(A4934&lt;&gt;"", VLOOKUP(A4934, imdb_netflix_v5!A$2:H$7370, 3, FALSE), "")</f>
        <v>Adventure, Drama</v>
      </c>
      <c r="D4934" s="2">
        <f>IF(A4934&lt;&gt;"", VLOOKUP(A4934, imdb_netflix_v5!A$2:H$7370, 4, FALSE), "")</f>
        <v>7.2</v>
      </c>
      <c r="E4934" s="2">
        <f>IF(A4934&lt;&gt;"", VLOOKUP(A4934, imdb_netflix_v5!A$2:H$7370, 5, FALSE), "")</f>
        <v>1969</v>
      </c>
      <c r="F4934" s="2" t="str">
        <f>IF(A4934&lt;&gt;"", VLOOKUP(A4934, imdb_netflix_v5!A$2:H$7370, 7, FALSE), "")</f>
        <v>NA</v>
      </c>
    </row>
    <row r="4935" ht="15.75" customHeight="1">
      <c r="A4935" s="1" t="str">
        <f>IFERROR(__xludf.DUMMYFUNCTION("""COMPUTED_VALUE"""),"the defenders")</f>
        <v>the defenders</v>
      </c>
      <c r="B4935" s="1" t="str">
        <f>IF(A4935&lt;&gt;"", VLOOKUP(A4935, imdb_netflix_v5!A$2:H$7370, 2, FALSE), "")</f>
        <v>TV Show</v>
      </c>
      <c r="C4935" s="2" t="str">
        <f>IF(A4935&lt;&gt;"", VLOOKUP(A4935, imdb_netflix_v5!A$2:H$7370, 3, FALSE), "")</f>
        <v>Action, Adventure, Crime</v>
      </c>
      <c r="D4935" s="2">
        <f>IF(A4935&lt;&gt;"", VLOOKUP(A4935, imdb_netflix_v5!A$2:H$7370, 4, FALSE), "")</f>
        <v>7.2</v>
      </c>
      <c r="E4935" s="2">
        <f>IF(A4935&lt;&gt;"", VLOOKUP(A4935, imdb_netflix_v5!A$2:H$7370, 5, FALSE), "")</f>
        <v>2017</v>
      </c>
      <c r="F4935" s="2" t="str">
        <f>IF(A4935&lt;&gt;"", VLOOKUP(A4935, imdb_netflix_v5!A$2:H$7370, 7, FALSE), "")</f>
        <v>NA</v>
      </c>
    </row>
    <row r="4936" ht="15.75" customHeight="1">
      <c r="A4936" s="1" t="str">
        <f>IFERROR(__xludf.DUMMYFUNCTION("""COMPUTED_VALUE"""),"born on the fourth of july")</f>
        <v>born on the fourth of july</v>
      </c>
      <c r="B4936" s="1" t="str">
        <f>IF(A4936&lt;&gt;"", VLOOKUP(A4936, imdb_netflix_v5!A$2:H$7370, 2, FALSE), "")</f>
        <v>Movie</v>
      </c>
      <c r="C4936" s="2" t="str">
        <f>IF(A4936&lt;&gt;"", VLOOKUP(A4936, imdb_netflix_v5!A$2:H$7370, 3, FALSE), "")</f>
        <v>Biography, Drama, War</v>
      </c>
      <c r="D4936" s="2">
        <f>IF(A4936&lt;&gt;"", VLOOKUP(A4936, imdb_netflix_v5!A$2:H$7370, 4, FALSE), "")</f>
        <v>7.2</v>
      </c>
      <c r="E4936" s="2">
        <f>IF(A4936&lt;&gt;"", VLOOKUP(A4936, imdb_netflix_v5!A$2:H$7370, 5, FALSE), "")</f>
        <v>1989</v>
      </c>
      <c r="F4936" s="2" t="str">
        <f>IF(A4936&lt;&gt;"", VLOOKUP(A4936, imdb_netflix_v5!A$2:H$7370, 7, FALSE), "")</f>
        <v>NA</v>
      </c>
    </row>
    <row r="4937" ht="15.75" customHeight="1">
      <c r="A4937" s="1" t="str">
        <f>IFERROR(__xludf.DUMMYFUNCTION("""COMPUTED_VALUE"""),"in the line of fire")</f>
        <v>in the line of fire</v>
      </c>
      <c r="B4937" s="1" t="str">
        <f>IF(A4937&lt;&gt;"", VLOOKUP(A4937, imdb_netflix_v5!A$2:H$7370, 2, FALSE), "")</f>
        <v>Movie</v>
      </c>
      <c r="C4937" s="2" t="str">
        <f>IF(A4937&lt;&gt;"", VLOOKUP(A4937, imdb_netflix_v5!A$2:H$7370, 3, FALSE), "")</f>
        <v>Action, Crime, Drama</v>
      </c>
      <c r="D4937" s="2">
        <f>IF(A4937&lt;&gt;"", VLOOKUP(A4937, imdb_netflix_v5!A$2:H$7370, 4, FALSE), "")</f>
        <v>7.2</v>
      </c>
      <c r="E4937" s="2">
        <f>IF(A4937&lt;&gt;"", VLOOKUP(A4937, imdb_netflix_v5!A$2:H$7370, 5, FALSE), "")</f>
        <v>1993</v>
      </c>
      <c r="F4937" s="2" t="str">
        <f>IF(A4937&lt;&gt;"", VLOOKUP(A4937, imdb_netflix_v5!A$2:H$7370, 7, FALSE), "")</f>
        <v>NA</v>
      </c>
    </row>
    <row r="4938" ht="15.75" customHeight="1">
      <c r="A4938" s="1" t="str">
        <f>IFERROR(__xludf.DUMMYFUNCTION("""COMPUTED_VALUE"""),"the full monty")</f>
        <v>the full monty</v>
      </c>
      <c r="B4938" s="1" t="str">
        <f>IF(A4938&lt;&gt;"", VLOOKUP(A4938, imdb_netflix_v5!A$2:H$7370, 2, FALSE), "")</f>
        <v>Movie</v>
      </c>
      <c r="C4938" s="2" t="str">
        <f>IF(A4938&lt;&gt;"", VLOOKUP(A4938, imdb_netflix_v5!A$2:H$7370, 3, FALSE), "")</f>
        <v>Comedy, Drama</v>
      </c>
      <c r="D4938" s="2">
        <f>IF(A4938&lt;&gt;"", VLOOKUP(A4938, imdb_netflix_v5!A$2:H$7370, 4, FALSE), "")</f>
        <v>7.2</v>
      </c>
      <c r="E4938" s="2">
        <f>IF(A4938&lt;&gt;"", VLOOKUP(A4938, imdb_netflix_v5!A$2:H$7370, 5, FALSE), "")</f>
        <v>1997</v>
      </c>
      <c r="F4938" s="2" t="str">
        <f>IF(A4938&lt;&gt;"", VLOOKUP(A4938, imdb_netflix_v5!A$2:H$7370, 7, FALSE), "")</f>
        <v>NA</v>
      </c>
    </row>
    <row r="4939" ht="15.75" customHeight="1">
      <c r="A4939" s="1" t="str">
        <f>IFERROR(__xludf.DUMMYFUNCTION("""COMPUTED_VALUE"""),"super size me")</f>
        <v>super size me</v>
      </c>
      <c r="B4939" s="1" t="str">
        <f>IF(A4939&lt;&gt;"", VLOOKUP(A4939, imdb_netflix_v5!A$2:H$7370, 2, FALSE), "")</f>
        <v>Movie</v>
      </c>
      <c r="C4939" s="2" t="str">
        <f>IF(A4939&lt;&gt;"", VLOOKUP(A4939, imdb_netflix_v5!A$2:H$7370, 3, FALSE), "")</f>
        <v>Documentary</v>
      </c>
      <c r="D4939" s="2">
        <f>IF(A4939&lt;&gt;"", VLOOKUP(A4939, imdb_netflix_v5!A$2:H$7370, 4, FALSE), "")</f>
        <v>7.2</v>
      </c>
      <c r="E4939" s="2">
        <f>IF(A4939&lt;&gt;"", VLOOKUP(A4939, imdb_netflix_v5!A$2:H$7370, 5, FALSE), "")</f>
        <v>2004</v>
      </c>
      <c r="F4939" s="2" t="str">
        <f>IF(A4939&lt;&gt;"", VLOOKUP(A4939, imdb_netflix_v5!A$2:H$7370, 7, FALSE), "")</f>
        <v>NA</v>
      </c>
    </row>
    <row r="4940" ht="15.75" customHeight="1">
      <c r="A4940" s="1" t="str">
        <f>IFERROR(__xludf.DUMMYFUNCTION("""COMPUTED_VALUE"""),"only lovers left alive")</f>
        <v>only lovers left alive</v>
      </c>
      <c r="B4940" s="1" t="str">
        <f>IF(A4940&lt;&gt;"", VLOOKUP(A4940, imdb_netflix_v5!A$2:H$7370, 2, FALSE), "")</f>
        <v>Movie</v>
      </c>
      <c r="C4940" s="2" t="str">
        <f>IF(A4940&lt;&gt;"", VLOOKUP(A4940, imdb_netflix_v5!A$2:H$7370, 3, FALSE), "")</f>
        <v>Comedy, Drama, Fantasy</v>
      </c>
      <c r="D4940" s="2">
        <f>IF(A4940&lt;&gt;"", VLOOKUP(A4940, imdb_netflix_v5!A$2:H$7370, 4, FALSE), "")</f>
        <v>7.2</v>
      </c>
      <c r="E4940" s="2">
        <f>IF(A4940&lt;&gt;"", VLOOKUP(A4940, imdb_netflix_v5!A$2:H$7370, 5, FALSE), "")</f>
        <v>2013</v>
      </c>
      <c r="F4940" s="2" t="str">
        <f>IF(A4940&lt;&gt;"", VLOOKUP(A4940, imdb_netflix_v5!A$2:H$7370, 7, FALSE), "")</f>
        <v>NA</v>
      </c>
    </row>
    <row r="4941" ht="15.75" customHeight="1">
      <c r="A4941" s="1" t="str">
        <f>IFERROR(__xludf.DUMMYFUNCTION("""COMPUTED_VALUE"""),"st. vincent")</f>
        <v>st. vincent</v>
      </c>
      <c r="B4941" s="1" t="str">
        <f>IF(A4941&lt;&gt;"", VLOOKUP(A4941, imdb_netflix_v5!A$2:H$7370, 2, FALSE), "")</f>
        <v>Movie</v>
      </c>
      <c r="C4941" s="2" t="str">
        <f>IF(A4941&lt;&gt;"", VLOOKUP(A4941, imdb_netflix_v5!A$2:H$7370, 3, FALSE), "")</f>
        <v>Comedy, Drama</v>
      </c>
      <c r="D4941" s="2">
        <f>IF(A4941&lt;&gt;"", VLOOKUP(A4941, imdb_netflix_v5!A$2:H$7370, 4, FALSE), "")</f>
        <v>7.2</v>
      </c>
      <c r="E4941" s="2">
        <f>IF(A4941&lt;&gt;"", VLOOKUP(A4941, imdb_netflix_v5!A$2:H$7370, 5, FALSE), "")</f>
        <v>2014</v>
      </c>
      <c r="F4941" s="2">
        <f>IF(A4941&lt;&gt;"", VLOOKUP(A4941, imdb_netflix_v5!A$2:H$7370, 7, FALSE), "")</f>
        <v>7640000</v>
      </c>
    </row>
    <row r="4942" ht="15.75" customHeight="1">
      <c r="A4942" s="1" t="str">
        <f>IFERROR(__xludf.DUMMYFUNCTION("""COMPUTED_VALUE"""),"election")</f>
        <v>election</v>
      </c>
      <c r="B4942" s="1" t="str">
        <f>IF(A4942&lt;&gt;"", VLOOKUP(A4942, imdb_netflix_v5!A$2:H$7370, 2, FALSE), "")</f>
        <v>Movie</v>
      </c>
      <c r="C4942" s="2" t="str">
        <f>IF(A4942&lt;&gt;"", VLOOKUP(A4942, imdb_netflix_v5!A$2:H$7370, 3, FALSE), "")</f>
        <v>Comedy, Romance</v>
      </c>
      <c r="D4942" s="2">
        <f>IF(A4942&lt;&gt;"", VLOOKUP(A4942, imdb_netflix_v5!A$2:H$7370, 4, FALSE), "")</f>
        <v>7.2</v>
      </c>
      <c r="E4942" s="2">
        <f>IF(A4942&lt;&gt;"", VLOOKUP(A4942, imdb_netflix_v5!A$2:H$7370, 5, FALSE), "")</f>
        <v>1999</v>
      </c>
      <c r="F4942" s="2" t="str">
        <f>IF(A4942&lt;&gt;"", VLOOKUP(A4942, imdb_netflix_v5!A$2:H$7370, 7, FALSE), "")</f>
        <v>NA</v>
      </c>
    </row>
    <row r="4943" ht="15.75" customHeight="1">
      <c r="A4943" s="1" t="str">
        <f>IFERROR(__xludf.DUMMYFUNCTION("""COMPUTED_VALUE"""),"videodrome")</f>
        <v>videodrome</v>
      </c>
      <c r="B4943" s="1" t="str">
        <f>IF(A4943&lt;&gt;"", VLOOKUP(A4943, imdb_netflix_v5!A$2:H$7370, 2, FALSE), "")</f>
        <v>Movie</v>
      </c>
      <c r="C4943" s="2" t="str">
        <f>IF(A4943&lt;&gt;"", VLOOKUP(A4943, imdb_netflix_v5!A$2:H$7370, 3, FALSE), "")</f>
        <v>Drama, Horror, Sci-Fi</v>
      </c>
      <c r="D4943" s="2">
        <f>IF(A4943&lt;&gt;"", VLOOKUP(A4943, imdb_netflix_v5!A$2:H$7370, 4, FALSE), "")</f>
        <v>7.2</v>
      </c>
      <c r="E4943" s="2">
        <f>IF(A4943&lt;&gt;"", VLOOKUP(A4943, imdb_netflix_v5!A$2:H$7370, 5, FALSE), "")</f>
        <v>1983</v>
      </c>
      <c r="F4943" s="2" t="str">
        <f>IF(A4943&lt;&gt;"", VLOOKUP(A4943, imdb_netflix_v5!A$2:H$7370, 7, FALSE), "")</f>
        <v>NA</v>
      </c>
    </row>
    <row r="4944" ht="15.75" customHeight="1">
      <c r="A4944" s="1" t="str">
        <f>IFERROR(__xludf.DUMMYFUNCTION("""COMPUTED_VALUE"""),"ruby sparks")</f>
        <v>ruby sparks</v>
      </c>
      <c r="B4944" s="1" t="str">
        <f>IF(A4944&lt;&gt;"", VLOOKUP(A4944, imdb_netflix_v5!A$2:H$7370, 2, FALSE), "")</f>
        <v>Movie</v>
      </c>
      <c r="C4944" s="2" t="str">
        <f>IF(A4944&lt;&gt;"", VLOOKUP(A4944, imdb_netflix_v5!A$2:H$7370, 3, FALSE), "")</f>
        <v>Comedy, Drama, Fantasy</v>
      </c>
      <c r="D4944" s="2">
        <f>IF(A4944&lt;&gt;"", VLOOKUP(A4944, imdb_netflix_v5!A$2:H$7370, 4, FALSE), "")</f>
        <v>7.2</v>
      </c>
      <c r="E4944" s="2">
        <f>IF(A4944&lt;&gt;"", VLOOKUP(A4944, imdb_netflix_v5!A$2:H$7370, 5, FALSE), "")</f>
        <v>2012</v>
      </c>
      <c r="F4944" s="2" t="str">
        <f>IF(A4944&lt;&gt;"", VLOOKUP(A4944, imdb_netflix_v5!A$2:H$7370, 7, FALSE), "")</f>
        <v>NA</v>
      </c>
    </row>
    <row r="4945" ht="15.75" customHeight="1">
      <c r="A4945" s="1" t="str">
        <f>IFERROR(__xludf.DUMMYFUNCTION("""COMPUTED_VALUE"""),"the spongebob squarepants movie")</f>
        <v>the spongebob squarepants movie</v>
      </c>
      <c r="B4945" s="1" t="str">
        <f>IF(A4945&lt;&gt;"", VLOOKUP(A4945, imdb_netflix_v5!A$2:H$7370, 2, FALSE), "")</f>
        <v>Movie</v>
      </c>
      <c r="C4945" s="2" t="str">
        <f>IF(A4945&lt;&gt;"", VLOOKUP(A4945, imdb_netflix_v5!A$2:H$7370, 3, FALSE), "")</f>
        <v>Adventure, Animation, Comedy</v>
      </c>
      <c r="D4945" s="2">
        <f>IF(A4945&lt;&gt;"", VLOOKUP(A4945, imdb_netflix_v5!A$2:H$7370, 4, FALSE), "")</f>
        <v>7.2</v>
      </c>
      <c r="E4945" s="2">
        <f>IF(A4945&lt;&gt;"", VLOOKUP(A4945, imdb_netflix_v5!A$2:H$7370, 5, FALSE), "")</f>
        <v>2004</v>
      </c>
      <c r="F4945" s="2" t="str">
        <f>IF(A4945&lt;&gt;"", VLOOKUP(A4945, imdb_netflix_v5!A$2:H$7370, 7, FALSE), "")</f>
        <v>NA</v>
      </c>
    </row>
    <row r="4946" ht="15.75" customHeight="1">
      <c r="A4946" s="1" t="str">
        <f>IFERROR(__xludf.DUMMYFUNCTION("""COMPUTED_VALUE"""),"the fox and the hound")</f>
        <v>the fox and the hound</v>
      </c>
      <c r="B4946" s="1" t="str">
        <f>IF(A4946&lt;&gt;"", VLOOKUP(A4946, imdb_netflix_v5!A$2:H$7370, 2, FALSE), "")</f>
        <v>Movie</v>
      </c>
      <c r="C4946" s="2" t="str">
        <f>IF(A4946&lt;&gt;"", VLOOKUP(A4946, imdb_netflix_v5!A$2:H$7370, 3, FALSE), "")</f>
        <v>Adventure, Animation, Drama</v>
      </c>
      <c r="D4946" s="2">
        <f>IF(A4946&lt;&gt;"", VLOOKUP(A4946, imdb_netflix_v5!A$2:H$7370, 4, FALSE), "")</f>
        <v>7.2</v>
      </c>
      <c r="E4946" s="2">
        <f>IF(A4946&lt;&gt;"", VLOOKUP(A4946, imdb_netflix_v5!A$2:H$7370, 5, FALSE), "")</f>
        <v>1981</v>
      </c>
      <c r="F4946" s="2" t="str">
        <f>IF(A4946&lt;&gt;"", VLOOKUP(A4946, imdb_netflix_v5!A$2:H$7370, 7, FALSE), "")</f>
        <v>NA</v>
      </c>
    </row>
    <row r="4947" ht="15.75" customHeight="1">
      <c r="A4947" s="1" t="str">
        <f>IFERROR(__xludf.DUMMYFUNCTION("""COMPUTED_VALUE"""),"the birdcage")</f>
        <v>the birdcage</v>
      </c>
      <c r="B4947" s="1" t="str">
        <f>IF(A4947&lt;&gt;"", VLOOKUP(A4947, imdb_netflix_v5!A$2:H$7370, 2, FALSE), "")</f>
        <v>Movie</v>
      </c>
      <c r="C4947" s="2" t="str">
        <f>IF(A4947&lt;&gt;"", VLOOKUP(A4947, imdb_netflix_v5!A$2:H$7370, 3, FALSE), "")</f>
        <v>Comedy</v>
      </c>
      <c r="D4947" s="2">
        <f>IF(A4947&lt;&gt;"", VLOOKUP(A4947, imdb_netflix_v5!A$2:H$7370, 4, FALSE), "")</f>
        <v>7.2</v>
      </c>
      <c r="E4947" s="2">
        <f>IF(A4947&lt;&gt;"", VLOOKUP(A4947, imdb_netflix_v5!A$2:H$7370, 5, FALSE), "")</f>
        <v>1996</v>
      </c>
      <c r="F4947" s="2" t="str">
        <f>IF(A4947&lt;&gt;"", VLOOKUP(A4947, imdb_netflix_v5!A$2:H$7370, 7, FALSE), "")</f>
        <v>NA</v>
      </c>
    </row>
    <row r="4948" ht="15.75" customHeight="1">
      <c r="A4948" s="1" t="str">
        <f>IFERROR(__xludf.DUMMYFUNCTION("""COMPUTED_VALUE"""),"wild at heart")</f>
        <v>wild at heart</v>
      </c>
      <c r="B4948" s="1" t="str">
        <f>IF(A4948&lt;&gt;"", VLOOKUP(A4948, imdb_netflix_v5!A$2:H$7370, 2, FALSE), "")</f>
        <v>Movie</v>
      </c>
      <c r="C4948" s="2" t="str">
        <f>IF(A4948&lt;&gt;"", VLOOKUP(A4948, imdb_netflix_v5!A$2:H$7370, 3, FALSE), "")</f>
        <v>Crime, Drama, Thriller</v>
      </c>
      <c r="D4948" s="2">
        <f>IF(A4948&lt;&gt;"", VLOOKUP(A4948, imdb_netflix_v5!A$2:H$7370, 4, FALSE), "")</f>
        <v>7.2</v>
      </c>
      <c r="E4948" s="2">
        <f>IF(A4948&lt;&gt;"", VLOOKUP(A4948, imdb_netflix_v5!A$2:H$7370, 5, FALSE), "")</f>
        <v>1990</v>
      </c>
      <c r="F4948" s="2" t="str">
        <f>IF(A4948&lt;&gt;"", VLOOKUP(A4948, imdb_netflix_v5!A$2:H$7370, 7, FALSE), "")</f>
        <v>NA</v>
      </c>
    </row>
    <row r="4949" ht="15.75" customHeight="1">
      <c r="A4949" s="1" t="str">
        <f>IFERROR(__xludf.DUMMYFUNCTION("""COMPUTED_VALUE"""),"the best exotic marigold hotel")</f>
        <v>the best exotic marigold hotel</v>
      </c>
      <c r="B4949" s="1" t="str">
        <f>IF(A4949&lt;&gt;"", VLOOKUP(A4949, imdb_netflix_v5!A$2:H$7370, 2, FALSE), "")</f>
        <v>Movie</v>
      </c>
      <c r="C4949" s="2" t="str">
        <f>IF(A4949&lt;&gt;"", VLOOKUP(A4949, imdb_netflix_v5!A$2:H$7370, 3, FALSE), "")</f>
        <v>Comedy, Drama, Romance</v>
      </c>
      <c r="D4949" s="2">
        <f>IF(A4949&lt;&gt;"", VLOOKUP(A4949, imdb_netflix_v5!A$2:H$7370, 4, FALSE), "")</f>
        <v>7.2</v>
      </c>
      <c r="E4949" s="2">
        <f>IF(A4949&lt;&gt;"", VLOOKUP(A4949, imdb_netflix_v5!A$2:H$7370, 5, FALSE), "")</f>
        <v>2011</v>
      </c>
      <c r="F4949" s="2" t="str">
        <f>IF(A4949&lt;&gt;"", VLOOKUP(A4949, imdb_netflix_v5!A$2:H$7370, 7, FALSE), "")</f>
        <v>NA</v>
      </c>
    </row>
    <row r="4950" ht="15.75" customHeight="1">
      <c r="A4950" s="1" t="str">
        <f>IFERROR(__xludf.DUMMYFUNCTION("""COMPUTED_VALUE"""),"the doors")</f>
        <v>the doors</v>
      </c>
      <c r="B4950" s="1" t="str">
        <f>IF(A4950&lt;&gt;"", VLOOKUP(A4950, imdb_netflix_v5!A$2:H$7370, 2, FALSE), "")</f>
        <v>Movie</v>
      </c>
      <c r="C4950" s="2" t="str">
        <f>IF(A4950&lt;&gt;"", VLOOKUP(A4950, imdb_netflix_v5!A$2:H$7370, 3, FALSE), "")</f>
        <v>Biography, Drama, Music</v>
      </c>
      <c r="D4950" s="2">
        <f>IF(A4950&lt;&gt;"", VLOOKUP(A4950, imdb_netflix_v5!A$2:H$7370, 4, FALSE), "")</f>
        <v>7.2</v>
      </c>
      <c r="E4950" s="2">
        <f>IF(A4950&lt;&gt;"", VLOOKUP(A4950, imdb_netflix_v5!A$2:H$7370, 5, FALSE), "")</f>
        <v>1991</v>
      </c>
      <c r="F4950" s="2" t="str">
        <f>IF(A4950&lt;&gt;"", VLOOKUP(A4950, imdb_netflix_v5!A$2:H$7370, 7, FALSE), "")</f>
        <v>NA</v>
      </c>
    </row>
    <row r="4951" ht="15.75" customHeight="1">
      <c r="A4951" s="1" t="str">
        <f>IFERROR(__xludf.DUMMYFUNCTION("""COMPUTED_VALUE"""),"hostiles")</f>
        <v>hostiles</v>
      </c>
      <c r="B4951" s="1" t="str">
        <f>IF(A4951&lt;&gt;"", VLOOKUP(A4951, imdb_netflix_v5!A$2:H$7370, 2, FALSE), "")</f>
        <v>Movie</v>
      </c>
      <c r="C4951" s="2" t="str">
        <f>IF(A4951&lt;&gt;"", VLOOKUP(A4951, imdb_netflix_v5!A$2:H$7370, 3, FALSE), "")</f>
        <v>Drama, Western</v>
      </c>
      <c r="D4951" s="2">
        <f>IF(A4951&lt;&gt;"", VLOOKUP(A4951, imdb_netflix_v5!A$2:H$7370, 4, FALSE), "")</f>
        <v>7.2</v>
      </c>
      <c r="E4951" s="2">
        <f>IF(A4951&lt;&gt;"", VLOOKUP(A4951, imdb_netflix_v5!A$2:H$7370, 5, FALSE), "")</f>
        <v>2017</v>
      </c>
      <c r="F4951" s="2" t="str">
        <f>IF(A4951&lt;&gt;"", VLOOKUP(A4951, imdb_netflix_v5!A$2:H$7370, 7, FALSE), "")</f>
        <v>NA</v>
      </c>
    </row>
    <row r="4952" ht="15.75" customHeight="1">
      <c r="A4952" s="1" t="str">
        <f>IFERROR(__xludf.DUMMYFUNCTION("""COMPUTED_VALUE"""),"angel heart")</f>
        <v>angel heart</v>
      </c>
      <c r="B4952" s="1" t="str">
        <f>IF(A4952&lt;&gt;"", VLOOKUP(A4952, imdb_netflix_v5!A$2:H$7370, 2, FALSE), "")</f>
        <v>Movie</v>
      </c>
      <c r="C4952" s="2" t="str">
        <f>IF(A4952&lt;&gt;"", VLOOKUP(A4952, imdb_netflix_v5!A$2:H$7370, 3, FALSE), "")</f>
        <v>Horror, Mystery, Thriller</v>
      </c>
      <c r="D4952" s="2">
        <f>IF(A4952&lt;&gt;"", VLOOKUP(A4952, imdb_netflix_v5!A$2:H$7370, 4, FALSE), "")</f>
        <v>7.2</v>
      </c>
      <c r="E4952" s="2">
        <f>IF(A4952&lt;&gt;"", VLOOKUP(A4952, imdb_netflix_v5!A$2:H$7370, 5, FALSE), "")</f>
        <v>1987</v>
      </c>
      <c r="F4952" s="2" t="str">
        <f>IF(A4952&lt;&gt;"", VLOOKUP(A4952, imdb_netflix_v5!A$2:H$7370, 7, FALSE), "")</f>
        <v>NA</v>
      </c>
    </row>
    <row r="4953" ht="15.75" customHeight="1">
      <c r="A4953" s="1" t="str">
        <f>IFERROR(__xludf.DUMMYFUNCTION("""COMPUTED_VALUE"""),"august osage county")</f>
        <v>august osage county</v>
      </c>
      <c r="B4953" s="1" t="str">
        <f>IF(A4953&lt;&gt;"", VLOOKUP(A4953, imdb_netflix_v5!A$2:H$7370, 2, FALSE), "")</f>
        <v>Movie</v>
      </c>
      <c r="C4953" s="2" t="str">
        <f>IF(A4953&lt;&gt;"", VLOOKUP(A4953, imdb_netflix_v5!A$2:H$7370, 3, FALSE), "")</f>
        <v>Comedy, Drama</v>
      </c>
      <c r="D4953" s="2">
        <f>IF(A4953&lt;&gt;"", VLOOKUP(A4953, imdb_netflix_v5!A$2:H$7370, 4, FALSE), "")</f>
        <v>7.2</v>
      </c>
      <c r="E4953" s="2">
        <f>IF(A4953&lt;&gt;"", VLOOKUP(A4953, imdb_netflix_v5!A$2:H$7370, 5, FALSE), "")</f>
        <v>2013</v>
      </c>
      <c r="F4953" s="2" t="str">
        <f>IF(A4953&lt;&gt;"", VLOOKUP(A4953, imdb_netflix_v5!A$2:H$7370, 7, FALSE), "")</f>
        <v>NA</v>
      </c>
    </row>
    <row r="4954" ht="15.75" customHeight="1">
      <c r="A4954" s="1" t="str">
        <f>IFERROR(__xludf.DUMMYFUNCTION("""COMPUTED_VALUE"""),"gosford park")</f>
        <v>gosford park</v>
      </c>
      <c r="B4954" s="1" t="str">
        <f>IF(A4954&lt;&gt;"", VLOOKUP(A4954, imdb_netflix_v5!A$2:H$7370, 2, FALSE), "")</f>
        <v>Movie</v>
      </c>
      <c r="C4954" s="2" t="str">
        <f>IF(A4954&lt;&gt;"", VLOOKUP(A4954, imdb_netflix_v5!A$2:H$7370, 3, FALSE), "")</f>
        <v>Comedy, Drama, Mystery</v>
      </c>
      <c r="D4954" s="2">
        <f>IF(A4954&lt;&gt;"", VLOOKUP(A4954, imdb_netflix_v5!A$2:H$7370, 4, FALSE), "")</f>
        <v>7.2</v>
      </c>
      <c r="E4954" s="2">
        <f>IF(A4954&lt;&gt;"", VLOOKUP(A4954, imdb_netflix_v5!A$2:H$7370, 5, FALSE), "")</f>
        <v>2001</v>
      </c>
      <c r="F4954" s="2" t="str">
        <f>IF(A4954&lt;&gt;"", VLOOKUP(A4954, imdb_netflix_v5!A$2:H$7370, 7, FALSE), "")</f>
        <v>NA</v>
      </c>
    </row>
    <row r="4955" ht="15.75" customHeight="1">
      <c r="A4955" s="1" t="str">
        <f>IFERROR(__xludf.DUMMYFUNCTION("""COMPUTED_VALUE"""),"belfast")</f>
        <v>belfast</v>
      </c>
      <c r="B4955" s="1" t="str">
        <f>IF(A4955&lt;&gt;"", VLOOKUP(A4955, imdb_netflix_v5!A$2:H$7370, 2, FALSE), "")</f>
        <v>Movie</v>
      </c>
      <c r="C4955" s="2" t="str">
        <f>IF(A4955&lt;&gt;"", VLOOKUP(A4955, imdb_netflix_v5!A$2:H$7370, 3, FALSE), "")</f>
        <v>Biography, Drama, Romance</v>
      </c>
      <c r="D4955" s="2">
        <f>IF(A4955&lt;&gt;"", VLOOKUP(A4955, imdb_netflix_v5!A$2:H$7370, 4, FALSE), "")</f>
        <v>7.2</v>
      </c>
      <c r="E4955" s="2">
        <f>IF(A4955&lt;&gt;"", VLOOKUP(A4955, imdb_netflix_v5!A$2:H$7370, 5, FALSE), "")</f>
        <v>2021</v>
      </c>
      <c r="F4955" s="2" t="str">
        <f>IF(A4955&lt;&gt;"", VLOOKUP(A4955, imdb_netflix_v5!A$2:H$7370, 7, FALSE), "")</f>
        <v>NA</v>
      </c>
    </row>
    <row r="4956" ht="15.75" customHeight="1">
      <c r="A4956" s="1" t="str">
        <f>IFERROR(__xludf.DUMMYFUNCTION("""COMPUTED_VALUE"""),"crazy heart")</f>
        <v>crazy heart</v>
      </c>
      <c r="B4956" s="1" t="str">
        <f>IF(A4956&lt;&gt;"", VLOOKUP(A4956, imdb_netflix_v5!A$2:H$7370, 2, FALSE), "")</f>
        <v>Movie</v>
      </c>
      <c r="C4956" s="2" t="str">
        <f>IF(A4956&lt;&gt;"", VLOOKUP(A4956, imdb_netflix_v5!A$2:H$7370, 3, FALSE), "")</f>
        <v>Drama, Music, Romance</v>
      </c>
      <c r="D4956" s="2">
        <f>IF(A4956&lt;&gt;"", VLOOKUP(A4956, imdb_netflix_v5!A$2:H$7370, 4, FALSE), "")</f>
        <v>7.2</v>
      </c>
      <c r="E4956" s="2">
        <f>IF(A4956&lt;&gt;"", VLOOKUP(A4956, imdb_netflix_v5!A$2:H$7370, 5, FALSE), "")</f>
        <v>2009</v>
      </c>
      <c r="F4956" s="2" t="str">
        <f>IF(A4956&lt;&gt;"", VLOOKUP(A4956, imdb_netflix_v5!A$2:H$7370, 7, FALSE), "")</f>
        <v>NA</v>
      </c>
    </row>
    <row r="4957" ht="15.75" customHeight="1">
      <c r="A4957" s="1" t="str">
        <f>IFERROR(__xludf.DUMMYFUNCTION("""COMPUTED_VALUE"""),"beginners")</f>
        <v>beginners</v>
      </c>
      <c r="B4957" s="1" t="str">
        <f>IF(A4957&lt;&gt;"", VLOOKUP(A4957, imdb_netflix_v5!A$2:H$7370, 2, FALSE), "")</f>
        <v>Movie</v>
      </c>
      <c r="C4957" s="2" t="str">
        <f>IF(A4957&lt;&gt;"", VLOOKUP(A4957, imdb_netflix_v5!A$2:H$7370, 3, FALSE), "")</f>
        <v>Comedy, Drama, Romance</v>
      </c>
      <c r="D4957" s="2">
        <f>IF(A4957&lt;&gt;"", VLOOKUP(A4957, imdb_netflix_v5!A$2:H$7370, 4, FALSE), "")</f>
        <v>7.2</v>
      </c>
      <c r="E4957" s="2">
        <f>IF(A4957&lt;&gt;"", VLOOKUP(A4957, imdb_netflix_v5!A$2:H$7370, 5, FALSE), "")</f>
        <v>2010</v>
      </c>
      <c r="F4957" s="2" t="str">
        <f>IF(A4957&lt;&gt;"", VLOOKUP(A4957, imdb_netflix_v5!A$2:H$7370, 7, FALSE), "")</f>
        <v>NA</v>
      </c>
    </row>
    <row r="4958" ht="15.75" customHeight="1">
      <c r="A4958" s="1" t="str">
        <f>IFERROR(__xludf.DUMMYFUNCTION("""COMPUTED_VALUE"""),"elite")</f>
        <v>elite</v>
      </c>
      <c r="B4958" s="1" t="str">
        <f>IF(A4958&lt;&gt;"", VLOOKUP(A4958, imdb_netflix_v5!A$2:H$7370, 2, FALSE), "")</f>
        <v>TV Show</v>
      </c>
      <c r="C4958" s="2" t="str">
        <f>IF(A4958&lt;&gt;"", VLOOKUP(A4958, imdb_netflix_v5!A$2:H$7370, 3, FALSE), "")</f>
        <v>Crime, Drama, Thriller</v>
      </c>
      <c r="D4958" s="2">
        <f>IF(A4958&lt;&gt;"", VLOOKUP(A4958, imdb_netflix_v5!A$2:H$7370, 4, FALSE), "")</f>
        <v>7.2</v>
      </c>
      <c r="E4958" s="2">
        <f>IF(A4958&lt;&gt;"", VLOOKUP(A4958, imdb_netflix_v5!A$2:H$7370, 5, FALSE), "")</f>
        <v>2018</v>
      </c>
      <c r="F4958" s="3">
        <f>IF(A4958&lt;&gt;"", VLOOKUP(A4958, imdb_netflix_v5!A$2:H$7370, 7, FALSE), "")</f>
        <v>18000000</v>
      </c>
    </row>
    <row r="4959" ht="15.75" customHeight="1">
      <c r="A4959" s="1" t="str">
        <f>IFERROR(__xludf.DUMMYFUNCTION("""COMPUTED_VALUE"""),"charmed")</f>
        <v>charmed</v>
      </c>
      <c r="B4959" s="1" t="str">
        <f>IF(A4959&lt;&gt;"", VLOOKUP(A4959, imdb_netflix_v5!A$2:H$7370, 2, FALSE), "")</f>
        <v>TV Show</v>
      </c>
      <c r="C4959" s="2" t="str">
        <f>IF(A4959&lt;&gt;"", VLOOKUP(A4959, imdb_netflix_v5!A$2:H$7370, 3, FALSE), "")</f>
        <v>Drama, Fantasy, Mystery</v>
      </c>
      <c r="D4959" s="2">
        <f>IF(A4959&lt;&gt;"", VLOOKUP(A4959, imdb_netflix_v5!A$2:H$7370, 4, FALSE), "")</f>
        <v>7.2</v>
      </c>
      <c r="E4959" s="2">
        <f>IF(A4959&lt;&gt;"", VLOOKUP(A4959, imdb_netflix_v5!A$2:H$7370, 5, FALSE), "")</f>
        <v>1998</v>
      </c>
      <c r="F4959" s="2" t="str">
        <f>IF(A4959&lt;&gt;"", VLOOKUP(A4959, imdb_netflix_v5!A$2:H$7370, 7, FALSE), "")</f>
        <v>NA</v>
      </c>
    </row>
    <row r="4960" ht="15.75" customHeight="1">
      <c r="A4960" s="1" t="str">
        <f>IFERROR(__xludf.DUMMYFUNCTION("""COMPUTED_VALUE"""),"frailty")</f>
        <v>frailty</v>
      </c>
      <c r="B4960" s="1" t="str">
        <f>IF(A4960&lt;&gt;"", VLOOKUP(A4960, imdb_netflix_v5!A$2:H$7370, 2, FALSE), "")</f>
        <v>Movie</v>
      </c>
      <c r="C4960" s="2" t="str">
        <f>IF(A4960&lt;&gt;"", VLOOKUP(A4960, imdb_netflix_v5!A$2:H$7370, 3, FALSE), "")</f>
        <v>Crime, Drama, Thriller</v>
      </c>
      <c r="D4960" s="2">
        <f>IF(A4960&lt;&gt;"", VLOOKUP(A4960, imdb_netflix_v5!A$2:H$7370, 4, FALSE), "")</f>
        <v>7.2</v>
      </c>
      <c r="E4960" s="2">
        <f>IF(A4960&lt;&gt;"", VLOOKUP(A4960, imdb_netflix_v5!A$2:H$7370, 5, FALSE), "")</f>
        <v>2001</v>
      </c>
      <c r="F4960" s="2" t="str">
        <f>IF(A4960&lt;&gt;"", VLOOKUP(A4960, imdb_netflix_v5!A$2:H$7370, 7, FALSE), "")</f>
        <v>NA</v>
      </c>
    </row>
    <row r="4961" ht="15.75" customHeight="1">
      <c r="A4961" s="1" t="str">
        <f>IFERROR(__xludf.DUMMYFUNCTION("""COMPUTED_VALUE"""),"arlington road")</f>
        <v>arlington road</v>
      </c>
      <c r="B4961" s="1" t="str">
        <f>IF(A4961&lt;&gt;"", VLOOKUP(A4961, imdb_netflix_v5!A$2:H$7370, 2, FALSE), "")</f>
        <v>Movie</v>
      </c>
      <c r="C4961" s="2" t="str">
        <f>IF(A4961&lt;&gt;"", VLOOKUP(A4961, imdb_netflix_v5!A$2:H$7370, 3, FALSE), "")</f>
        <v>Action, Crime, Drama</v>
      </c>
      <c r="D4961" s="2">
        <f>IF(A4961&lt;&gt;"", VLOOKUP(A4961, imdb_netflix_v5!A$2:H$7370, 4, FALSE), "")</f>
        <v>7.2</v>
      </c>
      <c r="E4961" s="2">
        <f>IF(A4961&lt;&gt;"", VLOOKUP(A4961, imdb_netflix_v5!A$2:H$7370, 5, FALSE), "")</f>
        <v>1999</v>
      </c>
      <c r="F4961" s="2" t="str">
        <f>IF(A4961&lt;&gt;"", VLOOKUP(A4961, imdb_netflix_v5!A$2:H$7370, 7, FALSE), "")</f>
        <v>NA</v>
      </c>
    </row>
    <row r="4962" ht="15.75" customHeight="1">
      <c r="A4962" s="1" t="str">
        <f>IFERROR(__xludf.DUMMYFUNCTION("""COMPUTED_VALUE"""),"stuck in love.")</f>
        <v>stuck in love.</v>
      </c>
      <c r="B4962" s="1" t="str">
        <f>IF(A4962&lt;&gt;"", VLOOKUP(A4962, imdb_netflix_v5!A$2:H$7370, 2, FALSE), "")</f>
        <v>Movie</v>
      </c>
      <c r="C4962" s="2" t="str">
        <f>IF(A4962&lt;&gt;"", VLOOKUP(A4962, imdb_netflix_v5!A$2:H$7370, 3, FALSE), "")</f>
        <v>Comedy, Drama, Romance</v>
      </c>
      <c r="D4962" s="2">
        <f>IF(A4962&lt;&gt;"", VLOOKUP(A4962, imdb_netflix_v5!A$2:H$7370, 4, FALSE), "")</f>
        <v>7.2</v>
      </c>
      <c r="E4962" s="2">
        <f>IF(A4962&lt;&gt;"", VLOOKUP(A4962, imdb_netflix_v5!A$2:H$7370, 5, FALSE), "")</f>
        <v>2012</v>
      </c>
      <c r="F4962" s="2" t="str">
        <f>IF(A4962&lt;&gt;"", VLOOKUP(A4962, imdb_netflix_v5!A$2:H$7370, 7, FALSE), "")</f>
        <v>NA</v>
      </c>
    </row>
    <row r="4963" ht="15.75" customHeight="1">
      <c r="A4963" s="1" t="str">
        <f>IFERROR(__xludf.DUMMYFUNCTION("""COMPUTED_VALUE"""),"harry brown")</f>
        <v>harry brown</v>
      </c>
      <c r="B4963" s="1" t="str">
        <f>IF(A4963&lt;&gt;"", VLOOKUP(A4963, imdb_netflix_v5!A$2:H$7370, 2, FALSE), "")</f>
        <v>Movie</v>
      </c>
      <c r="C4963" s="2" t="str">
        <f>IF(A4963&lt;&gt;"", VLOOKUP(A4963, imdb_netflix_v5!A$2:H$7370, 3, FALSE), "")</f>
        <v>Action, Crime, Drama</v>
      </c>
      <c r="D4963" s="2">
        <f>IF(A4963&lt;&gt;"", VLOOKUP(A4963, imdb_netflix_v5!A$2:H$7370, 4, FALSE), "")</f>
        <v>7.2</v>
      </c>
      <c r="E4963" s="2">
        <f>IF(A4963&lt;&gt;"", VLOOKUP(A4963, imdb_netflix_v5!A$2:H$7370, 5, FALSE), "")</f>
        <v>2009</v>
      </c>
      <c r="F4963" s="2" t="str">
        <f>IF(A4963&lt;&gt;"", VLOOKUP(A4963, imdb_netflix_v5!A$2:H$7370, 7, FALSE), "")</f>
        <v>NA</v>
      </c>
    </row>
    <row r="4964" ht="15.75" customHeight="1">
      <c r="A4964" s="1" t="str">
        <f>IFERROR(__xludf.DUMMYFUNCTION("""COMPUTED_VALUE"""),"a beautiful day in the neighborhood")</f>
        <v>a beautiful day in the neighborhood</v>
      </c>
      <c r="B4964" s="1" t="str">
        <f>IF(A4964&lt;&gt;"", VLOOKUP(A4964, imdb_netflix_v5!A$2:H$7370, 2, FALSE), "")</f>
        <v>Movie</v>
      </c>
      <c r="C4964" s="2" t="str">
        <f>IF(A4964&lt;&gt;"", VLOOKUP(A4964, imdb_netflix_v5!A$2:H$7370, 3, FALSE), "")</f>
        <v>Biography, Drama, Family</v>
      </c>
      <c r="D4964" s="2">
        <f>IF(A4964&lt;&gt;"", VLOOKUP(A4964, imdb_netflix_v5!A$2:H$7370, 4, FALSE), "")</f>
        <v>7.2</v>
      </c>
      <c r="E4964" s="2">
        <f>IF(A4964&lt;&gt;"", VLOOKUP(A4964, imdb_netflix_v5!A$2:H$7370, 5, FALSE), "")</f>
        <v>2019</v>
      </c>
      <c r="F4964" s="2" t="str">
        <f>IF(A4964&lt;&gt;"", VLOOKUP(A4964, imdb_netflix_v5!A$2:H$7370, 7, FALSE), "")</f>
        <v>NA</v>
      </c>
    </row>
    <row r="4965" ht="15.75" customHeight="1">
      <c r="A4965" s="1" t="str">
        <f>IFERROR(__xludf.DUMMYFUNCTION("""COMPUTED_VALUE"""),"enter the void")</f>
        <v>enter the void</v>
      </c>
      <c r="B4965" s="1" t="str">
        <f>IF(A4965&lt;&gt;"", VLOOKUP(A4965, imdb_netflix_v5!A$2:H$7370, 2, FALSE), "")</f>
        <v>Movie</v>
      </c>
      <c r="C4965" s="2" t="str">
        <f>IF(A4965&lt;&gt;"", VLOOKUP(A4965, imdb_netflix_v5!A$2:H$7370, 3, FALSE), "")</f>
        <v>Drama, Fantasy</v>
      </c>
      <c r="D4965" s="2">
        <f>IF(A4965&lt;&gt;"", VLOOKUP(A4965, imdb_netflix_v5!A$2:H$7370, 4, FALSE), "")</f>
        <v>7.2</v>
      </c>
      <c r="E4965" s="2">
        <f>IF(A4965&lt;&gt;"", VLOOKUP(A4965, imdb_netflix_v5!A$2:H$7370, 5, FALSE), "")</f>
        <v>2009</v>
      </c>
      <c r="F4965" s="2" t="str">
        <f>IF(A4965&lt;&gt;"", VLOOKUP(A4965, imdb_netflix_v5!A$2:H$7370, 7, FALSE), "")</f>
        <v>NA</v>
      </c>
    </row>
    <row r="4966" ht="15.75" customHeight="1">
      <c r="A4966" s="1" t="str">
        <f>IFERROR(__xludf.DUMMYFUNCTION("""COMPUTED_VALUE"""),"dope")</f>
        <v>dope</v>
      </c>
      <c r="B4966" s="1" t="str">
        <f>IF(A4966&lt;&gt;"", VLOOKUP(A4966, imdb_netflix_v5!A$2:H$7370, 2, FALSE), "")</f>
        <v>Movie</v>
      </c>
      <c r="C4966" s="2" t="str">
        <f>IF(A4966&lt;&gt;"", VLOOKUP(A4966, imdb_netflix_v5!A$2:H$7370, 3, FALSE), "")</f>
        <v>Adventure, Comedy, Crime</v>
      </c>
      <c r="D4966" s="2">
        <f>IF(A4966&lt;&gt;"", VLOOKUP(A4966, imdb_netflix_v5!A$2:H$7370, 4, FALSE), "")</f>
        <v>7.2</v>
      </c>
      <c r="E4966" s="2">
        <f>IF(A4966&lt;&gt;"", VLOOKUP(A4966, imdb_netflix_v5!A$2:H$7370, 5, FALSE), "")</f>
        <v>2015</v>
      </c>
      <c r="F4966" s="2" t="str">
        <f>IF(A4966&lt;&gt;"", VLOOKUP(A4966, imdb_netflix_v5!A$2:H$7370, 7, FALSE), "")</f>
        <v>NA</v>
      </c>
    </row>
    <row r="4967" ht="15.75" customHeight="1">
      <c r="A4967" s="1" t="str">
        <f>IFERROR(__xludf.DUMMYFUNCTION("""COMPUTED_VALUE"""),"swingers")</f>
        <v>swingers</v>
      </c>
      <c r="B4967" s="1" t="str">
        <f>IF(A4967&lt;&gt;"", VLOOKUP(A4967, imdb_netflix_v5!A$2:H$7370, 2, FALSE), "")</f>
        <v>Movie</v>
      </c>
      <c r="C4967" s="2" t="str">
        <f>IF(A4967&lt;&gt;"", VLOOKUP(A4967, imdb_netflix_v5!A$2:H$7370, 3, FALSE), "")</f>
        <v>Comedy, Drama</v>
      </c>
      <c r="D4967" s="2">
        <f>IF(A4967&lt;&gt;"", VLOOKUP(A4967, imdb_netflix_v5!A$2:H$7370, 4, FALSE), "")</f>
        <v>7.2</v>
      </c>
      <c r="E4967" s="2">
        <f>IF(A4967&lt;&gt;"", VLOOKUP(A4967, imdb_netflix_v5!A$2:H$7370, 5, FALSE), "")</f>
        <v>1996</v>
      </c>
      <c r="F4967" s="2" t="str">
        <f>IF(A4967&lt;&gt;"", VLOOKUP(A4967, imdb_netflix_v5!A$2:H$7370, 7, FALSE), "")</f>
        <v>NA</v>
      </c>
    </row>
    <row r="4968" ht="15.75" customHeight="1">
      <c r="A4968" s="1" t="str">
        <f>IFERROR(__xludf.DUMMYFUNCTION("""COMPUTED_VALUE"""),"spirit stallion of the cimarron")</f>
        <v>spirit stallion of the cimarron</v>
      </c>
      <c r="B4968" s="1" t="str">
        <f>IF(A4968&lt;&gt;"", VLOOKUP(A4968, imdb_netflix_v5!A$2:H$7370, 2, FALSE), "")</f>
        <v>Movie</v>
      </c>
      <c r="C4968" s="2" t="str">
        <f>IF(A4968&lt;&gt;"", VLOOKUP(A4968, imdb_netflix_v5!A$2:H$7370, 3, FALSE), "")</f>
        <v>Adventure, Animation, Drama</v>
      </c>
      <c r="D4968" s="2">
        <f>IF(A4968&lt;&gt;"", VLOOKUP(A4968, imdb_netflix_v5!A$2:H$7370, 4, FALSE), "")</f>
        <v>7.2</v>
      </c>
      <c r="E4968" s="2">
        <f>IF(A4968&lt;&gt;"", VLOOKUP(A4968, imdb_netflix_v5!A$2:H$7370, 5, FALSE), "")</f>
        <v>2002</v>
      </c>
      <c r="F4968" s="2" t="str">
        <f>IF(A4968&lt;&gt;"", VLOOKUP(A4968, imdb_netflix_v5!A$2:H$7370, 7, FALSE), "")</f>
        <v>NA</v>
      </c>
    </row>
    <row r="4969" ht="15.75" customHeight="1">
      <c r="A4969" s="1" t="str">
        <f>IFERROR(__xludf.DUMMYFUNCTION("""COMPUTED_VALUE"""),"five feet apart")</f>
        <v>five feet apart</v>
      </c>
      <c r="B4969" s="1" t="str">
        <f>IF(A4969&lt;&gt;"", VLOOKUP(A4969, imdb_netflix_v5!A$2:H$7370, 2, FALSE), "")</f>
        <v>Movie</v>
      </c>
      <c r="C4969" s="2" t="str">
        <f>IF(A4969&lt;&gt;"", VLOOKUP(A4969, imdb_netflix_v5!A$2:H$7370, 3, FALSE), "")</f>
        <v>Drama, Romance</v>
      </c>
      <c r="D4969" s="2">
        <f>IF(A4969&lt;&gt;"", VLOOKUP(A4969, imdb_netflix_v5!A$2:H$7370, 4, FALSE), "")</f>
        <v>7.2</v>
      </c>
      <c r="E4969" s="2">
        <f>IF(A4969&lt;&gt;"", VLOOKUP(A4969, imdb_netflix_v5!A$2:H$7370, 5, FALSE), "")</f>
        <v>2019</v>
      </c>
      <c r="F4969" s="2" t="str">
        <f>IF(A4969&lt;&gt;"", VLOOKUP(A4969, imdb_netflix_v5!A$2:H$7370, 7, FALSE), "")</f>
        <v>NA</v>
      </c>
    </row>
    <row r="4970" ht="15.75" customHeight="1">
      <c r="A4970" s="1" t="str">
        <f>IFERROR(__xludf.DUMMYFUNCTION("""COMPUTED_VALUE"""),"the hudsucker proxy")</f>
        <v>the hudsucker proxy</v>
      </c>
      <c r="B4970" s="1" t="str">
        <f>IF(A4970&lt;&gt;"", VLOOKUP(A4970, imdb_netflix_v5!A$2:H$7370, 2, FALSE), "")</f>
        <v>Movie</v>
      </c>
      <c r="C4970" s="2" t="str">
        <f>IF(A4970&lt;&gt;"", VLOOKUP(A4970, imdb_netflix_v5!A$2:H$7370, 3, FALSE), "")</f>
        <v>Comedy, Drama, Fantasy</v>
      </c>
      <c r="D4970" s="2">
        <f>IF(A4970&lt;&gt;"", VLOOKUP(A4970, imdb_netflix_v5!A$2:H$7370, 4, FALSE), "")</f>
        <v>7.2</v>
      </c>
      <c r="E4970" s="2">
        <f>IF(A4970&lt;&gt;"", VLOOKUP(A4970, imdb_netflix_v5!A$2:H$7370, 5, FALSE), "")</f>
        <v>1994</v>
      </c>
      <c r="F4970" s="2" t="str">
        <f>IF(A4970&lt;&gt;"", VLOOKUP(A4970, imdb_netflix_v5!A$2:H$7370, 7, FALSE), "")</f>
        <v>NA</v>
      </c>
    </row>
    <row r="4971" ht="15.75" customHeight="1">
      <c r="A4971" s="1" t="str">
        <f>IFERROR(__xludf.DUMMYFUNCTION("""COMPUTED_VALUE"""),"christopher robin")</f>
        <v>christopher robin</v>
      </c>
      <c r="B4971" s="1" t="str">
        <f>IF(A4971&lt;&gt;"", VLOOKUP(A4971, imdb_netflix_v5!A$2:H$7370, 2, FALSE), "")</f>
        <v>Movie</v>
      </c>
      <c r="C4971" s="2" t="str">
        <f>IF(A4971&lt;&gt;"", VLOOKUP(A4971, imdb_netflix_v5!A$2:H$7370, 3, FALSE), "")</f>
        <v>Adventure, Comedy, Drama</v>
      </c>
      <c r="D4971" s="2">
        <f>IF(A4971&lt;&gt;"", VLOOKUP(A4971, imdb_netflix_v5!A$2:H$7370, 4, FALSE), "")</f>
        <v>7.2</v>
      </c>
      <c r="E4971" s="2">
        <f>IF(A4971&lt;&gt;"", VLOOKUP(A4971, imdb_netflix_v5!A$2:H$7370, 5, FALSE), "")</f>
        <v>2018</v>
      </c>
      <c r="F4971" s="2" t="str">
        <f>IF(A4971&lt;&gt;"", VLOOKUP(A4971, imdb_netflix_v5!A$2:H$7370, 7, FALSE), "")</f>
        <v>NA</v>
      </c>
    </row>
    <row r="4972" ht="15.75" customHeight="1">
      <c r="A4972" s="1" t="str">
        <f>IFERROR(__xludf.DUMMYFUNCTION("""COMPUTED_VALUE"""),"beasts of the southern wild")</f>
        <v>beasts of the southern wild</v>
      </c>
      <c r="B4972" s="1" t="str">
        <f>IF(A4972&lt;&gt;"", VLOOKUP(A4972, imdb_netflix_v5!A$2:H$7370, 2, FALSE), "")</f>
        <v>Movie</v>
      </c>
      <c r="C4972" s="2" t="str">
        <f>IF(A4972&lt;&gt;"", VLOOKUP(A4972, imdb_netflix_v5!A$2:H$7370, 3, FALSE), "")</f>
        <v>Adventure, Drama, Fantasy</v>
      </c>
      <c r="D4972" s="2">
        <f>IF(A4972&lt;&gt;"", VLOOKUP(A4972, imdb_netflix_v5!A$2:H$7370, 4, FALSE), "")</f>
        <v>7.2</v>
      </c>
      <c r="E4972" s="2">
        <f>IF(A4972&lt;&gt;"", VLOOKUP(A4972, imdb_netflix_v5!A$2:H$7370, 5, FALSE), "")</f>
        <v>2012</v>
      </c>
      <c r="F4972" s="2" t="str">
        <f>IF(A4972&lt;&gt;"", VLOOKUP(A4972, imdb_netflix_v5!A$2:H$7370, 7, FALSE), "")</f>
        <v>NA</v>
      </c>
    </row>
    <row r="4973" ht="15.75" customHeight="1">
      <c r="A4973" s="1" t="str">
        <f>IFERROR(__xludf.DUMMYFUNCTION("""COMPUTED_VALUE"""),"the rainmaker")</f>
        <v>the rainmaker</v>
      </c>
      <c r="B4973" s="1" t="str">
        <f>IF(A4973&lt;&gt;"", VLOOKUP(A4973, imdb_netflix_v5!A$2:H$7370, 2, FALSE), "")</f>
        <v>Movie</v>
      </c>
      <c r="C4973" s="2" t="str">
        <f>IF(A4973&lt;&gt;"", VLOOKUP(A4973, imdb_netflix_v5!A$2:H$7370, 3, FALSE), "")</f>
        <v>Crime, Drama, Thriller</v>
      </c>
      <c r="D4973" s="2">
        <f>IF(A4973&lt;&gt;"", VLOOKUP(A4973, imdb_netflix_v5!A$2:H$7370, 4, FALSE), "")</f>
        <v>7.2</v>
      </c>
      <c r="E4973" s="2">
        <f>IF(A4973&lt;&gt;"", VLOOKUP(A4973, imdb_netflix_v5!A$2:H$7370, 5, FALSE), "")</f>
        <v>1997</v>
      </c>
      <c r="F4973" s="2" t="str">
        <f>IF(A4973&lt;&gt;"", VLOOKUP(A4973, imdb_netflix_v5!A$2:H$7370, 7, FALSE), "")</f>
        <v>NA</v>
      </c>
    </row>
    <row r="4974" ht="15.75" customHeight="1">
      <c r="A4974" s="1" t="str">
        <f>IFERROR(__xludf.DUMMYFUNCTION("""COMPUTED_VALUE"""),"manhunter")</f>
        <v>manhunter</v>
      </c>
      <c r="B4974" s="1" t="str">
        <f>IF(A4974&lt;&gt;"", VLOOKUP(A4974, imdb_netflix_v5!A$2:H$7370, 2, FALSE), "")</f>
        <v>Movie</v>
      </c>
      <c r="C4974" s="2" t="str">
        <f>IF(A4974&lt;&gt;"", VLOOKUP(A4974, imdb_netflix_v5!A$2:H$7370, 3, FALSE), "")</f>
        <v>Crime, Mystery, Thriller</v>
      </c>
      <c r="D4974" s="2">
        <f>IF(A4974&lt;&gt;"", VLOOKUP(A4974, imdb_netflix_v5!A$2:H$7370, 4, FALSE), "")</f>
        <v>7.2</v>
      </c>
      <c r="E4974" s="2">
        <f>IF(A4974&lt;&gt;"", VLOOKUP(A4974, imdb_netflix_v5!A$2:H$7370, 5, FALSE), "")</f>
        <v>1986</v>
      </c>
      <c r="F4974" s="2" t="str">
        <f>IF(A4974&lt;&gt;"", VLOOKUP(A4974, imdb_netflix_v5!A$2:H$7370, 7, FALSE), "")</f>
        <v>NA</v>
      </c>
    </row>
    <row r="4975" ht="15.75" customHeight="1">
      <c r="A4975" s="1" t="str">
        <f>IFERROR(__xludf.DUMMYFUNCTION("""COMPUTED_VALUE"""),"star trek vi the undiscovered country")</f>
        <v>star trek vi the undiscovered country</v>
      </c>
      <c r="B4975" s="1" t="str">
        <f>IF(A4975&lt;&gt;"", VLOOKUP(A4975, imdb_netflix_v5!A$2:H$7370, 2, FALSE), "")</f>
        <v>Movie</v>
      </c>
      <c r="C4975" s="2" t="str">
        <f>IF(A4975&lt;&gt;"", VLOOKUP(A4975, imdb_netflix_v5!A$2:H$7370, 3, FALSE), "")</f>
        <v>Action, Adventure, Sci-Fi</v>
      </c>
      <c r="D4975" s="2">
        <f>IF(A4975&lt;&gt;"", VLOOKUP(A4975, imdb_netflix_v5!A$2:H$7370, 4, FALSE), "")</f>
        <v>7.2</v>
      </c>
      <c r="E4975" s="2">
        <f>IF(A4975&lt;&gt;"", VLOOKUP(A4975, imdb_netflix_v5!A$2:H$7370, 5, FALSE), "")</f>
        <v>1991</v>
      </c>
      <c r="F4975" s="2" t="str">
        <f>IF(A4975&lt;&gt;"", VLOOKUP(A4975, imdb_netflix_v5!A$2:H$7370, 7, FALSE), "")</f>
        <v>NA</v>
      </c>
    </row>
    <row r="4976" ht="15.75" customHeight="1">
      <c r="A4976" s="1" t="str">
        <f>IFERROR(__xludf.DUMMYFUNCTION("""COMPUTED_VALUE"""),"a dogs purpose")</f>
        <v>a dogs purpose</v>
      </c>
      <c r="B4976" s="1" t="str">
        <f>IF(A4976&lt;&gt;"", VLOOKUP(A4976, imdb_netflix_v5!A$2:H$7370, 2, FALSE), "")</f>
        <v>Movie</v>
      </c>
      <c r="C4976" s="2" t="str">
        <f>IF(A4976&lt;&gt;"", VLOOKUP(A4976, imdb_netflix_v5!A$2:H$7370, 3, FALSE), "")</f>
        <v>Adventure, Comedy, Drama</v>
      </c>
      <c r="D4976" s="2">
        <f>IF(A4976&lt;&gt;"", VLOOKUP(A4976, imdb_netflix_v5!A$2:H$7370, 4, FALSE), "")</f>
        <v>7.2</v>
      </c>
      <c r="E4976" s="2">
        <f>IF(A4976&lt;&gt;"", VLOOKUP(A4976, imdb_netflix_v5!A$2:H$7370, 5, FALSE), "")</f>
        <v>2017</v>
      </c>
      <c r="F4976" s="2" t="str">
        <f>IF(A4976&lt;&gt;"", VLOOKUP(A4976, imdb_netflix_v5!A$2:H$7370, 7, FALSE), "")</f>
        <v>NA</v>
      </c>
    </row>
    <row r="4977" ht="15.75" customHeight="1">
      <c r="A4977" s="1" t="str">
        <f>IFERROR(__xludf.DUMMYFUNCTION("""COMPUTED_VALUE"""),"behind her eyes")</f>
        <v>behind her eyes</v>
      </c>
      <c r="B4977" s="1" t="str">
        <f>IF(A4977&lt;&gt;"", VLOOKUP(A4977, imdb_netflix_v5!A$2:H$7370, 2, FALSE), "")</f>
        <v>TV Show</v>
      </c>
      <c r="C4977" s="2" t="str">
        <f>IF(A4977&lt;&gt;"", VLOOKUP(A4977, imdb_netflix_v5!A$2:H$7370, 3, FALSE), "")</f>
        <v>Drama, Mystery, Thriller</v>
      </c>
      <c r="D4977" s="2">
        <f>IF(A4977&lt;&gt;"", VLOOKUP(A4977, imdb_netflix_v5!A$2:H$7370, 4, FALSE), "")</f>
        <v>7.2</v>
      </c>
      <c r="E4977" s="2">
        <f>IF(A4977&lt;&gt;"", VLOOKUP(A4977, imdb_netflix_v5!A$2:H$7370, 5, FALSE), "")</f>
        <v>2021</v>
      </c>
      <c r="F4977" s="2" t="str">
        <f>IF(A4977&lt;&gt;"", VLOOKUP(A4977, imdb_netflix_v5!A$2:H$7370, 7, FALSE), "")</f>
        <v>NA</v>
      </c>
    </row>
    <row r="4978" ht="15.75" customHeight="1">
      <c r="A4978" s="1" t="str">
        <f>IFERROR(__xludf.DUMMYFUNCTION("""COMPUTED_VALUE"""),"ringu")</f>
        <v>ringu</v>
      </c>
      <c r="B4978" s="1" t="str">
        <f>IF(A4978&lt;&gt;"", VLOOKUP(A4978, imdb_netflix_v5!A$2:H$7370, 2, FALSE), "")</f>
        <v>Movie</v>
      </c>
      <c r="C4978" s="2" t="str">
        <f>IF(A4978&lt;&gt;"", VLOOKUP(A4978, imdb_netflix_v5!A$2:H$7370, 3, FALSE), "")</f>
        <v>Horror, Mystery</v>
      </c>
      <c r="D4978" s="2">
        <f>IF(A4978&lt;&gt;"", VLOOKUP(A4978, imdb_netflix_v5!A$2:H$7370, 4, FALSE), "")</f>
        <v>7.2</v>
      </c>
      <c r="E4978" s="2">
        <f>IF(A4978&lt;&gt;"", VLOOKUP(A4978, imdb_netflix_v5!A$2:H$7370, 5, FALSE), "")</f>
        <v>1998</v>
      </c>
      <c r="F4978" s="2" t="str">
        <f>IF(A4978&lt;&gt;"", VLOOKUP(A4978, imdb_netflix_v5!A$2:H$7370, 7, FALSE), "")</f>
        <v>NA</v>
      </c>
    </row>
    <row r="4979" ht="15.75" customHeight="1">
      <c r="A4979" s="1" t="str">
        <f>IFERROR(__xludf.DUMMYFUNCTION("""COMPUTED_VALUE"""),"the book of life")</f>
        <v>the book of life</v>
      </c>
      <c r="B4979" s="1" t="str">
        <f>IF(A4979&lt;&gt;"", VLOOKUP(A4979, imdb_netflix_v5!A$2:H$7370, 2, FALSE), "")</f>
        <v>Movie</v>
      </c>
      <c r="C4979" s="2" t="str">
        <f>IF(A4979&lt;&gt;"", VLOOKUP(A4979, imdb_netflix_v5!A$2:H$7370, 3, FALSE), "")</f>
        <v>Adventure, Animation, Comedy</v>
      </c>
      <c r="D4979" s="2">
        <f>IF(A4979&lt;&gt;"", VLOOKUP(A4979, imdb_netflix_v5!A$2:H$7370, 4, FALSE), "")</f>
        <v>7.2</v>
      </c>
      <c r="E4979" s="2">
        <f>IF(A4979&lt;&gt;"", VLOOKUP(A4979, imdb_netflix_v5!A$2:H$7370, 5, FALSE), "")</f>
        <v>2014</v>
      </c>
      <c r="F4979" s="2" t="str">
        <f>IF(A4979&lt;&gt;"", VLOOKUP(A4979, imdb_netflix_v5!A$2:H$7370, 7, FALSE), "")</f>
        <v>NA</v>
      </c>
    </row>
    <row r="4980" ht="15.75" customHeight="1">
      <c r="A4980" s="1" t="str">
        <f>IFERROR(__xludf.DUMMYFUNCTION("""COMPUTED_VALUE"""),"strange days")</f>
        <v>strange days</v>
      </c>
      <c r="B4980" s="1" t="str">
        <f>IF(A4980&lt;&gt;"", VLOOKUP(A4980, imdb_netflix_v5!A$2:H$7370, 2, FALSE), "")</f>
        <v>Movie</v>
      </c>
      <c r="C4980" s="2" t="str">
        <f>IF(A4980&lt;&gt;"", VLOOKUP(A4980, imdb_netflix_v5!A$2:H$7370, 3, FALSE), "")</f>
        <v>Crime, Drama, Sci-Fi</v>
      </c>
      <c r="D4980" s="2">
        <f>IF(A4980&lt;&gt;"", VLOOKUP(A4980, imdb_netflix_v5!A$2:H$7370, 4, FALSE), "")</f>
        <v>7.2</v>
      </c>
      <c r="E4980" s="2">
        <f>IF(A4980&lt;&gt;"", VLOOKUP(A4980, imdb_netflix_v5!A$2:H$7370, 5, FALSE), "")</f>
        <v>1995</v>
      </c>
      <c r="F4980" s="2" t="str">
        <f>IF(A4980&lt;&gt;"", VLOOKUP(A4980, imdb_netflix_v5!A$2:H$7370, 7, FALSE), "")</f>
        <v>NA</v>
      </c>
    </row>
    <row r="4981" ht="15.75" customHeight="1">
      <c r="A4981" s="1" t="str">
        <f>IFERROR(__xludf.DUMMYFUNCTION("""COMPUTED_VALUE"""),"major league")</f>
        <v>major league</v>
      </c>
      <c r="B4981" s="1" t="str">
        <f>IF(A4981&lt;&gt;"", VLOOKUP(A4981, imdb_netflix_v5!A$2:H$7370, 2, FALSE), "")</f>
        <v>Movie</v>
      </c>
      <c r="C4981" s="2" t="str">
        <f>IF(A4981&lt;&gt;"", VLOOKUP(A4981, imdb_netflix_v5!A$2:H$7370, 3, FALSE), "")</f>
        <v>Comedy, Sport</v>
      </c>
      <c r="D4981" s="2">
        <f>IF(A4981&lt;&gt;"", VLOOKUP(A4981, imdb_netflix_v5!A$2:H$7370, 4, FALSE), "")</f>
        <v>7.2</v>
      </c>
      <c r="E4981" s="2">
        <f>IF(A4981&lt;&gt;"", VLOOKUP(A4981, imdb_netflix_v5!A$2:H$7370, 5, FALSE), "")</f>
        <v>1989</v>
      </c>
      <c r="F4981" s="2" t="str">
        <f>IF(A4981&lt;&gt;"", VLOOKUP(A4981, imdb_netflix_v5!A$2:H$7370, 7, FALSE), "")</f>
        <v>NA</v>
      </c>
    </row>
    <row r="4982" ht="15.75" customHeight="1">
      <c r="A4982" s="1" t="str">
        <f>IFERROR(__xludf.DUMMYFUNCTION("""COMPUTED_VALUE"""),"the outfit")</f>
        <v>the outfit</v>
      </c>
      <c r="B4982" s="1" t="str">
        <f>IF(A4982&lt;&gt;"", VLOOKUP(A4982, imdb_netflix_v5!A$2:H$7370, 2, FALSE), "")</f>
        <v>Movie</v>
      </c>
      <c r="C4982" s="2" t="str">
        <f>IF(A4982&lt;&gt;"", VLOOKUP(A4982, imdb_netflix_v5!A$2:H$7370, 3, FALSE), "")</f>
        <v>Crime, Drama, Mystery</v>
      </c>
      <c r="D4982" s="2">
        <f>IF(A4982&lt;&gt;"", VLOOKUP(A4982, imdb_netflix_v5!A$2:H$7370, 4, FALSE), "")</f>
        <v>7.2</v>
      </c>
      <c r="E4982" s="2">
        <f>IF(A4982&lt;&gt;"", VLOOKUP(A4982, imdb_netflix_v5!A$2:H$7370, 5, FALSE), "")</f>
        <v>2022</v>
      </c>
      <c r="F4982" s="2" t="str">
        <f>IF(A4982&lt;&gt;"", VLOOKUP(A4982, imdb_netflix_v5!A$2:H$7370, 7, FALSE), "")</f>
        <v>NA</v>
      </c>
    </row>
    <row r="4983" ht="15.75" customHeight="1">
      <c r="A4983" s="1" t="str">
        <f>IFERROR(__xludf.DUMMYFUNCTION("""COMPUTED_VALUE"""),"the courier")</f>
        <v>the courier</v>
      </c>
      <c r="B4983" s="1" t="str">
        <f>IF(A4983&lt;&gt;"", VLOOKUP(A4983, imdb_netflix_v5!A$2:H$7370, 2, FALSE), "")</f>
        <v>Movie</v>
      </c>
      <c r="C4983" s="2" t="str">
        <f>IF(A4983&lt;&gt;"", VLOOKUP(A4983, imdb_netflix_v5!A$2:H$7370, 3, FALSE), "")</f>
        <v>Drama, History, Mystery</v>
      </c>
      <c r="D4983" s="2">
        <f>IF(A4983&lt;&gt;"", VLOOKUP(A4983, imdb_netflix_v5!A$2:H$7370, 4, FALSE), "")</f>
        <v>7.2</v>
      </c>
      <c r="E4983" s="2">
        <f>IF(A4983&lt;&gt;"", VLOOKUP(A4983, imdb_netflix_v5!A$2:H$7370, 5, FALSE), "")</f>
        <v>2020</v>
      </c>
      <c r="F4983" s="2" t="str">
        <f>IF(A4983&lt;&gt;"", VLOOKUP(A4983, imdb_netflix_v5!A$2:H$7370, 7, FALSE), "")</f>
        <v>NA</v>
      </c>
    </row>
    <row r="4984" ht="15.75" customHeight="1">
      <c r="A4984" s="1" t="str">
        <f>IFERROR(__xludf.DUMMYFUNCTION("""COMPUTED_VALUE"""),"go")</f>
        <v>go</v>
      </c>
      <c r="B4984" s="1" t="str">
        <f>IF(A4984&lt;&gt;"", VLOOKUP(A4984, imdb_netflix_v5!A$2:H$7370, 2, FALSE), "")</f>
        <v>Movie</v>
      </c>
      <c r="C4984" s="2" t="str">
        <f>IF(A4984&lt;&gt;"", VLOOKUP(A4984, imdb_netflix_v5!A$2:H$7370, 3, FALSE), "")</f>
        <v>Comedy, Crime</v>
      </c>
      <c r="D4984" s="2">
        <f>IF(A4984&lt;&gt;"", VLOOKUP(A4984, imdb_netflix_v5!A$2:H$7370, 4, FALSE), "")</f>
        <v>7.2</v>
      </c>
      <c r="E4984" s="2">
        <f>IF(A4984&lt;&gt;"", VLOOKUP(A4984, imdb_netflix_v5!A$2:H$7370, 5, FALSE), "")</f>
        <v>1999</v>
      </c>
      <c r="F4984" s="2" t="str">
        <f>IF(A4984&lt;&gt;"", VLOOKUP(A4984, imdb_netflix_v5!A$2:H$7370, 7, FALSE), "")</f>
        <v>NA</v>
      </c>
    </row>
    <row r="4985" ht="15.75" customHeight="1">
      <c r="A4985" s="1" t="str">
        <f>IFERROR(__xludf.DUMMYFUNCTION("""COMPUTED_VALUE"""),"anomalisa")</f>
        <v>anomalisa</v>
      </c>
      <c r="B4985" s="1" t="str">
        <f>IF(A4985&lt;&gt;"", VLOOKUP(A4985, imdb_netflix_v5!A$2:H$7370, 2, FALSE), "")</f>
        <v>Movie</v>
      </c>
      <c r="C4985" s="2" t="str">
        <f>IF(A4985&lt;&gt;"", VLOOKUP(A4985, imdb_netflix_v5!A$2:H$7370, 3, FALSE), "")</f>
        <v>Animation, Comedy, Drama</v>
      </c>
      <c r="D4985" s="2">
        <f>IF(A4985&lt;&gt;"", VLOOKUP(A4985, imdb_netflix_v5!A$2:H$7370, 4, FALSE), "")</f>
        <v>7.2</v>
      </c>
      <c r="E4985" s="2">
        <f>IF(A4985&lt;&gt;"", VLOOKUP(A4985, imdb_netflix_v5!A$2:H$7370, 5, FALSE), "")</f>
        <v>2015</v>
      </c>
      <c r="F4985" s="2" t="str">
        <f>IF(A4985&lt;&gt;"", VLOOKUP(A4985, imdb_netflix_v5!A$2:H$7370, 7, FALSE), "")</f>
        <v>NA</v>
      </c>
    </row>
    <row r="4986" ht="15.75" customHeight="1">
      <c r="A4986" s="1" t="str">
        <f>IFERROR(__xludf.DUMMYFUNCTION("""COMPUTED_VALUE"""),"in the valley of elah")</f>
        <v>in the valley of elah</v>
      </c>
      <c r="B4986" s="1" t="str">
        <f>IF(A4986&lt;&gt;"", VLOOKUP(A4986, imdb_netflix_v5!A$2:H$7370, 2, FALSE), "")</f>
        <v>Movie</v>
      </c>
      <c r="C4986" s="2" t="str">
        <f>IF(A4986&lt;&gt;"", VLOOKUP(A4986, imdb_netflix_v5!A$2:H$7370, 3, FALSE), "")</f>
        <v>Crime, Drama, Mystery</v>
      </c>
      <c r="D4986" s="2">
        <f>IF(A4986&lt;&gt;"", VLOOKUP(A4986, imdb_netflix_v5!A$2:H$7370, 4, FALSE), "")</f>
        <v>7.2</v>
      </c>
      <c r="E4986" s="2">
        <f>IF(A4986&lt;&gt;"", VLOOKUP(A4986, imdb_netflix_v5!A$2:H$7370, 5, FALSE), "")</f>
        <v>2007</v>
      </c>
      <c r="F4986" s="2" t="str">
        <f>IF(A4986&lt;&gt;"", VLOOKUP(A4986, imdb_netflix_v5!A$2:H$7370, 7, FALSE), "")</f>
        <v>NA</v>
      </c>
    </row>
    <row r="4987" ht="15.75" customHeight="1">
      <c r="A4987" s="1" t="str">
        <f>IFERROR(__xludf.DUMMYFUNCTION("""COMPUTED_VALUE"""),"disenchantment")</f>
        <v>disenchantment</v>
      </c>
      <c r="B4987" s="1" t="str">
        <f>IF(A4987&lt;&gt;"", VLOOKUP(A4987, imdb_netflix_v5!A$2:H$7370, 2, FALSE), "")</f>
        <v>TV Show</v>
      </c>
      <c r="C4987" s="2" t="str">
        <f>IF(A4987&lt;&gt;"", VLOOKUP(A4987, imdb_netflix_v5!A$2:H$7370, 3, FALSE), "")</f>
        <v>Action, Adventure, Animation</v>
      </c>
      <c r="D4987" s="2">
        <f>IF(A4987&lt;&gt;"", VLOOKUP(A4987, imdb_netflix_v5!A$2:H$7370, 4, FALSE), "")</f>
        <v>7.2</v>
      </c>
      <c r="E4987" s="2">
        <f>IF(A4987&lt;&gt;"", VLOOKUP(A4987, imdb_netflix_v5!A$2:H$7370, 5, FALSE), "")</f>
        <v>2018</v>
      </c>
      <c r="F4987" s="2">
        <f>IF(A4987&lt;&gt;"", VLOOKUP(A4987, imdb_netflix_v5!A$2:H$7370, 7, FALSE), "")</f>
        <v>10300000</v>
      </c>
    </row>
    <row r="4988" ht="15.75" customHeight="1">
      <c r="A4988" s="1" t="str">
        <f>IFERROR(__xludf.DUMMYFUNCTION("""COMPUTED_VALUE"""),"top secret!")</f>
        <v>top secret!</v>
      </c>
      <c r="B4988" s="1" t="str">
        <f>IF(A4988&lt;&gt;"", VLOOKUP(A4988, imdb_netflix_v5!A$2:H$7370, 2, FALSE), "")</f>
        <v>Movie</v>
      </c>
      <c r="C4988" s="2" t="str">
        <f>IF(A4988&lt;&gt;"", VLOOKUP(A4988, imdb_netflix_v5!A$2:H$7370, 3, FALSE), "")</f>
        <v>Comedy, Crime, Music</v>
      </c>
      <c r="D4988" s="2">
        <f>IF(A4988&lt;&gt;"", VLOOKUP(A4988, imdb_netflix_v5!A$2:H$7370, 4, FALSE), "")</f>
        <v>7.2</v>
      </c>
      <c r="E4988" s="2">
        <f>IF(A4988&lt;&gt;"", VLOOKUP(A4988, imdb_netflix_v5!A$2:H$7370, 5, FALSE), "")</f>
        <v>1984</v>
      </c>
      <c r="F4988" s="2" t="str">
        <f>IF(A4988&lt;&gt;"", VLOOKUP(A4988, imdb_netflix_v5!A$2:H$7370, 7, FALSE), "")</f>
        <v>NA</v>
      </c>
    </row>
    <row r="4989" ht="15.75" customHeight="1">
      <c r="A4989" s="1" t="str">
        <f>IFERROR(__xludf.DUMMYFUNCTION("""COMPUTED_VALUE"""),"paris, je taime")</f>
        <v>paris, je taime</v>
      </c>
      <c r="B4989" s="1" t="str">
        <f>IF(A4989&lt;&gt;"", VLOOKUP(A4989, imdb_netflix_v5!A$2:H$7370, 2, FALSE), "")</f>
        <v>Movie</v>
      </c>
      <c r="C4989" s="2" t="str">
        <f>IF(A4989&lt;&gt;"", VLOOKUP(A4989, imdb_netflix_v5!A$2:H$7370, 3, FALSE), "")</f>
        <v>Comedy, Drama, Romance</v>
      </c>
      <c r="D4989" s="2">
        <f>IF(A4989&lt;&gt;"", VLOOKUP(A4989, imdb_netflix_v5!A$2:H$7370, 4, FALSE), "")</f>
        <v>7.2</v>
      </c>
      <c r="E4989" s="2">
        <f>IF(A4989&lt;&gt;"", VLOOKUP(A4989, imdb_netflix_v5!A$2:H$7370, 5, FALSE), "")</f>
        <v>2006</v>
      </c>
      <c r="F4989" s="2" t="str">
        <f>IF(A4989&lt;&gt;"", VLOOKUP(A4989, imdb_netflix_v5!A$2:H$7370, 7, FALSE), "")</f>
        <v>NA</v>
      </c>
    </row>
    <row r="4990" ht="15.75" customHeight="1">
      <c r="A4990" s="1" t="str">
        <f>IFERROR(__xludf.DUMMYFUNCTION("""COMPUTED_VALUE"""),"re-animator")</f>
        <v>re-animator</v>
      </c>
      <c r="B4990" s="1" t="str">
        <f>IF(A4990&lt;&gt;"", VLOOKUP(A4990, imdb_netflix_v5!A$2:H$7370, 2, FALSE), "")</f>
        <v>Movie</v>
      </c>
      <c r="C4990" s="2" t="str">
        <f>IF(A4990&lt;&gt;"", VLOOKUP(A4990, imdb_netflix_v5!A$2:H$7370, 3, FALSE), "")</f>
        <v>Comedy, Horror, Sci-Fi</v>
      </c>
      <c r="D4990" s="2">
        <f>IF(A4990&lt;&gt;"", VLOOKUP(A4990, imdb_netflix_v5!A$2:H$7370, 4, FALSE), "")</f>
        <v>7.2</v>
      </c>
      <c r="E4990" s="2">
        <f>IF(A4990&lt;&gt;"", VLOOKUP(A4990, imdb_netflix_v5!A$2:H$7370, 5, FALSE), "")</f>
        <v>1985</v>
      </c>
      <c r="F4990" s="2" t="str">
        <f>IF(A4990&lt;&gt;"", VLOOKUP(A4990, imdb_netflix_v5!A$2:H$7370, 7, FALSE), "")</f>
        <v>NA</v>
      </c>
    </row>
    <row r="4991" ht="15.75" customHeight="1">
      <c r="A4991" s="1" t="str">
        <f>IFERROR(__xludf.DUMMYFUNCTION("""COMPUTED_VALUE"""),"moonstruck")</f>
        <v>moonstruck</v>
      </c>
      <c r="B4991" s="1" t="str">
        <f>IF(A4991&lt;&gt;"", VLOOKUP(A4991, imdb_netflix_v5!A$2:H$7370, 2, FALSE), "")</f>
        <v>Movie</v>
      </c>
      <c r="C4991" s="2" t="str">
        <f>IF(A4991&lt;&gt;"", VLOOKUP(A4991, imdb_netflix_v5!A$2:H$7370, 3, FALSE), "")</f>
        <v>Comedy, Drama, Romance</v>
      </c>
      <c r="D4991" s="2">
        <f>IF(A4991&lt;&gt;"", VLOOKUP(A4991, imdb_netflix_v5!A$2:H$7370, 4, FALSE), "")</f>
        <v>7.2</v>
      </c>
      <c r="E4991" s="2">
        <f>IF(A4991&lt;&gt;"", VLOOKUP(A4991, imdb_netflix_v5!A$2:H$7370, 5, FALSE), "")</f>
        <v>1987</v>
      </c>
      <c r="F4991" s="2" t="str">
        <f>IF(A4991&lt;&gt;"", VLOOKUP(A4991, imdb_netflix_v5!A$2:H$7370, 7, FALSE), "")</f>
        <v>NA</v>
      </c>
    </row>
    <row r="4992" ht="15.75" customHeight="1">
      <c r="A4992" s="1" t="str">
        <f>IFERROR(__xludf.DUMMYFUNCTION("""COMPUTED_VALUE"""),"the science of sleep")</f>
        <v>the science of sleep</v>
      </c>
      <c r="B4992" s="1" t="str">
        <f>IF(A4992&lt;&gt;"", VLOOKUP(A4992, imdb_netflix_v5!A$2:H$7370, 2, FALSE), "")</f>
        <v>Movie</v>
      </c>
      <c r="C4992" s="2" t="str">
        <f>IF(A4992&lt;&gt;"", VLOOKUP(A4992, imdb_netflix_v5!A$2:H$7370, 3, FALSE), "")</f>
        <v>Comedy, Drama, Fantasy</v>
      </c>
      <c r="D4992" s="2">
        <f>IF(A4992&lt;&gt;"", VLOOKUP(A4992, imdb_netflix_v5!A$2:H$7370, 4, FALSE), "")</f>
        <v>7.2</v>
      </c>
      <c r="E4992" s="2">
        <f>IF(A4992&lt;&gt;"", VLOOKUP(A4992, imdb_netflix_v5!A$2:H$7370, 5, FALSE), "")</f>
        <v>2006</v>
      </c>
      <c r="F4992" s="2" t="str">
        <f>IF(A4992&lt;&gt;"", VLOOKUP(A4992, imdb_netflix_v5!A$2:H$7370, 7, FALSE), "")</f>
        <v>NA</v>
      </c>
    </row>
    <row r="4993" ht="15.75" customHeight="1">
      <c r="A4993" s="1" t="str">
        <f>IFERROR(__xludf.DUMMYFUNCTION("""COMPUTED_VALUE"""),"murder on the orient express")</f>
        <v>murder on the orient express</v>
      </c>
      <c r="B4993" s="1" t="str">
        <f>IF(A4993&lt;&gt;"", VLOOKUP(A4993, imdb_netflix_v5!A$2:H$7370, 2, FALSE), "")</f>
        <v>Movie</v>
      </c>
      <c r="C4993" s="2" t="str">
        <f>IF(A4993&lt;&gt;"", VLOOKUP(A4993, imdb_netflix_v5!A$2:H$7370, 3, FALSE), "")</f>
        <v>Crime, Drama, Mystery</v>
      </c>
      <c r="D4993" s="2">
        <f>IF(A4993&lt;&gt;"", VLOOKUP(A4993, imdb_netflix_v5!A$2:H$7370, 4, FALSE), "")</f>
        <v>7.2</v>
      </c>
      <c r="E4993" s="2">
        <f>IF(A4993&lt;&gt;"", VLOOKUP(A4993, imdb_netflix_v5!A$2:H$7370, 5, FALSE), "")</f>
        <v>1974</v>
      </c>
      <c r="F4993" s="2" t="str">
        <f>IF(A4993&lt;&gt;"", VLOOKUP(A4993, imdb_netflix_v5!A$2:H$7370, 7, FALSE), "")</f>
        <v>NA</v>
      </c>
    </row>
    <row r="4994" ht="15.75" customHeight="1">
      <c r="A4994" s="1" t="str">
        <f>IFERROR(__xludf.DUMMYFUNCTION("""COMPUTED_VALUE"""),"teenage mutant ninja turtles mutant mayhem")</f>
        <v>teenage mutant ninja turtles mutant mayhem</v>
      </c>
      <c r="B4994" s="1" t="str">
        <f>IF(A4994&lt;&gt;"", VLOOKUP(A4994, imdb_netflix_v5!A$2:H$7370, 2, FALSE), "")</f>
        <v>Movie</v>
      </c>
      <c r="C4994" s="2" t="str">
        <f>IF(A4994&lt;&gt;"", VLOOKUP(A4994, imdb_netflix_v5!A$2:H$7370, 3, FALSE), "")</f>
        <v>Action, Adventure, Animation</v>
      </c>
      <c r="D4994" s="2">
        <f>IF(A4994&lt;&gt;"", VLOOKUP(A4994, imdb_netflix_v5!A$2:H$7370, 4, FALSE), "")</f>
        <v>7.2</v>
      </c>
      <c r="E4994" s="2">
        <f>IF(A4994&lt;&gt;"", VLOOKUP(A4994, imdb_netflix_v5!A$2:H$7370, 5, FALSE), "")</f>
        <v>2023</v>
      </c>
      <c r="F4994" s="2" t="str">
        <f>IF(A4994&lt;&gt;"", VLOOKUP(A4994, imdb_netflix_v5!A$2:H$7370, 7, FALSE), "")</f>
        <v>NA</v>
      </c>
    </row>
    <row r="4995" ht="15.75" customHeight="1">
      <c r="A4995" s="1" t="str">
        <f>IFERROR(__xludf.DUMMYFUNCTION("""COMPUTED_VALUE"""),"the age of innocence")</f>
        <v>the age of innocence</v>
      </c>
      <c r="B4995" s="1" t="str">
        <f>IF(A4995&lt;&gt;"", VLOOKUP(A4995, imdb_netflix_v5!A$2:H$7370, 2, FALSE), "")</f>
        <v>Movie</v>
      </c>
      <c r="C4995" s="2" t="str">
        <f>IF(A4995&lt;&gt;"", VLOOKUP(A4995, imdb_netflix_v5!A$2:H$7370, 3, FALSE), "")</f>
        <v>Drama, Romance</v>
      </c>
      <c r="D4995" s="2">
        <f>IF(A4995&lt;&gt;"", VLOOKUP(A4995, imdb_netflix_v5!A$2:H$7370, 4, FALSE), "")</f>
        <v>7.2</v>
      </c>
      <c r="E4995" s="2">
        <f>IF(A4995&lt;&gt;"", VLOOKUP(A4995, imdb_netflix_v5!A$2:H$7370, 5, FALSE), "")</f>
        <v>1993</v>
      </c>
      <c r="F4995" s="2" t="str">
        <f>IF(A4995&lt;&gt;"", VLOOKUP(A4995, imdb_netflix_v5!A$2:H$7370, 7, FALSE), "")</f>
        <v>NA</v>
      </c>
    </row>
    <row r="4996" ht="15.75" customHeight="1">
      <c r="A4996" s="1" t="str">
        <f>IFERROR(__xludf.DUMMYFUNCTION("""COMPUTED_VALUE"""),"force majeure")</f>
        <v>force majeure</v>
      </c>
      <c r="B4996" s="1" t="str">
        <f>IF(A4996&lt;&gt;"", VLOOKUP(A4996, imdb_netflix_v5!A$2:H$7370, 2, FALSE), "")</f>
        <v>Movie</v>
      </c>
      <c r="C4996" s="2" t="str">
        <f>IF(A4996&lt;&gt;"", VLOOKUP(A4996, imdb_netflix_v5!A$2:H$7370, 3, FALSE), "")</f>
        <v>Comedy, Drama</v>
      </c>
      <c r="D4996" s="2">
        <f>IF(A4996&lt;&gt;"", VLOOKUP(A4996, imdb_netflix_v5!A$2:H$7370, 4, FALSE), "")</f>
        <v>7.2</v>
      </c>
      <c r="E4996" s="2">
        <f>IF(A4996&lt;&gt;"", VLOOKUP(A4996, imdb_netflix_v5!A$2:H$7370, 5, FALSE), "")</f>
        <v>2014</v>
      </c>
      <c r="F4996" s="2" t="str">
        <f>IF(A4996&lt;&gt;"", VLOOKUP(A4996, imdb_netflix_v5!A$2:H$7370, 7, FALSE), "")</f>
        <v>NA</v>
      </c>
    </row>
    <row r="4997" ht="15.75" customHeight="1">
      <c r="A4997" s="1" t="str">
        <f>IFERROR(__xludf.DUMMYFUNCTION("""COMPUTED_VALUE"""),"magnum force")</f>
        <v>magnum force</v>
      </c>
      <c r="B4997" s="1" t="str">
        <f>IF(A4997&lt;&gt;"", VLOOKUP(A4997, imdb_netflix_v5!A$2:H$7370, 2, FALSE), "")</f>
        <v>Movie</v>
      </c>
      <c r="C4997" s="2" t="str">
        <f>IF(A4997&lt;&gt;"", VLOOKUP(A4997, imdb_netflix_v5!A$2:H$7370, 3, FALSE), "")</f>
        <v>Action, Crime, Mystery</v>
      </c>
      <c r="D4997" s="2">
        <f>IF(A4997&lt;&gt;"", VLOOKUP(A4997, imdb_netflix_v5!A$2:H$7370, 4, FALSE), "")</f>
        <v>7.2</v>
      </c>
      <c r="E4997" s="2">
        <f>IF(A4997&lt;&gt;"", VLOOKUP(A4997, imdb_netflix_v5!A$2:H$7370, 5, FALSE), "")</f>
        <v>1973</v>
      </c>
      <c r="F4997" s="2" t="str">
        <f>IF(A4997&lt;&gt;"", VLOOKUP(A4997, imdb_netflix_v5!A$2:H$7370, 7, FALSE), "")</f>
        <v>NA</v>
      </c>
    </row>
    <row r="4998" ht="15.75" customHeight="1">
      <c r="A4998" s="1" t="str">
        <f>IFERROR(__xludf.DUMMYFUNCTION("""COMPUTED_VALUE"""),"the young victoria")</f>
        <v>the young victoria</v>
      </c>
      <c r="B4998" s="1" t="str">
        <f>IF(A4998&lt;&gt;"", VLOOKUP(A4998, imdb_netflix_v5!A$2:H$7370, 2, FALSE), "")</f>
        <v>Movie</v>
      </c>
      <c r="C4998" s="2" t="str">
        <f>IF(A4998&lt;&gt;"", VLOOKUP(A4998, imdb_netflix_v5!A$2:H$7370, 3, FALSE), "")</f>
        <v>Biography, Drama, History</v>
      </c>
      <c r="D4998" s="2">
        <f>IF(A4998&lt;&gt;"", VLOOKUP(A4998, imdb_netflix_v5!A$2:H$7370, 4, FALSE), "")</f>
        <v>7.2</v>
      </c>
      <c r="E4998" s="2">
        <f>IF(A4998&lt;&gt;"", VLOOKUP(A4998, imdb_netflix_v5!A$2:H$7370, 5, FALSE), "")</f>
        <v>2009</v>
      </c>
      <c r="F4998" s="2" t="str">
        <f>IF(A4998&lt;&gt;"", VLOOKUP(A4998, imdb_netflix_v5!A$2:H$7370, 7, FALSE), "")</f>
        <v>NA</v>
      </c>
    </row>
    <row r="4999" ht="15.75" customHeight="1">
      <c r="A4999" s="1" t="str">
        <f>IFERROR(__xludf.DUMMYFUNCTION("""COMPUTED_VALUE"""),"shallow grave")</f>
        <v>shallow grave</v>
      </c>
      <c r="B4999" s="1" t="str">
        <f>IF(A4999&lt;&gt;"", VLOOKUP(A4999, imdb_netflix_v5!A$2:H$7370, 2, FALSE), "")</f>
        <v>Movie</v>
      </c>
      <c r="C4999" s="2" t="str">
        <f>IF(A4999&lt;&gt;"", VLOOKUP(A4999, imdb_netflix_v5!A$2:H$7370, 3, FALSE), "")</f>
        <v>Crime, Drama, Thriller</v>
      </c>
      <c r="D4999" s="2">
        <f>IF(A4999&lt;&gt;"", VLOOKUP(A4999, imdb_netflix_v5!A$2:H$7370, 4, FALSE), "")</f>
        <v>7.2</v>
      </c>
      <c r="E4999" s="2">
        <f>IF(A4999&lt;&gt;"", VLOOKUP(A4999, imdb_netflix_v5!A$2:H$7370, 5, FALSE), "")</f>
        <v>1994</v>
      </c>
      <c r="F4999" s="2" t="str">
        <f>IF(A4999&lt;&gt;"", VLOOKUP(A4999, imdb_netflix_v5!A$2:H$7370, 7, FALSE), "")</f>
        <v>NA</v>
      </c>
    </row>
    <row r="5000" ht="15.75" customHeight="1">
      <c r="A5000" s="1" t="str">
        <f>IFERROR(__xludf.DUMMYFUNCTION("""COMPUTED_VALUE"""),"wonder boys")</f>
        <v>wonder boys</v>
      </c>
      <c r="B5000" s="1" t="str">
        <f>IF(A5000&lt;&gt;"", VLOOKUP(A5000, imdb_netflix_v5!A$2:H$7370, 2, FALSE), "")</f>
        <v>Movie</v>
      </c>
      <c r="C5000" s="2" t="str">
        <f>IF(A5000&lt;&gt;"", VLOOKUP(A5000, imdb_netflix_v5!A$2:H$7370, 3, FALSE), "")</f>
        <v>Comedy, Drama</v>
      </c>
      <c r="D5000" s="2">
        <f>IF(A5000&lt;&gt;"", VLOOKUP(A5000, imdb_netflix_v5!A$2:H$7370, 4, FALSE), "")</f>
        <v>7.2</v>
      </c>
      <c r="E5000" s="2">
        <f>IF(A5000&lt;&gt;"", VLOOKUP(A5000, imdb_netflix_v5!A$2:H$7370, 5, FALSE), "")</f>
        <v>2000</v>
      </c>
      <c r="F5000" s="2" t="str">
        <f>IF(A5000&lt;&gt;"", VLOOKUP(A5000, imdb_netflix_v5!A$2:H$7370, 7, FALSE), "")</f>
        <v>NA</v>
      </c>
    </row>
    <row r="5001" ht="15.75" customHeight="1">
      <c r="A5001" s="1" t="str">
        <f>IFERROR(__xludf.DUMMYFUNCTION("""COMPUTED_VALUE"""),"a river runs through it")</f>
        <v>a river runs through it</v>
      </c>
      <c r="B5001" s="1" t="str">
        <f>IF(A5001&lt;&gt;"", VLOOKUP(A5001, imdb_netflix_v5!A$2:H$7370, 2, FALSE), "")</f>
        <v>Movie</v>
      </c>
      <c r="C5001" s="2" t="str">
        <f>IF(A5001&lt;&gt;"", VLOOKUP(A5001, imdb_netflix_v5!A$2:H$7370, 3, FALSE), "")</f>
        <v>Drama</v>
      </c>
      <c r="D5001" s="2">
        <f>IF(A5001&lt;&gt;"", VLOOKUP(A5001, imdb_netflix_v5!A$2:H$7370, 4, FALSE), "")</f>
        <v>7.2</v>
      </c>
      <c r="E5001" s="2">
        <f>IF(A5001&lt;&gt;"", VLOOKUP(A5001, imdb_netflix_v5!A$2:H$7370, 5, FALSE), "")</f>
        <v>1992</v>
      </c>
      <c r="F5001" s="2" t="str">
        <f>IF(A5001&lt;&gt;"", VLOOKUP(A5001, imdb_netflix_v5!A$2:H$7370, 7, FALSE), "")</f>
        <v>NA</v>
      </c>
    </row>
    <row r="5002" ht="15.75" customHeight="1">
      <c r="A5002" s="1" t="str">
        <f>IFERROR(__xludf.DUMMYFUNCTION("""COMPUTED_VALUE"""),"dolemite is my name")</f>
        <v>dolemite is my name</v>
      </c>
      <c r="B5002" s="1" t="str">
        <f>IF(A5002&lt;&gt;"", VLOOKUP(A5002, imdb_netflix_v5!A$2:H$7370, 2, FALSE), "")</f>
        <v>Movie</v>
      </c>
      <c r="C5002" s="2" t="str">
        <f>IF(A5002&lt;&gt;"", VLOOKUP(A5002, imdb_netflix_v5!A$2:H$7370, 3, FALSE), "")</f>
        <v>Biography, Comedy, Drama</v>
      </c>
      <c r="D5002" s="2">
        <f>IF(A5002&lt;&gt;"", VLOOKUP(A5002, imdb_netflix_v5!A$2:H$7370, 4, FALSE), "")</f>
        <v>7.2</v>
      </c>
      <c r="E5002" s="2">
        <f>IF(A5002&lt;&gt;"", VLOOKUP(A5002, imdb_netflix_v5!A$2:H$7370, 5, FALSE), "")</f>
        <v>2019</v>
      </c>
      <c r="F5002" s="2" t="str">
        <f>IF(A5002&lt;&gt;"", VLOOKUP(A5002, imdb_netflix_v5!A$2:H$7370, 7, FALSE), "")</f>
        <v>NA</v>
      </c>
    </row>
    <row r="5003" ht="15.75" customHeight="1">
      <c r="A5003" s="1" t="str">
        <f>IFERROR(__xludf.DUMMYFUNCTION("""COMPUTED_VALUE"""),"leo")</f>
        <v>leo</v>
      </c>
      <c r="B5003" s="1" t="str">
        <f>IF(A5003&lt;&gt;"", VLOOKUP(A5003, imdb_netflix_v5!A$2:H$7370, 2, FALSE), "")</f>
        <v>Movie</v>
      </c>
      <c r="C5003" s="2" t="str">
        <f>IF(A5003&lt;&gt;"", VLOOKUP(A5003, imdb_netflix_v5!A$2:H$7370, 3, FALSE), "")</f>
        <v>Action, Crime, Drama</v>
      </c>
      <c r="D5003" s="2">
        <f>IF(A5003&lt;&gt;"", VLOOKUP(A5003, imdb_netflix_v5!A$2:H$7370, 4, FALSE), "")</f>
        <v>7.2</v>
      </c>
      <c r="E5003" s="2">
        <f>IF(A5003&lt;&gt;"", VLOOKUP(A5003, imdb_netflix_v5!A$2:H$7370, 5, FALSE), "")</f>
        <v>2023</v>
      </c>
      <c r="F5003" s="2">
        <f>IF(A5003&lt;&gt;"", VLOOKUP(A5003, imdb_netflix_v5!A$2:H$7370, 7, FALSE), "")</f>
        <v>16800000</v>
      </c>
    </row>
    <row r="5004" ht="15.75" customHeight="1">
      <c r="A5004" s="1" t="str">
        <f>IFERROR(__xludf.DUMMYFUNCTION("""COMPUTED_VALUE"""),"agatha all along")</f>
        <v>agatha all along</v>
      </c>
      <c r="B5004" s="1" t="str">
        <f>IF(A5004&lt;&gt;"", VLOOKUP(A5004, imdb_netflix_v5!A$2:H$7370, 2, FALSE), "")</f>
        <v>TV Show</v>
      </c>
      <c r="C5004" s="2" t="str">
        <f>IF(A5004&lt;&gt;"", VLOOKUP(A5004, imdb_netflix_v5!A$2:H$7370, 3, FALSE), "")</f>
        <v>Action, Adventure, Comedy</v>
      </c>
      <c r="D5004" s="2">
        <f>IF(A5004&lt;&gt;"", VLOOKUP(A5004, imdb_netflix_v5!A$2:H$7370, 4, FALSE), "")</f>
        <v>7.2</v>
      </c>
      <c r="E5004" s="2">
        <f>IF(A5004&lt;&gt;"", VLOOKUP(A5004, imdb_netflix_v5!A$2:H$7370, 5, FALSE), "")</f>
        <v>2024</v>
      </c>
      <c r="F5004" s="2" t="str">
        <f>IF(A5004&lt;&gt;"", VLOOKUP(A5004, imdb_netflix_v5!A$2:H$7370, 7, FALSE), "")</f>
        <v>NA</v>
      </c>
    </row>
    <row r="5005" ht="15.75" customHeight="1">
      <c r="A5005" s="1" t="str">
        <f>IFERROR(__xludf.DUMMYFUNCTION("""COMPUTED_VALUE"""),"the man who knew infinity")</f>
        <v>the man who knew infinity</v>
      </c>
      <c r="B5005" s="1" t="str">
        <f>IF(A5005&lt;&gt;"", VLOOKUP(A5005, imdb_netflix_v5!A$2:H$7370, 2, FALSE), "")</f>
        <v>Movie</v>
      </c>
      <c r="C5005" s="2" t="str">
        <f>IF(A5005&lt;&gt;"", VLOOKUP(A5005, imdb_netflix_v5!A$2:H$7370, 3, FALSE), "")</f>
        <v>Biography, Drama</v>
      </c>
      <c r="D5005" s="2">
        <f>IF(A5005&lt;&gt;"", VLOOKUP(A5005, imdb_netflix_v5!A$2:H$7370, 4, FALSE), "")</f>
        <v>7.2</v>
      </c>
      <c r="E5005" s="2">
        <f>IF(A5005&lt;&gt;"", VLOOKUP(A5005, imdb_netflix_v5!A$2:H$7370, 5, FALSE), "")</f>
        <v>2015</v>
      </c>
      <c r="F5005" s="2" t="str">
        <f>IF(A5005&lt;&gt;"", VLOOKUP(A5005, imdb_netflix_v5!A$2:H$7370, 7, FALSE), "")</f>
        <v>NA</v>
      </c>
    </row>
    <row r="5006" ht="15.75" customHeight="1">
      <c r="A5006" s="1" t="str">
        <f>IFERROR(__xludf.DUMMYFUNCTION("""COMPUTED_VALUE"""),"clickbait")</f>
        <v>clickbait</v>
      </c>
      <c r="B5006" s="1" t="str">
        <f>IF(A5006&lt;&gt;"", VLOOKUP(A5006, imdb_netflix_v5!A$2:H$7370, 2, FALSE), "")</f>
        <v>TV Show</v>
      </c>
      <c r="C5006" s="2" t="str">
        <f>IF(A5006&lt;&gt;"", VLOOKUP(A5006, imdb_netflix_v5!A$2:H$7370, 3, FALSE), "")</f>
        <v>Crime, Drama, Mystery</v>
      </c>
      <c r="D5006" s="2">
        <f>IF(A5006&lt;&gt;"", VLOOKUP(A5006, imdb_netflix_v5!A$2:H$7370, 4, FALSE), "")</f>
        <v>7.2</v>
      </c>
      <c r="E5006" s="2">
        <f>IF(A5006&lt;&gt;"", VLOOKUP(A5006, imdb_netflix_v5!A$2:H$7370, 5, FALSE), "")</f>
        <v>2021</v>
      </c>
      <c r="F5006" s="2">
        <f>IF(A5006&lt;&gt;"", VLOOKUP(A5006, imdb_netflix_v5!A$2:H$7370, 7, FALSE), "")</f>
        <v>13210000</v>
      </c>
    </row>
    <row r="5007" ht="15.75" customHeight="1">
      <c r="A5007" s="1">
        <f>IFERROR(__xludf.DUMMYFUNCTION("""COMPUTED_VALUE"""),71.0)</f>
        <v>71</v>
      </c>
      <c r="B5007" s="1" t="str">
        <f>IF(A5007&lt;&gt;"", VLOOKUP(A5007, imdb_netflix_v5!A$2:H$7370, 2, FALSE), "")</f>
        <v>Movie</v>
      </c>
      <c r="C5007" s="2" t="str">
        <f>IF(A5007&lt;&gt;"", VLOOKUP(A5007, imdb_netflix_v5!A$2:H$7370, 3, FALSE), "")</f>
        <v>Action, Crime, Drama</v>
      </c>
      <c r="D5007" s="2">
        <f>IF(A5007&lt;&gt;"", VLOOKUP(A5007, imdb_netflix_v5!A$2:H$7370, 4, FALSE), "")</f>
        <v>7.2</v>
      </c>
      <c r="E5007" s="2">
        <f>IF(A5007&lt;&gt;"", VLOOKUP(A5007, imdb_netflix_v5!A$2:H$7370, 5, FALSE), "")</f>
        <v>2014</v>
      </c>
      <c r="F5007" s="2" t="str">
        <f>IF(A5007&lt;&gt;"", VLOOKUP(A5007, imdb_netflix_v5!A$2:H$7370, 7, FALSE), "")</f>
        <v>NA</v>
      </c>
    </row>
    <row r="5008" ht="15.75" customHeight="1">
      <c r="A5008" s="1" t="str">
        <f>IFERROR(__xludf.DUMMYFUNCTION("""COMPUTED_VALUE"""),"the light between oceans")</f>
        <v>the light between oceans</v>
      </c>
      <c r="B5008" s="1" t="str">
        <f>IF(A5008&lt;&gt;"", VLOOKUP(A5008, imdb_netflix_v5!A$2:H$7370, 2, FALSE), "")</f>
        <v>Movie</v>
      </c>
      <c r="C5008" s="2" t="str">
        <f>IF(A5008&lt;&gt;"", VLOOKUP(A5008, imdb_netflix_v5!A$2:H$7370, 3, FALSE), "")</f>
        <v>Drama, Romance</v>
      </c>
      <c r="D5008" s="2">
        <f>IF(A5008&lt;&gt;"", VLOOKUP(A5008, imdb_netflix_v5!A$2:H$7370, 4, FALSE), "")</f>
        <v>7.2</v>
      </c>
      <c r="E5008" s="2">
        <f>IF(A5008&lt;&gt;"", VLOOKUP(A5008, imdb_netflix_v5!A$2:H$7370, 5, FALSE), "")</f>
        <v>2016</v>
      </c>
      <c r="F5008" s="2" t="str">
        <f>IF(A5008&lt;&gt;"", VLOOKUP(A5008, imdb_netflix_v5!A$2:H$7370, 7, FALSE), "")</f>
        <v>NA</v>
      </c>
    </row>
    <row r="5009" ht="15.75" customHeight="1">
      <c r="A5009" s="1" t="str">
        <f>IFERROR(__xludf.DUMMYFUNCTION("""COMPUTED_VALUE"""),"the crying game")</f>
        <v>the crying game</v>
      </c>
      <c r="B5009" s="1" t="str">
        <f>IF(A5009&lt;&gt;"", VLOOKUP(A5009, imdb_netflix_v5!A$2:H$7370, 2, FALSE), "")</f>
        <v>Movie</v>
      </c>
      <c r="C5009" s="2" t="str">
        <f>IF(A5009&lt;&gt;"", VLOOKUP(A5009, imdb_netflix_v5!A$2:H$7370, 3, FALSE), "")</f>
        <v>Crime, Drama, Romance</v>
      </c>
      <c r="D5009" s="2">
        <f>IF(A5009&lt;&gt;"", VLOOKUP(A5009, imdb_netflix_v5!A$2:H$7370, 4, FALSE), "")</f>
        <v>7.2</v>
      </c>
      <c r="E5009" s="2">
        <f>IF(A5009&lt;&gt;"", VLOOKUP(A5009, imdb_netflix_v5!A$2:H$7370, 5, FALSE), "")</f>
        <v>1992</v>
      </c>
      <c r="F5009" s="2" t="str">
        <f>IF(A5009&lt;&gt;"", VLOOKUP(A5009, imdb_netflix_v5!A$2:H$7370, 7, FALSE), "")</f>
        <v>NA</v>
      </c>
    </row>
    <row r="5010" ht="15.75" customHeight="1">
      <c r="A5010" s="1" t="str">
        <f>IFERROR(__xludf.DUMMYFUNCTION("""COMPUTED_VALUE"""),"sex, lies, and videotape")</f>
        <v>sex, lies, and videotape</v>
      </c>
      <c r="B5010" s="1" t="str">
        <f>IF(A5010&lt;&gt;"", VLOOKUP(A5010, imdb_netflix_v5!A$2:H$7370, 2, FALSE), "")</f>
        <v>Movie</v>
      </c>
      <c r="C5010" s="2" t="str">
        <f>IF(A5010&lt;&gt;"", VLOOKUP(A5010, imdb_netflix_v5!A$2:H$7370, 3, FALSE), "")</f>
        <v>Drama</v>
      </c>
      <c r="D5010" s="2">
        <f>IF(A5010&lt;&gt;"", VLOOKUP(A5010, imdb_netflix_v5!A$2:H$7370, 4, FALSE), "")</f>
        <v>7.2</v>
      </c>
      <c r="E5010" s="2">
        <f>IF(A5010&lt;&gt;"", VLOOKUP(A5010, imdb_netflix_v5!A$2:H$7370, 5, FALSE), "")</f>
        <v>1989</v>
      </c>
      <c r="F5010" s="2" t="str">
        <f>IF(A5010&lt;&gt;"", VLOOKUP(A5010, imdb_netflix_v5!A$2:H$7370, 7, FALSE), "")</f>
        <v>NA</v>
      </c>
    </row>
    <row r="5011" ht="15.75" customHeight="1">
      <c r="A5011" s="1" t="str">
        <f>IFERROR(__xludf.DUMMYFUNCTION("""COMPUTED_VALUE"""),"wristcutters a love story")</f>
        <v>wristcutters a love story</v>
      </c>
      <c r="B5011" s="1" t="str">
        <f>IF(A5011&lt;&gt;"", VLOOKUP(A5011, imdb_netflix_v5!A$2:H$7370, 2, FALSE), "")</f>
        <v>Movie</v>
      </c>
      <c r="C5011" s="2" t="str">
        <f>IF(A5011&lt;&gt;"", VLOOKUP(A5011, imdb_netflix_v5!A$2:H$7370, 3, FALSE), "")</f>
        <v>Comedy, Drama, Fantasy</v>
      </c>
      <c r="D5011" s="2">
        <f>IF(A5011&lt;&gt;"", VLOOKUP(A5011, imdb_netflix_v5!A$2:H$7370, 4, FALSE), "")</f>
        <v>7.2</v>
      </c>
      <c r="E5011" s="2">
        <f>IF(A5011&lt;&gt;"", VLOOKUP(A5011, imdb_netflix_v5!A$2:H$7370, 5, FALSE), "")</f>
        <v>2006</v>
      </c>
      <c r="F5011" s="2" t="str">
        <f>IF(A5011&lt;&gt;"", VLOOKUP(A5011, imdb_netflix_v5!A$2:H$7370, 7, FALSE), "")</f>
        <v>NA</v>
      </c>
    </row>
    <row r="5012" ht="15.75" customHeight="1">
      <c r="A5012" s="1" t="str">
        <f>IFERROR(__xludf.DUMMYFUNCTION("""COMPUTED_VALUE"""),"quills")</f>
        <v>quills</v>
      </c>
      <c r="B5012" s="1" t="str">
        <f>IF(A5012&lt;&gt;"", VLOOKUP(A5012, imdb_netflix_v5!A$2:H$7370, 2, FALSE), "")</f>
        <v>Movie</v>
      </c>
      <c r="C5012" s="2" t="str">
        <f>IF(A5012&lt;&gt;"", VLOOKUP(A5012, imdb_netflix_v5!A$2:H$7370, 3, FALSE), "")</f>
        <v>Biography, Drama</v>
      </c>
      <c r="D5012" s="2">
        <f>IF(A5012&lt;&gt;"", VLOOKUP(A5012, imdb_netflix_v5!A$2:H$7370, 4, FALSE), "")</f>
        <v>7.2</v>
      </c>
      <c r="E5012" s="2">
        <f>IF(A5012&lt;&gt;"", VLOOKUP(A5012, imdb_netflix_v5!A$2:H$7370, 5, FALSE), "")</f>
        <v>2000</v>
      </c>
      <c r="F5012" s="2" t="str">
        <f>IF(A5012&lt;&gt;"", VLOOKUP(A5012, imdb_netflix_v5!A$2:H$7370, 7, FALSE), "")</f>
        <v>NA</v>
      </c>
    </row>
    <row r="5013" ht="15.75" customHeight="1">
      <c r="A5013" s="1" t="str">
        <f>IFERROR(__xludf.DUMMYFUNCTION("""COMPUTED_VALUE"""),"anthropoid")</f>
        <v>anthropoid</v>
      </c>
      <c r="B5013" s="1" t="str">
        <f>IF(A5013&lt;&gt;"", VLOOKUP(A5013, imdb_netflix_v5!A$2:H$7370, 2, FALSE), "")</f>
        <v>Movie</v>
      </c>
      <c r="C5013" s="2" t="str">
        <f>IF(A5013&lt;&gt;"", VLOOKUP(A5013, imdb_netflix_v5!A$2:H$7370, 3, FALSE), "")</f>
        <v>Action, Drama, History</v>
      </c>
      <c r="D5013" s="2">
        <f>IF(A5013&lt;&gt;"", VLOOKUP(A5013, imdb_netflix_v5!A$2:H$7370, 4, FALSE), "")</f>
        <v>7.2</v>
      </c>
      <c r="E5013" s="2">
        <f>IF(A5013&lt;&gt;"", VLOOKUP(A5013, imdb_netflix_v5!A$2:H$7370, 5, FALSE), "")</f>
        <v>2016</v>
      </c>
      <c r="F5013" s="2" t="str">
        <f>IF(A5013&lt;&gt;"", VLOOKUP(A5013, imdb_netflix_v5!A$2:H$7370, 7, FALSE), "")</f>
        <v>NA</v>
      </c>
    </row>
    <row r="5014" ht="15.75" customHeight="1">
      <c r="A5014" s="1" t="str">
        <f>IFERROR(__xludf.DUMMYFUNCTION("""COMPUTED_VALUE"""),"safe")</f>
        <v>safe</v>
      </c>
      <c r="B5014" s="1" t="str">
        <f>IF(A5014&lt;&gt;"", VLOOKUP(A5014, imdb_netflix_v5!A$2:H$7370, 2, FALSE), "")</f>
        <v>TV Show</v>
      </c>
      <c r="C5014" s="2" t="str">
        <f>IF(A5014&lt;&gt;"", VLOOKUP(A5014, imdb_netflix_v5!A$2:H$7370, 3, FALSE), "")</f>
        <v>Crime, Drama, Mystery</v>
      </c>
      <c r="D5014" s="2">
        <f>IF(A5014&lt;&gt;"", VLOOKUP(A5014, imdb_netflix_v5!A$2:H$7370, 4, FALSE), "")</f>
        <v>7.2</v>
      </c>
      <c r="E5014" s="2">
        <f>IF(A5014&lt;&gt;"", VLOOKUP(A5014, imdb_netflix_v5!A$2:H$7370, 5, FALSE), "")</f>
        <v>2018</v>
      </c>
      <c r="F5014" s="2" t="str">
        <f>IF(A5014&lt;&gt;"", VLOOKUP(A5014, imdb_netflix_v5!A$2:H$7370, 7, FALSE), "")</f>
        <v>NA</v>
      </c>
    </row>
    <row r="5015" ht="15.75" customHeight="1">
      <c r="A5015" s="1" t="str">
        <f>IFERROR(__xludf.DUMMYFUNCTION("""COMPUTED_VALUE"""),"dead ringers")</f>
        <v>dead ringers</v>
      </c>
      <c r="B5015" s="1" t="str">
        <f>IF(A5015&lt;&gt;"", VLOOKUP(A5015, imdb_netflix_v5!A$2:H$7370, 2, FALSE), "")</f>
        <v>Movie</v>
      </c>
      <c r="C5015" s="2" t="str">
        <f>IF(A5015&lt;&gt;"", VLOOKUP(A5015, imdb_netflix_v5!A$2:H$7370, 3, FALSE), "")</f>
        <v>Drama, Horror, Thriller</v>
      </c>
      <c r="D5015" s="2">
        <f>IF(A5015&lt;&gt;"", VLOOKUP(A5015, imdb_netflix_v5!A$2:H$7370, 4, FALSE), "")</f>
        <v>7.2</v>
      </c>
      <c r="E5015" s="2">
        <f>IF(A5015&lt;&gt;"", VLOOKUP(A5015, imdb_netflix_v5!A$2:H$7370, 5, FALSE), "")</f>
        <v>1988</v>
      </c>
      <c r="F5015" s="2" t="str">
        <f>IF(A5015&lt;&gt;"", VLOOKUP(A5015, imdb_netflix_v5!A$2:H$7370, 7, FALSE), "")</f>
        <v>NA</v>
      </c>
    </row>
    <row r="5016" ht="15.75" customHeight="1">
      <c r="A5016" s="1" t="str">
        <f>IFERROR(__xludf.DUMMYFUNCTION("""COMPUTED_VALUE"""),"rab ne bana di jodi")</f>
        <v>rab ne bana di jodi</v>
      </c>
      <c r="B5016" s="1" t="str">
        <f>IF(A5016&lt;&gt;"", VLOOKUP(A5016, imdb_netflix_v5!A$2:H$7370, 2, FALSE), "")</f>
        <v>Movie</v>
      </c>
      <c r="C5016" s="2" t="str">
        <f>IF(A5016&lt;&gt;"", VLOOKUP(A5016, imdb_netflix_v5!A$2:H$7370, 3, FALSE), "")</f>
        <v>Comedy, Drama, Music</v>
      </c>
      <c r="D5016" s="2">
        <f>IF(A5016&lt;&gt;"", VLOOKUP(A5016, imdb_netflix_v5!A$2:H$7370, 4, FALSE), "")</f>
        <v>7.2</v>
      </c>
      <c r="E5016" s="2">
        <f>IF(A5016&lt;&gt;"", VLOOKUP(A5016, imdb_netflix_v5!A$2:H$7370, 5, FALSE), "")</f>
        <v>2008</v>
      </c>
      <c r="F5016" s="2" t="str">
        <f>IF(A5016&lt;&gt;"", VLOOKUP(A5016, imdb_netflix_v5!A$2:H$7370, 7, FALSE), "")</f>
        <v>NA</v>
      </c>
    </row>
    <row r="5017" ht="15.75" customHeight="1">
      <c r="A5017" s="1" t="str">
        <f>IFERROR(__xludf.DUMMYFUNCTION("""COMPUTED_VALUE"""),"the hitcher")</f>
        <v>the hitcher</v>
      </c>
      <c r="B5017" s="1" t="str">
        <f>IF(A5017&lt;&gt;"", VLOOKUP(A5017, imdb_netflix_v5!A$2:H$7370, 2, FALSE), "")</f>
        <v>Movie</v>
      </c>
      <c r="C5017" s="2" t="str">
        <f>IF(A5017&lt;&gt;"", VLOOKUP(A5017, imdb_netflix_v5!A$2:H$7370, 3, FALSE), "")</f>
        <v>Mystery, Thriller</v>
      </c>
      <c r="D5017" s="2">
        <f>IF(A5017&lt;&gt;"", VLOOKUP(A5017, imdb_netflix_v5!A$2:H$7370, 4, FALSE), "")</f>
        <v>7.2</v>
      </c>
      <c r="E5017" s="2">
        <f>IF(A5017&lt;&gt;"", VLOOKUP(A5017, imdb_netflix_v5!A$2:H$7370, 5, FALSE), "")</f>
        <v>1986</v>
      </c>
      <c r="F5017" s="2" t="str">
        <f>IF(A5017&lt;&gt;"", VLOOKUP(A5017, imdb_netflix_v5!A$2:H$7370, 7, FALSE), "")</f>
        <v>NA</v>
      </c>
    </row>
    <row r="5018" ht="15.75" customHeight="1">
      <c r="A5018" s="1" t="str">
        <f>IFERROR(__xludf.DUMMYFUNCTION("""COMPUTED_VALUE"""),"chor nikal ke bhaga")</f>
        <v>chor nikal ke bhaga</v>
      </c>
      <c r="B5018" s="1" t="str">
        <f>IF(A5018&lt;&gt;"", VLOOKUP(A5018, imdb_netflix_v5!A$2:H$7370, 2, FALSE), "")</f>
        <v>Movie</v>
      </c>
      <c r="C5018" s="2" t="str">
        <f>IF(A5018&lt;&gt;"", VLOOKUP(A5018, imdb_netflix_v5!A$2:H$7370, 3, FALSE), "")</f>
        <v>Crime, Drama, Thriller</v>
      </c>
      <c r="D5018" s="2">
        <f>IF(A5018&lt;&gt;"", VLOOKUP(A5018, imdb_netflix_v5!A$2:H$7370, 4, FALSE), "")</f>
        <v>7.2</v>
      </c>
      <c r="E5018" s="2">
        <f>IF(A5018&lt;&gt;"", VLOOKUP(A5018, imdb_netflix_v5!A$2:H$7370, 5, FALSE), "")</f>
        <v>2023</v>
      </c>
      <c r="F5018" s="2">
        <f>IF(A5018&lt;&gt;"", VLOOKUP(A5018, imdb_netflix_v5!A$2:H$7370, 7, FALSE), "")</f>
        <v>1790000</v>
      </c>
    </row>
    <row r="5019" ht="15.75" customHeight="1">
      <c r="A5019" s="1" t="str">
        <f>IFERROR(__xludf.DUMMYFUNCTION("""COMPUTED_VALUE"""),"hunters")</f>
        <v>hunters</v>
      </c>
      <c r="B5019" s="1" t="str">
        <f>IF(A5019&lt;&gt;"", VLOOKUP(A5019, imdb_netflix_v5!A$2:H$7370, 2, FALSE), "")</f>
        <v>TV Show</v>
      </c>
      <c r="C5019" s="2" t="str">
        <f>IF(A5019&lt;&gt;"", VLOOKUP(A5019, imdb_netflix_v5!A$2:H$7370, 3, FALSE), "")</f>
        <v>Crime, Drama, Mystery</v>
      </c>
      <c r="D5019" s="2">
        <f>IF(A5019&lt;&gt;"", VLOOKUP(A5019, imdb_netflix_v5!A$2:H$7370, 4, FALSE), "")</f>
        <v>7.2</v>
      </c>
      <c r="E5019" s="2">
        <f>IF(A5019&lt;&gt;"", VLOOKUP(A5019, imdb_netflix_v5!A$2:H$7370, 5, FALSE), "")</f>
        <v>2020</v>
      </c>
      <c r="F5019" s="2" t="str">
        <f>IF(A5019&lt;&gt;"", VLOOKUP(A5019, imdb_netflix_v5!A$2:H$7370, 7, FALSE), "")</f>
        <v>NA</v>
      </c>
    </row>
    <row r="5020" ht="15.75" customHeight="1">
      <c r="A5020" s="1" t="str">
        <f>IFERROR(__xludf.DUMMYFUNCTION("""COMPUTED_VALUE"""),"fyre")</f>
        <v>fyre</v>
      </c>
      <c r="B5020" s="1" t="str">
        <f>IF(A5020&lt;&gt;"", VLOOKUP(A5020, imdb_netflix_v5!A$2:H$7370, 2, FALSE), "")</f>
        <v>Movie</v>
      </c>
      <c r="C5020" s="2" t="str">
        <f>IF(A5020&lt;&gt;"", VLOOKUP(A5020, imdb_netflix_v5!A$2:H$7370, 3, FALSE), "")</f>
        <v>Crime, Documentary, Music</v>
      </c>
      <c r="D5020" s="2">
        <f>IF(A5020&lt;&gt;"", VLOOKUP(A5020, imdb_netflix_v5!A$2:H$7370, 4, FALSE), "")</f>
        <v>7.2</v>
      </c>
      <c r="E5020" s="2">
        <f>IF(A5020&lt;&gt;"", VLOOKUP(A5020, imdb_netflix_v5!A$2:H$7370, 5, FALSE), "")</f>
        <v>2019</v>
      </c>
      <c r="F5020" s="2" t="str">
        <f>IF(A5020&lt;&gt;"", VLOOKUP(A5020, imdb_netflix_v5!A$2:H$7370, 7, FALSE), "")</f>
        <v>NA</v>
      </c>
    </row>
    <row r="5021" ht="15.75" customHeight="1">
      <c r="A5021" s="1" t="str">
        <f>IFERROR(__xludf.DUMMYFUNCTION("""COMPUTED_VALUE"""),"the report")</f>
        <v>the report</v>
      </c>
      <c r="B5021" s="1" t="str">
        <f>IF(A5021&lt;&gt;"", VLOOKUP(A5021, imdb_netflix_v5!A$2:H$7370, 2, FALSE), "")</f>
        <v>Movie</v>
      </c>
      <c r="C5021" s="2" t="str">
        <f>IF(A5021&lt;&gt;"", VLOOKUP(A5021, imdb_netflix_v5!A$2:H$7370, 3, FALSE), "")</f>
        <v>Biography, Crime, Drama</v>
      </c>
      <c r="D5021" s="2">
        <f>IF(A5021&lt;&gt;"", VLOOKUP(A5021, imdb_netflix_v5!A$2:H$7370, 4, FALSE), "")</f>
        <v>7.2</v>
      </c>
      <c r="E5021" s="2">
        <f>IF(A5021&lt;&gt;"", VLOOKUP(A5021, imdb_netflix_v5!A$2:H$7370, 5, FALSE), "")</f>
        <v>2019</v>
      </c>
      <c r="F5021" s="2" t="str">
        <f>IF(A5021&lt;&gt;"", VLOOKUP(A5021, imdb_netflix_v5!A$2:H$7370, 7, FALSE), "")</f>
        <v>NA</v>
      </c>
    </row>
    <row r="5022" ht="15.75" customHeight="1">
      <c r="A5022" s="1" t="str">
        <f>IFERROR(__xludf.DUMMYFUNCTION("""COMPUTED_VALUE"""),"the professor and the madman")</f>
        <v>the professor and the madman</v>
      </c>
      <c r="B5022" s="1" t="str">
        <f>IF(A5022&lt;&gt;"", VLOOKUP(A5022, imdb_netflix_v5!A$2:H$7370, 2, FALSE), "")</f>
        <v>Movie</v>
      </c>
      <c r="C5022" s="2" t="str">
        <f>IF(A5022&lt;&gt;"", VLOOKUP(A5022, imdb_netflix_v5!A$2:H$7370, 3, FALSE), "")</f>
        <v>Biography, Drama, History</v>
      </c>
      <c r="D5022" s="2">
        <f>IF(A5022&lt;&gt;"", VLOOKUP(A5022, imdb_netflix_v5!A$2:H$7370, 4, FALSE), "")</f>
        <v>7.2</v>
      </c>
      <c r="E5022" s="2">
        <f>IF(A5022&lt;&gt;"", VLOOKUP(A5022, imdb_netflix_v5!A$2:H$7370, 5, FALSE), "")</f>
        <v>2019</v>
      </c>
      <c r="F5022" s="2" t="str">
        <f>IF(A5022&lt;&gt;"", VLOOKUP(A5022, imdb_netflix_v5!A$2:H$7370, 7, FALSE), "")</f>
        <v>NA</v>
      </c>
    </row>
    <row r="5023" ht="15.75" customHeight="1">
      <c r="A5023" s="1" t="str">
        <f>IFERROR(__xludf.DUMMYFUNCTION("""COMPUTED_VALUE"""),"the witcher nightmare of the wolf")</f>
        <v>the witcher nightmare of the wolf</v>
      </c>
      <c r="B5023" s="1" t="str">
        <f>IF(A5023&lt;&gt;"", VLOOKUP(A5023, imdb_netflix_v5!A$2:H$7370, 2, FALSE), "")</f>
        <v>Movie</v>
      </c>
      <c r="C5023" s="2" t="str">
        <f>IF(A5023&lt;&gt;"", VLOOKUP(A5023, imdb_netflix_v5!A$2:H$7370, 3, FALSE), "")</f>
        <v>Action, Adventure, Animation</v>
      </c>
      <c r="D5023" s="2">
        <f>IF(A5023&lt;&gt;"", VLOOKUP(A5023, imdb_netflix_v5!A$2:H$7370, 4, FALSE), "")</f>
        <v>7.2</v>
      </c>
      <c r="E5023" s="2">
        <f>IF(A5023&lt;&gt;"", VLOOKUP(A5023, imdb_netflix_v5!A$2:H$7370, 5, FALSE), "")</f>
        <v>2021</v>
      </c>
      <c r="F5023" s="2">
        <f>IF(A5023&lt;&gt;"", VLOOKUP(A5023, imdb_netflix_v5!A$2:H$7370, 7, FALSE), "")</f>
        <v>13300000</v>
      </c>
    </row>
    <row r="5024" ht="15.75" customHeight="1">
      <c r="A5024" s="1" t="str">
        <f>IFERROR(__xludf.DUMMYFUNCTION("""COMPUTED_VALUE"""),"the italian job")</f>
        <v>the italian job</v>
      </c>
      <c r="B5024" s="1" t="str">
        <f>IF(A5024&lt;&gt;"", VLOOKUP(A5024, imdb_netflix_v5!A$2:H$7370, 2, FALSE), "")</f>
        <v>Movie</v>
      </c>
      <c r="C5024" s="2" t="str">
        <f>IF(A5024&lt;&gt;"", VLOOKUP(A5024, imdb_netflix_v5!A$2:H$7370, 3, FALSE), "")</f>
        <v>Action, Comedy, Crime</v>
      </c>
      <c r="D5024" s="2">
        <f>IF(A5024&lt;&gt;"", VLOOKUP(A5024, imdb_netflix_v5!A$2:H$7370, 4, FALSE), "")</f>
        <v>7.2</v>
      </c>
      <c r="E5024" s="2">
        <f>IF(A5024&lt;&gt;"", VLOOKUP(A5024, imdb_netflix_v5!A$2:H$7370, 5, FALSE), "")</f>
        <v>1969</v>
      </c>
      <c r="F5024" s="2" t="str">
        <f>IF(A5024&lt;&gt;"", VLOOKUP(A5024, imdb_netflix_v5!A$2:H$7370, 7, FALSE), "")</f>
        <v>NA</v>
      </c>
    </row>
    <row r="5025" ht="15.75" customHeight="1">
      <c r="A5025" s="1" t="str">
        <f>IFERROR(__xludf.DUMMYFUNCTION("""COMPUTED_VALUE"""),"silverado")</f>
        <v>silverado</v>
      </c>
      <c r="B5025" s="1" t="str">
        <f>IF(A5025&lt;&gt;"", VLOOKUP(A5025, imdb_netflix_v5!A$2:H$7370, 2, FALSE), "")</f>
        <v>Movie</v>
      </c>
      <c r="C5025" s="2" t="str">
        <f>IF(A5025&lt;&gt;"", VLOOKUP(A5025, imdb_netflix_v5!A$2:H$7370, 3, FALSE), "")</f>
        <v>Action, Crime, Drama</v>
      </c>
      <c r="D5025" s="2">
        <f>IF(A5025&lt;&gt;"", VLOOKUP(A5025, imdb_netflix_v5!A$2:H$7370, 4, FALSE), "")</f>
        <v>7.2</v>
      </c>
      <c r="E5025" s="2">
        <f>IF(A5025&lt;&gt;"", VLOOKUP(A5025, imdb_netflix_v5!A$2:H$7370, 5, FALSE), "")</f>
        <v>1985</v>
      </c>
      <c r="F5025" s="2" t="str">
        <f>IF(A5025&lt;&gt;"", VLOOKUP(A5025, imdb_netflix_v5!A$2:H$7370, 7, FALSE), "")</f>
        <v>NA</v>
      </c>
    </row>
    <row r="5026" ht="15.75" customHeight="1">
      <c r="A5026" s="1" t="str">
        <f>IFERROR(__xludf.DUMMYFUNCTION("""COMPUTED_VALUE"""),"home improvement")</f>
        <v>home improvement</v>
      </c>
      <c r="B5026" s="1" t="str">
        <f>IF(A5026&lt;&gt;"", VLOOKUP(A5026, imdb_netflix_v5!A$2:H$7370, 2, FALSE), "")</f>
        <v>TV Show</v>
      </c>
      <c r="C5026" s="2" t="str">
        <f>IF(A5026&lt;&gt;"", VLOOKUP(A5026, imdb_netflix_v5!A$2:H$7370, 3, FALSE), "")</f>
        <v>Comedy, Family</v>
      </c>
      <c r="D5026" s="2">
        <f>IF(A5026&lt;&gt;"", VLOOKUP(A5026, imdb_netflix_v5!A$2:H$7370, 4, FALSE), "")</f>
        <v>7.2</v>
      </c>
      <c r="E5026" s="2">
        <f>IF(A5026&lt;&gt;"", VLOOKUP(A5026, imdb_netflix_v5!A$2:H$7370, 5, FALSE), "")</f>
        <v>1991</v>
      </c>
      <c r="F5026" s="2" t="str">
        <f>IF(A5026&lt;&gt;"", VLOOKUP(A5026, imdb_netflix_v5!A$2:H$7370, 7, FALSE), "")</f>
        <v>NA</v>
      </c>
    </row>
    <row r="5027" ht="15.75" customHeight="1">
      <c r="A5027" s="1" t="str">
        <f>IFERROR(__xludf.DUMMYFUNCTION("""COMPUTED_VALUE"""),"mongol the rise of genghis khan")</f>
        <v>mongol the rise of genghis khan</v>
      </c>
      <c r="B5027" s="1" t="str">
        <f>IF(A5027&lt;&gt;"", VLOOKUP(A5027, imdb_netflix_v5!A$2:H$7370, 2, FALSE), "")</f>
        <v>Movie</v>
      </c>
      <c r="C5027" s="2" t="str">
        <f>IF(A5027&lt;&gt;"", VLOOKUP(A5027, imdb_netflix_v5!A$2:H$7370, 3, FALSE), "")</f>
        <v>Action, Biography, Drama</v>
      </c>
      <c r="D5027" s="2">
        <f>IF(A5027&lt;&gt;"", VLOOKUP(A5027, imdb_netflix_v5!A$2:H$7370, 4, FALSE), "")</f>
        <v>7.2</v>
      </c>
      <c r="E5027" s="2">
        <f>IF(A5027&lt;&gt;"", VLOOKUP(A5027, imdb_netflix_v5!A$2:H$7370, 5, FALSE), "")</f>
        <v>2007</v>
      </c>
      <c r="F5027" s="2" t="str">
        <f>IF(A5027&lt;&gt;"", VLOOKUP(A5027, imdb_netflix_v5!A$2:H$7370, 7, FALSE), "")</f>
        <v>NA</v>
      </c>
    </row>
    <row r="5028" ht="15.75" customHeight="1">
      <c r="A5028" s="1" t="str">
        <f>IFERROR(__xludf.DUMMYFUNCTION("""COMPUTED_VALUE"""),"glory road")</f>
        <v>glory road</v>
      </c>
      <c r="B5028" s="1" t="str">
        <f>IF(A5028&lt;&gt;"", VLOOKUP(A5028, imdb_netflix_v5!A$2:H$7370, 2, FALSE), "")</f>
        <v>Movie</v>
      </c>
      <c r="C5028" s="2" t="str">
        <f>IF(A5028&lt;&gt;"", VLOOKUP(A5028, imdb_netflix_v5!A$2:H$7370, 3, FALSE), "")</f>
        <v>Biography, Drama, Sport</v>
      </c>
      <c r="D5028" s="2">
        <f>IF(A5028&lt;&gt;"", VLOOKUP(A5028, imdb_netflix_v5!A$2:H$7370, 4, FALSE), "")</f>
        <v>7.2</v>
      </c>
      <c r="E5028" s="2">
        <f>IF(A5028&lt;&gt;"", VLOOKUP(A5028, imdb_netflix_v5!A$2:H$7370, 5, FALSE), "")</f>
        <v>2006</v>
      </c>
      <c r="F5028" s="2" t="str">
        <f>IF(A5028&lt;&gt;"", VLOOKUP(A5028, imdb_netflix_v5!A$2:H$7370, 7, FALSE), "")</f>
        <v>NA</v>
      </c>
    </row>
    <row r="5029" ht="15.75" customHeight="1">
      <c r="A5029" s="1" t="str">
        <f>IFERROR(__xludf.DUMMYFUNCTION("""COMPUTED_VALUE"""),"a room with a view")</f>
        <v>a room with a view</v>
      </c>
      <c r="B5029" s="1" t="str">
        <f>IF(A5029&lt;&gt;"", VLOOKUP(A5029, imdb_netflix_v5!A$2:H$7370, 2, FALSE), "")</f>
        <v>Movie</v>
      </c>
      <c r="C5029" s="2" t="str">
        <f>IF(A5029&lt;&gt;"", VLOOKUP(A5029, imdb_netflix_v5!A$2:H$7370, 3, FALSE), "")</f>
        <v>Drama, Romance</v>
      </c>
      <c r="D5029" s="2">
        <f>IF(A5029&lt;&gt;"", VLOOKUP(A5029, imdb_netflix_v5!A$2:H$7370, 4, FALSE), "")</f>
        <v>7.2</v>
      </c>
      <c r="E5029" s="2">
        <f>IF(A5029&lt;&gt;"", VLOOKUP(A5029, imdb_netflix_v5!A$2:H$7370, 5, FALSE), "")</f>
        <v>1985</v>
      </c>
      <c r="F5029" s="2" t="str">
        <f>IF(A5029&lt;&gt;"", VLOOKUP(A5029, imdb_netflix_v5!A$2:H$7370, 7, FALSE), "")</f>
        <v>NA</v>
      </c>
    </row>
    <row r="5030" ht="15.75" customHeight="1">
      <c r="A5030" s="1" t="str">
        <f>IFERROR(__xludf.DUMMYFUNCTION("""COMPUTED_VALUE"""),"the fairly oddparents")</f>
        <v>the fairly oddparents</v>
      </c>
      <c r="B5030" s="1" t="str">
        <f>IF(A5030&lt;&gt;"", VLOOKUP(A5030, imdb_netflix_v5!A$2:H$7370, 2, FALSE), "")</f>
        <v>TV Show</v>
      </c>
      <c r="C5030" s="2" t="str">
        <f>IF(A5030&lt;&gt;"", VLOOKUP(A5030, imdb_netflix_v5!A$2:H$7370, 3, FALSE), "")</f>
        <v>Adventure, Animation, Comedy</v>
      </c>
      <c r="D5030" s="2">
        <f>IF(A5030&lt;&gt;"", VLOOKUP(A5030, imdb_netflix_v5!A$2:H$7370, 4, FALSE), "")</f>
        <v>7.2</v>
      </c>
      <c r="E5030" s="2">
        <f>IF(A5030&lt;&gt;"", VLOOKUP(A5030, imdb_netflix_v5!A$2:H$7370, 5, FALSE), "")</f>
        <v>2001</v>
      </c>
      <c r="F5030" s="2" t="str">
        <f>IF(A5030&lt;&gt;"", VLOOKUP(A5030, imdb_netflix_v5!A$2:H$7370, 7, FALSE), "")</f>
        <v>NA</v>
      </c>
    </row>
    <row r="5031" ht="15.75" customHeight="1">
      <c r="A5031" s="1" t="str">
        <f>IFERROR(__xludf.DUMMYFUNCTION("""COMPUTED_VALUE"""),"sleep tight")</f>
        <v>sleep tight</v>
      </c>
      <c r="B5031" s="1" t="str">
        <f>IF(A5031&lt;&gt;"", VLOOKUP(A5031, imdb_netflix_v5!A$2:H$7370, 2, FALSE), "")</f>
        <v>Movie</v>
      </c>
      <c r="C5031" s="2" t="str">
        <f>IF(A5031&lt;&gt;"", VLOOKUP(A5031, imdb_netflix_v5!A$2:H$7370, 3, FALSE), "")</f>
        <v>Crime, Drama, Thriller</v>
      </c>
      <c r="D5031" s="2">
        <f>IF(A5031&lt;&gt;"", VLOOKUP(A5031, imdb_netflix_v5!A$2:H$7370, 4, FALSE), "")</f>
        <v>7.2</v>
      </c>
      <c r="E5031" s="2">
        <f>IF(A5031&lt;&gt;"", VLOOKUP(A5031, imdb_netflix_v5!A$2:H$7370, 5, FALSE), "")</f>
        <v>2011</v>
      </c>
      <c r="F5031" s="2" t="str">
        <f>IF(A5031&lt;&gt;"", VLOOKUP(A5031, imdb_netflix_v5!A$2:H$7370, 7, FALSE), "")</f>
        <v>NA</v>
      </c>
    </row>
    <row r="5032" ht="15.75" customHeight="1">
      <c r="A5032" s="1" t="str">
        <f>IFERROR(__xludf.DUMMYFUNCTION("""COMPUTED_VALUE"""),"conviction")</f>
        <v>conviction</v>
      </c>
      <c r="B5032" s="1" t="str">
        <f>IF(A5032&lt;&gt;"", VLOOKUP(A5032, imdb_netflix_v5!A$2:H$7370, 2, FALSE), "")</f>
        <v>Movie</v>
      </c>
      <c r="C5032" s="2" t="str">
        <f>IF(A5032&lt;&gt;"", VLOOKUP(A5032, imdb_netflix_v5!A$2:H$7370, 3, FALSE), "")</f>
        <v>Biography, Crime, Drama</v>
      </c>
      <c r="D5032" s="2">
        <f>IF(A5032&lt;&gt;"", VLOOKUP(A5032, imdb_netflix_v5!A$2:H$7370, 4, FALSE), "")</f>
        <v>7.2</v>
      </c>
      <c r="E5032" s="2">
        <f>IF(A5032&lt;&gt;"", VLOOKUP(A5032, imdb_netflix_v5!A$2:H$7370, 5, FALSE), "")</f>
        <v>2010</v>
      </c>
      <c r="F5032" s="2" t="str">
        <f>IF(A5032&lt;&gt;"", VLOOKUP(A5032, imdb_netflix_v5!A$2:H$7370, 7, FALSE), "")</f>
        <v>NA</v>
      </c>
    </row>
    <row r="5033" ht="15.75" customHeight="1">
      <c r="A5033" s="1" t="str">
        <f>IFERROR(__xludf.DUMMYFUNCTION("""COMPUTED_VALUE"""),"arizona dream")</f>
        <v>arizona dream</v>
      </c>
      <c r="B5033" s="1" t="str">
        <f>IF(A5033&lt;&gt;"", VLOOKUP(A5033, imdb_netflix_v5!A$2:H$7370, 2, FALSE), "")</f>
        <v>Movie</v>
      </c>
      <c r="C5033" s="2" t="str">
        <f>IF(A5033&lt;&gt;"", VLOOKUP(A5033, imdb_netflix_v5!A$2:H$7370, 3, FALSE), "")</f>
        <v>Comedy, Drama, Fantasy</v>
      </c>
      <c r="D5033" s="2">
        <f>IF(A5033&lt;&gt;"", VLOOKUP(A5033, imdb_netflix_v5!A$2:H$7370, 4, FALSE), "")</f>
        <v>7.2</v>
      </c>
      <c r="E5033" s="2">
        <f>IF(A5033&lt;&gt;"", VLOOKUP(A5033, imdb_netflix_v5!A$2:H$7370, 5, FALSE), "")</f>
        <v>1993</v>
      </c>
      <c r="F5033" s="2" t="str">
        <f>IF(A5033&lt;&gt;"", VLOOKUP(A5033, imdb_netflix_v5!A$2:H$7370, 7, FALSE), "")</f>
        <v>NA</v>
      </c>
    </row>
    <row r="5034" ht="15.75" customHeight="1">
      <c r="A5034" s="1" t="str">
        <f>IFERROR(__xludf.DUMMYFUNCTION("""COMPUTED_VALUE"""),"talaash the answer lies within")</f>
        <v>talaash the answer lies within</v>
      </c>
      <c r="B5034" s="1" t="str">
        <f>IF(A5034&lt;&gt;"", VLOOKUP(A5034, imdb_netflix_v5!A$2:H$7370, 2, FALSE), "")</f>
        <v>Movie</v>
      </c>
      <c r="C5034" s="2" t="str">
        <f>IF(A5034&lt;&gt;"", VLOOKUP(A5034, imdb_netflix_v5!A$2:H$7370, 3, FALSE), "")</f>
        <v>Crime, Drama, Mystery</v>
      </c>
      <c r="D5034" s="2">
        <f>IF(A5034&lt;&gt;"", VLOOKUP(A5034, imdb_netflix_v5!A$2:H$7370, 4, FALSE), "")</f>
        <v>7.2</v>
      </c>
      <c r="E5034" s="2">
        <f>IF(A5034&lt;&gt;"", VLOOKUP(A5034, imdb_netflix_v5!A$2:H$7370, 5, FALSE), "")</f>
        <v>2012</v>
      </c>
      <c r="F5034" s="2" t="str">
        <f>IF(A5034&lt;&gt;"", VLOOKUP(A5034, imdb_netflix_v5!A$2:H$7370, 7, FALSE), "")</f>
        <v>NA</v>
      </c>
    </row>
    <row r="5035" ht="15.75" customHeight="1">
      <c r="A5035" s="1" t="str">
        <f>IFERROR(__xludf.DUMMYFUNCTION("""COMPUTED_VALUE"""),"fahrenheit 451")</f>
        <v>fahrenheit 451</v>
      </c>
      <c r="B5035" s="1" t="str">
        <f>IF(A5035&lt;&gt;"", VLOOKUP(A5035, imdb_netflix_v5!A$2:H$7370, 2, FALSE), "")</f>
        <v>Movie</v>
      </c>
      <c r="C5035" s="2" t="str">
        <f>IF(A5035&lt;&gt;"", VLOOKUP(A5035, imdb_netflix_v5!A$2:H$7370, 3, FALSE), "")</f>
        <v>Drama, Sci-Fi</v>
      </c>
      <c r="D5035" s="2">
        <f>IF(A5035&lt;&gt;"", VLOOKUP(A5035, imdb_netflix_v5!A$2:H$7370, 4, FALSE), "")</f>
        <v>7.2</v>
      </c>
      <c r="E5035" s="2">
        <f>IF(A5035&lt;&gt;"", VLOOKUP(A5035, imdb_netflix_v5!A$2:H$7370, 5, FALSE), "")</f>
        <v>1966</v>
      </c>
      <c r="F5035" s="2" t="str">
        <f>IF(A5035&lt;&gt;"", VLOOKUP(A5035, imdb_netflix_v5!A$2:H$7370, 7, FALSE), "")</f>
        <v>NA</v>
      </c>
    </row>
    <row r="5036" ht="15.75" customHeight="1">
      <c r="A5036" s="1" t="str">
        <f>IFERROR(__xludf.DUMMYFUNCTION("""COMPUTED_VALUE"""),"the siege of jadotville")</f>
        <v>the siege of jadotville</v>
      </c>
      <c r="B5036" s="1" t="str">
        <f>IF(A5036&lt;&gt;"", VLOOKUP(A5036, imdb_netflix_v5!A$2:H$7370, 2, FALSE), "")</f>
        <v>Movie</v>
      </c>
      <c r="C5036" s="2" t="str">
        <f>IF(A5036&lt;&gt;"", VLOOKUP(A5036, imdb_netflix_v5!A$2:H$7370, 3, FALSE), "")</f>
        <v>Action, Drama, Thriller</v>
      </c>
      <c r="D5036" s="2">
        <f>IF(A5036&lt;&gt;"", VLOOKUP(A5036, imdb_netflix_v5!A$2:H$7370, 4, FALSE), "")</f>
        <v>7.2</v>
      </c>
      <c r="E5036" s="2">
        <f>IF(A5036&lt;&gt;"", VLOOKUP(A5036, imdb_netflix_v5!A$2:H$7370, 5, FALSE), "")</f>
        <v>2016</v>
      </c>
      <c r="F5036" s="2" t="str">
        <f>IF(A5036&lt;&gt;"", VLOOKUP(A5036, imdb_netflix_v5!A$2:H$7370, 7, FALSE), "")</f>
        <v>NA</v>
      </c>
    </row>
    <row r="5037" ht="15.75" customHeight="1">
      <c r="A5037" s="1" t="str">
        <f>IFERROR(__xludf.DUMMYFUNCTION("""COMPUTED_VALUE"""),"griselda")</f>
        <v>griselda</v>
      </c>
      <c r="B5037" s="1" t="str">
        <f>IF(A5037&lt;&gt;"", VLOOKUP(A5037, imdb_netflix_v5!A$2:H$7370, 2, FALSE), "")</f>
        <v>TV Show</v>
      </c>
      <c r="C5037" s="2" t="str">
        <f>IF(A5037&lt;&gt;"", VLOOKUP(A5037, imdb_netflix_v5!A$2:H$7370, 3, FALSE), "")</f>
        <v>Biography, Crime, Drama</v>
      </c>
      <c r="D5037" s="2">
        <f>IF(A5037&lt;&gt;"", VLOOKUP(A5037, imdb_netflix_v5!A$2:H$7370, 4, FALSE), "")</f>
        <v>7.2</v>
      </c>
      <c r="E5037" s="2">
        <f>IF(A5037&lt;&gt;"", VLOOKUP(A5037, imdb_netflix_v5!A$2:H$7370, 5, FALSE), "")</f>
        <v>2024</v>
      </c>
      <c r="F5037" s="2" t="str">
        <f>IF(A5037&lt;&gt;"", VLOOKUP(A5037, imdb_netflix_v5!A$2:H$7370, 7, FALSE), "")</f>
        <v>NA</v>
      </c>
    </row>
    <row r="5038" ht="15.75" customHeight="1">
      <c r="A5038" s="1" t="str">
        <f>IFERROR(__xludf.DUMMYFUNCTION("""COMPUTED_VALUE"""),"dirty pretty things")</f>
        <v>dirty pretty things</v>
      </c>
      <c r="B5038" s="1" t="str">
        <f>IF(A5038&lt;&gt;"", VLOOKUP(A5038, imdb_netflix_v5!A$2:H$7370, 2, FALSE), "")</f>
        <v>Movie</v>
      </c>
      <c r="C5038" s="2" t="str">
        <f>IF(A5038&lt;&gt;"", VLOOKUP(A5038, imdb_netflix_v5!A$2:H$7370, 3, FALSE), "")</f>
        <v>Crime, Drama, Thriller</v>
      </c>
      <c r="D5038" s="2">
        <f>IF(A5038&lt;&gt;"", VLOOKUP(A5038, imdb_netflix_v5!A$2:H$7370, 4, FALSE), "")</f>
        <v>7.2</v>
      </c>
      <c r="E5038" s="2">
        <f>IF(A5038&lt;&gt;"", VLOOKUP(A5038, imdb_netflix_v5!A$2:H$7370, 5, FALSE), "")</f>
        <v>2002</v>
      </c>
      <c r="F5038" s="2" t="str">
        <f>IF(A5038&lt;&gt;"", VLOOKUP(A5038, imdb_netflix_v5!A$2:H$7370, 7, FALSE), "")</f>
        <v>NA</v>
      </c>
    </row>
    <row r="5039" ht="15.75" customHeight="1">
      <c r="A5039" s="1" t="str">
        <f>IFERROR(__xludf.DUMMYFUNCTION("""COMPUTED_VALUE"""),"the sessions")</f>
        <v>the sessions</v>
      </c>
      <c r="B5039" s="1" t="str">
        <f>IF(A5039&lt;&gt;"", VLOOKUP(A5039, imdb_netflix_v5!A$2:H$7370, 2, FALSE), "")</f>
        <v>Movie</v>
      </c>
      <c r="C5039" s="2" t="str">
        <f>IF(A5039&lt;&gt;"", VLOOKUP(A5039, imdb_netflix_v5!A$2:H$7370, 3, FALSE), "")</f>
        <v>Biography, Comedy, Drama</v>
      </c>
      <c r="D5039" s="2">
        <f>IF(A5039&lt;&gt;"", VLOOKUP(A5039, imdb_netflix_v5!A$2:H$7370, 4, FALSE), "")</f>
        <v>7.2</v>
      </c>
      <c r="E5039" s="2">
        <f>IF(A5039&lt;&gt;"", VLOOKUP(A5039, imdb_netflix_v5!A$2:H$7370, 5, FALSE), "")</f>
        <v>2012</v>
      </c>
      <c r="F5039" s="2" t="str">
        <f>IF(A5039&lt;&gt;"", VLOOKUP(A5039, imdb_netflix_v5!A$2:H$7370, 7, FALSE), "")</f>
        <v>NA</v>
      </c>
    </row>
    <row r="5040" ht="15.75" customHeight="1">
      <c r="A5040" s="1" t="str">
        <f>IFERROR(__xludf.DUMMYFUNCTION("""COMPUTED_VALUE"""),"bitter moon")</f>
        <v>bitter moon</v>
      </c>
      <c r="B5040" s="1" t="str">
        <f>IF(A5040&lt;&gt;"", VLOOKUP(A5040, imdb_netflix_v5!A$2:H$7370, 2, FALSE), "")</f>
        <v>Movie</v>
      </c>
      <c r="C5040" s="2" t="str">
        <f>IF(A5040&lt;&gt;"", VLOOKUP(A5040, imdb_netflix_v5!A$2:H$7370, 3, FALSE), "")</f>
        <v>Drama, Romance, Thriller</v>
      </c>
      <c r="D5040" s="2">
        <f>IF(A5040&lt;&gt;"", VLOOKUP(A5040, imdb_netflix_v5!A$2:H$7370, 4, FALSE), "")</f>
        <v>7.2</v>
      </c>
      <c r="E5040" s="2">
        <f>IF(A5040&lt;&gt;"", VLOOKUP(A5040, imdb_netflix_v5!A$2:H$7370, 5, FALSE), "")</f>
        <v>1992</v>
      </c>
      <c r="F5040" s="2" t="str">
        <f>IF(A5040&lt;&gt;"", VLOOKUP(A5040, imdb_netflix_v5!A$2:H$7370, 7, FALSE), "")</f>
        <v>NA</v>
      </c>
    </row>
    <row r="5041" ht="15.75" customHeight="1">
      <c r="A5041" s="1" t="str">
        <f>IFERROR(__xludf.DUMMYFUNCTION("""COMPUTED_VALUE"""),"the wife")</f>
        <v>the wife</v>
      </c>
      <c r="B5041" s="1" t="str">
        <f>IF(A5041&lt;&gt;"", VLOOKUP(A5041, imdb_netflix_v5!A$2:H$7370, 2, FALSE), "")</f>
        <v>Movie</v>
      </c>
      <c r="C5041" s="2" t="str">
        <f>IF(A5041&lt;&gt;"", VLOOKUP(A5041, imdb_netflix_v5!A$2:H$7370, 3, FALSE), "")</f>
        <v>Drama</v>
      </c>
      <c r="D5041" s="2">
        <f>IF(A5041&lt;&gt;"", VLOOKUP(A5041, imdb_netflix_v5!A$2:H$7370, 4, FALSE), "")</f>
        <v>7.2</v>
      </c>
      <c r="E5041" s="2">
        <f>IF(A5041&lt;&gt;"", VLOOKUP(A5041, imdb_netflix_v5!A$2:H$7370, 5, FALSE), "")</f>
        <v>2017</v>
      </c>
      <c r="F5041" s="2" t="str">
        <f>IF(A5041&lt;&gt;"", VLOOKUP(A5041, imdb_netflix_v5!A$2:H$7370, 7, FALSE), "")</f>
        <v>NA</v>
      </c>
    </row>
    <row r="5042" ht="15.75" customHeight="1">
      <c r="A5042" s="1" t="str">
        <f>IFERROR(__xludf.DUMMYFUNCTION("""COMPUTED_VALUE"""),"broken embraces")</f>
        <v>broken embraces</v>
      </c>
      <c r="B5042" s="1" t="str">
        <f>IF(A5042&lt;&gt;"", VLOOKUP(A5042, imdb_netflix_v5!A$2:H$7370, 2, FALSE), "")</f>
        <v>Movie</v>
      </c>
      <c r="C5042" s="2" t="str">
        <f>IF(A5042&lt;&gt;"", VLOOKUP(A5042, imdb_netflix_v5!A$2:H$7370, 3, FALSE), "")</f>
        <v>Drama, Romance, Thriller</v>
      </c>
      <c r="D5042" s="2">
        <f>IF(A5042&lt;&gt;"", VLOOKUP(A5042, imdb_netflix_v5!A$2:H$7370, 4, FALSE), "")</f>
        <v>7.2</v>
      </c>
      <c r="E5042" s="2">
        <f>IF(A5042&lt;&gt;"", VLOOKUP(A5042, imdb_netflix_v5!A$2:H$7370, 5, FALSE), "")</f>
        <v>2009</v>
      </c>
      <c r="F5042" s="2" t="str">
        <f>IF(A5042&lt;&gt;"", VLOOKUP(A5042, imdb_netflix_v5!A$2:H$7370, 7, FALSE), "")</f>
        <v>NA</v>
      </c>
    </row>
    <row r="5043" ht="15.75" customHeight="1">
      <c r="A5043" s="1" t="str">
        <f>IFERROR(__xludf.DUMMYFUNCTION("""COMPUTED_VALUE"""),"the transformers the movie")</f>
        <v>the transformers the movie</v>
      </c>
      <c r="B5043" s="1" t="str">
        <f>IF(A5043&lt;&gt;"", VLOOKUP(A5043, imdb_netflix_v5!A$2:H$7370, 2, FALSE), "")</f>
        <v>Movie</v>
      </c>
      <c r="C5043" s="2" t="str">
        <f>IF(A5043&lt;&gt;"", VLOOKUP(A5043, imdb_netflix_v5!A$2:H$7370, 3, FALSE), "")</f>
        <v>Action, Adventure, Animation</v>
      </c>
      <c r="D5043" s="2">
        <f>IF(A5043&lt;&gt;"", VLOOKUP(A5043, imdb_netflix_v5!A$2:H$7370, 4, FALSE), "")</f>
        <v>7.2</v>
      </c>
      <c r="E5043" s="2">
        <f>IF(A5043&lt;&gt;"", VLOOKUP(A5043, imdb_netflix_v5!A$2:H$7370, 5, FALSE), "")</f>
        <v>1986</v>
      </c>
      <c r="F5043" s="2" t="str">
        <f>IF(A5043&lt;&gt;"", VLOOKUP(A5043, imdb_netflix_v5!A$2:H$7370, 7, FALSE), "")</f>
        <v>NA</v>
      </c>
    </row>
    <row r="5044" ht="15.75" customHeight="1">
      <c r="A5044" s="1" t="str">
        <f>IFERROR(__xludf.DUMMYFUNCTION("""COMPUTED_VALUE"""),"muriels wedding")</f>
        <v>muriels wedding</v>
      </c>
      <c r="B5044" s="1" t="str">
        <f>IF(A5044&lt;&gt;"", VLOOKUP(A5044, imdb_netflix_v5!A$2:H$7370, 2, FALSE), "")</f>
        <v>Movie</v>
      </c>
      <c r="C5044" s="2" t="str">
        <f>IF(A5044&lt;&gt;"", VLOOKUP(A5044, imdb_netflix_v5!A$2:H$7370, 3, FALSE), "")</f>
        <v>Comedy, Drama</v>
      </c>
      <c r="D5044" s="2">
        <f>IF(A5044&lt;&gt;"", VLOOKUP(A5044, imdb_netflix_v5!A$2:H$7370, 4, FALSE), "")</f>
        <v>7.2</v>
      </c>
      <c r="E5044" s="2">
        <f>IF(A5044&lt;&gt;"", VLOOKUP(A5044, imdb_netflix_v5!A$2:H$7370, 5, FALSE), "")</f>
        <v>1994</v>
      </c>
      <c r="F5044" s="2" t="str">
        <f>IF(A5044&lt;&gt;"", VLOOKUP(A5044, imdb_netflix_v5!A$2:H$7370, 7, FALSE), "")</f>
        <v>NA</v>
      </c>
    </row>
    <row r="5045" ht="15.75" customHeight="1">
      <c r="A5045" s="1" t="str">
        <f>IFERROR(__xludf.DUMMYFUNCTION("""COMPUTED_VALUE"""),"slap shot")</f>
        <v>slap shot</v>
      </c>
      <c r="B5045" s="1" t="str">
        <f>IF(A5045&lt;&gt;"", VLOOKUP(A5045, imdb_netflix_v5!A$2:H$7370, 2, FALSE), "")</f>
        <v>Movie</v>
      </c>
      <c r="C5045" s="2" t="str">
        <f>IF(A5045&lt;&gt;"", VLOOKUP(A5045, imdb_netflix_v5!A$2:H$7370, 3, FALSE), "")</f>
        <v>Comedy, Drama, Sport</v>
      </c>
      <c r="D5045" s="2">
        <f>IF(A5045&lt;&gt;"", VLOOKUP(A5045, imdb_netflix_v5!A$2:H$7370, 4, FALSE), "")</f>
        <v>7.2</v>
      </c>
      <c r="E5045" s="2">
        <f>IF(A5045&lt;&gt;"", VLOOKUP(A5045, imdb_netflix_v5!A$2:H$7370, 5, FALSE), "")</f>
        <v>1977</v>
      </c>
      <c r="F5045" s="2" t="str">
        <f>IF(A5045&lt;&gt;"", VLOOKUP(A5045, imdb_netflix_v5!A$2:H$7370, 7, FALSE), "")</f>
        <v>NA</v>
      </c>
    </row>
    <row r="5046" ht="15.75" customHeight="1">
      <c r="A5046" s="1" t="str">
        <f>IFERROR(__xludf.DUMMYFUNCTION("""COMPUTED_VALUE"""),"the physician")</f>
        <v>the physician</v>
      </c>
      <c r="B5046" s="1" t="str">
        <f>IF(A5046&lt;&gt;"", VLOOKUP(A5046, imdb_netflix_v5!A$2:H$7370, 2, FALSE), "")</f>
        <v>Movie</v>
      </c>
      <c r="C5046" s="2" t="str">
        <f>IF(A5046&lt;&gt;"", VLOOKUP(A5046, imdb_netflix_v5!A$2:H$7370, 3, FALSE), "")</f>
        <v>Adventure, Drama, History</v>
      </c>
      <c r="D5046" s="2">
        <f>IF(A5046&lt;&gt;"", VLOOKUP(A5046, imdb_netflix_v5!A$2:H$7370, 4, FALSE), "")</f>
        <v>7.2</v>
      </c>
      <c r="E5046" s="2">
        <f>IF(A5046&lt;&gt;"", VLOOKUP(A5046, imdb_netflix_v5!A$2:H$7370, 5, FALSE), "")</f>
        <v>2013</v>
      </c>
      <c r="F5046" s="2" t="str">
        <f>IF(A5046&lt;&gt;"", VLOOKUP(A5046, imdb_netflix_v5!A$2:H$7370, 7, FALSE), "")</f>
        <v>NA</v>
      </c>
    </row>
    <row r="5047" ht="15.75" customHeight="1">
      <c r="A5047" s="1" t="str">
        <f>IFERROR(__xludf.DUMMYFUNCTION("""COMPUTED_VALUE"""),"this is it")</f>
        <v>this is it</v>
      </c>
      <c r="B5047" s="1" t="str">
        <f>IF(A5047&lt;&gt;"", VLOOKUP(A5047, imdb_netflix_v5!A$2:H$7370, 2, FALSE), "")</f>
        <v>Movie</v>
      </c>
      <c r="C5047" s="2" t="str">
        <f>IF(A5047&lt;&gt;"", VLOOKUP(A5047, imdb_netflix_v5!A$2:H$7370, 3, FALSE), "")</f>
        <v>Documentary, Music</v>
      </c>
      <c r="D5047" s="2">
        <f>IF(A5047&lt;&gt;"", VLOOKUP(A5047, imdb_netflix_v5!A$2:H$7370, 4, FALSE), "")</f>
        <v>7.2</v>
      </c>
      <c r="E5047" s="2">
        <f>IF(A5047&lt;&gt;"", VLOOKUP(A5047, imdb_netflix_v5!A$2:H$7370, 5, FALSE), "")</f>
        <v>2009</v>
      </c>
      <c r="F5047" s="2" t="str">
        <f>IF(A5047&lt;&gt;"", VLOOKUP(A5047, imdb_netflix_v5!A$2:H$7370, 7, FALSE), "")</f>
        <v>NA</v>
      </c>
    </row>
    <row r="5048" ht="15.75" customHeight="1">
      <c r="A5048" s="1" t="str">
        <f>IFERROR(__xludf.DUMMYFUNCTION("""COMPUTED_VALUE"""),"the way of the dragon")</f>
        <v>the way of the dragon</v>
      </c>
      <c r="B5048" s="1" t="str">
        <f>IF(A5048&lt;&gt;"", VLOOKUP(A5048, imdb_netflix_v5!A$2:H$7370, 2, FALSE), "")</f>
        <v>Movie</v>
      </c>
      <c r="C5048" s="2" t="str">
        <f>IF(A5048&lt;&gt;"", VLOOKUP(A5048, imdb_netflix_v5!A$2:H$7370, 3, FALSE), "")</f>
        <v>Action, Adventure, Comedy</v>
      </c>
      <c r="D5048" s="2">
        <f>IF(A5048&lt;&gt;"", VLOOKUP(A5048, imdb_netflix_v5!A$2:H$7370, 4, FALSE), "")</f>
        <v>7.2</v>
      </c>
      <c r="E5048" s="2">
        <f>IF(A5048&lt;&gt;"", VLOOKUP(A5048, imdb_netflix_v5!A$2:H$7370, 5, FALSE), "")</f>
        <v>1972</v>
      </c>
      <c r="F5048" s="2" t="str">
        <f>IF(A5048&lt;&gt;"", VLOOKUP(A5048, imdb_netflix_v5!A$2:H$7370, 7, FALSE), "")</f>
        <v>NA</v>
      </c>
    </row>
    <row r="5049" ht="15.75" customHeight="1">
      <c r="A5049" s="1" t="str">
        <f>IFERROR(__xludf.DUMMYFUNCTION("""COMPUTED_VALUE"""),"drugstore cowboy")</f>
        <v>drugstore cowboy</v>
      </c>
      <c r="B5049" s="1" t="str">
        <f>IF(A5049&lt;&gt;"", VLOOKUP(A5049, imdb_netflix_v5!A$2:H$7370, 2, FALSE), "")</f>
        <v>Movie</v>
      </c>
      <c r="C5049" s="2" t="str">
        <f>IF(A5049&lt;&gt;"", VLOOKUP(A5049, imdb_netflix_v5!A$2:H$7370, 3, FALSE), "")</f>
        <v>Crime, Drama</v>
      </c>
      <c r="D5049" s="2">
        <f>IF(A5049&lt;&gt;"", VLOOKUP(A5049, imdb_netflix_v5!A$2:H$7370, 4, FALSE), "")</f>
        <v>7.2</v>
      </c>
      <c r="E5049" s="2">
        <f>IF(A5049&lt;&gt;"", VLOOKUP(A5049, imdb_netflix_v5!A$2:H$7370, 5, FALSE), "")</f>
        <v>1989</v>
      </c>
      <c r="F5049" s="2" t="str">
        <f>IF(A5049&lt;&gt;"", VLOOKUP(A5049, imdb_netflix_v5!A$2:H$7370, 7, FALSE), "")</f>
        <v>NA</v>
      </c>
    </row>
    <row r="5050" ht="15.75" customHeight="1">
      <c r="A5050" s="1" t="str">
        <f>IFERROR(__xludf.DUMMYFUNCTION("""COMPUTED_VALUE"""),"honey boy")</f>
        <v>honey boy</v>
      </c>
      <c r="B5050" s="1" t="str">
        <f>IF(A5050&lt;&gt;"", VLOOKUP(A5050, imdb_netflix_v5!A$2:H$7370, 2, FALSE), "")</f>
        <v>Movie</v>
      </c>
      <c r="C5050" s="2" t="str">
        <f>IF(A5050&lt;&gt;"", VLOOKUP(A5050, imdb_netflix_v5!A$2:H$7370, 3, FALSE), "")</f>
        <v>Drama</v>
      </c>
      <c r="D5050" s="2">
        <f>IF(A5050&lt;&gt;"", VLOOKUP(A5050, imdb_netflix_v5!A$2:H$7370, 4, FALSE), "")</f>
        <v>7.2</v>
      </c>
      <c r="E5050" s="2">
        <f>IF(A5050&lt;&gt;"", VLOOKUP(A5050, imdb_netflix_v5!A$2:H$7370, 5, FALSE), "")</f>
        <v>2019</v>
      </c>
      <c r="F5050" s="2" t="str">
        <f>IF(A5050&lt;&gt;"", VLOOKUP(A5050, imdb_netflix_v5!A$2:H$7370, 7, FALSE), "")</f>
        <v>NA</v>
      </c>
    </row>
    <row r="5051" ht="15.75" customHeight="1">
      <c r="A5051" s="1" t="str">
        <f>IFERROR(__xludf.DUMMYFUNCTION("""COMPUTED_VALUE"""),"the andromeda strain")</f>
        <v>the andromeda strain</v>
      </c>
      <c r="B5051" s="1" t="str">
        <f>IF(A5051&lt;&gt;"", VLOOKUP(A5051, imdb_netflix_v5!A$2:H$7370, 2, FALSE), "")</f>
        <v>Movie</v>
      </c>
      <c r="C5051" s="2" t="str">
        <f>IF(A5051&lt;&gt;"", VLOOKUP(A5051, imdb_netflix_v5!A$2:H$7370, 3, FALSE), "")</f>
        <v>Mystery, Sci-Fi, Thriller</v>
      </c>
      <c r="D5051" s="2">
        <f>IF(A5051&lt;&gt;"", VLOOKUP(A5051, imdb_netflix_v5!A$2:H$7370, 4, FALSE), "")</f>
        <v>7.2</v>
      </c>
      <c r="E5051" s="2">
        <f>IF(A5051&lt;&gt;"", VLOOKUP(A5051, imdb_netflix_v5!A$2:H$7370, 5, FALSE), "")</f>
        <v>1971</v>
      </c>
      <c r="F5051" s="2" t="str">
        <f>IF(A5051&lt;&gt;"", VLOOKUP(A5051, imdb_netflix_v5!A$2:H$7370, 7, FALSE), "")</f>
        <v>NA</v>
      </c>
    </row>
    <row r="5052" ht="15.75" customHeight="1">
      <c r="A5052" s="1" t="str">
        <f>IFERROR(__xludf.DUMMYFUNCTION("""COMPUTED_VALUE"""),"soul kitchen")</f>
        <v>soul kitchen</v>
      </c>
      <c r="B5052" s="1" t="str">
        <f>IF(A5052&lt;&gt;"", VLOOKUP(A5052, imdb_netflix_v5!A$2:H$7370, 2, FALSE), "")</f>
        <v>Movie</v>
      </c>
      <c r="C5052" s="2" t="str">
        <f>IF(A5052&lt;&gt;"", VLOOKUP(A5052, imdb_netflix_v5!A$2:H$7370, 3, FALSE), "")</f>
        <v>Comedy, Drama</v>
      </c>
      <c r="D5052" s="2">
        <f>IF(A5052&lt;&gt;"", VLOOKUP(A5052, imdb_netflix_v5!A$2:H$7370, 4, FALSE), "")</f>
        <v>7.2</v>
      </c>
      <c r="E5052" s="2">
        <f>IF(A5052&lt;&gt;"", VLOOKUP(A5052, imdb_netflix_v5!A$2:H$7370, 5, FALSE), "")</f>
        <v>2009</v>
      </c>
      <c r="F5052" s="2" t="str">
        <f>IF(A5052&lt;&gt;"", VLOOKUP(A5052, imdb_netflix_v5!A$2:H$7370, 7, FALSE), "")</f>
        <v>NA</v>
      </c>
    </row>
    <row r="5053" ht="15.75" customHeight="1">
      <c r="A5053" s="1" t="str">
        <f>IFERROR(__xludf.DUMMYFUNCTION("""COMPUTED_VALUE"""),"the continental")</f>
        <v>the continental</v>
      </c>
      <c r="B5053" s="1" t="str">
        <f>IF(A5053&lt;&gt;"", VLOOKUP(A5053, imdb_netflix_v5!A$2:H$7370, 2, FALSE), "")</f>
        <v>TV Show</v>
      </c>
      <c r="C5053" s="2" t="str">
        <f>IF(A5053&lt;&gt;"", VLOOKUP(A5053, imdb_netflix_v5!A$2:H$7370, 3, FALSE), "")</f>
        <v>Action, Crime, Thriller</v>
      </c>
      <c r="D5053" s="2">
        <f>IF(A5053&lt;&gt;"", VLOOKUP(A5053, imdb_netflix_v5!A$2:H$7370, 4, FALSE), "")</f>
        <v>7.2</v>
      </c>
      <c r="E5053" s="2">
        <f>IF(A5053&lt;&gt;"", VLOOKUP(A5053, imdb_netflix_v5!A$2:H$7370, 5, FALSE), "")</f>
        <v>2023</v>
      </c>
      <c r="F5053" s="2" t="str">
        <f>IF(A5053&lt;&gt;"", VLOOKUP(A5053, imdb_netflix_v5!A$2:H$7370, 7, FALSE), "")</f>
        <v>NA</v>
      </c>
    </row>
    <row r="5054" ht="15.75" customHeight="1">
      <c r="A5054" s="1" t="str">
        <f>IFERROR(__xludf.DUMMYFUNCTION("""COMPUTED_VALUE"""),"stan &amp; ollie")</f>
        <v>stan &amp; ollie</v>
      </c>
      <c r="B5054" s="1" t="str">
        <f>IF(A5054&lt;&gt;"", VLOOKUP(A5054, imdb_netflix_v5!A$2:H$7370, 2, FALSE), "")</f>
        <v>Movie</v>
      </c>
      <c r="C5054" s="2" t="str">
        <f>IF(A5054&lt;&gt;"", VLOOKUP(A5054, imdb_netflix_v5!A$2:H$7370, 3, FALSE), "")</f>
        <v>Biography, Comedy, Drama</v>
      </c>
      <c r="D5054" s="2">
        <f>IF(A5054&lt;&gt;"", VLOOKUP(A5054, imdb_netflix_v5!A$2:H$7370, 4, FALSE), "")</f>
        <v>7.2</v>
      </c>
      <c r="E5054" s="2">
        <f>IF(A5054&lt;&gt;"", VLOOKUP(A5054, imdb_netflix_v5!A$2:H$7370, 5, FALSE), "")</f>
        <v>2018</v>
      </c>
      <c r="F5054" s="2" t="str">
        <f>IF(A5054&lt;&gt;"", VLOOKUP(A5054, imdb_netflix_v5!A$2:H$7370, 7, FALSE), "")</f>
        <v>NA</v>
      </c>
    </row>
    <row r="5055" ht="15.75" customHeight="1">
      <c r="A5055" s="1" t="str">
        <f>IFERROR(__xludf.DUMMYFUNCTION("""COMPUTED_VALUE"""),"johnny bravo")</f>
        <v>johnny bravo</v>
      </c>
      <c r="B5055" s="1" t="str">
        <f>IF(A5055&lt;&gt;"", VLOOKUP(A5055, imdb_netflix_v5!A$2:H$7370, 2, FALSE), "")</f>
        <v>TV Show</v>
      </c>
      <c r="C5055" s="2" t="str">
        <f>IF(A5055&lt;&gt;"", VLOOKUP(A5055, imdb_netflix_v5!A$2:H$7370, 3, FALSE), "")</f>
        <v>Adventure, Animation, Comedy</v>
      </c>
      <c r="D5055" s="2">
        <f>IF(A5055&lt;&gt;"", VLOOKUP(A5055, imdb_netflix_v5!A$2:H$7370, 4, FALSE), "")</f>
        <v>7.2</v>
      </c>
      <c r="E5055" s="2">
        <f>IF(A5055&lt;&gt;"", VLOOKUP(A5055, imdb_netflix_v5!A$2:H$7370, 5, FALSE), "")</f>
        <v>1997</v>
      </c>
      <c r="F5055" s="2" t="str">
        <f>IF(A5055&lt;&gt;"", VLOOKUP(A5055, imdb_netflix_v5!A$2:H$7370, 7, FALSE), "")</f>
        <v>NA</v>
      </c>
    </row>
    <row r="5056" ht="15.75" customHeight="1">
      <c r="A5056" s="1" t="str">
        <f>IFERROR(__xludf.DUMMYFUNCTION("""COMPUTED_VALUE"""),"good luck to you, leo grande")</f>
        <v>good luck to you, leo grande</v>
      </c>
      <c r="B5056" s="1" t="str">
        <f>IF(A5056&lt;&gt;"", VLOOKUP(A5056, imdb_netflix_v5!A$2:H$7370, 2, FALSE), "")</f>
        <v>Movie</v>
      </c>
      <c r="C5056" s="2" t="str">
        <f>IF(A5056&lt;&gt;"", VLOOKUP(A5056, imdb_netflix_v5!A$2:H$7370, 3, FALSE), "")</f>
        <v>Comedy, Drama</v>
      </c>
      <c r="D5056" s="2">
        <f>IF(A5056&lt;&gt;"", VLOOKUP(A5056, imdb_netflix_v5!A$2:H$7370, 4, FALSE), "")</f>
        <v>7.2</v>
      </c>
      <c r="E5056" s="2">
        <f>IF(A5056&lt;&gt;"", VLOOKUP(A5056, imdb_netflix_v5!A$2:H$7370, 5, FALSE), "")</f>
        <v>2022</v>
      </c>
      <c r="F5056" s="2" t="str">
        <f>IF(A5056&lt;&gt;"", VLOOKUP(A5056, imdb_netflix_v5!A$2:H$7370, 7, FALSE), "")</f>
        <v>NA</v>
      </c>
    </row>
    <row r="5057" ht="15.75" customHeight="1">
      <c r="A5057" s="1" t="str">
        <f>IFERROR(__xludf.DUMMYFUNCTION("""COMPUTED_VALUE"""),"legacies")</f>
        <v>legacies</v>
      </c>
      <c r="B5057" s="1" t="str">
        <f>IF(A5057&lt;&gt;"", VLOOKUP(A5057, imdb_netflix_v5!A$2:H$7370, 2, FALSE), "")</f>
        <v>TV Show</v>
      </c>
      <c r="C5057" s="2" t="str">
        <f>IF(A5057&lt;&gt;"", VLOOKUP(A5057, imdb_netflix_v5!A$2:H$7370, 3, FALSE), "")</f>
        <v>Adventure, Drama, Fantasy</v>
      </c>
      <c r="D5057" s="2">
        <f>IF(A5057&lt;&gt;"", VLOOKUP(A5057, imdb_netflix_v5!A$2:H$7370, 4, FALSE), "")</f>
        <v>7.2</v>
      </c>
      <c r="E5057" s="2">
        <f>IF(A5057&lt;&gt;"", VLOOKUP(A5057, imdb_netflix_v5!A$2:H$7370, 5, FALSE), "")</f>
        <v>2018</v>
      </c>
      <c r="F5057" s="2" t="str">
        <f>IF(A5057&lt;&gt;"", VLOOKUP(A5057, imdb_netflix_v5!A$2:H$7370, 7, FALSE), "")</f>
        <v>NA</v>
      </c>
    </row>
    <row r="5058" ht="15.75" customHeight="1">
      <c r="A5058" s="1" t="str">
        <f>IFERROR(__xludf.DUMMYFUNCTION("""COMPUTED_VALUE"""),"the gifted")</f>
        <v>the gifted</v>
      </c>
      <c r="B5058" s="1" t="str">
        <f>IF(A5058&lt;&gt;"", VLOOKUP(A5058, imdb_netflix_v5!A$2:H$7370, 2, FALSE), "")</f>
        <v>TV Show</v>
      </c>
      <c r="C5058" s="2" t="str">
        <f>IF(A5058&lt;&gt;"", VLOOKUP(A5058, imdb_netflix_v5!A$2:H$7370, 3, FALSE), "")</f>
        <v>Action, Drama, Fantasy</v>
      </c>
      <c r="D5058" s="2">
        <f>IF(A5058&lt;&gt;"", VLOOKUP(A5058, imdb_netflix_v5!A$2:H$7370, 4, FALSE), "")</f>
        <v>7.2</v>
      </c>
      <c r="E5058" s="2">
        <f>IF(A5058&lt;&gt;"", VLOOKUP(A5058, imdb_netflix_v5!A$2:H$7370, 5, FALSE), "")</f>
        <v>2017</v>
      </c>
      <c r="F5058" s="2" t="str">
        <f>IF(A5058&lt;&gt;"", VLOOKUP(A5058, imdb_netflix_v5!A$2:H$7370, 7, FALSE), "")</f>
        <v>NA</v>
      </c>
    </row>
    <row r="5059" ht="15.75" customHeight="1">
      <c r="A5059" s="1" t="str">
        <f>IFERROR(__xludf.DUMMYFUNCTION("""COMPUTED_VALUE"""),"the good the bad the weird")</f>
        <v>the good the bad the weird</v>
      </c>
      <c r="B5059" s="1" t="str">
        <f>IF(A5059&lt;&gt;"", VLOOKUP(A5059, imdb_netflix_v5!A$2:H$7370, 2, FALSE), "")</f>
        <v>Movie</v>
      </c>
      <c r="C5059" s="2" t="str">
        <f>IF(A5059&lt;&gt;"", VLOOKUP(A5059, imdb_netflix_v5!A$2:H$7370, 3, FALSE), "")</f>
        <v>Action, Adventure, Comedy</v>
      </c>
      <c r="D5059" s="2">
        <f>IF(A5059&lt;&gt;"", VLOOKUP(A5059, imdb_netflix_v5!A$2:H$7370, 4, FALSE), "")</f>
        <v>7.2</v>
      </c>
      <c r="E5059" s="2">
        <f>IF(A5059&lt;&gt;"", VLOOKUP(A5059, imdb_netflix_v5!A$2:H$7370, 5, FALSE), "")</f>
        <v>2008</v>
      </c>
      <c r="F5059" s="2" t="str">
        <f>IF(A5059&lt;&gt;"", VLOOKUP(A5059, imdb_netflix_v5!A$2:H$7370, 7, FALSE), "")</f>
        <v>NA</v>
      </c>
    </row>
    <row r="5060" ht="15.75" customHeight="1">
      <c r="A5060" s="1" t="str">
        <f>IFERROR(__xludf.DUMMYFUNCTION("""COMPUTED_VALUE"""),"an american crime")</f>
        <v>an american crime</v>
      </c>
      <c r="B5060" s="1" t="str">
        <f>IF(A5060&lt;&gt;"", VLOOKUP(A5060, imdb_netflix_v5!A$2:H$7370, 2, FALSE), "")</f>
        <v>Movie</v>
      </c>
      <c r="C5060" s="2" t="str">
        <f>IF(A5060&lt;&gt;"", VLOOKUP(A5060, imdb_netflix_v5!A$2:H$7370, 3, FALSE), "")</f>
        <v>Biography, Crime, Drama</v>
      </c>
      <c r="D5060" s="2">
        <f>IF(A5060&lt;&gt;"", VLOOKUP(A5060, imdb_netflix_v5!A$2:H$7370, 4, FALSE), "")</f>
        <v>7.2</v>
      </c>
      <c r="E5060" s="2">
        <f>IF(A5060&lt;&gt;"", VLOOKUP(A5060, imdb_netflix_v5!A$2:H$7370, 5, FALSE), "")</f>
        <v>2007</v>
      </c>
      <c r="F5060" s="2" t="str">
        <f>IF(A5060&lt;&gt;"", VLOOKUP(A5060, imdb_netflix_v5!A$2:H$7370, 7, FALSE), "")</f>
        <v>NA</v>
      </c>
    </row>
    <row r="5061" ht="15.75" customHeight="1">
      <c r="A5061" s="1" t="str">
        <f>IFERROR(__xludf.DUMMYFUNCTION("""COMPUTED_VALUE"""),"20,000 leagues under the sea")</f>
        <v>20,000 leagues under the sea</v>
      </c>
      <c r="B5061" s="1" t="str">
        <f>IF(A5061&lt;&gt;"", VLOOKUP(A5061, imdb_netflix_v5!A$2:H$7370, 2, FALSE), "")</f>
        <v>Movie</v>
      </c>
      <c r="C5061" s="2" t="str">
        <f>IF(A5061&lt;&gt;"", VLOOKUP(A5061, imdb_netflix_v5!A$2:H$7370, 3, FALSE), "")</f>
        <v>Adventure, Drama, Family</v>
      </c>
      <c r="D5061" s="2">
        <f>IF(A5061&lt;&gt;"", VLOOKUP(A5061, imdb_netflix_v5!A$2:H$7370, 4, FALSE), "")</f>
        <v>7.2</v>
      </c>
      <c r="E5061" s="2">
        <f>IF(A5061&lt;&gt;"", VLOOKUP(A5061, imdb_netflix_v5!A$2:H$7370, 5, FALSE), "")</f>
        <v>1954</v>
      </c>
      <c r="F5061" s="2" t="str">
        <f>IF(A5061&lt;&gt;"", VLOOKUP(A5061, imdb_netflix_v5!A$2:H$7370, 7, FALSE), "")</f>
        <v>NA</v>
      </c>
    </row>
    <row r="5062" ht="15.75" customHeight="1">
      <c r="A5062" s="1" t="str">
        <f>IFERROR(__xludf.DUMMYFUNCTION("""COMPUTED_VALUE"""),"me and you and everyone we know")</f>
        <v>me and you and everyone we know</v>
      </c>
      <c r="B5062" s="1" t="str">
        <f>IF(A5062&lt;&gt;"", VLOOKUP(A5062, imdb_netflix_v5!A$2:H$7370, 2, FALSE), "")</f>
        <v>Movie</v>
      </c>
      <c r="C5062" s="2" t="str">
        <f>IF(A5062&lt;&gt;"", VLOOKUP(A5062, imdb_netflix_v5!A$2:H$7370, 3, FALSE), "")</f>
        <v>Comedy, Drama</v>
      </c>
      <c r="D5062" s="2">
        <f>IF(A5062&lt;&gt;"", VLOOKUP(A5062, imdb_netflix_v5!A$2:H$7370, 4, FALSE), "")</f>
        <v>7.2</v>
      </c>
      <c r="E5062" s="2">
        <f>IF(A5062&lt;&gt;"", VLOOKUP(A5062, imdb_netflix_v5!A$2:H$7370, 5, FALSE), "")</f>
        <v>2005</v>
      </c>
      <c r="F5062" s="2" t="str">
        <f>IF(A5062&lt;&gt;"", VLOOKUP(A5062, imdb_netflix_v5!A$2:H$7370, 7, FALSE), "")</f>
        <v>NA</v>
      </c>
    </row>
    <row r="5063" ht="15.75" customHeight="1">
      <c r="A5063" s="1" t="str">
        <f>IFERROR(__xludf.DUMMYFUNCTION("""COMPUTED_VALUE"""),"the tomorrow people")</f>
        <v>the tomorrow people</v>
      </c>
      <c r="B5063" s="1" t="str">
        <f>IF(A5063&lt;&gt;"", VLOOKUP(A5063, imdb_netflix_v5!A$2:H$7370, 2, FALSE), "")</f>
        <v>TV Show</v>
      </c>
      <c r="C5063" s="2" t="str">
        <f>IF(A5063&lt;&gt;"", VLOOKUP(A5063, imdb_netflix_v5!A$2:H$7370, 3, FALSE), "")</f>
        <v>Action, Drama, Sci-Fi</v>
      </c>
      <c r="D5063" s="2">
        <f>IF(A5063&lt;&gt;"", VLOOKUP(A5063, imdb_netflix_v5!A$2:H$7370, 4, FALSE), "")</f>
        <v>7.2</v>
      </c>
      <c r="E5063" s="2">
        <f>IF(A5063&lt;&gt;"", VLOOKUP(A5063, imdb_netflix_v5!A$2:H$7370, 5, FALSE), "")</f>
        <v>2013</v>
      </c>
      <c r="F5063" s="2" t="str">
        <f>IF(A5063&lt;&gt;"", VLOOKUP(A5063, imdb_netflix_v5!A$2:H$7370, 7, FALSE), "")</f>
        <v>NA</v>
      </c>
    </row>
    <row r="5064" ht="15.75" customHeight="1">
      <c r="A5064" s="1" t="str">
        <f>IFERROR(__xludf.DUMMYFUNCTION("""COMPUTED_VALUE"""),"marshland")</f>
        <v>marshland</v>
      </c>
      <c r="B5064" s="1" t="str">
        <f>IF(A5064&lt;&gt;"", VLOOKUP(A5064, imdb_netflix_v5!A$2:H$7370, 2, FALSE), "")</f>
        <v>Movie</v>
      </c>
      <c r="C5064" s="2" t="str">
        <f>IF(A5064&lt;&gt;"", VLOOKUP(A5064, imdb_netflix_v5!A$2:H$7370, 3, FALSE), "")</f>
        <v>Crime, Mystery, Thriller</v>
      </c>
      <c r="D5064" s="2">
        <f>IF(A5064&lt;&gt;"", VLOOKUP(A5064, imdb_netflix_v5!A$2:H$7370, 4, FALSE), "")</f>
        <v>7.2</v>
      </c>
      <c r="E5064" s="2">
        <f>IF(A5064&lt;&gt;"", VLOOKUP(A5064, imdb_netflix_v5!A$2:H$7370, 5, FALSE), "")</f>
        <v>2014</v>
      </c>
      <c r="F5064" s="2" t="str">
        <f>IF(A5064&lt;&gt;"", VLOOKUP(A5064, imdb_netflix_v5!A$2:H$7370, 7, FALSE), "")</f>
        <v>NA</v>
      </c>
    </row>
    <row r="5065" ht="15.75" customHeight="1">
      <c r="A5065" s="1" t="str">
        <f>IFERROR(__xludf.DUMMYFUNCTION("""COMPUTED_VALUE"""),"sweet and lowdown")</f>
        <v>sweet and lowdown</v>
      </c>
      <c r="B5065" s="1" t="str">
        <f>IF(A5065&lt;&gt;"", VLOOKUP(A5065, imdb_netflix_v5!A$2:H$7370, 2, FALSE), "")</f>
        <v>Movie</v>
      </c>
      <c r="C5065" s="2" t="str">
        <f>IF(A5065&lt;&gt;"", VLOOKUP(A5065, imdb_netflix_v5!A$2:H$7370, 3, FALSE), "")</f>
        <v>Comedy, Drama, Music</v>
      </c>
      <c r="D5065" s="2">
        <f>IF(A5065&lt;&gt;"", VLOOKUP(A5065, imdb_netflix_v5!A$2:H$7370, 4, FALSE), "")</f>
        <v>7.2</v>
      </c>
      <c r="E5065" s="2">
        <f>IF(A5065&lt;&gt;"", VLOOKUP(A5065, imdb_netflix_v5!A$2:H$7370, 5, FALSE), "")</f>
        <v>1999</v>
      </c>
      <c r="F5065" s="2" t="str">
        <f>IF(A5065&lt;&gt;"", VLOOKUP(A5065, imdb_netflix_v5!A$2:H$7370, 7, FALSE), "")</f>
        <v>NA</v>
      </c>
    </row>
    <row r="5066" ht="15.75" customHeight="1">
      <c r="A5066" s="1" t="str">
        <f>IFERROR(__xludf.DUMMYFUNCTION("""COMPUTED_VALUE"""),"s.w.a.t.")</f>
        <v>s.w.a.t.</v>
      </c>
      <c r="B5066" s="1" t="str">
        <f>IF(A5066&lt;&gt;"", VLOOKUP(A5066, imdb_netflix_v5!A$2:H$7370, 2, FALSE), "")</f>
        <v>TV Show</v>
      </c>
      <c r="C5066" s="2" t="str">
        <f>IF(A5066&lt;&gt;"", VLOOKUP(A5066, imdb_netflix_v5!A$2:H$7370, 3, FALSE), "")</f>
        <v>Action, Adventure, Crime</v>
      </c>
      <c r="D5066" s="2">
        <f>IF(A5066&lt;&gt;"", VLOOKUP(A5066, imdb_netflix_v5!A$2:H$7370, 4, FALSE), "")</f>
        <v>7.2</v>
      </c>
      <c r="E5066" s="2">
        <f>IF(A5066&lt;&gt;"", VLOOKUP(A5066, imdb_netflix_v5!A$2:H$7370, 5, FALSE), "")</f>
        <v>2017</v>
      </c>
      <c r="F5066" s="2">
        <f>IF(A5066&lt;&gt;"", VLOOKUP(A5066, imdb_netflix_v5!A$2:H$7370, 7, FALSE), "")</f>
        <v>10260000</v>
      </c>
    </row>
    <row r="5067" ht="15.75" customHeight="1">
      <c r="A5067" s="1" t="str">
        <f>IFERROR(__xludf.DUMMYFUNCTION("""COMPUTED_VALUE"""),"sweet home")</f>
        <v>sweet home</v>
      </c>
      <c r="B5067" s="1" t="str">
        <f>IF(A5067&lt;&gt;"", VLOOKUP(A5067, imdb_netflix_v5!A$2:H$7370, 2, FALSE), "")</f>
        <v>TV Show</v>
      </c>
      <c r="C5067" s="2" t="str">
        <f>IF(A5067&lt;&gt;"", VLOOKUP(A5067, imdb_netflix_v5!A$2:H$7370, 3, FALSE), "")</f>
        <v>Drama, Fantasy, Horror</v>
      </c>
      <c r="D5067" s="2">
        <f>IF(A5067&lt;&gt;"", VLOOKUP(A5067, imdb_netflix_v5!A$2:H$7370, 4, FALSE), "")</f>
        <v>7.2</v>
      </c>
      <c r="E5067" s="2">
        <f>IF(A5067&lt;&gt;"", VLOOKUP(A5067, imdb_netflix_v5!A$2:H$7370, 5, FALSE), "")</f>
        <v>2020</v>
      </c>
      <c r="F5067" s="2">
        <f>IF(A5067&lt;&gt;"", VLOOKUP(A5067, imdb_netflix_v5!A$2:H$7370, 7, FALSE), "")</f>
        <v>37100000</v>
      </c>
    </row>
    <row r="5068" ht="15.75" customHeight="1">
      <c r="A5068" s="1" t="str">
        <f>IFERROR(__xludf.DUMMYFUNCTION("""COMPUTED_VALUE"""),"living")</f>
        <v>living</v>
      </c>
      <c r="B5068" s="1" t="str">
        <f>IF(A5068&lt;&gt;"", VLOOKUP(A5068, imdb_netflix_v5!A$2:H$7370, 2, FALSE), "")</f>
        <v>Movie</v>
      </c>
      <c r="C5068" s="2" t="str">
        <f>IF(A5068&lt;&gt;"", VLOOKUP(A5068, imdb_netflix_v5!A$2:H$7370, 3, FALSE), "")</f>
        <v>Drama</v>
      </c>
      <c r="D5068" s="2">
        <f>IF(A5068&lt;&gt;"", VLOOKUP(A5068, imdb_netflix_v5!A$2:H$7370, 4, FALSE), "")</f>
        <v>7.2</v>
      </c>
      <c r="E5068" s="2">
        <f>IF(A5068&lt;&gt;"", VLOOKUP(A5068, imdb_netflix_v5!A$2:H$7370, 5, FALSE), "")</f>
        <v>2022</v>
      </c>
      <c r="F5068" s="2" t="str">
        <f>IF(A5068&lt;&gt;"", VLOOKUP(A5068, imdb_netflix_v5!A$2:H$7370, 7, FALSE), "")</f>
        <v>NA</v>
      </c>
    </row>
    <row r="5069" ht="15.75" customHeight="1">
      <c r="A5069" s="1" t="str">
        <f>IFERROR(__xludf.DUMMYFUNCTION("""COMPUTED_VALUE"""),"wish dragon")</f>
        <v>wish dragon</v>
      </c>
      <c r="B5069" s="1" t="str">
        <f>IF(A5069&lt;&gt;"", VLOOKUP(A5069, imdb_netflix_v5!A$2:H$7370, 2, FALSE), "")</f>
        <v>Movie</v>
      </c>
      <c r="C5069" s="2" t="str">
        <f>IF(A5069&lt;&gt;"", VLOOKUP(A5069, imdb_netflix_v5!A$2:H$7370, 3, FALSE), "")</f>
        <v>Adventure, Animation, Comedy</v>
      </c>
      <c r="D5069" s="2">
        <f>IF(A5069&lt;&gt;"", VLOOKUP(A5069, imdb_netflix_v5!A$2:H$7370, 4, FALSE), "")</f>
        <v>7.2</v>
      </c>
      <c r="E5069" s="2">
        <f>IF(A5069&lt;&gt;"", VLOOKUP(A5069, imdb_netflix_v5!A$2:H$7370, 5, FALSE), "")</f>
        <v>2021</v>
      </c>
      <c r="F5069" s="2">
        <f>IF(A5069&lt;&gt;"", VLOOKUP(A5069, imdb_netflix_v5!A$2:H$7370, 7, FALSE), "")</f>
        <v>5150000</v>
      </c>
    </row>
    <row r="5070" ht="15.75" customHeight="1">
      <c r="A5070" s="1" t="str">
        <f>IFERROR(__xludf.DUMMYFUNCTION("""COMPUTED_VALUE"""),"fist of fury")</f>
        <v>fist of fury</v>
      </c>
      <c r="B5070" s="1" t="str">
        <f>IF(A5070&lt;&gt;"", VLOOKUP(A5070, imdb_netflix_v5!A$2:H$7370, 2, FALSE), "")</f>
        <v>Movie</v>
      </c>
      <c r="C5070" s="2" t="str">
        <f>IF(A5070&lt;&gt;"", VLOOKUP(A5070, imdb_netflix_v5!A$2:H$7370, 3, FALSE), "")</f>
        <v>Action, Drama, Romance</v>
      </c>
      <c r="D5070" s="2">
        <f>IF(A5070&lt;&gt;"", VLOOKUP(A5070, imdb_netflix_v5!A$2:H$7370, 4, FALSE), "")</f>
        <v>7.2</v>
      </c>
      <c r="E5070" s="2">
        <f>IF(A5070&lt;&gt;"", VLOOKUP(A5070, imdb_netflix_v5!A$2:H$7370, 5, FALSE), "")</f>
        <v>1972</v>
      </c>
      <c r="F5070" s="2" t="str">
        <f>IF(A5070&lt;&gt;"", VLOOKUP(A5070, imdb_netflix_v5!A$2:H$7370, 7, FALSE), "")</f>
        <v>NA</v>
      </c>
    </row>
    <row r="5071" ht="15.75" customHeight="1">
      <c r="A5071" s="1" t="str">
        <f>IFERROR(__xludf.DUMMYFUNCTION("""COMPUTED_VALUE"""),"american murder the family next door")</f>
        <v>american murder the family next door</v>
      </c>
      <c r="B5071" s="1" t="str">
        <f>IF(A5071&lt;&gt;"", VLOOKUP(A5071, imdb_netflix_v5!A$2:H$7370, 2, FALSE), "")</f>
        <v>Movie</v>
      </c>
      <c r="C5071" s="2" t="str">
        <f>IF(A5071&lt;&gt;"", VLOOKUP(A5071, imdb_netflix_v5!A$2:H$7370, 3, FALSE), "")</f>
        <v>Crime, Documentary</v>
      </c>
      <c r="D5071" s="2">
        <f>IF(A5071&lt;&gt;"", VLOOKUP(A5071, imdb_netflix_v5!A$2:H$7370, 4, FALSE), "")</f>
        <v>7.2</v>
      </c>
      <c r="E5071" s="2">
        <f>IF(A5071&lt;&gt;"", VLOOKUP(A5071, imdb_netflix_v5!A$2:H$7370, 5, FALSE), "")</f>
        <v>2020</v>
      </c>
      <c r="F5071" s="2" t="str">
        <f>IF(A5071&lt;&gt;"", VLOOKUP(A5071, imdb_netflix_v5!A$2:H$7370, 7, FALSE), "")</f>
        <v>NA</v>
      </c>
    </row>
    <row r="5072" ht="15.75" customHeight="1">
      <c r="A5072" s="1" t="str">
        <f>IFERROR(__xludf.DUMMYFUNCTION("""COMPUTED_VALUE"""),"runaway train")</f>
        <v>runaway train</v>
      </c>
      <c r="B5072" s="1" t="str">
        <f>IF(A5072&lt;&gt;"", VLOOKUP(A5072, imdb_netflix_v5!A$2:H$7370, 2, FALSE), "")</f>
        <v>Movie</v>
      </c>
      <c r="C5072" s="2" t="str">
        <f>IF(A5072&lt;&gt;"", VLOOKUP(A5072, imdb_netflix_v5!A$2:H$7370, 3, FALSE), "")</f>
        <v>Action, Adventure, Drama</v>
      </c>
      <c r="D5072" s="2">
        <f>IF(A5072&lt;&gt;"", VLOOKUP(A5072, imdb_netflix_v5!A$2:H$7370, 4, FALSE), "")</f>
        <v>7.2</v>
      </c>
      <c r="E5072" s="2">
        <f>IF(A5072&lt;&gt;"", VLOOKUP(A5072, imdb_netflix_v5!A$2:H$7370, 5, FALSE), "")</f>
        <v>1985</v>
      </c>
      <c r="F5072" s="2" t="str">
        <f>IF(A5072&lt;&gt;"", VLOOKUP(A5072, imdb_netflix_v5!A$2:H$7370, 7, FALSE), "")</f>
        <v>NA</v>
      </c>
    </row>
    <row r="5073" ht="15.75" customHeight="1">
      <c r="A5073" s="1" t="str">
        <f>IFERROR(__xludf.DUMMYFUNCTION("""COMPUTED_VALUE"""),"department q the keeper of lost causes")</f>
        <v>department q the keeper of lost causes</v>
      </c>
      <c r="B5073" s="1" t="str">
        <f>IF(A5073&lt;&gt;"", VLOOKUP(A5073, imdb_netflix_v5!A$2:H$7370, 2, FALSE), "")</f>
        <v>Movie</v>
      </c>
      <c r="C5073" s="2" t="str">
        <f>IF(A5073&lt;&gt;"", VLOOKUP(A5073, imdb_netflix_v5!A$2:H$7370, 3, FALSE), "")</f>
        <v>Crime, Drama, Mystery</v>
      </c>
      <c r="D5073" s="2">
        <f>IF(A5073&lt;&gt;"", VLOOKUP(A5073, imdb_netflix_v5!A$2:H$7370, 4, FALSE), "")</f>
        <v>7.2</v>
      </c>
      <c r="E5073" s="2">
        <f>IF(A5073&lt;&gt;"", VLOOKUP(A5073, imdb_netflix_v5!A$2:H$7370, 5, FALSE), "")</f>
        <v>2013</v>
      </c>
      <c r="F5073" s="2" t="str">
        <f>IF(A5073&lt;&gt;"", VLOOKUP(A5073, imdb_netflix_v5!A$2:H$7370, 7, FALSE), "")</f>
        <v>NA</v>
      </c>
    </row>
    <row r="5074" ht="15.75" customHeight="1">
      <c r="A5074" s="1" t="str">
        <f>IFERROR(__xludf.DUMMYFUNCTION("""COMPUTED_VALUE"""),"somewhere in time")</f>
        <v>somewhere in time</v>
      </c>
      <c r="B5074" s="1" t="str">
        <f>IF(A5074&lt;&gt;"", VLOOKUP(A5074, imdb_netflix_v5!A$2:H$7370, 2, FALSE), "")</f>
        <v>Movie</v>
      </c>
      <c r="C5074" s="2" t="str">
        <f>IF(A5074&lt;&gt;"", VLOOKUP(A5074, imdb_netflix_v5!A$2:H$7370, 3, FALSE), "")</f>
        <v>Drama, Fantasy, Romance</v>
      </c>
      <c r="D5074" s="2">
        <f>IF(A5074&lt;&gt;"", VLOOKUP(A5074, imdb_netflix_v5!A$2:H$7370, 4, FALSE), "")</f>
        <v>7.2</v>
      </c>
      <c r="E5074" s="2">
        <f>IF(A5074&lt;&gt;"", VLOOKUP(A5074, imdb_netflix_v5!A$2:H$7370, 5, FALSE), "")</f>
        <v>1980</v>
      </c>
      <c r="F5074" s="2" t="str">
        <f>IF(A5074&lt;&gt;"", VLOOKUP(A5074, imdb_netflix_v5!A$2:H$7370, 7, FALSE), "")</f>
        <v>NA</v>
      </c>
    </row>
    <row r="5075" ht="15.75" customHeight="1">
      <c r="A5075" s="1" t="str">
        <f>IFERROR(__xludf.DUMMYFUNCTION("""COMPUTED_VALUE"""),"kim possible")</f>
        <v>kim possible</v>
      </c>
      <c r="B5075" s="1" t="str">
        <f>IF(A5075&lt;&gt;"", VLOOKUP(A5075, imdb_netflix_v5!A$2:H$7370, 2, FALSE), "")</f>
        <v>TV Show</v>
      </c>
      <c r="C5075" s="2" t="str">
        <f>IF(A5075&lt;&gt;"", VLOOKUP(A5075, imdb_netflix_v5!A$2:H$7370, 3, FALSE), "")</f>
        <v>Action, Adventure, Animation</v>
      </c>
      <c r="D5075" s="2">
        <f>IF(A5075&lt;&gt;"", VLOOKUP(A5075, imdb_netflix_v5!A$2:H$7370, 4, FALSE), "")</f>
        <v>7.2</v>
      </c>
      <c r="E5075" s="2">
        <f>IF(A5075&lt;&gt;"", VLOOKUP(A5075, imdb_netflix_v5!A$2:H$7370, 5, FALSE), "")</f>
        <v>2002</v>
      </c>
      <c r="F5075" s="2" t="str">
        <f>IF(A5075&lt;&gt;"", VLOOKUP(A5075, imdb_netflix_v5!A$2:H$7370, 7, FALSE), "")</f>
        <v>NA</v>
      </c>
    </row>
    <row r="5076" ht="15.75" customHeight="1">
      <c r="A5076" s="1" t="str">
        <f>IFERROR(__xludf.DUMMYFUNCTION("""COMPUTED_VALUE"""),"mask")</f>
        <v>mask</v>
      </c>
      <c r="B5076" s="1" t="str">
        <f>IF(A5076&lt;&gt;"", VLOOKUP(A5076, imdb_netflix_v5!A$2:H$7370, 2, FALSE), "")</f>
        <v>Movie</v>
      </c>
      <c r="C5076" s="2" t="str">
        <f>IF(A5076&lt;&gt;"", VLOOKUP(A5076, imdb_netflix_v5!A$2:H$7370, 3, FALSE), "")</f>
        <v>Biography, Drama</v>
      </c>
      <c r="D5076" s="2">
        <f>IF(A5076&lt;&gt;"", VLOOKUP(A5076, imdb_netflix_v5!A$2:H$7370, 4, FALSE), "")</f>
        <v>7.2</v>
      </c>
      <c r="E5076" s="2">
        <f>IF(A5076&lt;&gt;"", VLOOKUP(A5076, imdb_netflix_v5!A$2:H$7370, 5, FALSE), "")</f>
        <v>1985</v>
      </c>
      <c r="F5076" s="2" t="str">
        <f>IF(A5076&lt;&gt;"", VLOOKUP(A5076, imdb_netflix_v5!A$2:H$7370, 7, FALSE), "")</f>
        <v>NA</v>
      </c>
    </row>
    <row r="5077" ht="15.75" customHeight="1">
      <c r="A5077" s="1" t="str">
        <f>IFERROR(__xludf.DUMMYFUNCTION("""COMPUTED_VALUE"""),"suburgatory")</f>
        <v>suburgatory</v>
      </c>
      <c r="B5077" s="1" t="str">
        <f>IF(A5077&lt;&gt;"", VLOOKUP(A5077, imdb_netflix_v5!A$2:H$7370, 2, FALSE), "")</f>
        <v>TV Show</v>
      </c>
      <c r="C5077" s="2" t="str">
        <f>IF(A5077&lt;&gt;"", VLOOKUP(A5077, imdb_netflix_v5!A$2:H$7370, 3, FALSE), "")</f>
        <v>Comedy</v>
      </c>
      <c r="D5077" s="2">
        <f>IF(A5077&lt;&gt;"", VLOOKUP(A5077, imdb_netflix_v5!A$2:H$7370, 4, FALSE), "")</f>
        <v>7.2</v>
      </c>
      <c r="E5077" s="2">
        <f>IF(A5077&lt;&gt;"", VLOOKUP(A5077, imdb_netflix_v5!A$2:H$7370, 5, FALSE), "")</f>
        <v>2011</v>
      </c>
      <c r="F5077" s="2" t="str">
        <f>IF(A5077&lt;&gt;"", VLOOKUP(A5077, imdb_netflix_v5!A$2:H$7370, 7, FALSE), "")</f>
        <v>NA</v>
      </c>
    </row>
    <row r="5078" ht="15.75" customHeight="1">
      <c r="A5078" s="1" t="str">
        <f>IFERROR(__xludf.DUMMYFUNCTION("""COMPUTED_VALUE"""),"the end of the tour")</f>
        <v>the end of the tour</v>
      </c>
      <c r="B5078" s="1" t="str">
        <f>IF(A5078&lt;&gt;"", VLOOKUP(A5078, imdb_netflix_v5!A$2:H$7370, 2, FALSE), "")</f>
        <v>Movie</v>
      </c>
      <c r="C5078" s="2" t="str">
        <f>IF(A5078&lt;&gt;"", VLOOKUP(A5078, imdb_netflix_v5!A$2:H$7370, 3, FALSE), "")</f>
        <v>Biography, Drama</v>
      </c>
      <c r="D5078" s="2">
        <f>IF(A5078&lt;&gt;"", VLOOKUP(A5078, imdb_netflix_v5!A$2:H$7370, 4, FALSE), "")</f>
        <v>7.2</v>
      </c>
      <c r="E5078" s="2">
        <f>IF(A5078&lt;&gt;"", VLOOKUP(A5078, imdb_netflix_v5!A$2:H$7370, 5, FALSE), "")</f>
        <v>2015</v>
      </c>
      <c r="F5078" s="2" t="str">
        <f>IF(A5078&lt;&gt;"", VLOOKUP(A5078, imdb_netflix_v5!A$2:H$7370, 7, FALSE), "")</f>
        <v>NA</v>
      </c>
    </row>
    <row r="5079" ht="15.75" customHeight="1">
      <c r="A5079" s="1" t="str">
        <f>IFERROR(__xludf.DUMMYFUNCTION("""COMPUTED_VALUE"""),"the wolf man")</f>
        <v>the wolf man</v>
      </c>
      <c r="B5079" s="1" t="str">
        <f>IF(A5079&lt;&gt;"", VLOOKUP(A5079, imdb_netflix_v5!A$2:H$7370, 2, FALSE), "")</f>
        <v>Movie</v>
      </c>
      <c r="C5079" s="2" t="str">
        <f>IF(A5079&lt;&gt;"", VLOOKUP(A5079, imdb_netflix_v5!A$2:H$7370, 3, FALSE), "")</f>
        <v>Horror, Mystery, Romance</v>
      </c>
      <c r="D5079" s="2">
        <f>IF(A5079&lt;&gt;"", VLOOKUP(A5079, imdb_netflix_v5!A$2:H$7370, 4, FALSE), "")</f>
        <v>7.2</v>
      </c>
      <c r="E5079" s="2">
        <f>IF(A5079&lt;&gt;"", VLOOKUP(A5079, imdb_netflix_v5!A$2:H$7370, 5, FALSE), "")</f>
        <v>1941</v>
      </c>
      <c r="F5079" s="2" t="str">
        <f>IF(A5079&lt;&gt;"", VLOOKUP(A5079, imdb_netflix_v5!A$2:H$7370, 7, FALSE), "")</f>
        <v>NA</v>
      </c>
    </row>
    <row r="5080" ht="15.75" customHeight="1">
      <c r="A5080" s="1" t="str">
        <f>IFERROR(__xludf.DUMMYFUNCTION("""COMPUTED_VALUE"""),"el topo")</f>
        <v>el topo</v>
      </c>
      <c r="B5080" s="1" t="str">
        <f>IF(A5080&lt;&gt;"", VLOOKUP(A5080, imdb_netflix_v5!A$2:H$7370, 2, FALSE), "")</f>
        <v>Movie</v>
      </c>
      <c r="C5080" s="2" t="str">
        <f>IF(A5080&lt;&gt;"", VLOOKUP(A5080, imdb_netflix_v5!A$2:H$7370, 3, FALSE), "")</f>
        <v>Drama, Western</v>
      </c>
      <c r="D5080" s="2">
        <f>IF(A5080&lt;&gt;"", VLOOKUP(A5080, imdb_netflix_v5!A$2:H$7370, 4, FALSE), "")</f>
        <v>7.2</v>
      </c>
      <c r="E5080" s="2">
        <f>IF(A5080&lt;&gt;"", VLOOKUP(A5080, imdb_netflix_v5!A$2:H$7370, 5, FALSE), "")</f>
        <v>1970</v>
      </c>
      <c r="F5080" s="2" t="str">
        <f>IF(A5080&lt;&gt;"", VLOOKUP(A5080, imdb_netflix_v5!A$2:H$7370, 7, FALSE), "")</f>
        <v>NA</v>
      </c>
    </row>
    <row r="5081" ht="15.75" customHeight="1">
      <c r="A5081" s="1" t="str">
        <f>IFERROR(__xludf.DUMMYFUNCTION("""COMPUTED_VALUE"""),"django")</f>
        <v>django</v>
      </c>
      <c r="B5081" s="1" t="str">
        <f>IF(A5081&lt;&gt;"", VLOOKUP(A5081, imdb_netflix_v5!A$2:H$7370, 2, FALSE), "")</f>
        <v>Movie</v>
      </c>
      <c r="C5081" s="2" t="str">
        <f>IF(A5081&lt;&gt;"", VLOOKUP(A5081, imdb_netflix_v5!A$2:H$7370, 3, FALSE), "")</f>
        <v>Action, Drama, Western</v>
      </c>
      <c r="D5081" s="2">
        <f>IF(A5081&lt;&gt;"", VLOOKUP(A5081, imdb_netflix_v5!A$2:H$7370, 4, FALSE), "")</f>
        <v>7.2</v>
      </c>
      <c r="E5081" s="2">
        <f>IF(A5081&lt;&gt;"", VLOOKUP(A5081, imdb_netflix_v5!A$2:H$7370, 5, FALSE), "")</f>
        <v>1966</v>
      </c>
      <c r="F5081" s="2" t="str">
        <f>IF(A5081&lt;&gt;"", VLOOKUP(A5081, imdb_netflix_v5!A$2:H$7370, 7, FALSE), "")</f>
        <v>NA</v>
      </c>
    </row>
    <row r="5082" ht="15.75" customHeight="1">
      <c r="A5082" s="1" t="str">
        <f>IFERROR(__xludf.DUMMYFUNCTION("""COMPUTED_VALUE"""),"take the money and run")</f>
        <v>take the money and run</v>
      </c>
      <c r="B5082" s="1" t="str">
        <f>IF(A5082&lt;&gt;"", VLOOKUP(A5082, imdb_netflix_v5!A$2:H$7370, 2, FALSE), "")</f>
        <v>Movie</v>
      </c>
      <c r="C5082" s="2" t="str">
        <f>IF(A5082&lt;&gt;"", VLOOKUP(A5082, imdb_netflix_v5!A$2:H$7370, 3, FALSE), "")</f>
        <v>Comedy, Crime</v>
      </c>
      <c r="D5082" s="2">
        <f>IF(A5082&lt;&gt;"", VLOOKUP(A5082, imdb_netflix_v5!A$2:H$7370, 4, FALSE), "")</f>
        <v>7.2</v>
      </c>
      <c r="E5082" s="2">
        <f>IF(A5082&lt;&gt;"", VLOOKUP(A5082, imdb_netflix_v5!A$2:H$7370, 5, FALSE), "")</f>
        <v>1969</v>
      </c>
      <c r="F5082" s="2" t="str">
        <f>IF(A5082&lt;&gt;"", VLOOKUP(A5082, imdb_netflix_v5!A$2:H$7370, 7, FALSE), "")</f>
        <v>NA</v>
      </c>
    </row>
    <row r="5083" ht="15.75" customHeight="1">
      <c r="A5083" s="1" t="str">
        <f>IFERROR(__xludf.DUMMYFUNCTION("""COMPUTED_VALUE"""),"pump up the volume")</f>
        <v>pump up the volume</v>
      </c>
      <c r="B5083" s="1" t="str">
        <f>IF(A5083&lt;&gt;"", VLOOKUP(A5083, imdb_netflix_v5!A$2:H$7370, 2, FALSE), "")</f>
        <v>Movie</v>
      </c>
      <c r="C5083" s="2" t="str">
        <f>IF(A5083&lt;&gt;"", VLOOKUP(A5083, imdb_netflix_v5!A$2:H$7370, 3, FALSE), "")</f>
        <v>Comedy, Drama, Music</v>
      </c>
      <c r="D5083" s="2">
        <f>IF(A5083&lt;&gt;"", VLOOKUP(A5083, imdb_netflix_v5!A$2:H$7370, 4, FALSE), "")</f>
        <v>7.2</v>
      </c>
      <c r="E5083" s="2">
        <f>IF(A5083&lt;&gt;"", VLOOKUP(A5083, imdb_netflix_v5!A$2:H$7370, 5, FALSE), "")</f>
        <v>1990</v>
      </c>
      <c r="F5083" s="2" t="str">
        <f>IF(A5083&lt;&gt;"", VLOOKUP(A5083, imdb_netflix_v5!A$2:H$7370, 7, FALSE), "")</f>
        <v>NA</v>
      </c>
    </row>
    <row r="5084" ht="15.75" customHeight="1">
      <c r="A5084" s="1" t="str">
        <f>IFERROR(__xludf.DUMMYFUNCTION("""COMPUTED_VALUE"""),"tsotsi")</f>
        <v>tsotsi</v>
      </c>
      <c r="B5084" s="1" t="str">
        <f>IF(A5084&lt;&gt;"", VLOOKUP(A5084, imdb_netflix_v5!A$2:H$7370, 2, FALSE), "")</f>
        <v>Movie</v>
      </c>
      <c r="C5084" s="2" t="str">
        <f>IF(A5084&lt;&gt;"", VLOOKUP(A5084, imdb_netflix_v5!A$2:H$7370, 3, FALSE), "")</f>
        <v>Crime, Drama</v>
      </c>
      <c r="D5084" s="2">
        <f>IF(A5084&lt;&gt;"", VLOOKUP(A5084, imdb_netflix_v5!A$2:H$7370, 4, FALSE), "")</f>
        <v>7.2</v>
      </c>
      <c r="E5084" s="2">
        <f>IF(A5084&lt;&gt;"", VLOOKUP(A5084, imdb_netflix_v5!A$2:H$7370, 5, FALSE), "")</f>
        <v>2005</v>
      </c>
      <c r="F5084" s="2" t="str">
        <f>IF(A5084&lt;&gt;"", VLOOKUP(A5084, imdb_netflix_v5!A$2:H$7370, 7, FALSE), "")</f>
        <v>NA</v>
      </c>
    </row>
    <row r="5085" ht="15.75" customHeight="1">
      <c r="A5085" s="1" t="str">
        <f>IFERROR(__xludf.DUMMYFUNCTION("""COMPUTED_VALUE"""),"barbarians")</f>
        <v>barbarians</v>
      </c>
      <c r="B5085" s="1" t="str">
        <f>IF(A5085&lt;&gt;"", VLOOKUP(A5085, imdb_netflix_v5!A$2:H$7370, 2, FALSE), "")</f>
        <v>TV Show</v>
      </c>
      <c r="C5085" s="2" t="str">
        <f>IF(A5085&lt;&gt;"", VLOOKUP(A5085, imdb_netflix_v5!A$2:H$7370, 3, FALSE), "")</f>
        <v>Action, Adventure, Drama</v>
      </c>
      <c r="D5085" s="2">
        <f>IF(A5085&lt;&gt;"", VLOOKUP(A5085, imdb_netflix_v5!A$2:H$7370, 4, FALSE), "")</f>
        <v>7.2</v>
      </c>
      <c r="E5085" s="2">
        <f>IF(A5085&lt;&gt;"", VLOOKUP(A5085, imdb_netflix_v5!A$2:H$7370, 5, FALSE), "")</f>
        <v>2020</v>
      </c>
      <c r="F5085" s="2">
        <f>IF(A5085&lt;&gt;"", VLOOKUP(A5085, imdb_netflix_v5!A$2:H$7370, 7, FALSE), "")</f>
        <v>9390000</v>
      </c>
    </row>
    <row r="5086" ht="15.75" customHeight="1">
      <c r="A5086" s="1" t="str">
        <f>IFERROR(__xludf.DUMMYFUNCTION("""COMPUTED_VALUE"""),"secretariat")</f>
        <v>secretariat</v>
      </c>
      <c r="B5086" s="1" t="str">
        <f>IF(A5086&lt;&gt;"", VLOOKUP(A5086, imdb_netflix_v5!A$2:H$7370, 2, FALSE), "")</f>
        <v>Movie</v>
      </c>
      <c r="C5086" s="2" t="str">
        <f>IF(A5086&lt;&gt;"", VLOOKUP(A5086, imdb_netflix_v5!A$2:H$7370, 3, FALSE), "")</f>
        <v>Biography, Drama, Family</v>
      </c>
      <c r="D5086" s="2">
        <f>IF(A5086&lt;&gt;"", VLOOKUP(A5086, imdb_netflix_v5!A$2:H$7370, 4, FALSE), "")</f>
        <v>7.2</v>
      </c>
      <c r="E5086" s="2">
        <f>IF(A5086&lt;&gt;"", VLOOKUP(A5086, imdb_netflix_v5!A$2:H$7370, 5, FALSE), "")</f>
        <v>2010</v>
      </c>
      <c r="F5086" s="2" t="str">
        <f>IF(A5086&lt;&gt;"", VLOOKUP(A5086, imdb_netflix_v5!A$2:H$7370, 7, FALSE), "")</f>
        <v>NA</v>
      </c>
    </row>
    <row r="5087" ht="15.75" customHeight="1">
      <c r="A5087" s="1" t="str">
        <f>IFERROR(__xludf.DUMMYFUNCTION("""COMPUTED_VALUE"""),"vanishing point")</f>
        <v>vanishing point</v>
      </c>
      <c r="B5087" s="1" t="str">
        <f>IF(A5087&lt;&gt;"", VLOOKUP(A5087, imdb_netflix_v5!A$2:H$7370, 2, FALSE), "")</f>
        <v>Movie</v>
      </c>
      <c r="C5087" s="2" t="str">
        <f>IF(A5087&lt;&gt;"", VLOOKUP(A5087, imdb_netflix_v5!A$2:H$7370, 3, FALSE), "")</f>
        <v>Action, Crime, Thriller</v>
      </c>
      <c r="D5087" s="2">
        <f>IF(A5087&lt;&gt;"", VLOOKUP(A5087, imdb_netflix_v5!A$2:H$7370, 4, FALSE), "")</f>
        <v>7.2</v>
      </c>
      <c r="E5087" s="2">
        <f>IF(A5087&lt;&gt;"", VLOOKUP(A5087, imdb_netflix_v5!A$2:H$7370, 5, FALSE), "")</f>
        <v>1971</v>
      </c>
      <c r="F5087" s="2" t="str">
        <f>IF(A5087&lt;&gt;"", VLOOKUP(A5087, imdb_netflix_v5!A$2:H$7370, 7, FALSE), "")</f>
        <v>NA</v>
      </c>
    </row>
    <row r="5088" ht="15.75" customHeight="1">
      <c r="A5088" s="1" t="str">
        <f>IFERROR(__xludf.DUMMYFUNCTION("""COMPUTED_VALUE"""),"testament of youth")</f>
        <v>testament of youth</v>
      </c>
      <c r="B5088" s="1" t="str">
        <f>IF(A5088&lt;&gt;"", VLOOKUP(A5088, imdb_netflix_v5!A$2:H$7370, 2, FALSE), "")</f>
        <v>Movie</v>
      </c>
      <c r="C5088" s="2" t="str">
        <f>IF(A5088&lt;&gt;"", VLOOKUP(A5088, imdb_netflix_v5!A$2:H$7370, 3, FALSE), "")</f>
        <v>Biography, Drama, History</v>
      </c>
      <c r="D5088" s="2">
        <f>IF(A5088&lt;&gt;"", VLOOKUP(A5088, imdb_netflix_v5!A$2:H$7370, 4, FALSE), "")</f>
        <v>7.2</v>
      </c>
      <c r="E5088" s="2">
        <f>IF(A5088&lt;&gt;"", VLOOKUP(A5088, imdb_netflix_v5!A$2:H$7370, 5, FALSE), "")</f>
        <v>2014</v>
      </c>
      <c r="F5088" s="2" t="str">
        <f>IF(A5088&lt;&gt;"", VLOOKUP(A5088, imdb_netflix_v5!A$2:H$7370, 7, FALSE), "")</f>
        <v>NA</v>
      </c>
    </row>
    <row r="5089" ht="15.75" customHeight="1">
      <c r="A5089" s="1" t="str">
        <f>IFERROR(__xludf.DUMMYFUNCTION("""COMPUTED_VALUE"""),"what the health")</f>
        <v>what the health</v>
      </c>
      <c r="B5089" s="1" t="str">
        <f>IF(A5089&lt;&gt;"", VLOOKUP(A5089, imdb_netflix_v5!A$2:H$7370, 2, FALSE), "")</f>
        <v>Movie</v>
      </c>
      <c r="C5089" s="2" t="str">
        <f>IF(A5089&lt;&gt;"", VLOOKUP(A5089, imdb_netflix_v5!A$2:H$7370, 3, FALSE), "")</f>
        <v>Documentary</v>
      </c>
      <c r="D5089" s="2">
        <f>IF(A5089&lt;&gt;"", VLOOKUP(A5089, imdb_netflix_v5!A$2:H$7370, 4, FALSE), "")</f>
        <v>7.2</v>
      </c>
      <c r="E5089" s="2">
        <f>IF(A5089&lt;&gt;"", VLOOKUP(A5089, imdb_netflix_v5!A$2:H$7370, 5, FALSE), "")</f>
        <v>2017</v>
      </c>
      <c r="F5089" s="2" t="str">
        <f>IF(A5089&lt;&gt;"", VLOOKUP(A5089, imdb_netflix_v5!A$2:H$7370, 7, FALSE), "")</f>
        <v>NA</v>
      </c>
    </row>
    <row r="5090" ht="15.75" customHeight="1">
      <c r="A5090" s="1" t="str">
        <f>IFERROR(__xludf.DUMMYFUNCTION("""COMPUTED_VALUE"""),"dogman")</f>
        <v>dogman</v>
      </c>
      <c r="B5090" s="1" t="str">
        <f>IF(A5090&lt;&gt;"", VLOOKUP(A5090, imdb_netflix_v5!A$2:H$7370, 2, FALSE), "")</f>
        <v>Movie</v>
      </c>
      <c r="C5090" s="2" t="str">
        <f>IF(A5090&lt;&gt;"", VLOOKUP(A5090, imdb_netflix_v5!A$2:H$7370, 3, FALSE), "")</f>
        <v>Crime, Drama, Thriller</v>
      </c>
      <c r="D5090" s="2">
        <f>IF(A5090&lt;&gt;"", VLOOKUP(A5090, imdb_netflix_v5!A$2:H$7370, 4, FALSE), "")</f>
        <v>7.2</v>
      </c>
      <c r="E5090" s="2">
        <f>IF(A5090&lt;&gt;"", VLOOKUP(A5090, imdb_netflix_v5!A$2:H$7370, 5, FALSE), "")</f>
        <v>2018</v>
      </c>
      <c r="F5090" s="2" t="str">
        <f>IF(A5090&lt;&gt;"", VLOOKUP(A5090, imdb_netflix_v5!A$2:H$7370, 7, FALSE), "")</f>
        <v>NA</v>
      </c>
    </row>
    <row r="5091" ht="15.75" customHeight="1">
      <c r="A5091" s="1" t="str">
        <f>IFERROR(__xludf.DUMMYFUNCTION("""COMPUTED_VALUE"""),"murder, she wrote")</f>
        <v>murder, she wrote</v>
      </c>
      <c r="B5091" s="1" t="str">
        <f>IF(A5091&lt;&gt;"", VLOOKUP(A5091, imdb_netflix_v5!A$2:H$7370, 2, FALSE), "")</f>
        <v>TV Show</v>
      </c>
      <c r="C5091" s="2" t="str">
        <f>IF(A5091&lt;&gt;"", VLOOKUP(A5091, imdb_netflix_v5!A$2:H$7370, 3, FALSE), "")</f>
        <v>Crime, Drama, Mystery</v>
      </c>
      <c r="D5091" s="2">
        <f>IF(A5091&lt;&gt;"", VLOOKUP(A5091, imdb_netflix_v5!A$2:H$7370, 4, FALSE), "")</f>
        <v>7.2</v>
      </c>
      <c r="E5091" s="2">
        <f>IF(A5091&lt;&gt;"", VLOOKUP(A5091, imdb_netflix_v5!A$2:H$7370, 5, FALSE), "")</f>
        <v>1984</v>
      </c>
      <c r="F5091" s="2" t="str">
        <f>IF(A5091&lt;&gt;"", VLOOKUP(A5091, imdb_netflix_v5!A$2:H$7370, 7, FALSE), "")</f>
        <v>NA</v>
      </c>
    </row>
    <row r="5092" ht="15.75" customHeight="1">
      <c r="A5092" s="1" t="str">
        <f>IFERROR(__xludf.DUMMYFUNCTION("""COMPUTED_VALUE"""),"peaceful warrior")</f>
        <v>peaceful warrior</v>
      </c>
      <c r="B5092" s="1" t="str">
        <f>IF(A5092&lt;&gt;"", VLOOKUP(A5092, imdb_netflix_v5!A$2:H$7370, 2, FALSE), "")</f>
        <v>Movie</v>
      </c>
      <c r="C5092" s="2" t="str">
        <f>IF(A5092&lt;&gt;"", VLOOKUP(A5092, imdb_netflix_v5!A$2:H$7370, 3, FALSE), "")</f>
        <v>Drama, Romance, Sport</v>
      </c>
      <c r="D5092" s="2">
        <f>IF(A5092&lt;&gt;"", VLOOKUP(A5092, imdb_netflix_v5!A$2:H$7370, 4, FALSE), "")</f>
        <v>7.2</v>
      </c>
      <c r="E5092" s="2">
        <f>IF(A5092&lt;&gt;"", VLOOKUP(A5092, imdb_netflix_v5!A$2:H$7370, 5, FALSE), "")</f>
        <v>2006</v>
      </c>
      <c r="F5092" s="2" t="str">
        <f>IF(A5092&lt;&gt;"", VLOOKUP(A5092, imdb_netflix_v5!A$2:H$7370, 7, FALSE), "")</f>
        <v>NA</v>
      </c>
    </row>
    <row r="5093" ht="15.75" customHeight="1">
      <c r="A5093" s="1" t="str">
        <f>IFERROR(__xludf.DUMMYFUNCTION("""COMPUTED_VALUE"""),"speak")</f>
        <v>speak</v>
      </c>
      <c r="B5093" s="1" t="str">
        <f>IF(A5093&lt;&gt;"", VLOOKUP(A5093, imdb_netflix_v5!A$2:H$7370, 2, FALSE), "")</f>
        <v>Movie</v>
      </c>
      <c r="C5093" s="2" t="str">
        <f>IF(A5093&lt;&gt;"", VLOOKUP(A5093, imdb_netflix_v5!A$2:H$7370, 3, FALSE), "")</f>
        <v>Drama</v>
      </c>
      <c r="D5093" s="2">
        <f>IF(A5093&lt;&gt;"", VLOOKUP(A5093, imdb_netflix_v5!A$2:H$7370, 4, FALSE), "")</f>
        <v>7.2</v>
      </c>
      <c r="E5093" s="2">
        <f>IF(A5093&lt;&gt;"", VLOOKUP(A5093, imdb_netflix_v5!A$2:H$7370, 5, FALSE), "")</f>
        <v>2004</v>
      </c>
      <c r="F5093" s="2" t="str">
        <f>IF(A5093&lt;&gt;"", VLOOKUP(A5093, imdb_netflix_v5!A$2:H$7370, 7, FALSE), "")</f>
        <v>NA</v>
      </c>
    </row>
    <row r="5094" ht="15.75" customHeight="1">
      <c r="A5094" s="1" t="str">
        <f>IFERROR(__xludf.DUMMYFUNCTION("""COMPUTED_VALUE"""),"a mighty wind")</f>
        <v>a mighty wind</v>
      </c>
      <c r="B5094" s="1" t="str">
        <f>IF(A5094&lt;&gt;"", VLOOKUP(A5094, imdb_netflix_v5!A$2:H$7370, 2, FALSE), "")</f>
        <v>Movie</v>
      </c>
      <c r="C5094" s="2" t="str">
        <f>IF(A5094&lt;&gt;"", VLOOKUP(A5094, imdb_netflix_v5!A$2:H$7370, 3, FALSE), "")</f>
        <v>Comedy, Music</v>
      </c>
      <c r="D5094" s="2">
        <f>IF(A5094&lt;&gt;"", VLOOKUP(A5094, imdb_netflix_v5!A$2:H$7370, 4, FALSE), "")</f>
        <v>7.2</v>
      </c>
      <c r="E5094" s="2">
        <f>IF(A5094&lt;&gt;"", VLOOKUP(A5094, imdb_netflix_v5!A$2:H$7370, 5, FALSE), "")</f>
        <v>2003</v>
      </c>
      <c r="F5094" s="2" t="str">
        <f>IF(A5094&lt;&gt;"", VLOOKUP(A5094, imdb_netflix_v5!A$2:H$7370, 7, FALSE), "")</f>
        <v>NA</v>
      </c>
    </row>
    <row r="5095" ht="15.75" customHeight="1">
      <c r="A5095" s="1" t="str">
        <f>IFERROR(__xludf.DUMMYFUNCTION("""COMPUTED_VALUE"""),"alphas")</f>
        <v>alphas</v>
      </c>
      <c r="B5095" s="1" t="str">
        <f>IF(A5095&lt;&gt;"", VLOOKUP(A5095, imdb_netflix_v5!A$2:H$7370, 2, FALSE), "")</f>
        <v>TV Show</v>
      </c>
      <c r="C5095" s="2" t="str">
        <f>IF(A5095&lt;&gt;"", VLOOKUP(A5095, imdb_netflix_v5!A$2:H$7370, 3, FALSE), "")</f>
        <v>Action, Drama, Sci-Fi</v>
      </c>
      <c r="D5095" s="2">
        <f>IF(A5095&lt;&gt;"", VLOOKUP(A5095, imdb_netflix_v5!A$2:H$7370, 4, FALSE), "")</f>
        <v>7.2</v>
      </c>
      <c r="E5095" s="2">
        <f>IF(A5095&lt;&gt;"", VLOOKUP(A5095, imdb_netflix_v5!A$2:H$7370, 5, FALSE), "")</f>
        <v>2011</v>
      </c>
      <c r="F5095" s="2" t="str">
        <f>IF(A5095&lt;&gt;"", VLOOKUP(A5095, imdb_netflix_v5!A$2:H$7370, 7, FALSE), "")</f>
        <v>NA</v>
      </c>
    </row>
    <row r="5096" ht="15.75" customHeight="1">
      <c r="A5096" s="1" t="str">
        <f>IFERROR(__xludf.DUMMYFUNCTION("""COMPUTED_VALUE"""),"strictly ballroom")</f>
        <v>strictly ballroom</v>
      </c>
      <c r="B5096" s="1" t="str">
        <f>IF(A5096&lt;&gt;"", VLOOKUP(A5096, imdb_netflix_v5!A$2:H$7370, 2, FALSE), "")</f>
        <v>Movie</v>
      </c>
      <c r="C5096" s="2" t="str">
        <f>IF(A5096&lt;&gt;"", VLOOKUP(A5096, imdb_netflix_v5!A$2:H$7370, 3, FALSE), "")</f>
        <v>Comedy, Drama, Music</v>
      </c>
      <c r="D5096" s="2">
        <f>IF(A5096&lt;&gt;"", VLOOKUP(A5096, imdb_netflix_v5!A$2:H$7370, 4, FALSE), "")</f>
        <v>7.2</v>
      </c>
      <c r="E5096" s="2">
        <f>IF(A5096&lt;&gt;"", VLOOKUP(A5096, imdb_netflix_v5!A$2:H$7370, 5, FALSE), "")</f>
        <v>1992</v>
      </c>
      <c r="F5096" s="2" t="str">
        <f>IF(A5096&lt;&gt;"", VLOOKUP(A5096, imdb_netflix_v5!A$2:H$7370, 7, FALSE), "")</f>
        <v>NA</v>
      </c>
    </row>
    <row r="5097" ht="15.75" customHeight="1">
      <c r="A5097" s="1" t="str">
        <f>IFERROR(__xludf.DUMMYFUNCTION("""COMPUTED_VALUE"""),"chucky")</f>
        <v>chucky</v>
      </c>
      <c r="B5097" s="1" t="str">
        <f>IF(A5097&lt;&gt;"", VLOOKUP(A5097, imdb_netflix_v5!A$2:H$7370, 2, FALSE), "")</f>
        <v>TV Show</v>
      </c>
      <c r="C5097" s="2" t="str">
        <f>IF(A5097&lt;&gt;"", VLOOKUP(A5097, imdb_netflix_v5!A$2:H$7370, 3, FALSE), "")</f>
        <v>Comedy, Drama, Horror</v>
      </c>
      <c r="D5097" s="2">
        <f>IF(A5097&lt;&gt;"", VLOOKUP(A5097, imdb_netflix_v5!A$2:H$7370, 4, FALSE), "")</f>
        <v>7.2</v>
      </c>
      <c r="E5097" s="2">
        <f>IF(A5097&lt;&gt;"", VLOOKUP(A5097, imdb_netflix_v5!A$2:H$7370, 5, FALSE), "")</f>
        <v>2021</v>
      </c>
      <c r="F5097" s="2" t="str">
        <f>IF(A5097&lt;&gt;"", VLOOKUP(A5097, imdb_netflix_v5!A$2:H$7370, 7, FALSE), "")</f>
        <v>NA</v>
      </c>
    </row>
    <row r="5098" ht="15.75" customHeight="1">
      <c r="A5098" s="1" t="str">
        <f>IFERROR(__xludf.DUMMYFUNCTION("""COMPUTED_VALUE"""),"horror of dracula")</f>
        <v>horror of dracula</v>
      </c>
      <c r="B5098" s="1" t="str">
        <f>IF(A5098&lt;&gt;"", VLOOKUP(A5098, imdb_netflix_v5!A$2:H$7370, 2, FALSE), "")</f>
        <v>Movie</v>
      </c>
      <c r="C5098" s="2" t="str">
        <f>IF(A5098&lt;&gt;"", VLOOKUP(A5098, imdb_netflix_v5!A$2:H$7370, 3, FALSE), "")</f>
        <v>Drama, Horror</v>
      </c>
      <c r="D5098" s="2">
        <f>IF(A5098&lt;&gt;"", VLOOKUP(A5098, imdb_netflix_v5!A$2:H$7370, 4, FALSE), "")</f>
        <v>7.2</v>
      </c>
      <c r="E5098" s="2">
        <f>IF(A5098&lt;&gt;"", VLOOKUP(A5098, imdb_netflix_v5!A$2:H$7370, 5, FALSE), "")</f>
        <v>1958</v>
      </c>
      <c r="F5098" s="2" t="str">
        <f>IF(A5098&lt;&gt;"", VLOOKUP(A5098, imdb_netflix_v5!A$2:H$7370, 7, FALSE), "")</f>
        <v>NA</v>
      </c>
    </row>
    <row r="5099" ht="15.75" customHeight="1">
      <c r="A5099" s="1" t="str">
        <f>IFERROR(__xludf.DUMMYFUNCTION("""COMPUTED_VALUE"""),"the secret life of bees")</f>
        <v>the secret life of bees</v>
      </c>
      <c r="B5099" s="1" t="str">
        <f>IF(A5099&lt;&gt;"", VLOOKUP(A5099, imdb_netflix_v5!A$2:H$7370, 2, FALSE), "")</f>
        <v>Movie</v>
      </c>
      <c r="C5099" s="2" t="str">
        <f>IF(A5099&lt;&gt;"", VLOOKUP(A5099, imdb_netflix_v5!A$2:H$7370, 3, FALSE), "")</f>
        <v>Drama</v>
      </c>
      <c r="D5099" s="2">
        <f>IF(A5099&lt;&gt;"", VLOOKUP(A5099, imdb_netflix_v5!A$2:H$7370, 4, FALSE), "")</f>
        <v>7.2</v>
      </c>
      <c r="E5099" s="2">
        <f>IF(A5099&lt;&gt;"", VLOOKUP(A5099, imdb_netflix_v5!A$2:H$7370, 5, FALSE), "")</f>
        <v>2008</v>
      </c>
      <c r="F5099" s="2" t="str">
        <f>IF(A5099&lt;&gt;"", VLOOKUP(A5099, imdb_netflix_v5!A$2:H$7370, 7, FALSE), "")</f>
        <v>NA</v>
      </c>
    </row>
    <row r="5100" ht="15.75" customHeight="1">
      <c r="A5100" s="1" t="str">
        <f>IFERROR(__xludf.DUMMYFUNCTION("""COMPUTED_VALUE"""),"the brave little toaster")</f>
        <v>the brave little toaster</v>
      </c>
      <c r="B5100" s="1" t="str">
        <f>IF(A5100&lt;&gt;"", VLOOKUP(A5100, imdb_netflix_v5!A$2:H$7370, 2, FALSE), "")</f>
        <v>Movie</v>
      </c>
      <c r="C5100" s="2" t="str">
        <f>IF(A5100&lt;&gt;"", VLOOKUP(A5100, imdb_netflix_v5!A$2:H$7370, 3, FALSE), "")</f>
        <v>Adventure, Animation, Family</v>
      </c>
      <c r="D5100" s="2">
        <f>IF(A5100&lt;&gt;"", VLOOKUP(A5100, imdb_netflix_v5!A$2:H$7370, 4, FALSE), "")</f>
        <v>7.2</v>
      </c>
      <c r="E5100" s="2">
        <f>IF(A5100&lt;&gt;"", VLOOKUP(A5100, imdb_netflix_v5!A$2:H$7370, 5, FALSE), "")</f>
        <v>1987</v>
      </c>
      <c r="F5100" s="2" t="str">
        <f>IF(A5100&lt;&gt;"", VLOOKUP(A5100, imdb_netflix_v5!A$2:H$7370, 7, FALSE), "")</f>
        <v>NA</v>
      </c>
    </row>
    <row r="5101" ht="15.75" customHeight="1">
      <c r="A5101" s="1" t="str">
        <f>IFERROR(__xludf.DUMMYFUNCTION("""COMPUTED_VALUE"""),"jolly llb 2")</f>
        <v>jolly llb 2</v>
      </c>
      <c r="B5101" s="1" t="str">
        <f>IF(A5101&lt;&gt;"", VLOOKUP(A5101, imdb_netflix_v5!A$2:H$7370, 2, FALSE), "")</f>
        <v>Movie</v>
      </c>
      <c r="C5101" s="2" t="str">
        <f>IF(A5101&lt;&gt;"", VLOOKUP(A5101, imdb_netflix_v5!A$2:H$7370, 3, FALSE), "")</f>
        <v>Comedy, Crime, Drama</v>
      </c>
      <c r="D5101" s="2">
        <f>IF(A5101&lt;&gt;"", VLOOKUP(A5101, imdb_netflix_v5!A$2:H$7370, 4, FALSE), "")</f>
        <v>7.2</v>
      </c>
      <c r="E5101" s="2">
        <f>IF(A5101&lt;&gt;"", VLOOKUP(A5101, imdb_netflix_v5!A$2:H$7370, 5, FALSE), "")</f>
        <v>2017</v>
      </c>
      <c r="F5101" s="2" t="str">
        <f>IF(A5101&lt;&gt;"", VLOOKUP(A5101, imdb_netflix_v5!A$2:H$7370, 7, FALSE), "")</f>
        <v>NA</v>
      </c>
    </row>
    <row r="5102" ht="15.75" customHeight="1">
      <c r="A5102" s="1" t="str">
        <f>IFERROR(__xludf.DUMMYFUNCTION("""COMPUTED_VALUE"""),"a fantastic woman")</f>
        <v>a fantastic woman</v>
      </c>
      <c r="B5102" s="1" t="str">
        <f>IF(A5102&lt;&gt;"", VLOOKUP(A5102, imdb_netflix_v5!A$2:H$7370, 2, FALSE), "")</f>
        <v>Movie</v>
      </c>
      <c r="C5102" s="2" t="str">
        <f>IF(A5102&lt;&gt;"", VLOOKUP(A5102, imdb_netflix_v5!A$2:H$7370, 3, FALSE), "")</f>
        <v>Drama</v>
      </c>
      <c r="D5102" s="2">
        <f>IF(A5102&lt;&gt;"", VLOOKUP(A5102, imdb_netflix_v5!A$2:H$7370, 4, FALSE), "")</f>
        <v>7.2</v>
      </c>
      <c r="E5102" s="2">
        <f>IF(A5102&lt;&gt;"", VLOOKUP(A5102, imdb_netflix_v5!A$2:H$7370, 5, FALSE), "")</f>
        <v>2017</v>
      </c>
      <c r="F5102" s="2" t="str">
        <f>IF(A5102&lt;&gt;"", VLOOKUP(A5102, imdb_netflix_v5!A$2:H$7370, 7, FALSE), "")</f>
        <v>NA</v>
      </c>
    </row>
    <row r="5103" ht="15.75" customHeight="1">
      <c r="A5103" s="1" t="str">
        <f>IFERROR(__xludf.DUMMYFUNCTION("""COMPUTED_VALUE"""),"certified copy")</f>
        <v>certified copy</v>
      </c>
      <c r="B5103" s="1" t="str">
        <f>IF(A5103&lt;&gt;"", VLOOKUP(A5103, imdb_netflix_v5!A$2:H$7370, 2, FALSE), "")</f>
        <v>Movie</v>
      </c>
      <c r="C5103" s="2" t="str">
        <f>IF(A5103&lt;&gt;"", VLOOKUP(A5103, imdb_netflix_v5!A$2:H$7370, 3, FALSE), "")</f>
        <v>Drama, Romance</v>
      </c>
      <c r="D5103" s="2">
        <f>IF(A5103&lt;&gt;"", VLOOKUP(A5103, imdb_netflix_v5!A$2:H$7370, 4, FALSE), "")</f>
        <v>7.2</v>
      </c>
      <c r="E5103" s="2">
        <f>IF(A5103&lt;&gt;"", VLOOKUP(A5103, imdb_netflix_v5!A$2:H$7370, 5, FALSE), "")</f>
        <v>2010</v>
      </c>
      <c r="F5103" s="2" t="str">
        <f>IF(A5103&lt;&gt;"", VLOOKUP(A5103, imdb_netflix_v5!A$2:H$7370, 7, FALSE), "")</f>
        <v>NA</v>
      </c>
    </row>
    <row r="5104" ht="15.75" customHeight="1">
      <c r="A5104" s="1" t="str">
        <f>IFERROR(__xludf.DUMMYFUNCTION("""COMPUTED_VALUE"""),"death and the maiden")</f>
        <v>death and the maiden</v>
      </c>
      <c r="B5104" s="1" t="str">
        <f>IF(A5104&lt;&gt;"", VLOOKUP(A5104, imdb_netflix_v5!A$2:H$7370, 2, FALSE), "")</f>
        <v>Movie</v>
      </c>
      <c r="C5104" s="2" t="str">
        <f>IF(A5104&lt;&gt;"", VLOOKUP(A5104, imdb_netflix_v5!A$2:H$7370, 3, FALSE), "")</f>
        <v>Drama, Mystery, Thriller</v>
      </c>
      <c r="D5104" s="2">
        <f>IF(A5104&lt;&gt;"", VLOOKUP(A5104, imdb_netflix_v5!A$2:H$7370, 4, FALSE), "")</f>
        <v>7.2</v>
      </c>
      <c r="E5104" s="2">
        <f>IF(A5104&lt;&gt;"", VLOOKUP(A5104, imdb_netflix_v5!A$2:H$7370, 5, FALSE), "")</f>
        <v>1994</v>
      </c>
      <c r="F5104" s="2" t="str">
        <f>IF(A5104&lt;&gt;"", VLOOKUP(A5104, imdb_netflix_v5!A$2:H$7370, 7, FALSE), "")</f>
        <v>NA</v>
      </c>
    </row>
    <row r="5105" ht="15.75" customHeight="1">
      <c r="A5105" s="1" t="str">
        <f>IFERROR(__xludf.DUMMYFUNCTION("""COMPUTED_VALUE"""),"cat people")</f>
        <v>cat people</v>
      </c>
      <c r="B5105" s="1" t="str">
        <f>IF(A5105&lt;&gt;"", VLOOKUP(A5105, imdb_netflix_v5!A$2:H$7370, 2, FALSE), "")</f>
        <v>Movie</v>
      </c>
      <c r="C5105" s="2" t="str">
        <f>IF(A5105&lt;&gt;"", VLOOKUP(A5105, imdb_netflix_v5!A$2:H$7370, 3, FALSE), "")</f>
        <v>Fantasy, Horror, Thriller</v>
      </c>
      <c r="D5105" s="2">
        <f>IF(A5105&lt;&gt;"", VLOOKUP(A5105, imdb_netflix_v5!A$2:H$7370, 4, FALSE), "")</f>
        <v>7.2</v>
      </c>
      <c r="E5105" s="2">
        <f>IF(A5105&lt;&gt;"", VLOOKUP(A5105, imdb_netflix_v5!A$2:H$7370, 5, FALSE), "")</f>
        <v>1942</v>
      </c>
      <c r="F5105" s="2" t="str">
        <f>IF(A5105&lt;&gt;"", VLOOKUP(A5105, imdb_netflix_v5!A$2:H$7370, 7, FALSE), "")</f>
        <v>NA</v>
      </c>
    </row>
    <row r="5106" ht="15.75" customHeight="1">
      <c r="A5106" s="1" t="str">
        <f>IFERROR(__xludf.DUMMYFUNCTION("""COMPUTED_VALUE"""),"the spanish prisoner")</f>
        <v>the spanish prisoner</v>
      </c>
      <c r="B5106" s="1" t="str">
        <f>IF(A5106&lt;&gt;"", VLOOKUP(A5106, imdb_netflix_v5!A$2:H$7370, 2, FALSE), "")</f>
        <v>Movie</v>
      </c>
      <c r="C5106" s="2" t="str">
        <f>IF(A5106&lt;&gt;"", VLOOKUP(A5106, imdb_netflix_v5!A$2:H$7370, 3, FALSE), "")</f>
        <v>Drama, Mystery, Thriller</v>
      </c>
      <c r="D5106" s="2">
        <f>IF(A5106&lt;&gt;"", VLOOKUP(A5106, imdb_netflix_v5!A$2:H$7370, 4, FALSE), "")</f>
        <v>7.2</v>
      </c>
      <c r="E5106" s="2">
        <f>IF(A5106&lt;&gt;"", VLOOKUP(A5106, imdb_netflix_v5!A$2:H$7370, 5, FALSE), "")</f>
        <v>1997</v>
      </c>
      <c r="F5106" s="2" t="str">
        <f>IF(A5106&lt;&gt;"", VLOOKUP(A5106, imdb_netflix_v5!A$2:H$7370, 7, FALSE), "")</f>
        <v>NA</v>
      </c>
    </row>
    <row r="5107" ht="15.75" customHeight="1">
      <c r="A5107" s="1" t="str">
        <f>IFERROR(__xludf.DUMMYFUNCTION("""COMPUTED_VALUE"""),"state of grace")</f>
        <v>state of grace</v>
      </c>
      <c r="B5107" s="1" t="str">
        <f>IF(A5107&lt;&gt;"", VLOOKUP(A5107, imdb_netflix_v5!A$2:H$7370, 2, FALSE), "")</f>
        <v>Movie</v>
      </c>
      <c r="C5107" s="2" t="str">
        <f>IF(A5107&lt;&gt;"", VLOOKUP(A5107, imdb_netflix_v5!A$2:H$7370, 3, FALSE), "")</f>
        <v>Action, Crime, Drama</v>
      </c>
      <c r="D5107" s="2">
        <f>IF(A5107&lt;&gt;"", VLOOKUP(A5107, imdb_netflix_v5!A$2:H$7370, 4, FALSE), "")</f>
        <v>7.2</v>
      </c>
      <c r="E5107" s="2">
        <f>IF(A5107&lt;&gt;"", VLOOKUP(A5107, imdb_netflix_v5!A$2:H$7370, 5, FALSE), "")</f>
        <v>1990</v>
      </c>
      <c r="F5107" s="2" t="str">
        <f>IF(A5107&lt;&gt;"", VLOOKUP(A5107, imdb_netflix_v5!A$2:H$7370, 7, FALSE), "")</f>
        <v>NA</v>
      </c>
    </row>
    <row r="5108" ht="15.75" customHeight="1">
      <c r="A5108" s="1" t="str">
        <f>IFERROR(__xludf.DUMMYFUNCTION("""COMPUTED_VALUE"""),"dynasty")</f>
        <v>dynasty</v>
      </c>
      <c r="B5108" s="1" t="str">
        <f>IF(A5108&lt;&gt;"", VLOOKUP(A5108, imdb_netflix_v5!A$2:H$7370, 2, FALSE), "")</f>
        <v>TV Show</v>
      </c>
      <c r="C5108" s="2" t="str">
        <f>IF(A5108&lt;&gt;"", VLOOKUP(A5108, imdb_netflix_v5!A$2:H$7370, 3, FALSE), "")</f>
        <v>Drama</v>
      </c>
      <c r="D5108" s="2">
        <f>IF(A5108&lt;&gt;"", VLOOKUP(A5108, imdb_netflix_v5!A$2:H$7370, 4, FALSE), "")</f>
        <v>7.2</v>
      </c>
      <c r="E5108" s="2">
        <f>IF(A5108&lt;&gt;"", VLOOKUP(A5108, imdb_netflix_v5!A$2:H$7370, 5, FALSE), "")</f>
        <v>2017</v>
      </c>
      <c r="F5108" s="2">
        <f>IF(A5108&lt;&gt;"", VLOOKUP(A5108, imdb_netflix_v5!A$2:H$7370, 7, FALSE), "")</f>
        <v>12610000</v>
      </c>
    </row>
    <row r="5109" ht="15.75" customHeight="1">
      <c r="A5109" s="1" t="str">
        <f>IFERROR(__xludf.DUMMYFUNCTION("""COMPUTED_VALUE"""),"birdy")</f>
        <v>birdy</v>
      </c>
      <c r="B5109" s="1" t="str">
        <f>IF(A5109&lt;&gt;"", VLOOKUP(A5109, imdb_netflix_v5!A$2:H$7370, 2, FALSE), "")</f>
        <v>Movie</v>
      </c>
      <c r="C5109" s="2" t="str">
        <f>IF(A5109&lt;&gt;"", VLOOKUP(A5109, imdb_netflix_v5!A$2:H$7370, 3, FALSE), "")</f>
        <v>Drama, War</v>
      </c>
      <c r="D5109" s="2">
        <f>IF(A5109&lt;&gt;"", VLOOKUP(A5109, imdb_netflix_v5!A$2:H$7370, 4, FALSE), "")</f>
        <v>7.2</v>
      </c>
      <c r="E5109" s="2">
        <f>IF(A5109&lt;&gt;"", VLOOKUP(A5109, imdb_netflix_v5!A$2:H$7370, 5, FALSE), "")</f>
        <v>1984</v>
      </c>
      <c r="F5109" s="2" t="str">
        <f>IF(A5109&lt;&gt;"", VLOOKUP(A5109, imdb_netflix_v5!A$2:H$7370, 7, FALSE), "")</f>
        <v>NA</v>
      </c>
    </row>
    <row r="5110" ht="15.75" customHeight="1">
      <c r="A5110" s="1" t="str">
        <f>IFERROR(__xludf.DUMMYFUNCTION("""COMPUTED_VALUE"""),"manderlay")</f>
        <v>manderlay</v>
      </c>
      <c r="B5110" s="1" t="str">
        <f>IF(A5110&lt;&gt;"", VLOOKUP(A5110, imdb_netflix_v5!A$2:H$7370, 2, FALSE), "")</f>
        <v>Movie</v>
      </c>
      <c r="C5110" s="2" t="str">
        <f>IF(A5110&lt;&gt;"", VLOOKUP(A5110, imdb_netflix_v5!A$2:H$7370, 3, FALSE), "")</f>
        <v>Drama</v>
      </c>
      <c r="D5110" s="2">
        <f>IF(A5110&lt;&gt;"", VLOOKUP(A5110, imdb_netflix_v5!A$2:H$7370, 4, FALSE), "")</f>
        <v>7.2</v>
      </c>
      <c r="E5110" s="2">
        <f>IF(A5110&lt;&gt;"", VLOOKUP(A5110, imdb_netflix_v5!A$2:H$7370, 5, FALSE), "")</f>
        <v>2005</v>
      </c>
      <c r="F5110" s="2" t="str">
        <f>IF(A5110&lt;&gt;"", VLOOKUP(A5110, imdb_netflix_v5!A$2:H$7370, 7, FALSE), "")</f>
        <v>NA</v>
      </c>
    </row>
    <row r="5111" ht="15.75" customHeight="1">
      <c r="A5111" s="1" t="str">
        <f>IFERROR(__xludf.DUMMYFUNCTION("""COMPUTED_VALUE"""),"the green butchers")</f>
        <v>the green butchers</v>
      </c>
      <c r="B5111" s="1" t="str">
        <f>IF(A5111&lt;&gt;"", VLOOKUP(A5111, imdb_netflix_v5!A$2:H$7370, 2, FALSE), "")</f>
        <v>Movie</v>
      </c>
      <c r="C5111" s="2" t="str">
        <f>IF(A5111&lt;&gt;"", VLOOKUP(A5111, imdb_netflix_v5!A$2:H$7370, 3, FALSE), "")</f>
        <v>Comedy, Drama</v>
      </c>
      <c r="D5111" s="2">
        <f>IF(A5111&lt;&gt;"", VLOOKUP(A5111, imdb_netflix_v5!A$2:H$7370, 4, FALSE), "")</f>
        <v>7.2</v>
      </c>
      <c r="E5111" s="2">
        <f>IF(A5111&lt;&gt;"", VLOOKUP(A5111, imdb_netflix_v5!A$2:H$7370, 5, FALSE), "")</f>
        <v>2003</v>
      </c>
      <c r="F5111" s="2" t="str">
        <f>IF(A5111&lt;&gt;"", VLOOKUP(A5111, imdb_netflix_v5!A$2:H$7370, 7, FALSE), "")</f>
        <v>NA</v>
      </c>
    </row>
    <row r="5112" ht="15.75" customHeight="1">
      <c r="A5112" s="1" t="str">
        <f>IFERROR(__xludf.DUMMYFUNCTION("""COMPUTED_VALUE"""),"them!")</f>
        <v>them!</v>
      </c>
      <c r="B5112" s="1" t="str">
        <f>IF(A5112&lt;&gt;"", VLOOKUP(A5112, imdb_netflix_v5!A$2:H$7370, 2, FALSE), "")</f>
        <v>Movie</v>
      </c>
      <c r="C5112" s="2" t="str">
        <f>IF(A5112&lt;&gt;"", VLOOKUP(A5112, imdb_netflix_v5!A$2:H$7370, 3, FALSE), "")</f>
        <v>Horror, Sci-Fi</v>
      </c>
      <c r="D5112" s="2">
        <f>IF(A5112&lt;&gt;"", VLOOKUP(A5112, imdb_netflix_v5!A$2:H$7370, 4, FALSE), "")</f>
        <v>7.2</v>
      </c>
      <c r="E5112" s="2">
        <f>IF(A5112&lt;&gt;"", VLOOKUP(A5112, imdb_netflix_v5!A$2:H$7370, 5, FALSE), "")</f>
        <v>1954</v>
      </c>
      <c r="F5112" s="2" t="str">
        <f>IF(A5112&lt;&gt;"", VLOOKUP(A5112, imdb_netflix_v5!A$2:H$7370, 7, FALSE), "")</f>
        <v>NA</v>
      </c>
    </row>
    <row r="5113" ht="15.75" customHeight="1">
      <c r="A5113" s="1" t="str">
        <f>IFERROR(__xludf.DUMMYFUNCTION("""COMPUTED_VALUE"""),"breakfast on pluto")</f>
        <v>breakfast on pluto</v>
      </c>
      <c r="B5113" s="1" t="str">
        <f>IF(A5113&lt;&gt;"", VLOOKUP(A5113, imdb_netflix_v5!A$2:H$7370, 2, FALSE), "")</f>
        <v>Movie</v>
      </c>
      <c r="C5113" s="2" t="str">
        <f>IF(A5113&lt;&gt;"", VLOOKUP(A5113, imdb_netflix_v5!A$2:H$7370, 3, FALSE), "")</f>
        <v>Comedy, Drama</v>
      </c>
      <c r="D5113" s="2">
        <f>IF(A5113&lt;&gt;"", VLOOKUP(A5113, imdb_netflix_v5!A$2:H$7370, 4, FALSE), "")</f>
        <v>7.2</v>
      </c>
      <c r="E5113" s="2">
        <f>IF(A5113&lt;&gt;"", VLOOKUP(A5113, imdb_netflix_v5!A$2:H$7370, 5, FALSE), "")</f>
        <v>2005</v>
      </c>
      <c r="F5113" s="2" t="str">
        <f>IF(A5113&lt;&gt;"", VLOOKUP(A5113, imdb_netflix_v5!A$2:H$7370, 7, FALSE), "")</f>
        <v>NA</v>
      </c>
    </row>
    <row r="5114" ht="15.75" customHeight="1">
      <c r="A5114" s="1" t="str">
        <f>IFERROR(__xludf.DUMMYFUNCTION("""COMPUTED_VALUE"""),"love &amp; basketball")</f>
        <v>love &amp; basketball</v>
      </c>
      <c r="B5114" s="1" t="str">
        <f>IF(A5114&lt;&gt;"", VLOOKUP(A5114, imdb_netflix_v5!A$2:H$7370, 2, FALSE), "")</f>
        <v>Movie</v>
      </c>
      <c r="C5114" s="2" t="str">
        <f>IF(A5114&lt;&gt;"", VLOOKUP(A5114, imdb_netflix_v5!A$2:H$7370, 3, FALSE), "")</f>
        <v>Drama, Romance, Sport</v>
      </c>
      <c r="D5114" s="2">
        <f>IF(A5114&lt;&gt;"", VLOOKUP(A5114, imdb_netflix_v5!A$2:H$7370, 4, FALSE), "")</f>
        <v>7.2</v>
      </c>
      <c r="E5114" s="2">
        <f>IF(A5114&lt;&gt;"", VLOOKUP(A5114, imdb_netflix_v5!A$2:H$7370, 5, FALSE), "")</f>
        <v>2000</v>
      </c>
      <c r="F5114" s="2" t="str">
        <f>IF(A5114&lt;&gt;"", VLOOKUP(A5114, imdb_netflix_v5!A$2:H$7370, 7, FALSE), "")</f>
        <v>NA</v>
      </c>
    </row>
    <row r="5115" ht="15.75" customHeight="1">
      <c r="A5115" s="1" t="str">
        <f>IFERROR(__xludf.DUMMYFUNCTION("""COMPUTED_VALUE"""),"the parent trap")</f>
        <v>the parent trap</v>
      </c>
      <c r="B5115" s="1" t="str">
        <f>IF(A5115&lt;&gt;"", VLOOKUP(A5115, imdb_netflix_v5!A$2:H$7370, 2, FALSE), "")</f>
        <v>Movie</v>
      </c>
      <c r="C5115" s="2" t="str">
        <f>IF(A5115&lt;&gt;"", VLOOKUP(A5115, imdb_netflix_v5!A$2:H$7370, 3, FALSE), "")</f>
        <v>Comedy, Family, Romance</v>
      </c>
      <c r="D5115" s="2">
        <f>IF(A5115&lt;&gt;"", VLOOKUP(A5115, imdb_netflix_v5!A$2:H$7370, 4, FALSE), "")</f>
        <v>7.2</v>
      </c>
      <c r="E5115" s="2">
        <f>IF(A5115&lt;&gt;"", VLOOKUP(A5115, imdb_netflix_v5!A$2:H$7370, 5, FALSE), "")</f>
        <v>1961</v>
      </c>
      <c r="F5115" s="2" t="str">
        <f>IF(A5115&lt;&gt;"", VLOOKUP(A5115, imdb_netflix_v5!A$2:H$7370, 7, FALSE), "")</f>
        <v>NA</v>
      </c>
    </row>
    <row r="5116" ht="15.75" customHeight="1">
      <c r="A5116" s="1" t="str">
        <f>IFERROR(__xludf.DUMMYFUNCTION("""COMPUTED_VALUE"""),"house of games")</f>
        <v>house of games</v>
      </c>
      <c r="B5116" s="1" t="str">
        <f>IF(A5116&lt;&gt;"", VLOOKUP(A5116, imdb_netflix_v5!A$2:H$7370, 2, FALSE), "")</f>
        <v>Movie</v>
      </c>
      <c r="C5116" s="2" t="str">
        <f>IF(A5116&lt;&gt;"", VLOOKUP(A5116, imdb_netflix_v5!A$2:H$7370, 3, FALSE), "")</f>
        <v>Crime, Thriller</v>
      </c>
      <c r="D5116" s="2">
        <f>IF(A5116&lt;&gt;"", VLOOKUP(A5116, imdb_netflix_v5!A$2:H$7370, 4, FALSE), "")</f>
        <v>7.2</v>
      </c>
      <c r="E5116" s="2">
        <f>IF(A5116&lt;&gt;"", VLOOKUP(A5116, imdb_netflix_v5!A$2:H$7370, 5, FALSE), "")</f>
        <v>1987</v>
      </c>
      <c r="F5116" s="2" t="str">
        <f>IF(A5116&lt;&gt;"", VLOOKUP(A5116, imdb_netflix_v5!A$2:H$7370, 7, FALSE), "")</f>
        <v>NA</v>
      </c>
    </row>
    <row r="5117" ht="15.75" customHeight="1">
      <c r="A5117" s="1" t="str">
        <f>IFERROR(__xludf.DUMMYFUNCTION("""COMPUTED_VALUE"""),"stardust memories")</f>
        <v>stardust memories</v>
      </c>
      <c r="B5117" s="1" t="str">
        <f>IF(A5117&lt;&gt;"", VLOOKUP(A5117, imdb_netflix_v5!A$2:H$7370, 2, FALSE), "")</f>
        <v>Movie</v>
      </c>
      <c r="C5117" s="2" t="str">
        <f>IF(A5117&lt;&gt;"", VLOOKUP(A5117, imdb_netflix_v5!A$2:H$7370, 3, FALSE), "")</f>
        <v>Comedy, Drama</v>
      </c>
      <c r="D5117" s="2">
        <f>IF(A5117&lt;&gt;"", VLOOKUP(A5117, imdb_netflix_v5!A$2:H$7370, 4, FALSE), "")</f>
        <v>7.2</v>
      </c>
      <c r="E5117" s="2">
        <f>IF(A5117&lt;&gt;"", VLOOKUP(A5117, imdb_netflix_v5!A$2:H$7370, 5, FALSE), "")</f>
        <v>1980</v>
      </c>
      <c r="F5117" s="2" t="str">
        <f>IF(A5117&lt;&gt;"", VLOOKUP(A5117, imdb_netflix_v5!A$2:H$7370, 7, FALSE), "")</f>
        <v>NA</v>
      </c>
    </row>
    <row r="5118" ht="15.75" customHeight="1">
      <c r="A5118" s="1" t="str">
        <f>IFERROR(__xludf.DUMMYFUNCTION("""COMPUTED_VALUE"""),"le havre")</f>
        <v>le havre</v>
      </c>
      <c r="B5118" s="1" t="str">
        <f>IF(A5118&lt;&gt;"", VLOOKUP(A5118, imdb_netflix_v5!A$2:H$7370, 2, FALSE), "")</f>
        <v>Movie</v>
      </c>
      <c r="C5118" s="2" t="str">
        <f>IF(A5118&lt;&gt;"", VLOOKUP(A5118, imdb_netflix_v5!A$2:H$7370, 3, FALSE), "")</f>
        <v>Comedy, Drama</v>
      </c>
      <c r="D5118" s="2">
        <f>IF(A5118&lt;&gt;"", VLOOKUP(A5118, imdb_netflix_v5!A$2:H$7370, 4, FALSE), "")</f>
        <v>7.2</v>
      </c>
      <c r="E5118" s="2">
        <f>IF(A5118&lt;&gt;"", VLOOKUP(A5118, imdb_netflix_v5!A$2:H$7370, 5, FALSE), "")</f>
        <v>2011</v>
      </c>
      <c r="F5118" s="2" t="str">
        <f>IF(A5118&lt;&gt;"", VLOOKUP(A5118, imdb_netflix_v5!A$2:H$7370, 7, FALSE), "")</f>
        <v>NA</v>
      </c>
    </row>
    <row r="5119" ht="15.75" customHeight="1">
      <c r="A5119" s="1" t="str">
        <f>IFERROR(__xludf.DUMMYFUNCTION("""COMPUTED_VALUE"""),"royal pains")</f>
        <v>royal pains</v>
      </c>
      <c r="B5119" s="1" t="str">
        <f>IF(A5119&lt;&gt;"", VLOOKUP(A5119, imdb_netflix_v5!A$2:H$7370, 2, FALSE), "")</f>
        <v>TV Show</v>
      </c>
      <c r="C5119" s="2" t="str">
        <f>IF(A5119&lt;&gt;"", VLOOKUP(A5119, imdb_netflix_v5!A$2:H$7370, 3, FALSE), "")</f>
        <v>Comedy, Drama</v>
      </c>
      <c r="D5119" s="2">
        <f>IF(A5119&lt;&gt;"", VLOOKUP(A5119, imdb_netflix_v5!A$2:H$7370, 4, FALSE), "")</f>
        <v>7.2</v>
      </c>
      <c r="E5119" s="2">
        <f>IF(A5119&lt;&gt;"", VLOOKUP(A5119, imdb_netflix_v5!A$2:H$7370, 5, FALSE), "")</f>
        <v>2009</v>
      </c>
      <c r="F5119" s="2" t="str">
        <f>IF(A5119&lt;&gt;"", VLOOKUP(A5119, imdb_netflix_v5!A$2:H$7370, 7, FALSE), "")</f>
        <v>NA</v>
      </c>
    </row>
    <row r="5120" ht="15.75" customHeight="1">
      <c r="A5120" s="1" t="str">
        <f>IFERROR(__xludf.DUMMYFUNCTION("""COMPUTED_VALUE"""),"hitler the rise of evil")</f>
        <v>hitler the rise of evil</v>
      </c>
      <c r="B5120" s="1" t="str">
        <f>IF(A5120&lt;&gt;"", VLOOKUP(A5120, imdb_netflix_v5!A$2:H$7370, 2, FALSE), "")</f>
        <v>TV Show</v>
      </c>
      <c r="C5120" s="2" t="str">
        <f>IF(A5120&lt;&gt;"", VLOOKUP(A5120, imdb_netflix_v5!A$2:H$7370, 3, FALSE), "")</f>
        <v>Biography, Drama, History</v>
      </c>
      <c r="D5120" s="2">
        <f>IF(A5120&lt;&gt;"", VLOOKUP(A5120, imdb_netflix_v5!A$2:H$7370, 4, FALSE), "")</f>
        <v>7.2</v>
      </c>
      <c r="E5120" s="2">
        <f>IF(A5120&lt;&gt;"", VLOOKUP(A5120, imdb_netflix_v5!A$2:H$7370, 5, FALSE), "")</f>
        <v>2003</v>
      </c>
      <c r="F5120" s="2" t="str">
        <f>IF(A5120&lt;&gt;"", VLOOKUP(A5120, imdb_netflix_v5!A$2:H$7370, 7, FALSE), "")</f>
        <v>NA</v>
      </c>
    </row>
    <row r="5121" ht="15.75" customHeight="1">
      <c r="A5121" s="1" t="str">
        <f>IFERROR(__xludf.DUMMYFUNCTION("""COMPUTED_VALUE"""),"the misfits")</f>
        <v>the misfits</v>
      </c>
      <c r="B5121" s="1" t="str">
        <f>IF(A5121&lt;&gt;"", VLOOKUP(A5121, imdb_netflix_v5!A$2:H$7370, 2, FALSE), "")</f>
        <v>Movie</v>
      </c>
      <c r="C5121" s="2" t="str">
        <f>IF(A5121&lt;&gt;"", VLOOKUP(A5121, imdb_netflix_v5!A$2:H$7370, 3, FALSE), "")</f>
        <v>Drama, Romance, Western</v>
      </c>
      <c r="D5121" s="2">
        <f>IF(A5121&lt;&gt;"", VLOOKUP(A5121, imdb_netflix_v5!A$2:H$7370, 4, FALSE), "")</f>
        <v>7.2</v>
      </c>
      <c r="E5121" s="2">
        <f>IF(A5121&lt;&gt;"", VLOOKUP(A5121, imdb_netflix_v5!A$2:H$7370, 5, FALSE), "")</f>
        <v>1961</v>
      </c>
      <c r="F5121" s="2" t="str">
        <f>IF(A5121&lt;&gt;"", VLOOKUP(A5121, imdb_netflix_v5!A$2:H$7370, 7, FALSE), "")</f>
        <v>NA</v>
      </c>
    </row>
    <row r="5122" ht="15.75" customHeight="1">
      <c r="A5122" s="1" t="str">
        <f>IFERROR(__xludf.DUMMYFUNCTION("""COMPUTED_VALUE"""),"i confess")</f>
        <v>i confess</v>
      </c>
      <c r="B5122" s="1" t="str">
        <f>IF(A5122&lt;&gt;"", VLOOKUP(A5122, imdb_netflix_v5!A$2:H$7370, 2, FALSE), "")</f>
        <v>Movie</v>
      </c>
      <c r="C5122" s="2" t="str">
        <f>IF(A5122&lt;&gt;"", VLOOKUP(A5122, imdb_netflix_v5!A$2:H$7370, 3, FALSE), "")</f>
        <v>Crime, Drama, Thriller</v>
      </c>
      <c r="D5122" s="2">
        <f>IF(A5122&lt;&gt;"", VLOOKUP(A5122, imdb_netflix_v5!A$2:H$7370, 4, FALSE), "")</f>
        <v>7.2</v>
      </c>
      <c r="E5122" s="2">
        <f>IF(A5122&lt;&gt;"", VLOOKUP(A5122, imdb_netflix_v5!A$2:H$7370, 5, FALSE), "")</f>
        <v>1953</v>
      </c>
      <c r="F5122" s="2" t="str">
        <f>IF(A5122&lt;&gt;"", VLOOKUP(A5122, imdb_netflix_v5!A$2:H$7370, 7, FALSE), "")</f>
        <v>NA</v>
      </c>
    </row>
    <row r="5123" ht="15.75" customHeight="1">
      <c r="A5123" s="1" t="str">
        <f>IFERROR(__xludf.DUMMYFUNCTION("""COMPUTED_VALUE"""),"killjoys")</f>
        <v>killjoys</v>
      </c>
      <c r="B5123" s="1" t="str">
        <f>IF(A5123&lt;&gt;"", VLOOKUP(A5123, imdb_netflix_v5!A$2:H$7370, 2, FALSE), "")</f>
        <v>TV Show</v>
      </c>
      <c r="C5123" s="2" t="str">
        <f>IF(A5123&lt;&gt;"", VLOOKUP(A5123, imdb_netflix_v5!A$2:H$7370, 3, FALSE), "")</f>
        <v>Action, Adventure, Sci-Fi</v>
      </c>
      <c r="D5123" s="2">
        <f>IF(A5123&lt;&gt;"", VLOOKUP(A5123, imdb_netflix_v5!A$2:H$7370, 4, FALSE), "")</f>
        <v>7.2</v>
      </c>
      <c r="E5123" s="2">
        <f>IF(A5123&lt;&gt;"", VLOOKUP(A5123, imdb_netflix_v5!A$2:H$7370, 5, FALSE), "")</f>
        <v>2015</v>
      </c>
      <c r="F5123" s="2" t="str">
        <f>IF(A5123&lt;&gt;"", VLOOKUP(A5123, imdb_netflix_v5!A$2:H$7370, 7, FALSE), "")</f>
        <v>NA</v>
      </c>
    </row>
    <row r="5124" ht="15.75" customHeight="1">
      <c r="A5124" s="1" t="str">
        <f>IFERROR(__xludf.DUMMYFUNCTION("""COMPUTED_VALUE"""),"toilet a love story")</f>
        <v>toilet a love story</v>
      </c>
      <c r="B5124" s="1" t="str">
        <f>IF(A5124&lt;&gt;"", VLOOKUP(A5124, imdb_netflix_v5!A$2:H$7370, 2, FALSE), "")</f>
        <v>Movie</v>
      </c>
      <c r="C5124" s="2" t="str">
        <f>IF(A5124&lt;&gt;"", VLOOKUP(A5124, imdb_netflix_v5!A$2:H$7370, 3, FALSE), "")</f>
        <v>Comedy, Drama, Romance</v>
      </c>
      <c r="D5124" s="2">
        <f>IF(A5124&lt;&gt;"", VLOOKUP(A5124, imdb_netflix_v5!A$2:H$7370, 4, FALSE), "")</f>
        <v>7.2</v>
      </c>
      <c r="E5124" s="2">
        <f>IF(A5124&lt;&gt;"", VLOOKUP(A5124, imdb_netflix_v5!A$2:H$7370, 5, FALSE), "")</f>
        <v>2017</v>
      </c>
      <c r="F5124" s="2" t="str">
        <f>IF(A5124&lt;&gt;"", VLOOKUP(A5124, imdb_netflix_v5!A$2:H$7370, 7, FALSE), "")</f>
        <v>NA</v>
      </c>
    </row>
    <row r="5125" ht="15.75" customHeight="1">
      <c r="A5125" s="1" t="str">
        <f>IFERROR(__xludf.DUMMYFUNCTION("""COMPUTED_VALUE"""),"minamata")</f>
        <v>minamata</v>
      </c>
      <c r="B5125" s="1" t="str">
        <f>IF(A5125&lt;&gt;"", VLOOKUP(A5125, imdb_netflix_v5!A$2:H$7370, 2, FALSE), "")</f>
        <v>Movie</v>
      </c>
      <c r="C5125" s="2" t="str">
        <f>IF(A5125&lt;&gt;"", VLOOKUP(A5125, imdb_netflix_v5!A$2:H$7370, 3, FALSE), "")</f>
        <v>Drama</v>
      </c>
      <c r="D5125" s="2">
        <f>IF(A5125&lt;&gt;"", VLOOKUP(A5125, imdb_netflix_v5!A$2:H$7370, 4, FALSE), "")</f>
        <v>7.2</v>
      </c>
      <c r="E5125" s="2">
        <f>IF(A5125&lt;&gt;"", VLOOKUP(A5125, imdb_netflix_v5!A$2:H$7370, 5, FALSE), "")</f>
        <v>2020</v>
      </c>
      <c r="F5125" s="2" t="str">
        <f>IF(A5125&lt;&gt;"", VLOOKUP(A5125, imdb_netflix_v5!A$2:H$7370, 7, FALSE), "")</f>
        <v>NA</v>
      </c>
    </row>
    <row r="5126" ht="15.75" customHeight="1">
      <c r="A5126" s="1" t="str">
        <f>IFERROR(__xludf.DUMMYFUNCTION("""COMPUTED_VALUE"""),"hung")</f>
        <v>hung</v>
      </c>
      <c r="B5126" s="1" t="str">
        <f>IF(A5126&lt;&gt;"", VLOOKUP(A5126, imdb_netflix_v5!A$2:H$7370, 2, FALSE), "")</f>
        <v>TV Show</v>
      </c>
      <c r="C5126" s="2" t="str">
        <f>IF(A5126&lt;&gt;"", VLOOKUP(A5126, imdb_netflix_v5!A$2:H$7370, 3, FALSE), "")</f>
        <v>Comedy, Drama</v>
      </c>
      <c r="D5126" s="2">
        <f>IF(A5126&lt;&gt;"", VLOOKUP(A5126, imdb_netflix_v5!A$2:H$7370, 4, FALSE), "")</f>
        <v>7.2</v>
      </c>
      <c r="E5126" s="2">
        <f>IF(A5126&lt;&gt;"", VLOOKUP(A5126, imdb_netflix_v5!A$2:H$7370, 5, FALSE), "")</f>
        <v>2009</v>
      </c>
      <c r="F5126" s="2" t="str">
        <f>IF(A5126&lt;&gt;"", VLOOKUP(A5126, imdb_netflix_v5!A$2:H$7370, 7, FALSE), "")</f>
        <v>NA</v>
      </c>
    </row>
    <row r="5127" ht="15.75" customHeight="1">
      <c r="A5127" s="1" t="str">
        <f>IFERROR(__xludf.DUMMYFUNCTION("""COMPUTED_VALUE"""),"codename kids next door")</f>
        <v>codename kids next door</v>
      </c>
      <c r="B5127" s="1" t="str">
        <f>IF(A5127&lt;&gt;"", VLOOKUP(A5127, imdb_netflix_v5!A$2:H$7370, 2, FALSE), "")</f>
        <v>TV Show</v>
      </c>
      <c r="C5127" s="2" t="str">
        <f>IF(A5127&lt;&gt;"", VLOOKUP(A5127, imdb_netflix_v5!A$2:H$7370, 3, FALSE), "")</f>
        <v>Action, Adventure, Animation</v>
      </c>
      <c r="D5127" s="2">
        <f>IF(A5127&lt;&gt;"", VLOOKUP(A5127, imdb_netflix_v5!A$2:H$7370, 4, FALSE), "")</f>
        <v>7.2</v>
      </c>
      <c r="E5127" s="2">
        <f>IF(A5127&lt;&gt;"", VLOOKUP(A5127, imdb_netflix_v5!A$2:H$7370, 5, FALSE), "")</f>
        <v>2002</v>
      </c>
      <c r="F5127" s="2" t="str">
        <f>IF(A5127&lt;&gt;"", VLOOKUP(A5127, imdb_netflix_v5!A$2:H$7370, 7, FALSE), "")</f>
        <v>NA</v>
      </c>
    </row>
    <row r="5128" ht="15.75" customHeight="1">
      <c r="A5128" s="1" t="str">
        <f>IFERROR(__xludf.DUMMYFUNCTION("""COMPUTED_VALUE"""),"hells kitchen")</f>
        <v>hells kitchen</v>
      </c>
      <c r="B5128" s="1" t="str">
        <f>IF(A5128&lt;&gt;"", VLOOKUP(A5128, imdb_netflix_v5!A$2:H$7370, 2, FALSE), "")</f>
        <v>TV Show</v>
      </c>
      <c r="C5128" s="2" t="str">
        <f>IF(A5128&lt;&gt;"", VLOOKUP(A5128, imdb_netflix_v5!A$2:H$7370, 3, FALSE), "")</f>
        <v>Game-Show, Reality-TV</v>
      </c>
      <c r="D5128" s="2">
        <f>IF(A5128&lt;&gt;"", VLOOKUP(A5128, imdb_netflix_v5!A$2:H$7370, 4, FALSE), "")</f>
        <v>7.2</v>
      </c>
      <c r="E5128" s="2">
        <f>IF(A5128&lt;&gt;"", VLOOKUP(A5128, imdb_netflix_v5!A$2:H$7370, 5, FALSE), "")</f>
        <v>2005</v>
      </c>
      <c r="F5128" s="2" t="str">
        <f>IF(A5128&lt;&gt;"", VLOOKUP(A5128, imdb_netflix_v5!A$2:H$7370, 7, FALSE), "")</f>
        <v>NA</v>
      </c>
    </row>
    <row r="5129" ht="15.75" customHeight="1">
      <c r="A5129" s="1" t="str">
        <f>IFERROR(__xludf.DUMMYFUNCTION("""COMPUTED_VALUE"""),"armour of god 2 operation condor")</f>
        <v>armour of god 2 operation condor</v>
      </c>
      <c r="B5129" s="1" t="str">
        <f>IF(A5129&lt;&gt;"", VLOOKUP(A5129, imdb_netflix_v5!A$2:H$7370, 2, FALSE), "")</f>
        <v>Movie</v>
      </c>
      <c r="C5129" s="2" t="str">
        <f>IF(A5129&lt;&gt;"", VLOOKUP(A5129, imdb_netflix_v5!A$2:H$7370, 3, FALSE), "")</f>
        <v>Action, Adventure, Comedy</v>
      </c>
      <c r="D5129" s="2">
        <f>IF(A5129&lt;&gt;"", VLOOKUP(A5129, imdb_netflix_v5!A$2:H$7370, 4, FALSE), "")</f>
        <v>7.2</v>
      </c>
      <c r="E5129" s="2">
        <f>IF(A5129&lt;&gt;"", VLOOKUP(A5129, imdb_netflix_v5!A$2:H$7370, 5, FALSE), "")</f>
        <v>1991</v>
      </c>
      <c r="F5129" s="2" t="str">
        <f>IF(A5129&lt;&gt;"", VLOOKUP(A5129, imdb_netflix_v5!A$2:H$7370, 7, FALSE), "")</f>
        <v>NA</v>
      </c>
    </row>
    <row r="5130" ht="15.75" customHeight="1">
      <c r="A5130" s="1" t="str">
        <f>IFERROR(__xludf.DUMMYFUNCTION("""COMPUTED_VALUE"""),"the express")</f>
        <v>the express</v>
      </c>
      <c r="B5130" s="1" t="str">
        <f>IF(A5130&lt;&gt;"", VLOOKUP(A5130, imdb_netflix_v5!A$2:H$7370, 2, FALSE), "")</f>
        <v>Movie</v>
      </c>
      <c r="C5130" s="2" t="str">
        <f>IF(A5130&lt;&gt;"", VLOOKUP(A5130, imdb_netflix_v5!A$2:H$7370, 3, FALSE), "")</f>
        <v>Biography, Drama, Sport</v>
      </c>
      <c r="D5130" s="2">
        <f>IF(A5130&lt;&gt;"", VLOOKUP(A5130, imdb_netflix_v5!A$2:H$7370, 4, FALSE), "")</f>
        <v>7.2</v>
      </c>
      <c r="E5130" s="2">
        <f>IF(A5130&lt;&gt;"", VLOOKUP(A5130, imdb_netflix_v5!A$2:H$7370, 5, FALSE), "")</f>
        <v>2008</v>
      </c>
      <c r="F5130" s="2" t="str">
        <f>IF(A5130&lt;&gt;"", VLOOKUP(A5130, imdb_netflix_v5!A$2:H$7370, 7, FALSE), "")</f>
        <v>NA</v>
      </c>
    </row>
    <row r="5131" ht="15.75" customHeight="1">
      <c r="A5131" s="1" t="str">
        <f>IFERROR(__xludf.DUMMYFUNCTION("""COMPUTED_VALUE"""),"eight men out")</f>
        <v>eight men out</v>
      </c>
      <c r="B5131" s="1" t="str">
        <f>IF(A5131&lt;&gt;"", VLOOKUP(A5131, imdb_netflix_v5!A$2:H$7370, 2, FALSE), "")</f>
        <v>Movie</v>
      </c>
      <c r="C5131" s="2" t="str">
        <f>IF(A5131&lt;&gt;"", VLOOKUP(A5131, imdb_netflix_v5!A$2:H$7370, 3, FALSE), "")</f>
        <v>Drama, History, Sport</v>
      </c>
      <c r="D5131" s="2">
        <f>IF(A5131&lt;&gt;"", VLOOKUP(A5131, imdb_netflix_v5!A$2:H$7370, 4, FALSE), "")</f>
        <v>7.2</v>
      </c>
      <c r="E5131" s="2">
        <f>IF(A5131&lt;&gt;"", VLOOKUP(A5131, imdb_netflix_v5!A$2:H$7370, 5, FALSE), "")</f>
        <v>1988</v>
      </c>
      <c r="F5131" s="2" t="str">
        <f>IF(A5131&lt;&gt;"", VLOOKUP(A5131, imdb_netflix_v5!A$2:H$7370, 7, FALSE), "")</f>
        <v>NA</v>
      </c>
    </row>
    <row r="5132" ht="15.75" customHeight="1">
      <c r="A5132" s="1" t="str">
        <f>IFERROR(__xludf.DUMMYFUNCTION("""COMPUTED_VALUE"""),"private life")</f>
        <v>private life</v>
      </c>
      <c r="B5132" s="1" t="str">
        <f>IF(A5132&lt;&gt;"", VLOOKUP(A5132, imdb_netflix_v5!A$2:H$7370, 2, FALSE), "")</f>
        <v>Movie</v>
      </c>
      <c r="C5132" s="2" t="str">
        <f>IF(A5132&lt;&gt;"", VLOOKUP(A5132, imdb_netflix_v5!A$2:H$7370, 3, FALSE), "")</f>
        <v>Comedy, Drama</v>
      </c>
      <c r="D5132" s="2">
        <f>IF(A5132&lt;&gt;"", VLOOKUP(A5132, imdb_netflix_v5!A$2:H$7370, 4, FALSE), "")</f>
        <v>7.2</v>
      </c>
      <c r="E5132" s="2">
        <f>IF(A5132&lt;&gt;"", VLOOKUP(A5132, imdb_netflix_v5!A$2:H$7370, 5, FALSE), "")</f>
        <v>2018</v>
      </c>
      <c r="F5132" s="2" t="str">
        <f>IF(A5132&lt;&gt;"", VLOOKUP(A5132, imdb_netflix_v5!A$2:H$7370, 7, FALSE), "")</f>
        <v>NA</v>
      </c>
    </row>
    <row r="5133" ht="15.75" customHeight="1">
      <c r="A5133" s="1" t="str">
        <f>IFERROR(__xludf.DUMMYFUNCTION("""COMPUTED_VALUE"""),"russian ark")</f>
        <v>russian ark</v>
      </c>
      <c r="B5133" s="1" t="str">
        <f>IF(A5133&lt;&gt;"", VLOOKUP(A5133, imdb_netflix_v5!A$2:H$7370, 2, FALSE), "")</f>
        <v>Movie</v>
      </c>
      <c r="C5133" s="2" t="str">
        <f>IF(A5133&lt;&gt;"", VLOOKUP(A5133, imdb_netflix_v5!A$2:H$7370, 3, FALSE), "")</f>
        <v>Drama, Fantasy, History</v>
      </c>
      <c r="D5133" s="2">
        <f>IF(A5133&lt;&gt;"", VLOOKUP(A5133, imdb_netflix_v5!A$2:H$7370, 4, FALSE), "")</f>
        <v>7.2</v>
      </c>
      <c r="E5133" s="2">
        <f>IF(A5133&lt;&gt;"", VLOOKUP(A5133, imdb_netflix_v5!A$2:H$7370, 5, FALSE), "")</f>
        <v>2002</v>
      </c>
      <c r="F5133" s="2" t="str">
        <f>IF(A5133&lt;&gt;"", VLOOKUP(A5133, imdb_netflix_v5!A$2:H$7370, 7, FALSE), "")</f>
        <v>NA</v>
      </c>
    </row>
    <row r="5134" ht="15.75" customHeight="1">
      <c r="A5134" s="1" t="str">
        <f>IFERROR(__xludf.DUMMYFUNCTION("""COMPUTED_VALUE"""),"mulk")</f>
        <v>mulk</v>
      </c>
      <c r="B5134" s="1" t="str">
        <f>IF(A5134&lt;&gt;"", VLOOKUP(A5134, imdb_netflix_v5!A$2:H$7370, 2, FALSE), "")</f>
        <v>Movie</v>
      </c>
      <c r="C5134" s="2" t="str">
        <f>IF(A5134&lt;&gt;"", VLOOKUP(A5134, imdb_netflix_v5!A$2:H$7370, 3, FALSE), "")</f>
        <v>Drama</v>
      </c>
      <c r="D5134" s="2">
        <f>IF(A5134&lt;&gt;"", VLOOKUP(A5134, imdb_netflix_v5!A$2:H$7370, 4, FALSE), "")</f>
        <v>7.2</v>
      </c>
      <c r="E5134" s="2">
        <f>IF(A5134&lt;&gt;"", VLOOKUP(A5134, imdb_netflix_v5!A$2:H$7370, 5, FALSE), "")</f>
        <v>2018</v>
      </c>
      <c r="F5134" s="2" t="str">
        <f>IF(A5134&lt;&gt;"", VLOOKUP(A5134, imdb_netflix_v5!A$2:H$7370, 7, FALSE), "")</f>
        <v>NA</v>
      </c>
    </row>
    <row r="5135" ht="15.75" customHeight="1">
      <c r="A5135" s="1" t="str">
        <f>IFERROR(__xludf.DUMMYFUNCTION("""COMPUTED_VALUE"""),"defending your life")</f>
        <v>defending your life</v>
      </c>
      <c r="B5135" s="1" t="str">
        <f>IF(A5135&lt;&gt;"", VLOOKUP(A5135, imdb_netflix_v5!A$2:H$7370, 2, FALSE), "")</f>
        <v>Movie</v>
      </c>
      <c r="C5135" s="2" t="str">
        <f>IF(A5135&lt;&gt;"", VLOOKUP(A5135, imdb_netflix_v5!A$2:H$7370, 3, FALSE), "")</f>
        <v>Comedy, Drama, Fantasy</v>
      </c>
      <c r="D5135" s="2">
        <f>IF(A5135&lt;&gt;"", VLOOKUP(A5135, imdb_netflix_v5!A$2:H$7370, 4, FALSE), "")</f>
        <v>7.2</v>
      </c>
      <c r="E5135" s="2">
        <f>IF(A5135&lt;&gt;"", VLOOKUP(A5135, imdb_netflix_v5!A$2:H$7370, 5, FALSE), "")</f>
        <v>1991</v>
      </c>
      <c r="F5135" s="2" t="str">
        <f>IF(A5135&lt;&gt;"", VLOOKUP(A5135, imdb_netflix_v5!A$2:H$7370, 7, FALSE), "")</f>
        <v>NA</v>
      </c>
    </row>
    <row r="5136" ht="15.75" customHeight="1">
      <c r="A5136" s="1" t="str">
        <f>IFERROR(__xludf.DUMMYFUNCTION("""COMPUTED_VALUE"""),"the smurfs")</f>
        <v>the smurfs</v>
      </c>
      <c r="B5136" s="1" t="str">
        <f>IF(A5136&lt;&gt;"", VLOOKUP(A5136, imdb_netflix_v5!A$2:H$7370, 2, FALSE), "")</f>
        <v>TV Show</v>
      </c>
      <c r="C5136" s="2" t="str">
        <f>IF(A5136&lt;&gt;"", VLOOKUP(A5136, imdb_netflix_v5!A$2:H$7370, 3, FALSE), "")</f>
        <v>Adventure, Animation, Comedy</v>
      </c>
      <c r="D5136" s="2">
        <f>IF(A5136&lt;&gt;"", VLOOKUP(A5136, imdb_netflix_v5!A$2:H$7370, 4, FALSE), "")</f>
        <v>7.2</v>
      </c>
      <c r="E5136" s="2">
        <f>IF(A5136&lt;&gt;"", VLOOKUP(A5136, imdb_netflix_v5!A$2:H$7370, 5, FALSE), "")</f>
        <v>1981</v>
      </c>
      <c r="F5136" s="2">
        <f>IF(A5136&lt;&gt;"", VLOOKUP(A5136, imdb_netflix_v5!A$2:H$7370, 7, FALSE), "")</f>
        <v>9220000</v>
      </c>
    </row>
    <row r="5137" ht="15.75" customHeight="1">
      <c r="A5137" s="1" t="str">
        <f>IFERROR(__xludf.DUMMYFUNCTION("""COMPUTED_VALUE"""),"pat garrett &amp; billy the kid")</f>
        <v>pat garrett &amp; billy the kid</v>
      </c>
      <c r="B5137" s="1" t="str">
        <f>IF(A5137&lt;&gt;"", VLOOKUP(A5137, imdb_netflix_v5!A$2:H$7370, 2, FALSE), "")</f>
        <v>Movie</v>
      </c>
      <c r="C5137" s="2" t="str">
        <f>IF(A5137&lt;&gt;"", VLOOKUP(A5137, imdb_netflix_v5!A$2:H$7370, 3, FALSE), "")</f>
        <v>Biography, Drama, Western</v>
      </c>
      <c r="D5137" s="2">
        <f>IF(A5137&lt;&gt;"", VLOOKUP(A5137, imdb_netflix_v5!A$2:H$7370, 4, FALSE), "")</f>
        <v>7.2</v>
      </c>
      <c r="E5137" s="2">
        <f>IF(A5137&lt;&gt;"", VLOOKUP(A5137, imdb_netflix_v5!A$2:H$7370, 5, FALSE), "")</f>
        <v>1973</v>
      </c>
      <c r="F5137" s="2" t="str">
        <f>IF(A5137&lt;&gt;"", VLOOKUP(A5137, imdb_netflix_v5!A$2:H$7370, 7, FALSE), "")</f>
        <v>NA</v>
      </c>
    </row>
    <row r="5138" ht="15.75" customHeight="1">
      <c r="A5138" s="1" t="str">
        <f>IFERROR(__xludf.DUMMYFUNCTION("""COMPUTED_VALUE"""),"glitch")</f>
        <v>glitch</v>
      </c>
      <c r="B5138" s="1" t="str">
        <f>IF(A5138&lt;&gt;"", VLOOKUP(A5138, imdb_netflix_v5!A$2:H$7370, 2, FALSE), "")</f>
        <v>TV Show</v>
      </c>
      <c r="C5138" s="2" t="str">
        <f>IF(A5138&lt;&gt;"", VLOOKUP(A5138, imdb_netflix_v5!A$2:H$7370, 3, FALSE), "")</f>
        <v>Drama, Horror, Sci-Fi</v>
      </c>
      <c r="D5138" s="2">
        <f>IF(A5138&lt;&gt;"", VLOOKUP(A5138, imdb_netflix_v5!A$2:H$7370, 4, FALSE), "")</f>
        <v>7.2</v>
      </c>
      <c r="E5138" s="2">
        <f>IF(A5138&lt;&gt;"", VLOOKUP(A5138, imdb_netflix_v5!A$2:H$7370, 5, FALSE), "")</f>
        <v>2015</v>
      </c>
      <c r="F5138" s="2">
        <f>IF(A5138&lt;&gt;"", VLOOKUP(A5138, imdb_netflix_v5!A$2:H$7370, 7, FALSE), "")</f>
        <v>7440000</v>
      </c>
    </row>
    <row r="5139" ht="15.75" customHeight="1">
      <c r="A5139" s="1" t="str">
        <f>IFERROR(__xludf.DUMMYFUNCTION("""COMPUTED_VALUE"""),"an officer and a spy")</f>
        <v>an officer and a spy</v>
      </c>
      <c r="B5139" s="1" t="str">
        <f>IF(A5139&lt;&gt;"", VLOOKUP(A5139, imdb_netflix_v5!A$2:H$7370, 2, FALSE), "")</f>
        <v>Movie</v>
      </c>
      <c r="C5139" s="2" t="str">
        <f>IF(A5139&lt;&gt;"", VLOOKUP(A5139, imdb_netflix_v5!A$2:H$7370, 3, FALSE), "")</f>
        <v>Drama, History, Thriller</v>
      </c>
      <c r="D5139" s="2">
        <f>IF(A5139&lt;&gt;"", VLOOKUP(A5139, imdb_netflix_v5!A$2:H$7370, 4, FALSE), "")</f>
        <v>7.2</v>
      </c>
      <c r="E5139" s="2">
        <f>IF(A5139&lt;&gt;"", VLOOKUP(A5139, imdb_netflix_v5!A$2:H$7370, 5, FALSE), "")</f>
        <v>2019</v>
      </c>
      <c r="F5139" s="2" t="str">
        <f>IF(A5139&lt;&gt;"", VLOOKUP(A5139, imdb_netflix_v5!A$2:H$7370, 7, FALSE), "")</f>
        <v>NA</v>
      </c>
    </row>
    <row r="5140" ht="15.75" customHeight="1">
      <c r="A5140" s="1" t="str">
        <f>IFERROR(__xludf.DUMMYFUNCTION("""COMPUTED_VALUE"""),"columbus")</f>
        <v>columbus</v>
      </c>
      <c r="B5140" s="1" t="str">
        <f>IF(A5140&lt;&gt;"", VLOOKUP(A5140, imdb_netflix_v5!A$2:H$7370, 2, FALSE), "")</f>
        <v>Movie</v>
      </c>
      <c r="C5140" s="2" t="str">
        <f>IF(A5140&lt;&gt;"", VLOOKUP(A5140, imdb_netflix_v5!A$2:H$7370, 3, FALSE), "")</f>
        <v>Drama</v>
      </c>
      <c r="D5140" s="2">
        <f>IF(A5140&lt;&gt;"", VLOOKUP(A5140, imdb_netflix_v5!A$2:H$7370, 4, FALSE), "")</f>
        <v>7.2</v>
      </c>
      <c r="E5140" s="2">
        <f>IF(A5140&lt;&gt;"", VLOOKUP(A5140, imdb_netflix_v5!A$2:H$7370, 5, FALSE), "")</f>
        <v>2017</v>
      </c>
      <c r="F5140" s="2" t="str">
        <f>IF(A5140&lt;&gt;"", VLOOKUP(A5140, imdb_netflix_v5!A$2:H$7370, 7, FALSE), "")</f>
        <v>NA</v>
      </c>
    </row>
    <row r="5141" ht="15.75" customHeight="1">
      <c r="A5141" s="1" t="str">
        <f>IFERROR(__xludf.DUMMYFUNCTION("""COMPUTED_VALUE"""),"danny phantom")</f>
        <v>danny phantom</v>
      </c>
      <c r="B5141" s="1" t="str">
        <f>IF(A5141&lt;&gt;"", VLOOKUP(A5141, imdb_netflix_v5!A$2:H$7370, 2, FALSE), "")</f>
        <v>TV Show</v>
      </c>
      <c r="C5141" s="2" t="str">
        <f>IF(A5141&lt;&gt;"", VLOOKUP(A5141, imdb_netflix_v5!A$2:H$7370, 3, FALSE), "")</f>
        <v>Action, Adventure, Animation</v>
      </c>
      <c r="D5141" s="2">
        <f>IF(A5141&lt;&gt;"", VLOOKUP(A5141, imdb_netflix_v5!A$2:H$7370, 4, FALSE), "")</f>
        <v>7.2</v>
      </c>
      <c r="E5141" s="2">
        <f>IF(A5141&lt;&gt;"", VLOOKUP(A5141, imdb_netflix_v5!A$2:H$7370, 5, FALSE), "")</f>
        <v>2003</v>
      </c>
      <c r="F5141" s="2" t="str">
        <f>IF(A5141&lt;&gt;"", VLOOKUP(A5141, imdb_netflix_v5!A$2:H$7370, 7, FALSE), "")</f>
        <v>NA</v>
      </c>
    </row>
    <row r="5142" ht="15.75" customHeight="1">
      <c r="A5142" s="1" t="str">
        <f>IFERROR(__xludf.DUMMYFUNCTION("""COMPUTED_VALUE"""),"tape")</f>
        <v>tape</v>
      </c>
      <c r="B5142" s="1" t="str">
        <f>IF(A5142&lt;&gt;"", VLOOKUP(A5142, imdb_netflix_v5!A$2:H$7370, 2, FALSE), "")</f>
        <v>Movie</v>
      </c>
      <c r="C5142" s="2" t="str">
        <f>IF(A5142&lt;&gt;"", VLOOKUP(A5142, imdb_netflix_v5!A$2:H$7370, 3, FALSE), "")</f>
        <v>Drama</v>
      </c>
      <c r="D5142" s="2">
        <f>IF(A5142&lt;&gt;"", VLOOKUP(A5142, imdb_netflix_v5!A$2:H$7370, 4, FALSE), "")</f>
        <v>7.2</v>
      </c>
      <c r="E5142" s="2">
        <f>IF(A5142&lt;&gt;"", VLOOKUP(A5142, imdb_netflix_v5!A$2:H$7370, 5, FALSE), "")</f>
        <v>2001</v>
      </c>
      <c r="F5142" s="2" t="str">
        <f>IF(A5142&lt;&gt;"", VLOOKUP(A5142, imdb_netflix_v5!A$2:H$7370, 7, FALSE), "")</f>
        <v>NA</v>
      </c>
    </row>
    <row r="5143" ht="15.75" customHeight="1">
      <c r="A5143" s="1" t="str">
        <f>IFERROR(__xludf.DUMMYFUNCTION("""COMPUTED_VALUE"""),"quadrophenia")</f>
        <v>quadrophenia</v>
      </c>
      <c r="B5143" s="1" t="str">
        <f>IF(A5143&lt;&gt;"", VLOOKUP(A5143, imdb_netflix_v5!A$2:H$7370, 2, FALSE), "")</f>
        <v>Movie</v>
      </c>
      <c r="C5143" s="2" t="str">
        <f>IF(A5143&lt;&gt;"", VLOOKUP(A5143, imdb_netflix_v5!A$2:H$7370, 3, FALSE), "")</f>
        <v>Drama, Music</v>
      </c>
      <c r="D5143" s="2">
        <f>IF(A5143&lt;&gt;"", VLOOKUP(A5143, imdb_netflix_v5!A$2:H$7370, 4, FALSE), "")</f>
        <v>7.2</v>
      </c>
      <c r="E5143" s="2">
        <f>IF(A5143&lt;&gt;"", VLOOKUP(A5143, imdb_netflix_v5!A$2:H$7370, 5, FALSE), "")</f>
        <v>1979</v>
      </c>
      <c r="F5143" s="2" t="str">
        <f>IF(A5143&lt;&gt;"", VLOOKUP(A5143, imdb_netflix_v5!A$2:H$7370, 7, FALSE), "")</f>
        <v>NA</v>
      </c>
    </row>
    <row r="5144" ht="15.75" customHeight="1">
      <c r="A5144" s="1" t="str">
        <f>IFERROR(__xludf.DUMMYFUNCTION("""COMPUTED_VALUE"""),"brassed off")</f>
        <v>brassed off</v>
      </c>
      <c r="B5144" s="1" t="str">
        <f>IF(A5144&lt;&gt;"", VLOOKUP(A5144, imdb_netflix_v5!A$2:H$7370, 2, FALSE), "")</f>
        <v>Movie</v>
      </c>
      <c r="C5144" s="2" t="str">
        <f>IF(A5144&lt;&gt;"", VLOOKUP(A5144, imdb_netflix_v5!A$2:H$7370, 3, FALSE), "")</f>
        <v>Comedy, Drama, Music</v>
      </c>
      <c r="D5144" s="2">
        <f>IF(A5144&lt;&gt;"", VLOOKUP(A5144, imdb_netflix_v5!A$2:H$7370, 4, FALSE), "")</f>
        <v>7.2</v>
      </c>
      <c r="E5144" s="2">
        <f>IF(A5144&lt;&gt;"", VLOOKUP(A5144, imdb_netflix_v5!A$2:H$7370, 5, FALSE), "")</f>
        <v>1996</v>
      </c>
      <c r="F5144" s="2" t="str">
        <f>IF(A5144&lt;&gt;"", VLOOKUP(A5144, imdb_netflix_v5!A$2:H$7370, 7, FALSE), "")</f>
        <v>NA</v>
      </c>
    </row>
    <row r="5145" ht="15.75" customHeight="1">
      <c r="A5145" s="1" t="str">
        <f>IFERROR(__xludf.DUMMYFUNCTION("""COMPUTED_VALUE"""),"in your name")</f>
        <v>in your name</v>
      </c>
      <c r="B5145" s="1" t="str">
        <f>IF(A5145&lt;&gt;"", VLOOKUP(A5145, imdb_netflix_v5!A$2:H$7370, 2, FALSE), "")</f>
        <v>Movie</v>
      </c>
      <c r="C5145" s="2" t="str">
        <f>IF(A5145&lt;&gt;"", VLOOKUP(A5145, imdb_netflix_v5!A$2:H$7370, 3, FALSE), "")</f>
        <v>Action, Drama, Romance</v>
      </c>
      <c r="D5145" s="2">
        <f>IF(A5145&lt;&gt;"", VLOOKUP(A5145, imdb_netflix_v5!A$2:H$7370, 4, FALSE), "")</f>
        <v>7.2</v>
      </c>
      <c r="E5145" s="2">
        <f>IF(A5145&lt;&gt;"", VLOOKUP(A5145, imdb_netflix_v5!A$2:H$7370, 5, FALSE), "")</f>
        <v>2003</v>
      </c>
      <c r="F5145" s="2" t="str">
        <f>IF(A5145&lt;&gt;"", VLOOKUP(A5145, imdb_netflix_v5!A$2:H$7370, 7, FALSE), "")</f>
        <v>NA</v>
      </c>
    </row>
    <row r="5146" ht="15.75" customHeight="1">
      <c r="A5146" s="1" t="str">
        <f>IFERROR(__xludf.DUMMYFUNCTION("""COMPUTED_VALUE"""),"first they killed my father")</f>
        <v>first they killed my father</v>
      </c>
      <c r="B5146" s="1" t="str">
        <f>IF(A5146&lt;&gt;"", VLOOKUP(A5146, imdb_netflix_v5!A$2:H$7370, 2, FALSE), "")</f>
        <v>Movie</v>
      </c>
      <c r="C5146" s="2" t="str">
        <f>IF(A5146&lt;&gt;"", VLOOKUP(A5146, imdb_netflix_v5!A$2:H$7370, 3, FALSE), "")</f>
        <v>Biography, Drama, History</v>
      </c>
      <c r="D5146" s="2">
        <f>IF(A5146&lt;&gt;"", VLOOKUP(A5146, imdb_netflix_v5!A$2:H$7370, 4, FALSE), "")</f>
        <v>7.2</v>
      </c>
      <c r="E5146" s="2">
        <f>IF(A5146&lt;&gt;"", VLOOKUP(A5146, imdb_netflix_v5!A$2:H$7370, 5, FALSE), "")</f>
        <v>2017</v>
      </c>
      <c r="F5146" s="2" t="str">
        <f>IF(A5146&lt;&gt;"", VLOOKUP(A5146, imdb_netflix_v5!A$2:H$7370, 7, FALSE), "")</f>
        <v>NA</v>
      </c>
    </row>
    <row r="5147" ht="15.75" customHeight="1">
      <c r="A5147" s="1" t="str">
        <f>IFERROR(__xludf.DUMMYFUNCTION("""COMPUTED_VALUE"""),"batman the long halloween, part one")</f>
        <v>batman the long halloween, part one</v>
      </c>
      <c r="B5147" s="1" t="str">
        <f>IF(A5147&lt;&gt;"", VLOOKUP(A5147, imdb_netflix_v5!A$2:H$7370, 2, FALSE), "")</f>
        <v>Movie</v>
      </c>
      <c r="C5147" s="2" t="str">
        <f>IF(A5147&lt;&gt;"", VLOOKUP(A5147, imdb_netflix_v5!A$2:H$7370, 3, FALSE), "")</f>
        <v>Action, Animation, Crime</v>
      </c>
      <c r="D5147" s="2">
        <f>IF(A5147&lt;&gt;"", VLOOKUP(A5147, imdb_netflix_v5!A$2:H$7370, 4, FALSE), "")</f>
        <v>7.2</v>
      </c>
      <c r="E5147" s="2">
        <f>IF(A5147&lt;&gt;"", VLOOKUP(A5147, imdb_netflix_v5!A$2:H$7370, 5, FALSE), "")</f>
        <v>2021</v>
      </c>
      <c r="F5147" s="2" t="str">
        <f>IF(A5147&lt;&gt;"", VLOOKUP(A5147, imdb_netflix_v5!A$2:H$7370, 7, FALSE), "")</f>
        <v>NA</v>
      </c>
    </row>
    <row r="5148" ht="15.75" customHeight="1">
      <c r="A5148" s="1" t="str">
        <f>IFERROR(__xludf.DUMMYFUNCTION("""COMPUTED_VALUE"""),"fahrenheit 11/9")</f>
        <v>fahrenheit 11/9</v>
      </c>
      <c r="B5148" s="1" t="str">
        <f>IF(A5148&lt;&gt;"", VLOOKUP(A5148, imdb_netflix_v5!A$2:H$7370, 2, FALSE), "")</f>
        <v>Movie</v>
      </c>
      <c r="C5148" s="2" t="str">
        <f>IF(A5148&lt;&gt;"", VLOOKUP(A5148, imdb_netflix_v5!A$2:H$7370, 3, FALSE), "")</f>
        <v>Documentary</v>
      </c>
      <c r="D5148" s="2">
        <f>IF(A5148&lt;&gt;"", VLOOKUP(A5148, imdb_netflix_v5!A$2:H$7370, 4, FALSE), "")</f>
        <v>7.2</v>
      </c>
      <c r="E5148" s="2">
        <f>IF(A5148&lt;&gt;"", VLOOKUP(A5148, imdb_netflix_v5!A$2:H$7370, 5, FALSE), "")</f>
        <v>2018</v>
      </c>
      <c r="F5148" s="2" t="str">
        <f>IF(A5148&lt;&gt;"", VLOOKUP(A5148, imdb_netflix_v5!A$2:H$7370, 7, FALSE), "")</f>
        <v>NA</v>
      </c>
    </row>
    <row r="5149" ht="15.75" customHeight="1">
      <c r="A5149" s="1" t="str">
        <f>IFERROR(__xludf.DUMMYFUNCTION("""COMPUTED_VALUE"""),"its all gone pete tong")</f>
        <v>its all gone pete tong</v>
      </c>
      <c r="B5149" s="1" t="str">
        <f>IF(A5149&lt;&gt;"", VLOOKUP(A5149, imdb_netflix_v5!A$2:H$7370, 2, FALSE), "")</f>
        <v>Movie</v>
      </c>
      <c r="C5149" s="2" t="str">
        <f>IF(A5149&lt;&gt;"", VLOOKUP(A5149, imdb_netflix_v5!A$2:H$7370, 3, FALSE), "")</f>
        <v>Biography, Comedy, Drama</v>
      </c>
      <c r="D5149" s="2">
        <f>IF(A5149&lt;&gt;"", VLOOKUP(A5149, imdb_netflix_v5!A$2:H$7370, 4, FALSE), "")</f>
        <v>7.2</v>
      </c>
      <c r="E5149" s="2">
        <f>IF(A5149&lt;&gt;"", VLOOKUP(A5149, imdb_netflix_v5!A$2:H$7370, 5, FALSE), "")</f>
        <v>2004</v>
      </c>
      <c r="F5149" s="2" t="str">
        <f>IF(A5149&lt;&gt;"", VLOOKUP(A5149, imdb_netflix_v5!A$2:H$7370, 7, FALSE), "")</f>
        <v>NA</v>
      </c>
    </row>
    <row r="5150" ht="15.75" customHeight="1">
      <c r="A5150" s="1" t="str">
        <f>IFERROR(__xludf.DUMMYFUNCTION("""COMPUTED_VALUE"""),"the beat that my heart skipped")</f>
        <v>the beat that my heart skipped</v>
      </c>
      <c r="B5150" s="1" t="str">
        <f>IF(A5150&lt;&gt;"", VLOOKUP(A5150, imdb_netflix_v5!A$2:H$7370, 2, FALSE), "")</f>
        <v>Movie</v>
      </c>
      <c r="C5150" s="2" t="str">
        <f>IF(A5150&lt;&gt;"", VLOOKUP(A5150, imdb_netflix_v5!A$2:H$7370, 3, FALSE), "")</f>
        <v>Crime, Drama, Music</v>
      </c>
      <c r="D5150" s="2">
        <f>IF(A5150&lt;&gt;"", VLOOKUP(A5150, imdb_netflix_v5!A$2:H$7370, 4, FALSE), "")</f>
        <v>7.2</v>
      </c>
      <c r="E5150" s="2">
        <f>IF(A5150&lt;&gt;"", VLOOKUP(A5150, imdb_netflix_v5!A$2:H$7370, 5, FALSE), "")</f>
        <v>2005</v>
      </c>
      <c r="F5150" s="2" t="str">
        <f>IF(A5150&lt;&gt;"", VLOOKUP(A5150, imdb_netflix_v5!A$2:H$7370, 7, FALSE), "")</f>
        <v>NA</v>
      </c>
    </row>
    <row r="5151" ht="15.75" customHeight="1">
      <c r="A5151" s="1" t="str">
        <f>IFERROR(__xludf.DUMMYFUNCTION("""COMPUTED_VALUE"""),"merry christmas mr. lawrence")</f>
        <v>merry christmas mr. lawrence</v>
      </c>
      <c r="B5151" s="1" t="str">
        <f>IF(A5151&lt;&gt;"", VLOOKUP(A5151, imdb_netflix_v5!A$2:H$7370, 2, FALSE), "")</f>
        <v>Movie</v>
      </c>
      <c r="C5151" s="2" t="str">
        <f>IF(A5151&lt;&gt;"", VLOOKUP(A5151, imdb_netflix_v5!A$2:H$7370, 3, FALSE), "")</f>
        <v>Drama, War</v>
      </c>
      <c r="D5151" s="2">
        <f>IF(A5151&lt;&gt;"", VLOOKUP(A5151, imdb_netflix_v5!A$2:H$7370, 4, FALSE), "")</f>
        <v>7.2</v>
      </c>
      <c r="E5151" s="2">
        <f>IF(A5151&lt;&gt;"", VLOOKUP(A5151, imdb_netflix_v5!A$2:H$7370, 5, FALSE), "")</f>
        <v>1983</v>
      </c>
      <c r="F5151" s="2" t="str">
        <f>IF(A5151&lt;&gt;"", VLOOKUP(A5151, imdb_netflix_v5!A$2:H$7370, 7, FALSE), "")</f>
        <v>NA</v>
      </c>
    </row>
    <row r="5152" ht="15.75" customHeight="1">
      <c r="A5152" s="1" t="str">
        <f>IFERROR(__xludf.DUMMYFUNCTION("""COMPUTED_VALUE"""),"lantana")</f>
        <v>lantana</v>
      </c>
      <c r="B5152" s="1" t="str">
        <f>IF(A5152&lt;&gt;"", VLOOKUP(A5152, imdb_netflix_v5!A$2:H$7370, 2, FALSE), "")</f>
        <v>Movie</v>
      </c>
      <c r="C5152" s="2" t="str">
        <f>IF(A5152&lt;&gt;"", VLOOKUP(A5152, imdb_netflix_v5!A$2:H$7370, 3, FALSE), "")</f>
        <v>Drama, Mystery, Romance</v>
      </c>
      <c r="D5152" s="2">
        <f>IF(A5152&lt;&gt;"", VLOOKUP(A5152, imdb_netflix_v5!A$2:H$7370, 4, FALSE), "")</f>
        <v>7.2</v>
      </c>
      <c r="E5152" s="2">
        <f>IF(A5152&lt;&gt;"", VLOOKUP(A5152, imdb_netflix_v5!A$2:H$7370, 5, FALSE), "")</f>
        <v>2001</v>
      </c>
      <c r="F5152" s="2" t="str">
        <f>IF(A5152&lt;&gt;"", VLOOKUP(A5152, imdb_netflix_v5!A$2:H$7370, 7, FALSE), "")</f>
        <v>NA</v>
      </c>
    </row>
    <row r="5153" ht="15.75" customHeight="1">
      <c r="A5153" s="1" t="str">
        <f>IFERROR(__xludf.DUMMYFUNCTION("""COMPUTED_VALUE"""),"once upon a time in china")</f>
        <v>once upon a time in china</v>
      </c>
      <c r="B5153" s="1" t="str">
        <f>IF(A5153&lt;&gt;"", VLOOKUP(A5153, imdb_netflix_v5!A$2:H$7370, 2, FALSE), "")</f>
        <v>Movie</v>
      </c>
      <c r="C5153" s="2" t="str">
        <f>IF(A5153&lt;&gt;"", VLOOKUP(A5153, imdb_netflix_v5!A$2:H$7370, 3, FALSE), "")</f>
        <v>Action</v>
      </c>
      <c r="D5153" s="2">
        <f>IF(A5153&lt;&gt;"", VLOOKUP(A5153, imdb_netflix_v5!A$2:H$7370, 4, FALSE), "")</f>
        <v>7.2</v>
      </c>
      <c r="E5153" s="2">
        <f>IF(A5153&lt;&gt;"", VLOOKUP(A5153, imdb_netflix_v5!A$2:H$7370, 5, FALSE), "")</f>
        <v>1991</v>
      </c>
      <c r="F5153" s="2" t="str">
        <f>IF(A5153&lt;&gt;"", VLOOKUP(A5153, imdb_netflix_v5!A$2:H$7370, 7, FALSE), "")</f>
        <v>NA</v>
      </c>
    </row>
    <row r="5154" ht="15.75" customHeight="1">
      <c r="A5154" s="1" t="str">
        <f>IFERROR(__xludf.DUMMYFUNCTION("""COMPUTED_VALUE"""),"the great race")</f>
        <v>the great race</v>
      </c>
      <c r="B5154" s="1" t="str">
        <f>IF(A5154&lt;&gt;"", VLOOKUP(A5154, imdb_netflix_v5!A$2:H$7370, 2, FALSE), "")</f>
        <v>Movie</v>
      </c>
      <c r="C5154" s="2" t="str">
        <f>IF(A5154&lt;&gt;"", VLOOKUP(A5154, imdb_netflix_v5!A$2:H$7370, 3, FALSE), "")</f>
        <v>Action, Adventure, Comedy</v>
      </c>
      <c r="D5154" s="2">
        <f>IF(A5154&lt;&gt;"", VLOOKUP(A5154, imdb_netflix_v5!A$2:H$7370, 4, FALSE), "")</f>
        <v>7.2</v>
      </c>
      <c r="E5154" s="2">
        <f>IF(A5154&lt;&gt;"", VLOOKUP(A5154, imdb_netflix_v5!A$2:H$7370, 5, FALSE), "")</f>
        <v>1965</v>
      </c>
      <c r="F5154" s="2" t="str">
        <f>IF(A5154&lt;&gt;"", VLOOKUP(A5154, imdb_netflix_v5!A$2:H$7370, 7, FALSE), "")</f>
        <v>NA</v>
      </c>
    </row>
    <row r="5155" ht="15.75" customHeight="1">
      <c r="A5155" s="1" t="str">
        <f>IFERROR(__xludf.DUMMYFUNCTION("""COMPUTED_VALUE"""),"flame &amp; citron")</f>
        <v>flame &amp; citron</v>
      </c>
      <c r="B5155" s="1" t="str">
        <f>IF(A5155&lt;&gt;"", VLOOKUP(A5155, imdb_netflix_v5!A$2:H$7370, 2, FALSE), "")</f>
        <v>Movie</v>
      </c>
      <c r="C5155" s="2" t="str">
        <f>IF(A5155&lt;&gt;"", VLOOKUP(A5155, imdb_netflix_v5!A$2:H$7370, 3, FALSE), "")</f>
        <v>Action, Drama, History</v>
      </c>
      <c r="D5155" s="2">
        <f>IF(A5155&lt;&gt;"", VLOOKUP(A5155, imdb_netflix_v5!A$2:H$7370, 4, FALSE), "")</f>
        <v>7.2</v>
      </c>
      <c r="E5155" s="2">
        <f>IF(A5155&lt;&gt;"", VLOOKUP(A5155, imdb_netflix_v5!A$2:H$7370, 5, FALSE), "")</f>
        <v>2008</v>
      </c>
      <c r="F5155" s="2" t="str">
        <f>IF(A5155&lt;&gt;"", VLOOKUP(A5155, imdb_netflix_v5!A$2:H$7370, 7, FALSE), "")</f>
        <v>NA</v>
      </c>
    </row>
    <row r="5156" ht="15.75" customHeight="1">
      <c r="A5156" s="1" t="str">
        <f>IFERROR(__xludf.DUMMYFUNCTION("""COMPUTED_VALUE"""),"the tale")</f>
        <v>the tale</v>
      </c>
      <c r="B5156" s="1" t="str">
        <f>IF(A5156&lt;&gt;"", VLOOKUP(A5156, imdb_netflix_v5!A$2:H$7370, 2, FALSE), "")</f>
        <v>Movie</v>
      </c>
      <c r="C5156" s="2" t="str">
        <f>IF(A5156&lt;&gt;"", VLOOKUP(A5156, imdb_netflix_v5!A$2:H$7370, 3, FALSE), "")</f>
        <v>Biography, Drama, Mystery</v>
      </c>
      <c r="D5156" s="2">
        <f>IF(A5156&lt;&gt;"", VLOOKUP(A5156, imdb_netflix_v5!A$2:H$7370, 4, FALSE), "")</f>
        <v>7.2</v>
      </c>
      <c r="E5156" s="2">
        <f>IF(A5156&lt;&gt;"", VLOOKUP(A5156, imdb_netflix_v5!A$2:H$7370, 5, FALSE), "")</f>
        <v>2018</v>
      </c>
      <c r="F5156" s="2" t="str">
        <f>IF(A5156&lt;&gt;"", VLOOKUP(A5156, imdb_netflix_v5!A$2:H$7370, 7, FALSE), "")</f>
        <v>NA</v>
      </c>
    </row>
    <row r="5157" ht="15.75" customHeight="1">
      <c r="A5157" s="1" t="str">
        <f>IFERROR(__xludf.DUMMYFUNCTION("""COMPUTED_VALUE"""),"along with the gods the two worlds")</f>
        <v>along with the gods the two worlds</v>
      </c>
      <c r="B5157" s="1" t="str">
        <f>IF(A5157&lt;&gt;"", VLOOKUP(A5157, imdb_netflix_v5!A$2:H$7370, 2, FALSE), "")</f>
        <v>Movie</v>
      </c>
      <c r="C5157" s="2" t="str">
        <f>IF(A5157&lt;&gt;"", VLOOKUP(A5157, imdb_netflix_v5!A$2:H$7370, 3, FALSE), "")</f>
        <v>Action, Adventure, Drama</v>
      </c>
      <c r="D5157" s="2">
        <f>IF(A5157&lt;&gt;"", VLOOKUP(A5157, imdb_netflix_v5!A$2:H$7370, 4, FALSE), "")</f>
        <v>7.2</v>
      </c>
      <c r="E5157" s="2">
        <f>IF(A5157&lt;&gt;"", VLOOKUP(A5157, imdb_netflix_v5!A$2:H$7370, 5, FALSE), "")</f>
        <v>2017</v>
      </c>
      <c r="F5157" s="2" t="str">
        <f>IF(A5157&lt;&gt;"", VLOOKUP(A5157, imdb_netflix_v5!A$2:H$7370, 7, FALSE), "")</f>
        <v>NA</v>
      </c>
    </row>
    <row r="5158" ht="15.75" customHeight="1">
      <c r="A5158" s="1" t="str">
        <f>IFERROR(__xludf.DUMMYFUNCTION("""COMPUTED_VALUE"""),"infernal affairs ii")</f>
        <v>infernal affairs ii</v>
      </c>
      <c r="B5158" s="1" t="str">
        <f>IF(A5158&lt;&gt;"", VLOOKUP(A5158, imdb_netflix_v5!A$2:H$7370, 2, FALSE), "")</f>
        <v>Movie</v>
      </c>
      <c r="C5158" s="2" t="str">
        <f>IF(A5158&lt;&gt;"", VLOOKUP(A5158, imdb_netflix_v5!A$2:H$7370, 3, FALSE), "")</f>
        <v>Action, Crime, Drama</v>
      </c>
      <c r="D5158" s="2">
        <f>IF(A5158&lt;&gt;"", VLOOKUP(A5158, imdb_netflix_v5!A$2:H$7370, 4, FALSE), "")</f>
        <v>7.2</v>
      </c>
      <c r="E5158" s="2">
        <f>IF(A5158&lt;&gt;"", VLOOKUP(A5158, imdb_netflix_v5!A$2:H$7370, 5, FALSE), "")</f>
        <v>2003</v>
      </c>
      <c r="F5158" s="2" t="str">
        <f>IF(A5158&lt;&gt;"", VLOOKUP(A5158, imdb_netflix_v5!A$2:H$7370, 7, FALSE), "")</f>
        <v>NA</v>
      </c>
    </row>
    <row r="5159" ht="15.75" customHeight="1">
      <c r="A5159" s="1" t="str">
        <f>IFERROR(__xludf.DUMMYFUNCTION("""COMPUTED_VALUE"""),"raat akeli hai")</f>
        <v>raat akeli hai</v>
      </c>
      <c r="B5159" s="1" t="str">
        <f>IF(A5159&lt;&gt;"", VLOOKUP(A5159, imdb_netflix_v5!A$2:H$7370, 2, FALSE), "")</f>
        <v>Movie</v>
      </c>
      <c r="C5159" s="2" t="str">
        <f>IF(A5159&lt;&gt;"", VLOOKUP(A5159, imdb_netflix_v5!A$2:H$7370, 3, FALSE), "")</f>
        <v>Crime, Drama, Mystery</v>
      </c>
      <c r="D5159" s="2">
        <f>IF(A5159&lt;&gt;"", VLOOKUP(A5159, imdb_netflix_v5!A$2:H$7370, 4, FALSE), "")</f>
        <v>7.2</v>
      </c>
      <c r="E5159" s="2">
        <f>IF(A5159&lt;&gt;"", VLOOKUP(A5159, imdb_netflix_v5!A$2:H$7370, 5, FALSE), "")</f>
        <v>2020</v>
      </c>
      <c r="F5159" s="2" t="str">
        <f>IF(A5159&lt;&gt;"", VLOOKUP(A5159, imdb_netflix_v5!A$2:H$7370, 7, FALSE), "")</f>
        <v>NA</v>
      </c>
    </row>
    <row r="5160" ht="15.75" customHeight="1">
      <c r="A5160" s="1" t="str">
        <f>IFERROR(__xludf.DUMMYFUNCTION("""COMPUTED_VALUE"""),"love likes coincidences")</f>
        <v>love likes coincidences</v>
      </c>
      <c r="B5160" s="1" t="str">
        <f>IF(A5160&lt;&gt;"", VLOOKUP(A5160, imdb_netflix_v5!A$2:H$7370, 2, FALSE), "")</f>
        <v>Movie</v>
      </c>
      <c r="C5160" s="2" t="str">
        <f>IF(A5160&lt;&gt;"", VLOOKUP(A5160, imdb_netflix_v5!A$2:H$7370, 3, FALSE), "")</f>
        <v>Drama, Romance</v>
      </c>
      <c r="D5160" s="2">
        <f>IF(A5160&lt;&gt;"", VLOOKUP(A5160, imdb_netflix_v5!A$2:H$7370, 4, FALSE), "")</f>
        <v>7.2</v>
      </c>
      <c r="E5160" s="2">
        <f>IF(A5160&lt;&gt;"", VLOOKUP(A5160, imdb_netflix_v5!A$2:H$7370, 5, FALSE), "")</f>
        <v>2011</v>
      </c>
      <c r="F5160" s="2" t="str">
        <f>IF(A5160&lt;&gt;"", VLOOKUP(A5160, imdb_netflix_v5!A$2:H$7370, 7, FALSE), "")</f>
        <v>NA</v>
      </c>
    </row>
    <row r="5161" ht="15.75" customHeight="1">
      <c r="A5161" s="1" t="str">
        <f>IFERROR(__xludf.DUMMYFUNCTION("""COMPUTED_VALUE"""),"she wore a yellow ribbon")</f>
        <v>she wore a yellow ribbon</v>
      </c>
      <c r="B5161" s="1" t="str">
        <f>IF(A5161&lt;&gt;"", VLOOKUP(A5161, imdb_netflix_v5!A$2:H$7370, 2, FALSE), "")</f>
        <v>Movie</v>
      </c>
      <c r="C5161" s="2" t="str">
        <f>IF(A5161&lt;&gt;"", VLOOKUP(A5161, imdb_netflix_v5!A$2:H$7370, 3, FALSE), "")</f>
        <v>Western</v>
      </c>
      <c r="D5161" s="2">
        <f>IF(A5161&lt;&gt;"", VLOOKUP(A5161, imdb_netflix_v5!A$2:H$7370, 4, FALSE), "")</f>
        <v>7.2</v>
      </c>
      <c r="E5161" s="2">
        <f>IF(A5161&lt;&gt;"", VLOOKUP(A5161, imdb_netflix_v5!A$2:H$7370, 5, FALSE), "")</f>
        <v>1949</v>
      </c>
      <c r="F5161" s="2" t="str">
        <f>IF(A5161&lt;&gt;"", VLOOKUP(A5161, imdb_netflix_v5!A$2:H$7370, 7, FALSE), "")</f>
        <v>NA</v>
      </c>
    </row>
    <row r="5162" ht="15.75" customHeight="1">
      <c r="A5162" s="1" t="str">
        <f>IFERROR(__xludf.DUMMYFUNCTION("""COMPUTED_VALUE"""),"scarecrow")</f>
        <v>scarecrow</v>
      </c>
      <c r="B5162" s="1" t="str">
        <f>IF(A5162&lt;&gt;"", VLOOKUP(A5162, imdb_netflix_v5!A$2:H$7370, 2, FALSE), "")</f>
        <v>Movie</v>
      </c>
      <c r="C5162" s="2" t="str">
        <f>IF(A5162&lt;&gt;"", VLOOKUP(A5162, imdb_netflix_v5!A$2:H$7370, 3, FALSE), "")</f>
        <v>Drama</v>
      </c>
      <c r="D5162" s="2">
        <f>IF(A5162&lt;&gt;"", VLOOKUP(A5162, imdb_netflix_v5!A$2:H$7370, 4, FALSE), "")</f>
        <v>7.2</v>
      </c>
      <c r="E5162" s="2">
        <f>IF(A5162&lt;&gt;"", VLOOKUP(A5162, imdb_netflix_v5!A$2:H$7370, 5, FALSE), "")</f>
        <v>1973</v>
      </c>
      <c r="F5162" s="2" t="str">
        <f>IF(A5162&lt;&gt;"", VLOOKUP(A5162, imdb_netflix_v5!A$2:H$7370, 7, FALSE), "")</f>
        <v>NA</v>
      </c>
    </row>
    <row r="5163" ht="15.75" customHeight="1">
      <c r="A5163" s="1" t="str">
        <f>IFERROR(__xludf.DUMMYFUNCTION("""COMPUTED_VALUE"""),"the beguiled")</f>
        <v>the beguiled</v>
      </c>
      <c r="B5163" s="1" t="str">
        <f>IF(A5163&lt;&gt;"", VLOOKUP(A5163, imdb_netflix_v5!A$2:H$7370, 2, FALSE), "")</f>
        <v>Movie</v>
      </c>
      <c r="C5163" s="2" t="str">
        <f>IF(A5163&lt;&gt;"", VLOOKUP(A5163, imdb_netflix_v5!A$2:H$7370, 3, FALSE), "")</f>
        <v>Drama, Thriller, War</v>
      </c>
      <c r="D5163" s="2">
        <f>IF(A5163&lt;&gt;"", VLOOKUP(A5163, imdb_netflix_v5!A$2:H$7370, 4, FALSE), "")</f>
        <v>7.2</v>
      </c>
      <c r="E5163" s="2">
        <f>IF(A5163&lt;&gt;"", VLOOKUP(A5163, imdb_netflix_v5!A$2:H$7370, 5, FALSE), "")</f>
        <v>1971</v>
      </c>
      <c r="F5163" s="2" t="str">
        <f>IF(A5163&lt;&gt;"", VLOOKUP(A5163, imdb_netflix_v5!A$2:H$7370, 7, FALSE), "")</f>
        <v>NA</v>
      </c>
    </row>
    <row r="5164" ht="15.75" customHeight="1">
      <c r="A5164" s="1" t="str">
        <f>IFERROR(__xludf.DUMMYFUNCTION("""COMPUTED_VALUE"""),"polytechnique")</f>
        <v>polytechnique</v>
      </c>
      <c r="B5164" s="1" t="str">
        <f>IF(A5164&lt;&gt;"", VLOOKUP(A5164, imdb_netflix_v5!A$2:H$7370, 2, FALSE), "")</f>
        <v>Movie</v>
      </c>
      <c r="C5164" s="2" t="str">
        <f>IF(A5164&lt;&gt;"", VLOOKUP(A5164, imdb_netflix_v5!A$2:H$7370, 3, FALSE), "")</f>
        <v>Crime, Drama, History</v>
      </c>
      <c r="D5164" s="2">
        <f>IF(A5164&lt;&gt;"", VLOOKUP(A5164, imdb_netflix_v5!A$2:H$7370, 4, FALSE), "")</f>
        <v>7.2</v>
      </c>
      <c r="E5164" s="2">
        <f>IF(A5164&lt;&gt;"", VLOOKUP(A5164, imdb_netflix_v5!A$2:H$7370, 5, FALSE), "")</f>
        <v>2009</v>
      </c>
      <c r="F5164" s="2" t="str">
        <f>IF(A5164&lt;&gt;"", VLOOKUP(A5164, imdb_netflix_v5!A$2:H$7370, 7, FALSE), "")</f>
        <v>NA</v>
      </c>
    </row>
    <row r="5165" ht="15.75" customHeight="1">
      <c r="A5165" s="1" t="str">
        <f>IFERROR(__xludf.DUMMYFUNCTION("""COMPUTED_VALUE"""),"platonic")</f>
        <v>platonic</v>
      </c>
      <c r="B5165" s="1" t="str">
        <f>IF(A5165&lt;&gt;"", VLOOKUP(A5165, imdb_netflix_v5!A$2:H$7370, 2, FALSE), "")</f>
        <v>TV Show</v>
      </c>
      <c r="C5165" s="2" t="str">
        <f>IF(A5165&lt;&gt;"", VLOOKUP(A5165, imdb_netflix_v5!A$2:H$7370, 3, FALSE), "")</f>
        <v>Comedy, Romance</v>
      </c>
      <c r="D5165" s="2">
        <f>IF(A5165&lt;&gt;"", VLOOKUP(A5165, imdb_netflix_v5!A$2:H$7370, 4, FALSE), "")</f>
        <v>7.2</v>
      </c>
      <c r="E5165" s="2">
        <f>IF(A5165&lt;&gt;"", VLOOKUP(A5165, imdb_netflix_v5!A$2:H$7370, 5, FALSE), "")</f>
        <v>2023</v>
      </c>
      <c r="F5165" s="2" t="str">
        <f>IF(A5165&lt;&gt;"", VLOOKUP(A5165, imdb_netflix_v5!A$2:H$7370, 7, FALSE), "")</f>
        <v>NA</v>
      </c>
    </row>
    <row r="5166" ht="15.75" customHeight="1">
      <c r="A5166" s="1" t="str">
        <f>IFERROR(__xludf.DUMMYFUNCTION("""COMPUTED_VALUE"""),"animal farm")</f>
        <v>animal farm</v>
      </c>
      <c r="B5166" s="1" t="str">
        <f>IF(A5166&lt;&gt;"", VLOOKUP(A5166, imdb_netflix_v5!A$2:H$7370, 2, FALSE), "")</f>
        <v>Movie</v>
      </c>
      <c r="C5166" s="2" t="str">
        <f>IF(A5166&lt;&gt;"", VLOOKUP(A5166, imdb_netflix_v5!A$2:H$7370, 3, FALSE), "")</f>
        <v>Animation, Drama</v>
      </c>
      <c r="D5166" s="2">
        <f>IF(A5166&lt;&gt;"", VLOOKUP(A5166, imdb_netflix_v5!A$2:H$7370, 4, FALSE), "")</f>
        <v>7.2</v>
      </c>
      <c r="E5166" s="2">
        <f>IF(A5166&lt;&gt;"", VLOOKUP(A5166, imdb_netflix_v5!A$2:H$7370, 5, FALSE), "")</f>
        <v>1954</v>
      </c>
      <c r="F5166" s="2" t="str">
        <f>IF(A5166&lt;&gt;"", VLOOKUP(A5166, imdb_netflix_v5!A$2:H$7370, 7, FALSE), "")</f>
        <v>NA</v>
      </c>
    </row>
    <row r="5167" ht="15.75" customHeight="1">
      <c r="A5167" s="1" t="str">
        <f>IFERROR(__xludf.DUMMYFUNCTION("""COMPUTED_VALUE"""),"babyteeth")</f>
        <v>babyteeth</v>
      </c>
      <c r="B5167" s="1" t="str">
        <f>IF(A5167&lt;&gt;"", VLOOKUP(A5167, imdb_netflix_v5!A$2:H$7370, 2, FALSE), "")</f>
        <v>Movie</v>
      </c>
      <c r="C5167" s="2" t="str">
        <f>IF(A5167&lt;&gt;"", VLOOKUP(A5167, imdb_netflix_v5!A$2:H$7370, 3, FALSE), "")</f>
        <v>Comedy, Drama, Music</v>
      </c>
      <c r="D5167" s="2">
        <f>IF(A5167&lt;&gt;"", VLOOKUP(A5167, imdb_netflix_v5!A$2:H$7370, 4, FALSE), "")</f>
        <v>7.2</v>
      </c>
      <c r="E5167" s="2">
        <f>IF(A5167&lt;&gt;"", VLOOKUP(A5167, imdb_netflix_v5!A$2:H$7370, 5, FALSE), "")</f>
        <v>2019</v>
      </c>
      <c r="F5167" s="2" t="str">
        <f>IF(A5167&lt;&gt;"", VLOOKUP(A5167, imdb_netflix_v5!A$2:H$7370, 7, FALSE), "")</f>
        <v>NA</v>
      </c>
    </row>
    <row r="5168" ht="15.75" customHeight="1">
      <c r="A5168" s="1" t="str">
        <f>IFERROR(__xludf.DUMMYFUNCTION("""COMPUTED_VALUE"""),"reversal of fortune")</f>
        <v>reversal of fortune</v>
      </c>
      <c r="B5168" s="1" t="str">
        <f>IF(A5168&lt;&gt;"", VLOOKUP(A5168, imdb_netflix_v5!A$2:H$7370, 2, FALSE), "")</f>
        <v>Movie</v>
      </c>
      <c r="C5168" s="2" t="str">
        <f>IF(A5168&lt;&gt;"", VLOOKUP(A5168, imdb_netflix_v5!A$2:H$7370, 3, FALSE), "")</f>
        <v>Biography, Drama, Mystery</v>
      </c>
      <c r="D5168" s="2">
        <f>IF(A5168&lt;&gt;"", VLOOKUP(A5168, imdb_netflix_v5!A$2:H$7370, 4, FALSE), "")</f>
        <v>7.2</v>
      </c>
      <c r="E5168" s="2">
        <f>IF(A5168&lt;&gt;"", VLOOKUP(A5168, imdb_netflix_v5!A$2:H$7370, 5, FALSE), "")</f>
        <v>1990</v>
      </c>
      <c r="F5168" s="2" t="str">
        <f>IF(A5168&lt;&gt;"", VLOOKUP(A5168, imdb_netflix_v5!A$2:H$7370, 7, FALSE), "")</f>
        <v>NA</v>
      </c>
    </row>
    <row r="5169" ht="15.75" customHeight="1">
      <c r="A5169" s="1" t="str">
        <f>IFERROR(__xludf.DUMMYFUNCTION("""COMPUTED_VALUE"""),"il divo")</f>
        <v>il divo</v>
      </c>
      <c r="B5169" s="1" t="str">
        <f>IF(A5169&lt;&gt;"", VLOOKUP(A5169, imdb_netflix_v5!A$2:H$7370, 2, FALSE), "")</f>
        <v>Movie</v>
      </c>
      <c r="C5169" s="2" t="str">
        <f>IF(A5169&lt;&gt;"", VLOOKUP(A5169, imdb_netflix_v5!A$2:H$7370, 3, FALSE), "")</f>
        <v>Biography, Drama</v>
      </c>
      <c r="D5169" s="2">
        <f>IF(A5169&lt;&gt;"", VLOOKUP(A5169, imdb_netflix_v5!A$2:H$7370, 4, FALSE), "")</f>
        <v>7.2</v>
      </c>
      <c r="E5169" s="2">
        <f>IF(A5169&lt;&gt;"", VLOOKUP(A5169, imdb_netflix_v5!A$2:H$7370, 5, FALSE), "")</f>
        <v>2008</v>
      </c>
      <c r="F5169" s="2" t="str">
        <f>IF(A5169&lt;&gt;"", VLOOKUP(A5169, imdb_netflix_v5!A$2:H$7370, 7, FALSE), "")</f>
        <v>NA</v>
      </c>
    </row>
    <row r="5170" ht="15.75" customHeight="1">
      <c r="A5170" s="1" t="str">
        <f>IFERROR(__xludf.DUMMYFUNCTION("""COMPUTED_VALUE"""),"the chair")</f>
        <v>the chair</v>
      </c>
      <c r="B5170" s="1" t="str">
        <f>IF(A5170&lt;&gt;"", VLOOKUP(A5170, imdb_netflix_v5!A$2:H$7370, 2, FALSE), "")</f>
        <v>TV Show</v>
      </c>
      <c r="C5170" s="2" t="str">
        <f>IF(A5170&lt;&gt;"", VLOOKUP(A5170, imdb_netflix_v5!A$2:H$7370, 3, FALSE), "")</f>
        <v>Comedy, Drama</v>
      </c>
      <c r="D5170" s="2">
        <f>IF(A5170&lt;&gt;"", VLOOKUP(A5170, imdb_netflix_v5!A$2:H$7370, 4, FALSE), "")</f>
        <v>7.2</v>
      </c>
      <c r="E5170" s="2">
        <f>IF(A5170&lt;&gt;"", VLOOKUP(A5170, imdb_netflix_v5!A$2:H$7370, 5, FALSE), "")</f>
        <v>2021</v>
      </c>
      <c r="F5170" s="2">
        <f>IF(A5170&lt;&gt;"", VLOOKUP(A5170, imdb_netflix_v5!A$2:H$7370, 7, FALSE), "")</f>
        <v>14020000</v>
      </c>
    </row>
    <row r="5171" ht="15.75" customHeight="1">
      <c r="A5171" s="1" t="str">
        <f>IFERROR(__xludf.DUMMYFUNCTION("""COMPUTED_VALUE"""),"electric dreams")</f>
        <v>electric dreams</v>
      </c>
      <c r="B5171" s="1" t="str">
        <f>IF(A5171&lt;&gt;"", VLOOKUP(A5171, imdb_netflix_v5!A$2:H$7370, 2, FALSE), "")</f>
        <v>TV Show</v>
      </c>
      <c r="C5171" s="2" t="str">
        <f>IF(A5171&lt;&gt;"", VLOOKUP(A5171, imdb_netflix_v5!A$2:H$7370, 3, FALSE), "")</f>
        <v>Drama, Sci-Fi</v>
      </c>
      <c r="D5171" s="2">
        <f>IF(A5171&lt;&gt;"", VLOOKUP(A5171, imdb_netflix_v5!A$2:H$7370, 4, FALSE), "")</f>
        <v>7.2</v>
      </c>
      <c r="E5171" s="2">
        <f>IF(A5171&lt;&gt;"", VLOOKUP(A5171, imdb_netflix_v5!A$2:H$7370, 5, FALSE), "")</f>
        <v>2017</v>
      </c>
      <c r="F5171" s="2" t="str">
        <f>IF(A5171&lt;&gt;"", VLOOKUP(A5171, imdb_netflix_v5!A$2:H$7370, 7, FALSE), "")</f>
        <v>NA</v>
      </c>
    </row>
    <row r="5172" ht="15.75" customHeight="1">
      <c r="A5172" s="1" t="str">
        <f>IFERROR(__xludf.DUMMYFUNCTION("""COMPUTED_VALUE"""),"nightwatch")</f>
        <v>nightwatch</v>
      </c>
      <c r="B5172" s="1" t="str">
        <f>IF(A5172&lt;&gt;"", VLOOKUP(A5172, imdb_netflix_v5!A$2:H$7370, 2, FALSE), "")</f>
        <v>Movie</v>
      </c>
      <c r="C5172" s="2" t="str">
        <f>IF(A5172&lt;&gt;"", VLOOKUP(A5172, imdb_netflix_v5!A$2:H$7370, 3, FALSE), "")</f>
        <v>Thriller</v>
      </c>
      <c r="D5172" s="2">
        <f>IF(A5172&lt;&gt;"", VLOOKUP(A5172, imdb_netflix_v5!A$2:H$7370, 4, FALSE), "")</f>
        <v>7.2</v>
      </c>
      <c r="E5172" s="2">
        <f>IF(A5172&lt;&gt;"", VLOOKUP(A5172, imdb_netflix_v5!A$2:H$7370, 5, FALSE), "")</f>
        <v>1994</v>
      </c>
      <c r="F5172" s="2" t="str">
        <f>IF(A5172&lt;&gt;"", VLOOKUP(A5172, imdb_netflix_v5!A$2:H$7370, 7, FALSE), "")</f>
        <v>NA</v>
      </c>
    </row>
    <row r="5173" ht="15.75" customHeight="1">
      <c r="A5173" s="1" t="str">
        <f>IFERROR(__xludf.DUMMYFUNCTION("""COMPUTED_VALUE"""),"project a")</f>
        <v>project a</v>
      </c>
      <c r="B5173" s="1" t="str">
        <f>IF(A5173&lt;&gt;"", VLOOKUP(A5173, imdb_netflix_v5!A$2:H$7370, 2, FALSE), "")</f>
        <v>Movie</v>
      </c>
      <c r="C5173" s="2" t="str">
        <f>IF(A5173&lt;&gt;"", VLOOKUP(A5173, imdb_netflix_v5!A$2:H$7370, 3, FALSE), "")</f>
        <v>Action, Adventure, Comedy</v>
      </c>
      <c r="D5173" s="2">
        <f>IF(A5173&lt;&gt;"", VLOOKUP(A5173, imdb_netflix_v5!A$2:H$7370, 4, FALSE), "")</f>
        <v>7.2</v>
      </c>
      <c r="E5173" s="2">
        <f>IF(A5173&lt;&gt;"", VLOOKUP(A5173, imdb_netflix_v5!A$2:H$7370, 5, FALSE), "")</f>
        <v>1983</v>
      </c>
      <c r="F5173" s="2" t="str">
        <f>IF(A5173&lt;&gt;"", VLOOKUP(A5173, imdb_netflix_v5!A$2:H$7370, 7, FALSE), "")</f>
        <v>NA</v>
      </c>
    </row>
    <row r="5174" ht="15.75" customHeight="1">
      <c r="A5174" s="1" t="str">
        <f>IFERROR(__xludf.DUMMYFUNCTION("""COMPUTED_VALUE"""),"children of a lesser god")</f>
        <v>children of a lesser god</v>
      </c>
      <c r="B5174" s="1" t="str">
        <f>IF(A5174&lt;&gt;"", VLOOKUP(A5174, imdb_netflix_v5!A$2:H$7370, 2, FALSE), "")</f>
        <v>Movie</v>
      </c>
      <c r="C5174" s="2" t="str">
        <f>IF(A5174&lt;&gt;"", VLOOKUP(A5174, imdb_netflix_v5!A$2:H$7370, 3, FALSE), "")</f>
        <v>Drama, Romance</v>
      </c>
      <c r="D5174" s="2">
        <f>IF(A5174&lt;&gt;"", VLOOKUP(A5174, imdb_netflix_v5!A$2:H$7370, 4, FALSE), "")</f>
        <v>7.2</v>
      </c>
      <c r="E5174" s="2">
        <f>IF(A5174&lt;&gt;"", VLOOKUP(A5174, imdb_netflix_v5!A$2:H$7370, 5, FALSE), "")</f>
        <v>1986</v>
      </c>
      <c r="F5174" s="2" t="str">
        <f>IF(A5174&lt;&gt;"", VLOOKUP(A5174, imdb_netflix_v5!A$2:H$7370, 7, FALSE), "")</f>
        <v>NA</v>
      </c>
    </row>
    <row r="5175" ht="15.75" customHeight="1">
      <c r="A5175" s="1" t="str">
        <f>IFERROR(__xludf.DUMMYFUNCTION("""COMPUTED_VALUE"""),"mystery science theater 3000 the movie")</f>
        <v>mystery science theater 3000 the movie</v>
      </c>
      <c r="B5175" s="1" t="str">
        <f>IF(A5175&lt;&gt;"", VLOOKUP(A5175, imdb_netflix_v5!A$2:H$7370, 2, FALSE), "")</f>
        <v>Movie</v>
      </c>
      <c r="C5175" s="2" t="str">
        <f>IF(A5175&lt;&gt;"", VLOOKUP(A5175, imdb_netflix_v5!A$2:H$7370, 3, FALSE), "")</f>
        <v>Comedy, Drama, Fantasy</v>
      </c>
      <c r="D5175" s="2">
        <f>IF(A5175&lt;&gt;"", VLOOKUP(A5175, imdb_netflix_v5!A$2:H$7370, 4, FALSE), "")</f>
        <v>7.2</v>
      </c>
      <c r="E5175" s="2">
        <f>IF(A5175&lt;&gt;"", VLOOKUP(A5175, imdb_netflix_v5!A$2:H$7370, 5, FALSE), "")</f>
        <v>1996</v>
      </c>
      <c r="F5175" s="2" t="str">
        <f>IF(A5175&lt;&gt;"", VLOOKUP(A5175, imdb_netflix_v5!A$2:H$7370, 7, FALSE), "")</f>
        <v>NA</v>
      </c>
    </row>
    <row r="5176" ht="15.75" customHeight="1">
      <c r="A5176" s="1" t="str">
        <f>IFERROR(__xludf.DUMMYFUNCTION("""COMPUTED_VALUE"""),"the madness of king george")</f>
        <v>the madness of king george</v>
      </c>
      <c r="B5176" s="1" t="str">
        <f>IF(A5176&lt;&gt;"", VLOOKUP(A5176, imdb_netflix_v5!A$2:H$7370, 2, FALSE), "")</f>
        <v>Movie</v>
      </c>
      <c r="C5176" s="2" t="str">
        <f>IF(A5176&lt;&gt;"", VLOOKUP(A5176, imdb_netflix_v5!A$2:H$7370, 3, FALSE), "")</f>
        <v>Biography, Comedy, Drama</v>
      </c>
      <c r="D5176" s="2">
        <f>IF(A5176&lt;&gt;"", VLOOKUP(A5176, imdb_netflix_v5!A$2:H$7370, 4, FALSE), "")</f>
        <v>7.2</v>
      </c>
      <c r="E5176" s="2">
        <f>IF(A5176&lt;&gt;"", VLOOKUP(A5176, imdb_netflix_v5!A$2:H$7370, 5, FALSE), "")</f>
        <v>1994</v>
      </c>
      <c r="F5176" s="2" t="str">
        <f>IF(A5176&lt;&gt;"", VLOOKUP(A5176, imdb_netflix_v5!A$2:H$7370, 7, FALSE), "")</f>
        <v>NA</v>
      </c>
    </row>
    <row r="5177" ht="15.75" customHeight="1">
      <c r="A5177" s="1" t="str">
        <f>IFERROR(__xludf.DUMMYFUNCTION("""COMPUTED_VALUE"""),"ponniyin selvan part two")</f>
        <v>ponniyin selvan part two</v>
      </c>
      <c r="B5177" s="1" t="str">
        <f>IF(A5177&lt;&gt;"", VLOOKUP(A5177, imdb_netflix_v5!A$2:H$7370, 2, FALSE), "")</f>
        <v>Movie</v>
      </c>
      <c r="C5177" s="2" t="str">
        <f>IF(A5177&lt;&gt;"", VLOOKUP(A5177, imdb_netflix_v5!A$2:H$7370, 3, FALSE), "")</f>
        <v>Action, Adventure, Drama</v>
      </c>
      <c r="D5177" s="2">
        <f>IF(A5177&lt;&gt;"", VLOOKUP(A5177, imdb_netflix_v5!A$2:H$7370, 4, FALSE), "")</f>
        <v>7.2</v>
      </c>
      <c r="E5177" s="2">
        <f>IF(A5177&lt;&gt;"", VLOOKUP(A5177, imdb_netflix_v5!A$2:H$7370, 5, FALSE), "")</f>
        <v>2023</v>
      </c>
      <c r="F5177" s="2" t="str">
        <f>IF(A5177&lt;&gt;"", VLOOKUP(A5177, imdb_netflix_v5!A$2:H$7370, 7, FALSE), "")</f>
        <v>NA</v>
      </c>
    </row>
    <row r="5178" ht="15.75" customHeight="1">
      <c r="A5178" s="1" t="str">
        <f>IFERROR(__xludf.DUMMYFUNCTION("""COMPUTED_VALUE"""),"the cincinnati kid")</f>
        <v>the cincinnati kid</v>
      </c>
      <c r="B5178" s="1" t="str">
        <f>IF(A5178&lt;&gt;"", VLOOKUP(A5178, imdb_netflix_v5!A$2:H$7370, 2, FALSE), "")</f>
        <v>Movie</v>
      </c>
      <c r="C5178" s="2" t="str">
        <f>IF(A5178&lt;&gt;"", VLOOKUP(A5178, imdb_netflix_v5!A$2:H$7370, 3, FALSE), "")</f>
        <v>Drama</v>
      </c>
      <c r="D5178" s="2">
        <f>IF(A5178&lt;&gt;"", VLOOKUP(A5178, imdb_netflix_v5!A$2:H$7370, 4, FALSE), "")</f>
        <v>7.2</v>
      </c>
      <c r="E5178" s="2">
        <f>IF(A5178&lt;&gt;"", VLOOKUP(A5178, imdb_netflix_v5!A$2:H$7370, 5, FALSE), "")</f>
        <v>1965</v>
      </c>
      <c r="F5178" s="2" t="str">
        <f>IF(A5178&lt;&gt;"", VLOOKUP(A5178, imdb_netflix_v5!A$2:H$7370, 7, FALSE), "")</f>
        <v>NA</v>
      </c>
    </row>
    <row r="5179" ht="15.75" customHeight="1">
      <c r="A5179" s="1" t="str">
        <f>IFERROR(__xludf.DUMMYFUNCTION("""COMPUTED_VALUE"""),"band baaja baaraat")</f>
        <v>band baaja baaraat</v>
      </c>
      <c r="B5179" s="1" t="str">
        <f>IF(A5179&lt;&gt;"", VLOOKUP(A5179, imdb_netflix_v5!A$2:H$7370, 2, FALSE), "")</f>
        <v>Movie</v>
      </c>
      <c r="C5179" s="2" t="str">
        <f>IF(A5179&lt;&gt;"", VLOOKUP(A5179, imdb_netflix_v5!A$2:H$7370, 3, FALSE), "")</f>
        <v>Comedy, Drama, Romance</v>
      </c>
      <c r="D5179" s="2">
        <f>IF(A5179&lt;&gt;"", VLOOKUP(A5179, imdb_netflix_v5!A$2:H$7370, 4, FALSE), "")</f>
        <v>7.2</v>
      </c>
      <c r="E5179" s="2">
        <f>IF(A5179&lt;&gt;"", VLOOKUP(A5179, imdb_netflix_v5!A$2:H$7370, 5, FALSE), "")</f>
        <v>2010</v>
      </c>
      <c r="F5179" s="2" t="str">
        <f>IF(A5179&lt;&gt;"", VLOOKUP(A5179, imdb_netflix_v5!A$2:H$7370, 7, FALSE), "")</f>
        <v>NA</v>
      </c>
    </row>
    <row r="5180" ht="15.75" customHeight="1">
      <c r="A5180" s="1" t="str">
        <f>IFERROR(__xludf.DUMMYFUNCTION("""COMPUTED_VALUE"""),"the bothersome man")</f>
        <v>the bothersome man</v>
      </c>
      <c r="B5180" s="1" t="str">
        <f>IF(A5180&lt;&gt;"", VLOOKUP(A5180, imdb_netflix_v5!A$2:H$7370, 2, FALSE), "")</f>
        <v>Movie</v>
      </c>
      <c r="C5180" s="2" t="str">
        <f>IF(A5180&lt;&gt;"", VLOOKUP(A5180, imdb_netflix_v5!A$2:H$7370, 3, FALSE), "")</f>
        <v>Comedy, Drama, Fantasy</v>
      </c>
      <c r="D5180" s="2">
        <f>IF(A5180&lt;&gt;"", VLOOKUP(A5180, imdb_netflix_v5!A$2:H$7370, 4, FALSE), "")</f>
        <v>7.2</v>
      </c>
      <c r="E5180" s="2">
        <f>IF(A5180&lt;&gt;"", VLOOKUP(A5180, imdb_netflix_v5!A$2:H$7370, 5, FALSE), "")</f>
        <v>2006</v>
      </c>
      <c r="F5180" s="2" t="str">
        <f>IF(A5180&lt;&gt;"", VLOOKUP(A5180, imdb_netflix_v5!A$2:H$7370, 7, FALSE), "")</f>
        <v>NA</v>
      </c>
    </row>
    <row r="5181" ht="15.75" customHeight="1">
      <c r="A5181" s="1" t="str">
        <f>IFERROR(__xludf.DUMMYFUNCTION("""COMPUTED_VALUE"""),"highlander")</f>
        <v>highlander</v>
      </c>
      <c r="B5181" s="1" t="str">
        <f>IF(A5181&lt;&gt;"", VLOOKUP(A5181, imdb_netflix_v5!A$2:H$7370, 2, FALSE), "")</f>
        <v>TV Show</v>
      </c>
      <c r="C5181" s="2" t="str">
        <f>IF(A5181&lt;&gt;"", VLOOKUP(A5181, imdb_netflix_v5!A$2:H$7370, 3, FALSE), "")</f>
        <v>Action, Adventure, Fantasy</v>
      </c>
      <c r="D5181" s="2">
        <f>IF(A5181&lt;&gt;"", VLOOKUP(A5181, imdb_netflix_v5!A$2:H$7370, 4, FALSE), "")</f>
        <v>7.2</v>
      </c>
      <c r="E5181" s="2">
        <f>IF(A5181&lt;&gt;"", VLOOKUP(A5181, imdb_netflix_v5!A$2:H$7370, 5, FALSE), "")</f>
        <v>1992</v>
      </c>
      <c r="F5181" s="2" t="str">
        <f>IF(A5181&lt;&gt;"", VLOOKUP(A5181, imdb_netflix_v5!A$2:H$7370, 7, FALSE), "")</f>
        <v>NA</v>
      </c>
    </row>
    <row r="5182" ht="15.75" customHeight="1">
      <c r="A5182" s="1" t="str">
        <f>IFERROR(__xludf.DUMMYFUNCTION("""COMPUTED_VALUE"""),"pawn stars")</f>
        <v>pawn stars</v>
      </c>
      <c r="B5182" s="1" t="str">
        <f>IF(A5182&lt;&gt;"", VLOOKUP(A5182, imdb_netflix_v5!A$2:H$7370, 2, FALSE), "")</f>
        <v>TV Show</v>
      </c>
      <c r="C5182" s="2" t="str">
        <f>IF(A5182&lt;&gt;"", VLOOKUP(A5182, imdb_netflix_v5!A$2:H$7370, 3, FALSE), "")</f>
        <v>Comedy, Reality-TV</v>
      </c>
      <c r="D5182" s="2">
        <f>IF(A5182&lt;&gt;"", VLOOKUP(A5182, imdb_netflix_v5!A$2:H$7370, 4, FALSE), "")</f>
        <v>7.2</v>
      </c>
      <c r="E5182" s="2">
        <f>IF(A5182&lt;&gt;"", VLOOKUP(A5182, imdb_netflix_v5!A$2:H$7370, 5, FALSE), "")</f>
        <v>2009</v>
      </c>
      <c r="F5182" s="2" t="str">
        <f>IF(A5182&lt;&gt;"", VLOOKUP(A5182, imdb_netflix_v5!A$2:H$7370, 7, FALSE), "")</f>
        <v>NA</v>
      </c>
    </row>
    <row r="5183" ht="15.75" customHeight="1">
      <c r="A5183" s="1" t="str">
        <f>IFERROR(__xludf.DUMMYFUNCTION("""COMPUTED_VALUE"""),"angrezi medium")</f>
        <v>angrezi medium</v>
      </c>
      <c r="B5183" s="1" t="str">
        <f>IF(A5183&lt;&gt;"", VLOOKUP(A5183, imdb_netflix_v5!A$2:H$7370, 2, FALSE), "")</f>
        <v>Movie</v>
      </c>
      <c r="C5183" s="2" t="str">
        <f>IF(A5183&lt;&gt;"", VLOOKUP(A5183, imdb_netflix_v5!A$2:H$7370, 3, FALSE), "")</f>
        <v>Comedy, Drama</v>
      </c>
      <c r="D5183" s="2">
        <f>IF(A5183&lt;&gt;"", VLOOKUP(A5183, imdb_netflix_v5!A$2:H$7370, 4, FALSE), "")</f>
        <v>7.2</v>
      </c>
      <c r="E5183" s="2">
        <f>IF(A5183&lt;&gt;"", VLOOKUP(A5183, imdb_netflix_v5!A$2:H$7370, 5, FALSE), "")</f>
        <v>2020</v>
      </c>
      <c r="F5183" s="2" t="str">
        <f>IF(A5183&lt;&gt;"", VLOOKUP(A5183, imdb_netflix_v5!A$2:H$7370, 7, FALSE), "")</f>
        <v>NA</v>
      </c>
    </row>
    <row r="5184" ht="15.75" customHeight="1">
      <c r="A5184" s="1" t="str">
        <f>IFERROR(__xludf.DUMMYFUNCTION("""COMPUTED_VALUE"""),"born into brothels calcuttas red light kids")</f>
        <v>born into brothels calcuttas red light kids</v>
      </c>
      <c r="B5184" s="1" t="str">
        <f>IF(A5184&lt;&gt;"", VLOOKUP(A5184, imdb_netflix_v5!A$2:H$7370, 2, FALSE), "")</f>
        <v>Movie</v>
      </c>
      <c r="C5184" s="2" t="str">
        <f>IF(A5184&lt;&gt;"", VLOOKUP(A5184, imdb_netflix_v5!A$2:H$7370, 3, FALSE), "")</f>
        <v>Biography, Documentary, News</v>
      </c>
      <c r="D5184" s="2">
        <f>IF(A5184&lt;&gt;"", VLOOKUP(A5184, imdb_netflix_v5!A$2:H$7370, 4, FALSE), "")</f>
        <v>7.2</v>
      </c>
      <c r="E5184" s="2">
        <f>IF(A5184&lt;&gt;"", VLOOKUP(A5184, imdb_netflix_v5!A$2:H$7370, 5, FALSE), "")</f>
        <v>2004</v>
      </c>
      <c r="F5184" s="2" t="str">
        <f>IF(A5184&lt;&gt;"", VLOOKUP(A5184, imdb_netflix_v5!A$2:H$7370, 7, FALSE), "")</f>
        <v>NA</v>
      </c>
    </row>
    <row r="5185" ht="15.75" customHeight="1">
      <c r="A5185" s="1" t="str">
        <f>IFERROR(__xludf.DUMMYFUNCTION("""COMPUTED_VALUE"""),"gentlemans agreement")</f>
        <v>gentlemans agreement</v>
      </c>
      <c r="B5185" s="1" t="str">
        <f>IF(A5185&lt;&gt;"", VLOOKUP(A5185, imdb_netflix_v5!A$2:H$7370, 2, FALSE), "")</f>
        <v>Movie</v>
      </c>
      <c r="C5185" s="2" t="str">
        <f>IF(A5185&lt;&gt;"", VLOOKUP(A5185, imdb_netflix_v5!A$2:H$7370, 3, FALSE), "")</f>
        <v>Drama, Romance</v>
      </c>
      <c r="D5185" s="2">
        <f>IF(A5185&lt;&gt;"", VLOOKUP(A5185, imdb_netflix_v5!A$2:H$7370, 4, FALSE), "")</f>
        <v>7.2</v>
      </c>
      <c r="E5185" s="2">
        <f>IF(A5185&lt;&gt;"", VLOOKUP(A5185, imdb_netflix_v5!A$2:H$7370, 5, FALSE), "")</f>
        <v>1947</v>
      </c>
      <c r="F5185" s="2" t="str">
        <f>IF(A5185&lt;&gt;"", VLOOKUP(A5185, imdb_netflix_v5!A$2:H$7370, 7, FALSE), "")</f>
        <v>NA</v>
      </c>
    </row>
    <row r="5186" ht="15.75" customHeight="1">
      <c r="A5186" s="1" t="str">
        <f>IFERROR(__xludf.DUMMYFUNCTION("""COMPUTED_VALUE"""),"the ipcress file")</f>
        <v>the ipcress file</v>
      </c>
      <c r="B5186" s="1" t="str">
        <f>IF(A5186&lt;&gt;"", VLOOKUP(A5186, imdb_netflix_v5!A$2:H$7370, 2, FALSE), "")</f>
        <v>Movie</v>
      </c>
      <c r="C5186" s="2" t="str">
        <f>IF(A5186&lt;&gt;"", VLOOKUP(A5186, imdb_netflix_v5!A$2:H$7370, 3, FALSE), "")</f>
        <v>Drama, Thriller</v>
      </c>
      <c r="D5186" s="2">
        <f>IF(A5186&lt;&gt;"", VLOOKUP(A5186, imdb_netflix_v5!A$2:H$7370, 4, FALSE), "")</f>
        <v>7.2</v>
      </c>
      <c r="E5186" s="2">
        <f>IF(A5186&lt;&gt;"", VLOOKUP(A5186, imdb_netflix_v5!A$2:H$7370, 5, FALSE), "")</f>
        <v>1965</v>
      </c>
      <c r="F5186" s="2" t="str">
        <f>IF(A5186&lt;&gt;"", VLOOKUP(A5186, imdb_netflix_v5!A$2:H$7370, 7, FALSE), "")</f>
        <v>NA</v>
      </c>
    </row>
    <row r="5187" ht="15.75" customHeight="1">
      <c r="A5187" s="1" t="str">
        <f>IFERROR(__xludf.DUMMYFUNCTION("""COMPUTED_VALUE"""),"death note the last name")</f>
        <v>death note the last name</v>
      </c>
      <c r="B5187" s="1" t="str">
        <f>IF(A5187&lt;&gt;"", VLOOKUP(A5187, imdb_netflix_v5!A$2:H$7370, 2, FALSE), "")</f>
        <v>Movie</v>
      </c>
      <c r="C5187" s="2" t="str">
        <f>IF(A5187&lt;&gt;"", VLOOKUP(A5187, imdb_netflix_v5!A$2:H$7370, 3, FALSE), "")</f>
        <v>Adventure, Crime, Drama</v>
      </c>
      <c r="D5187" s="2">
        <f>IF(A5187&lt;&gt;"", VLOOKUP(A5187, imdb_netflix_v5!A$2:H$7370, 4, FALSE), "")</f>
        <v>7.2</v>
      </c>
      <c r="E5187" s="2">
        <f>IF(A5187&lt;&gt;"", VLOOKUP(A5187, imdb_netflix_v5!A$2:H$7370, 5, FALSE), "")</f>
        <v>2006</v>
      </c>
      <c r="F5187" s="2" t="str">
        <f>IF(A5187&lt;&gt;"", VLOOKUP(A5187, imdb_netflix_v5!A$2:H$7370, 7, FALSE), "")</f>
        <v>NA</v>
      </c>
    </row>
    <row r="5188" ht="15.75" customHeight="1">
      <c r="A5188" s="1" t="str">
        <f>IFERROR(__xludf.DUMMYFUNCTION("""COMPUTED_VALUE"""),"trinity is still my name")</f>
        <v>trinity is still my name</v>
      </c>
      <c r="B5188" s="1" t="str">
        <f>IF(A5188&lt;&gt;"", VLOOKUP(A5188, imdb_netflix_v5!A$2:H$7370, 2, FALSE), "")</f>
        <v>Movie</v>
      </c>
      <c r="C5188" s="2" t="str">
        <f>IF(A5188&lt;&gt;"", VLOOKUP(A5188, imdb_netflix_v5!A$2:H$7370, 3, FALSE), "")</f>
        <v>Comedy, Western</v>
      </c>
      <c r="D5188" s="2">
        <f>IF(A5188&lt;&gt;"", VLOOKUP(A5188, imdb_netflix_v5!A$2:H$7370, 4, FALSE), "")</f>
        <v>7.2</v>
      </c>
      <c r="E5188" s="2">
        <f>IF(A5188&lt;&gt;"", VLOOKUP(A5188, imdb_netflix_v5!A$2:H$7370, 5, FALSE), "")</f>
        <v>1971</v>
      </c>
      <c r="F5188" s="2" t="str">
        <f>IF(A5188&lt;&gt;"", VLOOKUP(A5188, imdb_netflix_v5!A$2:H$7370, 7, FALSE), "")</f>
        <v>NA</v>
      </c>
    </row>
    <row r="5189" ht="15.75" customHeight="1">
      <c r="A5189" s="1" t="str">
        <f>IFERROR(__xludf.DUMMYFUNCTION("""COMPUTED_VALUE"""),"cross")</f>
        <v>cross</v>
      </c>
      <c r="B5189" s="1" t="str">
        <f>IF(A5189&lt;&gt;"", VLOOKUP(A5189, imdb_netflix_v5!A$2:H$7370, 2, FALSE), "")</f>
        <v>TV Show</v>
      </c>
      <c r="C5189" s="2" t="str">
        <f>IF(A5189&lt;&gt;"", VLOOKUP(A5189, imdb_netflix_v5!A$2:H$7370, 3, FALSE), "")</f>
        <v>Action, Crime, Drama</v>
      </c>
      <c r="D5189" s="2">
        <f>IF(A5189&lt;&gt;"", VLOOKUP(A5189, imdb_netflix_v5!A$2:H$7370, 4, FALSE), "")</f>
        <v>7.2</v>
      </c>
      <c r="E5189" s="2">
        <f>IF(A5189&lt;&gt;"", VLOOKUP(A5189, imdb_netflix_v5!A$2:H$7370, 5, FALSE), "")</f>
        <v>2024</v>
      </c>
      <c r="F5189" s="2" t="str">
        <f>IF(A5189&lt;&gt;"", VLOOKUP(A5189, imdb_netflix_v5!A$2:H$7370, 7, FALSE), "")</f>
        <v>NA</v>
      </c>
    </row>
    <row r="5190" ht="15.75" customHeight="1">
      <c r="A5190" s="1" t="str">
        <f>IFERROR(__xludf.DUMMYFUNCTION("""COMPUTED_VALUE"""),"bedevilled")</f>
        <v>bedevilled</v>
      </c>
      <c r="B5190" s="1" t="str">
        <f>IF(A5190&lt;&gt;"", VLOOKUP(A5190, imdb_netflix_v5!A$2:H$7370, 2, FALSE), "")</f>
        <v>Movie</v>
      </c>
      <c r="C5190" s="2" t="str">
        <f>IF(A5190&lt;&gt;"", VLOOKUP(A5190, imdb_netflix_v5!A$2:H$7370, 3, FALSE), "")</f>
        <v>Drama, Horror, Thriller</v>
      </c>
      <c r="D5190" s="2">
        <f>IF(A5190&lt;&gt;"", VLOOKUP(A5190, imdb_netflix_v5!A$2:H$7370, 4, FALSE), "")</f>
        <v>7.2</v>
      </c>
      <c r="E5190" s="2">
        <f>IF(A5190&lt;&gt;"", VLOOKUP(A5190, imdb_netflix_v5!A$2:H$7370, 5, FALSE), "")</f>
        <v>2010</v>
      </c>
      <c r="F5190" s="2" t="str">
        <f>IF(A5190&lt;&gt;"", VLOOKUP(A5190, imdb_netflix_v5!A$2:H$7370, 7, FALSE), "")</f>
        <v>NA</v>
      </c>
    </row>
    <row r="5191" ht="15.75" customHeight="1">
      <c r="A5191" s="1" t="str">
        <f>IFERROR(__xludf.DUMMYFUNCTION("""COMPUTED_VALUE"""),"absentia")</f>
        <v>absentia</v>
      </c>
      <c r="B5191" s="1" t="str">
        <f>IF(A5191&lt;&gt;"", VLOOKUP(A5191, imdb_netflix_v5!A$2:H$7370, 2, FALSE), "")</f>
        <v>TV Show</v>
      </c>
      <c r="C5191" s="2" t="str">
        <f>IF(A5191&lt;&gt;"", VLOOKUP(A5191, imdb_netflix_v5!A$2:H$7370, 3, FALSE), "")</f>
        <v>Crime, Drama, Mystery</v>
      </c>
      <c r="D5191" s="2">
        <f>IF(A5191&lt;&gt;"", VLOOKUP(A5191, imdb_netflix_v5!A$2:H$7370, 4, FALSE), "")</f>
        <v>7.2</v>
      </c>
      <c r="E5191" s="2">
        <f>IF(A5191&lt;&gt;"", VLOOKUP(A5191, imdb_netflix_v5!A$2:H$7370, 5, FALSE), "")</f>
        <v>2017</v>
      </c>
      <c r="F5191" s="2" t="str">
        <f>IF(A5191&lt;&gt;"", VLOOKUP(A5191, imdb_netflix_v5!A$2:H$7370, 7, FALSE), "")</f>
        <v>NA</v>
      </c>
    </row>
    <row r="5192" ht="15.75" customHeight="1">
      <c r="A5192" s="1" t="str">
        <f>IFERROR(__xludf.DUMMYFUNCTION("""COMPUTED_VALUE"""),"batman the long halloween, part two")</f>
        <v>batman the long halloween, part two</v>
      </c>
      <c r="B5192" s="1" t="str">
        <f>IF(A5192&lt;&gt;"", VLOOKUP(A5192, imdb_netflix_v5!A$2:H$7370, 2, FALSE), "")</f>
        <v>Movie</v>
      </c>
      <c r="C5192" s="2" t="str">
        <f>IF(A5192&lt;&gt;"", VLOOKUP(A5192, imdb_netflix_v5!A$2:H$7370, 3, FALSE), "")</f>
        <v>Action, Animation, Crime</v>
      </c>
      <c r="D5192" s="2">
        <f>IF(A5192&lt;&gt;"", VLOOKUP(A5192, imdb_netflix_v5!A$2:H$7370, 4, FALSE), "")</f>
        <v>7.2</v>
      </c>
      <c r="E5192" s="2">
        <f>IF(A5192&lt;&gt;"", VLOOKUP(A5192, imdb_netflix_v5!A$2:H$7370, 5, FALSE), "")</f>
        <v>2021</v>
      </c>
      <c r="F5192" s="2" t="str">
        <f>IF(A5192&lt;&gt;"", VLOOKUP(A5192, imdb_netflix_v5!A$2:H$7370, 7, FALSE), "")</f>
        <v>NA</v>
      </c>
    </row>
    <row r="5193" ht="15.75" customHeight="1">
      <c r="A5193" s="1" t="str">
        <f>IFERROR(__xludf.DUMMYFUNCTION("""COMPUTED_VALUE"""),"bad boys")</f>
        <v>bad boys</v>
      </c>
      <c r="B5193" s="1" t="str">
        <f>IF(A5193&lt;&gt;"", VLOOKUP(A5193, imdb_netflix_v5!A$2:H$7370, 2, FALSE), "")</f>
        <v>Movie</v>
      </c>
      <c r="C5193" s="2" t="str">
        <f>IF(A5193&lt;&gt;"", VLOOKUP(A5193, imdb_netflix_v5!A$2:H$7370, 3, FALSE), "")</f>
        <v>Crime, Drama, Thriller</v>
      </c>
      <c r="D5193" s="2">
        <f>IF(A5193&lt;&gt;"", VLOOKUP(A5193, imdb_netflix_v5!A$2:H$7370, 4, FALSE), "")</f>
        <v>7.2</v>
      </c>
      <c r="E5193" s="2">
        <f>IF(A5193&lt;&gt;"", VLOOKUP(A5193, imdb_netflix_v5!A$2:H$7370, 5, FALSE), "")</f>
        <v>1983</v>
      </c>
      <c r="F5193" s="2" t="str">
        <f>IF(A5193&lt;&gt;"", VLOOKUP(A5193, imdb_netflix_v5!A$2:H$7370, 7, FALSE), "")</f>
        <v>NA</v>
      </c>
    </row>
    <row r="5194" ht="15.75" customHeight="1">
      <c r="A5194" s="1" t="str">
        <f>IFERROR(__xludf.DUMMYFUNCTION("""COMPUTED_VALUE"""),"girl")</f>
        <v>girl</v>
      </c>
      <c r="B5194" s="1" t="str">
        <f>IF(A5194&lt;&gt;"", VLOOKUP(A5194, imdb_netflix_v5!A$2:H$7370, 2, FALSE), "")</f>
        <v>Movie</v>
      </c>
      <c r="C5194" s="2" t="str">
        <f>IF(A5194&lt;&gt;"", VLOOKUP(A5194, imdb_netflix_v5!A$2:H$7370, 3, FALSE), "")</f>
        <v>Drama</v>
      </c>
      <c r="D5194" s="2">
        <f>IF(A5194&lt;&gt;"", VLOOKUP(A5194, imdb_netflix_v5!A$2:H$7370, 4, FALSE), "")</f>
        <v>7.2</v>
      </c>
      <c r="E5194" s="2">
        <f>IF(A5194&lt;&gt;"", VLOOKUP(A5194, imdb_netflix_v5!A$2:H$7370, 5, FALSE), "")</f>
        <v>2018</v>
      </c>
      <c r="F5194" s="2" t="str">
        <f>IF(A5194&lt;&gt;"", VLOOKUP(A5194, imdb_netflix_v5!A$2:H$7370, 7, FALSE), "")</f>
        <v>NA</v>
      </c>
    </row>
    <row r="5195" ht="15.75" customHeight="1">
      <c r="A5195" s="1" t="str">
        <f>IFERROR(__xludf.DUMMYFUNCTION("""COMPUTED_VALUE"""),"the dish")</f>
        <v>the dish</v>
      </c>
      <c r="B5195" s="1" t="str">
        <f>IF(A5195&lt;&gt;"", VLOOKUP(A5195, imdb_netflix_v5!A$2:H$7370, 2, FALSE), "")</f>
        <v>Movie</v>
      </c>
      <c r="C5195" s="2" t="str">
        <f>IF(A5195&lt;&gt;"", VLOOKUP(A5195, imdb_netflix_v5!A$2:H$7370, 3, FALSE), "")</f>
        <v>Comedy, Drama, History</v>
      </c>
      <c r="D5195" s="2">
        <f>IF(A5195&lt;&gt;"", VLOOKUP(A5195, imdb_netflix_v5!A$2:H$7370, 4, FALSE), "")</f>
        <v>7.2</v>
      </c>
      <c r="E5195" s="2">
        <f>IF(A5195&lt;&gt;"", VLOOKUP(A5195, imdb_netflix_v5!A$2:H$7370, 5, FALSE), "")</f>
        <v>2000</v>
      </c>
      <c r="F5195" s="2" t="str">
        <f>IF(A5195&lt;&gt;"", VLOOKUP(A5195, imdb_netflix_v5!A$2:H$7370, 7, FALSE), "")</f>
        <v>NA</v>
      </c>
    </row>
    <row r="5196" ht="15.75" customHeight="1">
      <c r="A5196" s="1" t="str">
        <f>IFERROR(__xludf.DUMMYFUNCTION("""COMPUTED_VALUE"""),"dheepan")</f>
        <v>dheepan</v>
      </c>
      <c r="B5196" s="1" t="str">
        <f>IF(A5196&lt;&gt;"", VLOOKUP(A5196, imdb_netflix_v5!A$2:H$7370, 2, FALSE), "")</f>
        <v>Movie</v>
      </c>
      <c r="C5196" s="2" t="str">
        <f>IF(A5196&lt;&gt;"", VLOOKUP(A5196, imdb_netflix_v5!A$2:H$7370, 3, FALSE), "")</f>
        <v>Crime, Drama</v>
      </c>
      <c r="D5196" s="2">
        <f>IF(A5196&lt;&gt;"", VLOOKUP(A5196, imdb_netflix_v5!A$2:H$7370, 4, FALSE), "")</f>
        <v>7.2</v>
      </c>
      <c r="E5196" s="2">
        <f>IF(A5196&lt;&gt;"", VLOOKUP(A5196, imdb_netflix_v5!A$2:H$7370, 5, FALSE), "")</f>
        <v>2015</v>
      </c>
      <c r="F5196" s="2" t="str">
        <f>IF(A5196&lt;&gt;"", VLOOKUP(A5196, imdb_netflix_v5!A$2:H$7370, 7, FALSE), "")</f>
        <v>NA</v>
      </c>
    </row>
    <row r="5197" ht="15.75" customHeight="1">
      <c r="A5197" s="1" t="str">
        <f>IFERROR(__xludf.DUMMYFUNCTION("""COMPUTED_VALUE"""),"a hard day")</f>
        <v>a hard day</v>
      </c>
      <c r="B5197" s="1" t="str">
        <f>IF(A5197&lt;&gt;"", VLOOKUP(A5197, imdb_netflix_v5!A$2:H$7370, 2, FALSE), "")</f>
        <v>Movie</v>
      </c>
      <c r="C5197" s="2" t="str">
        <f>IF(A5197&lt;&gt;"", VLOOKUP(A5197, imdb_netflix_v5!A$2:H$7370, 3, FALSE), "")</f>
        <v>Action, Crime, Thriller</v>
      </c>
      <c r="D5197" s="2">
        <f>IF(A5197&lt;&gt;"", VLOOKUP(A5197, imdb_netflix_v5!A$2:H$7370, 4, FALSE), "")</f>
        <v>7.2</v>
      </c>
      <c r="E5197" s="2">
        <f>IF(A5197&lt;&gt;"", VLOOKUP(A5197, imdb_netflix_v5!A$2:H$7370, 5, FALSE), "")</f>
        <v>2014</v>
      </c>
      <c r="F5197" s="2">
        <f>IF(A5197&lt;&gt;"", VLOOKUP(A5197, imdb_netflix_v5!A$2:H$7370, 7, FALSE), "")</f>
        <v>1260000</v>
      </c>
    </row>
    <row r="5198" ht="15.75" customHeight="1">
      <c r="A5198" s="1" t="str">
        <f>IFERROR(__xludf.DUMMYFUNCTION("""COMPUTED_VALUE"""),"starbuck")</f>
        <v>starbuck</v>
      </c>
      <c r="B5198" s="1" t="str">
        <f>IF(A5198&lt;&gt;"", VLOOKUP(A5198, imdb_netflix_v5!A$2:H$7370, 2, FALSE), "")</f>
        <v>Movie</v>
      </c>
      <c r="C5198" s="2" t="str">
        <f>IF(A5198&lt;&gt;"", VLOOKUP(A5198, imdb_netflix_v5!A$2:H$7370, 3, FALSE), "")</f>
        <v>Comedy, Drama, Romance</v>
      </c>
      <c r="D5198" s="2">
        <f>IF(A5198&lt;&gt;"", VLOOKUP(A5198, imdb_netflix_v5!A$2:H$7370, 4, FALSE), "")</f>
        <v>7.2</v>
      </c>
      <c r="E5198" s="2">
        <f>IF(A5198&lt;&gt;"", VLOOKUP(A5198, imdb_netflix_v5!A$2:H$7370, 5, FALSE), "")</f>
        <v>2011</v>
      </c>
      <c r="F5198" s="2" t="str">
        <f>IF(A5198&lt;&gt;"", VLOOKUP(A5198, imdb_netflix_v5!A$2:H$7370, 7, FALSE), "")</f>
        <v>NA</v>
      </c>
    </row>
    <row r="5199" ht="15.75" customHeight="1">
      <c r="A5199" s="1" t="str">
        <f>IFERROR(__xludf.DUMMYFUNCTION("""COMPUTED_VALUE"""),"based on a true story")</f>
        <v>based on a true story</v>
      </c>
      <c r="B5199" s="1" t="str">
        <f>IF(A5199&lt;&gt;"", VLOOKUP(A5199, imdb_netflix_v5!A$2:H$7370, 2, FALSE), "")</f>
        <v>TV Show</v>
      </c>
      <c r="C5199" s="2" t="str">
        <f>IF(A5199&lt;&gt;"", VLOOKUP(A5199, imdb_netflix_v5!A$2:H$7370, 3, FALSE), "")</f>
        <v>Comedy</v>
      </c>
      <c r="D5199" s="2">
        <f>IF(A5199&lt;&gt;"", VLOOKUP(A5199, imdb_netflix_v5!A$2:H$7370, 4, FALSE), "")</f>
        <v>7.2</v>
      </c>
      <c r="E5199" s="2">
        <f>IF(A5199&lt;&gt;"", VLOOKUP(A5199, imdb_netflix_v5!A$2:H$7370, 5, FALSE), "")</f>
        <v>2023</v>
      </c>
      <c r="F5199" s="2" t="str">
        <f>IF(A5199&lt;&gt;"", VLOOKUP(A5199, imdb_netflix_v5!A$2:H$7370, 7, FALSE), "")</f>
        <v>NA</v>
      </c>
    </row>
    <row r="5200" ht="15.75" customHeight="1">
      <c r="A5200" s="1" t="str">
        <f>IFERROR(__xludf.DUMMYFUNCTION("""COMPUTED_VALUE"""),"black box")</f>
        <v>black box</v>
      </c>
      <c r="B5200" s="1" t="str">
        <f>IF(A5200&lt;&gt;"", VLOOKUP(A5200, imdb_netflix_v5!A$2:H$7370, 2, FALSE), "")</f>
        <v>Movie</v>
      </c>
      <c r="C5200" s="2" t="str">
        <f>IF(A5200&lt;&gt;"", VLOOKUP(A5200, imdb_netflix_v5!A$2:H$7370, 3, FALSE), "")</f>
        <v>Drama, Mystery, Thriller</v>
      </c>
      <c r="D5200" s="2">
        <f>IF(A5200&lt;&gt;"", VLOOKUP(A5200, imdb_netflix_v5!A$2:H$7370, 4, FALSE), "")</f>
        <v>7.2</v>
      </c>
      <c r="E5200" s="2">
        <f>IF(A5200&lt;&gt;"", VLOOKUP(A5200, imdb_netflix_v5!A$2:H$7370, 5, FALSE), "")</f>
        <v>2021</v>
      </c>
      <c r="F5200" s="2" t="str">
        <f>IF(A5200&lt;&gt;"", VLOOKUP(A5200, imdb_netflix_v5!A$2:H$7370, 7, FALSE), "")</f>
        <v>NA</v>
      </c>
    </row>
    <row r="5201" ht="15.75" customHeight="1">
      <c r="A5201" s="1" t="str">
        <f>IFERROR(__xludf.DUMMYFUNCTION("""COMPUTED_VALUE"""),"a better life")</f>
        <v>a better life</v>
      </c>
      <c r="B5201" s="1" t="str">
        <f>IF(A5201&lt;&gt;"", VLOOKUP(A5201, imdb_netflix_v5!A$2:H$7370, 2, FALSE), "")</f>
        <v>Movie</v>
      </c>
      <c r="C5201" s="2" t="str">
        <f>IF(A5201&lt;&gt;"", VLOOKUP(A5201, imdb_netflix_v5!A$2:H$7370, 3, FALSE), "")</f>
        <v>Drama, Romance</v>
      </c>
      <c r="D5201" s="2">
        <f>IF(A5201&lt;&gt;"", VLOOKUP(A5201, imdb_netflix_v5!A$2:H$7370, 4, FALSE), "")</f>
        <v>7.2</v>
      </c>
      <c r="E5201" s="2">
        <f>IF(A5201&lt;&gt;"", VLOOKUP(A5201, imdb_netflix_v5!A$2:H$7370, 5, FALSE), "")</f>
        <v>2011</v>
      </c>
      <c r="F5201" s="2" t="str">
        <f>IF(A5201&lt;&gt;"", VLOOKUP(A5201, imdb_netflix_v5!A$2:H$7370, 7, FALSE), "")</f>
        <v>NA</v>
      </c>
    </row>
    <row r="5202" ht="15.75" customHeight="1">
      <c r="A5202" s="1" t="str">
        <f>IFERROR(__xludf.DUMMYFUNCTION("""COMPUTED_VALUE"""),"breakout kings")</f>
        <v>breakout kings</v>
      </c>
      <c r="B5202" s="1" t="str">
        <f>IF(A5202&lt;&gt;"", VLOOKUP(A5202, imdb_netflix_v5!A$2:H$7370, 2, FALSE), "")</f>
        <v>TV Show</v>
      </c>
      <c r="C5202" s="2" t="str">
        <f>IF(A5202&lt;&gt;"", VLOOKUP(A5202, imdb_netflix_v5!A$2:H$7370, 3, FALSE), "")</f>
        <v>Crime, Drama, Thriller</v>
      </c>
      <c r="D5202" s="2">
        <f>IF(A5202&lt;&gt;"", VLOOKUP(A5202, imdb_netflix_v5!A$2:H$7370, 4, FALSE), "")</f>
        <v>7.2</v>
      </c>
      <c r="E5202" s="2">
        <f>IF(A5202&lt;&gt;"", VLOOKUP(A5202, imdb_netflix_v5!A$2:H$7370, 5, FALSE), "")</f>
        <v>2011</v>
      </c>
      <c r="F5202" s="2" t="str">
        <f>IF(A5202&lt;&gt;"", VLOOKUP(A5202, imdb_netflix_v5!A$2:H$7370, 7, FALSE), "")</f>
        <v>NA</v>
      </c>
    </row>
    <row r="5203" ht="15.75" customHeight="1">
      <c r="A5203" s="1" t="str">
        <f>IFERROR(__xludf.DUMMYFUNCTION("""COMPUTED_VALUE"""),"city of men")</f>
        <v>city of men</v>
      </c>
      <c r="B5203" s="1" t="str">
        <f>IF(A5203&lt;&gt;"", VLOOKUP(A5203, imdb_netflix_v5!A$2:H$7370, 2, FALSE), "")</f>
        <v>Movie</v>
      </c>
      <c r="C5203" s="2" t="str">
        <f>IF(A5203&lt;&gt;"", VLOOKUP(A5203, imdb_netflix_v5!A$2:H$7370, 3, FALSE), "")</f>
        <v>Crime, Drama</v>
      </c>
      <c r="D5203" s="2">
        <f>IF(A5203&lt;&gt;"", VLOOKUP(A5203, imdb_netflix_v5!A$2:H$7370, 4, FALSE), "")</f>
        <v>7.2</v>
      </c>
      <c r="E5203" s="2">
        <f>IF(A5203&lt;&gt;"", VLOOKUP(A5203, imdb_netflix_v5!A$2:H$7370, 5, FALSE), "")</f>
        <v>2007</v>
      </c>
      <c r="F5203" s="2" t="str">
        <f>IF(A5203&lt;&gt;"", VLOOKUP(A5203, imdb_netflix_v5!A$2:H$7370, 7, FALSE), "")</f>
        <v>NA</v>
      </c>
    </row>
    <row r="5204" ht="15.75" customHeight="1">
      <c r="A5204" s="1" t="str">
        <f>IFERROR(__xludf.DUMMYFUNCTION("""COMPUTED_VALUE"""),"under the bridge")</f>
        <v>under the bridge</v>
      </c>
      <c r="B5204" s="1" t="str">
        <f>IF(A5204&lt;&gt;"", VLOOKUP(A5204, imdb_netflix_v5!A$2:H$7370, 2, FALSE), "")</f>
        <v>TV Show</v>
      </c>
      <c r="C5204" s="2" t="str">
        <f>IF(A5204&lt;&gt;"", VLOOKUP(A5204, imdb_netflix_v5!A$2:H$7370, 3, FALSE), "")</f>
        <v>Biography, Crime, Drama</v>
      </c>
      <c r="D5204" s="2">
        <f>IF(A5204&lt;&gt;"", VLOOKUP(A5204, imdb_netflix_v5!A$2:H$7370, 4, FALSE), "")</f>
        <v>7.2</v>
      </c>
      <c r="E5204" s="2">
        <f>IF(A5204&lt;&gt;"", VLOOKUP(A5204, imdb_netflix_v5!A$2:H$7370, 5, FALSE), "")</f>
        <v>2024</v>
      </c>
      <c r="F5204" s="2" t="str">
        <f>IF(A5204&lt;&gt;"", VLOOKUP(A5204, imdb_netflix_v5!A$2:H$7370, 7, FALSE), "")</f>
        <v>NA</v>
      </c>
    </row>
    <row r="5205" ht="15.75" customHeight="1">
      <c r="A5205" s="1" t="str">
        <f>IFERROR(__xludf.DUMMYFUNCTION("""COMPUTED_VALUE"""),"barbara")</f>
        <v>barbara</v>
      </c>
      <c r="B5205" s="1" t="str">
        <f>IF(A5205&lt;&gt;"", VLOOKUP(A5205, imdb_netflix_v5!A$2:H$7370, 2, FALSE), "")</f>
        <v>Movie</v>
      </c>
      <c r="C5205" s="2" t="str">
        <f>IF(A5205&lt;&gt;"", VLOOKUP(A5205, imdb_netflix_v5!A$2:H$7370, 3, FALSE), "")</f>
        <v>Drama</v>
      </c>
      <c r="D5205" s="2">
        <f>IF(A5205&lt;&gt;"", VLOOKUP(A5205, imdb_netflix_v5!A$2:H$7370, 4, FALSE), "")</f>
        <v>7.2</v>
      </c>
      <c r="E5205" s="2">
        <f>IF(A5205&lt;&gt;"", VLOOKUP(A5205, imdb_netflix_v5!A$2:H$7370, 5, FALSE), "")</f>
        <v>2012</v>
      </c>
      <c r="F5205" s="2" t="str">
        <f>IF(A5205&lt;&gt;"", VLOOKUP(A5205, imdb_netflix_v5!A$2:H$7370, 7, FALSE), "")</f>
        <v>NA</v>
      </c>
    </row>
    <row r="5206" ht="15.75" customHeight="1">
      <c r="A5206" s="1" t="str">
        <f>IFERROR(__xludf.DUMMYFUNCTION("""COMPUTED_VALUE"""),"operation petticoat")</f>
        <v>operation petticoat</v>
      </c>
      <c r="B5206" s="1" t="str">
        <f>IF(A5206&lt;&gt;"", VLOOKUP(A5206, imdb_netflix_v5!A$2:H$7370, 2, FALSE), "")</f>
        <v>Movie</v>
      </c>
      <c r="C5206" s="2" t="str">
        <f>IF(A5206&lt;&gt;"", VLOOKUP(A5206, imdb_netflix_v5!A$2:H$7370, 3, FALSE), "")</f>
        <v>Comedy, Romance, War</v>
      </c>
      <c r="D5206" s="2">
        <f>IF(A5206&lt;&gt;"", VLOOKUP(A5206, imdb_netflix_v5!A$2:H$7370, 4, FALSE), "")</f>
        <v>7.2</v>
      </c>
      <c r="E5206" s="2">
        <f>IF(A5206&lt;&gt;"", VLOOKUP(A5206, imdb_netflix_v5!A$2:H$7370, 5, FALSE), "")</f>
        <v>1959</v>
      </c>
      <c r="F5206" s="2" t="str">
        <f>IF(A5206&lt;&gt;"", VLOOKUP(A5206, imdb_netflix_v5!A$2:H$7370, 7, FALSE), "")</f>
        <v>NA</v>
      </c>
    </row>
    <row r="5207" ht="15.75" customHeight="1">
      <c r="A5207" s="1" t="str">
        <f>IFERROR(__xludf.DUMMYFUNCTION("""COMPUTED_VALUE"""),"pyaar ka punchnama 2")</f>
        <v>pyaar ka punchnama 2</v>
      </c>
      <c r="B5207" s="1" t="str">
        <f>IF(A5207&lt;&gt;"", VLOOKUP(A5207, imdb_netflix_v5!A$2:H$7370, 2, FALSE), "")</f>
        <v>Movie</v>
      </c>
      <c r="C5207" s="2" t="str">
        <f>IF(A5207&lt;&gt;"", VLOOKUP(A5207, imdb_netflix_v5!A$2:H$7370, 3, FALSE), "")</f>
        <v>Comedy, Drama, Romance</v>
      </c>
      <c r="D5207" s="2">
        <f>IF(A5207&lt;&gt;"", VLOOKUP(A5207, imdb_netflix_v5!A$2:H$7370, 4, FALSE), "")</f>
        <v>7.2</v>
      </c>
      <c r="E5207" s="2">
        <f>IF(A5207&lt;&gt;"", VLOOKUP(A5207, imdb_netflix_v5!A$2:H$7370, 5, FALSE), "")</f>
        <v>2015</v>
      </c>
      <c r="F5207" s="2" t="str">
        <f>IF(A5207&lt;&gt;"", VLOOKUP(A5207, imdb_netflix_v5!A$2:H$7370, 7, FALSE), "")</f>
        <v>NA</v>
      </c>
    </row>
    <row r="5208" ht="15.75" customHeight="1">
      <c r="A5208" s="1" t="str">
        <f>IFERROR(__xludf.DUMMYFUNCTION("""COMPUTED_VALUE"""),"of gods and men")</f>
        <v>of gods and men</v>
      </c>
      <c r="B5208" s="1" t="str">
        <f>IF(A5208&lt;&gt;"", VLOOKUP(A5208, imdb_netflix_v5!A$2:H$7370, 2, FALSE), "")</f>
        <v>Movie</v>
      </c>
      <c r="C5208" s="2" t="str">
        <f>IF(A5208&lt;&gt;"", VLOOKUP(A5208, imdb_netflix_v5!A$2:H$7370, 3, FALSE), "")</f>
        <v>Drama, History</v>
      </c>
      <c r="D5208" s="2">
        <f>IF(A5208&lt;&gt;"", VLOOKUP(A5208, imdb_netflix_v5!A$2:H$7370, 4, FALSE), "")</f>
        <v>7.2</v>
      </c>
      <c r="E5208" s="2">
        <f>IF(A5208&lt;&gt;"", VLOOKUP(A5208, imdb_netflix_v5!A$2:H$7370, 5, FALSE), "")</f>
        <v>2010</v>
      </c>
      <c r="F5208" s="2" t="str">
        <f>IF(A5208&lt;&gt;"", VLOOKUP(A5208, imdb_netflix_v5!A$2:H$7370, 7, FALSE), "")</f>
        <v>NA</v>
      </c>
    </row>
    <row r="5209" ht="15.75" customHeight="1">
      <c r="A5209" s="1" t="str">
        <f>IFERROR(__xludf.DUMMYFUNCTION("""COMPUTED_VALUE"""),"till")</f>
        <v>till</v>
      </c>
      <c r="B5209" s="1" t="str">
        <f>IF(A5209&lt;&gt;"", VLOOKUP(A5209, imdb_netflix_v5!A$2:H$7370, 2, FALSE), "")</f>
        <v>Movie</v>
      </c>
      <c r="C5209" s="2" t="str">
        <f>IF(A5209&lt;&gt;"", VLOOKUP(A5209, imdb_netflix_v5!A$2:H$7370, 3, FALSE), "")</f>
        <v>Biography, Crime, Drama</v>
      </c>
      <c r="D5209" s="2">
        <f>IF(A5209&lt;&gt;"", VLOOKUP(A5209, imdb_netflix_v5!A$2:H$7370, 4, FALSE), "")</f>
        <v>7.2</v>
      </c>
      <c r="E5209" s="2">
        <f>IF(A5209&lt;&gt;"", VLOOKUP(A5209, imdb_netflix_v5!A$2:H$7370, 5, FALSE), "")</f>
        <v>2022</v>
      </c>
      <c r="F5209" s="2" t="str">
        <f>IF(A5209&lt;&gt;"", VLOOKUP(A5209, imdb_netflix_v5!A$2:H$7370, 7, FALSE), "")</f>
        <v>NA</v>
      </c>
    </row>
    <row r="5210" ht="15.75" customHeight="1">
      <c r="A5210" s="1" t="str">
        <f>IFERROR(__xludf.DUMMYFUNCTION("""COMPUTED_VALUE"""),"compartment number 6")</f>
        <v>compartment number 6</v>
      </c>
      <c r="B5210" s="1" t="str">
        <f>IF(A5210&lt;&gt;"", VLOOKUP(A5210, imdb_netflix_v5!A$2:H$7370, 2, FALSE), "")</f>
        <v>Movie</v>
      </c>
      <c r="C5210" s="2" t="str">
        <f>IF(A5210&lt;&gt;"", VLOOKUP(A5210, imdb_netflix_v5!A$2:H$7370, 3, FALSE), "")</f>
        <v>Drama, Romance</v>
      </c>
      <c r="D5210" s="2">
        <f>IF(A5210&lt;&gt;"", VLOOKUP(A5210, imdb_netflix_v5!A$2:H$7370, 4, FALSE), "")</f>
        <v>7.2</v>
      </c>
      <c r="E5210" s="2">
        <f>IF(A5210&lt;&gt;"", VLOOKUP(A5210, imdb_netflix_v5!A$2:H$7370, 5, FALSE), "")</f>
        <v>2021</v>
      </c>
      <c r="F5210" s="2" t="str">
        <f>IF(A5210&lt;&gt;"", VLOOKUP(A5210, imdb_netflix_v5!A$2:H$7370, 7, FALSE), "")</f>
        <v>NA</v>
      </c>
    </row>
    <row r="5211" ht="15.75" customHeight="1">
      <c r="A5211" s="1" t="str">
        <f>IFERROR(__xludf.DUMMYFUNCTION("""COMPUTED_VALUE"""),"tin star")</f>
        <v>tin star</v>
      </c>
      <c r="B5211" s="1" t="str">
        <f>IF(A5211&lt;&gt;"", VLOOKUP(A5211, imdb_netflix_v5!A$2:H$7370, 2, FALSE), "")</f>
        <v>TV Show</v>
      </c>
      <c r="C5211" s="2" t="str">
        <f>IF(A5211&lt;&gt;"", VLOOKUP(A5211, imdb_netflix_v5!A$2:H$7370, 3, FALSE), "")</f>
        <v>Crime, Drama, Thriller</v>
      </c>
      <c r="D5211" s="2">
        <f>IF(A5211&lt;&gt;"", VLOOKUP(A5211, imdb_netflix_v5!A$2:H$7370, 4, FALSE), "")</f>
        <v>7.2</v>
      </c>
      <c r="E5211" s="2">
        <f>IF(A5211&lt;&gt;"", VLOOKUP(A5211, imdb_netflix_v5!A$2:H$7370, 5, FALSE), "")</f>
        <v>2017</v>
      </c>
      <c r="F5211" s="2" t="str">
        <f>IF(A5211&lt;&gt;"", VLOOKUP(A5211, imdb_netflix_v5!A$2:H$7370, 7, FALSE), "")</f>
        <v>NA</v>
      </c>
    </row>
    <row r="5212" ht="15.75" customHeight="1">
      <c r="A5212" s="1" t="str">
        <f>IFERROR(__xludf.DUMMYFUNCTION("""COMPUTED_VALUE"""),"utoya july 22")</f>
        <v>utoya july 22</v>
      </c>
      <c r="B5212" s="1" t="str">
        <f>IF(A5212&lt;&gt;"", VLOOKUP(A5212, imdb_netflix_v5!A$2:H$7370, 2, FALSE), "")</f>
        <v>Movie</v>
      </c>
      <c r="C5212" s="2" t="str">
        <f>IF(A5212&lt;&gt;"", VLOOKUP(A5212, imdb_netflix_v5!A$2:H$7370, 3, FALSE), "")</f>
        <v>Drama, Thriller</v>
      </c>
      <c r="D5212" s="2">
        <f>IF(A5212&lt;&gt;"", VLOOKUP(A5212, imdb_netflix_v5!A$2:H$7370, 4, FALSE), "")</f>
        <v>7.2</v>
      </c>
      <c r="E5212" s="2">
        <f>IF(A5212&lt;&gt;"", VLOOKUP(A5212, imdb_netflix_v5!A$2:H$7370, 5, FALSE), "")</f>
        <v>2018</v>
      </c>
      <c r="F5212" s="2" t="str">
        <f>IF(A5212&lt;&gt;"", VLOOKUP(A5212, imdb_netflix_v5!A$2:H$7370, 7, FALSE), "")</f>
        <v>NA</v>
      </c>
    </row>
    <row r="5213" ht="15.75" customHeight="1">
      <c r="A5213" s="1" t="str">
        <f>IFERROR(__xludf.DUMMYFUNCTION("""COMPUTED_VALUE"""),"the angry beavers")</f>
        <v>the angry beavers</v>
      </c>
      <c r="B5213" s="1" t="str">
        <f>IF(A5213&lt;&gt;"", VLOOKUP(A5213, imdb_netflix_v5!A$2:H$7370, 2, FALSE), "")</f>
        <v>TV Show</v>
      </c>
      <c r="C5213" s="2" t="str">
        <f>IF(A5213&lt;&gt;"", VLOOKUP(A5213, imdb_netflix_v5!A$2:H$7370, 3, FALSE), "")</f>
        <v>Adventure, Animation, Comedy</v>
      </c>
      <c r="D5213" s="2">
        <f>IF(A5213&lt;&gt;"", VLOOKUP(A5213, imdb_netflix_v5!A$2:H$7370, 4, FALSE), "")</f>
        <v>7.2</v>
      </c>
      <c r="E5213" s="2">
        <f>IF(A5213&lt;&gt;"", VLOOKUP(A5213, imdb_netflix_v5!A$2:H$7370, 5, FALSE), "")</f>
        <v>1997</v>
      </c>
      <c r="F5213" s="2" t="str">
        <f>IF(A5213&lt;&gt;"", VLOOKUP(A5213, imdb_netflix_v5!A$2:H$7370, 7, FALSE), "")</f>
        <v>NA</v>
      </c>
    </row>
    <row r="5214" ht="15.75" customHeight="1">
      <c r="A5214" s="1" t="str">
        <f>IFERROR(__xludf.DUMMYFUNCTION("""COMPUTED_VALUE"""),"el cid")</f>
        <v>el cid</v>
      </c>
      <c r="B5214" s="1" t="str">
        <f>IF(A5214&lt;&gt;"", VLOOKUP(A5214, imdb_netflix_v5!A$2:H$7370, 2, FALSE), "")</f>
        <v>Movie</v>
      </c>
      <c r="C5214" s="2" t="str">
        <f>IF(A5214&lt;&gt;"", VLOOKUP(A5214, imdb_netflix_v5!A$2:H$7370, 3, FALSE), "")</f>
        <v>Biography, Drama, History</v>
      </c>
      <c r="D5214" s="2">
        <f>IF(A5214&lt;&gt;"", VLOOKUP(A5214, imdb_netflix_v5!A$2:H$7370, 4, FALSE), "")</f>
        <v>7.2</v>
      </c>
      <c r="E5214" s="2">
        <f>IF(A5214&lt;&gt;"", VLOOKUP(A5214, imdb_netflix_v5!A$2:H$7370, 5, FALSE), "")</f>
        <v>1961</v>
      </c>
      <c r="F5214" s="2" t="str">
        <f>IF(A5214&lt;&gt;"", VLOOKUP(A5214, imdb_netflix_v5!A$2:H$7370, 7, FALSE), "")</f>
        <v>NA</v>
      </c>
    </row>
    <row r="5215" ht="15.75" customHeight="1">
      <c r="A5215" s="1" t="str">
        <f>IFERROR(__xludf.DUMMYFUNCTION("""COMPUTED_VALUE"""),"daisies")</f>
        <v>daisies</v>
      </c>
      <c r="B5215" s="1" t="str">
        <f>IF(A5215&lt;&gt;"", VLOOKUP(A5215, imdb_netflix_v5!A$2:H$7370, 2, FALSE), "")</f>
        <v>Movie</v>
      </c>
      <c r="C5215" s="2" t="str">
        <f>IF(A5215&lt;&gt;"", VLOOKUP(A5215, imdb_netflix_v5!A$2:H$7370, 3, FALSE), "")</f>
        <v>Comedy</v>
      </c>
      <c r="D5215" s="2">
        <f>IF(A5215&lt;&gt;"", VLOOKUP(A5215, imdb_netflix_v5!A$2:H$7370, 4, FALSE), "")</f>
        <v>7.2</v>
      </c>
      <c r="E5215" s="2">
        <f>IF(A5215&lt;&gt;"", VLOOKUP(A5215, imdb_netflix_v5!A$2:H$7370, 5, FALSE), "")</f>
        <v>1966</v>
      </c>
      <c r="F5215" s="2" t="str">
        <f>IF(A5215&lt;&gt;"", VLOOKUP(A5215, imdb_netflix_v5!A$2:H$7370, 7, FALSE), "")</f>
        <v>NA</v>
      </c>
    </row>
    <row r="5216" ht="15.75" customHeight="1">
      <c r="A5216" s="1" t="str">
        <f>IFERROR(__xludf.DUMMYFUNCTION("""COMPUTED_VALUE"""),"neon genesis evangelion death &amp; rebirth")</f>
        <v>neon genesis evangelion death &amp; rebirth</v>
      </c>
      <c r="B5216" s="1" t="str">
        <f>IF(A5216&lt;&gt;"", VLOOKUP(A5216, imdb_netflix_v5!A$2:H$7370, 2, FALSE), "")</f>
        <v>Movie</v>
      </c>
      <c r="C5216" s="2" t="str">
        <f>IF(A5216&lt;&gt;"", VLOOKUP(A5216, imdb_netflix_v5!A$2:H$7370, 3, FALSE), "")</f>
        <v>Action, Animation, Drama</v>
      </c>
      <c r="D5216" s="2">
        <f>IF(A5216&lt;&gt;"", VLOOKUP(A5216, imdb_netflix_v5!A$2:H$7370, 4, FALSE), "")</f>
        <v>7.2</v>
      </c>
      <c r="E5216" s="2">
        <f>IF(A5216&lt;&gt;"", VLOOKUP(A5216, imdb_netflix_v5!A$2:H$7370, 5, FALSE), "")</f>
        <v>1997</v>
      </c>
      <c r="F5216" s="2" t="str">
        <f>IF(A5216&lt;&gt;"", VLOOKUP(A5216, imdb_netflix_v5!A$2:H$7370, 7, FALSE), "")</f>
        <v>NA</v>
      </c>
    </row>
    <row r="5217" ht="15.75" customHeight="1">
      <c r="A5217" s="1" t="str">
        <f>IFERROR(__xludf.DUMMYFUNCTION("""COMPUTED_VALUE"""),"the fortune cookie")</f>
        <v>the fortune cookie</v>
      </c>
      <c r="B5217" s="1" t="str">
        <f>IF(A5217&lt;&gt;"", VLOOKUP(A5217, imdb_netflix_v5!A$2:H$7370, 2, FALSE), "")</f>
        <v>Movie</v>
      </c>
      <c r="C5217" s="2" t="str">
        <f>IF(A5217&lt;&gt;"", VLOOKUP(A5217, imdb_netflix_v5!A$2:H$7370, 3, FALSE), "")</f>
        <v>Comedy, Romance</v>
      </c>
      <c r="D5217" s="2">
        <f>IF(A5217&lt;&gt;"", VLOOKUP(A5217, imdb_netflix_v5!A$2:H$7370, 4, FALSE), "")</f>
        <v>7.2</v>
      </c>
      <c r="E5217" s="2">
        <f>IF(A5217&lt;&gt;"", VLOOKUP(A5217, imdb_netflix_v5!A$2:H$7370, 5, FALSE), "")</f>
        <v>1966</v>
      </c>
      <c r="F5217" s="2" t="str">
        <f>IF(A5217&lt;&gt;"", VLOOKUP(A5217, imdb_netflix_v5!A$2:H$7370, 7, FALSE), "")</f>
        <v>NA</v>
      </c>
    </row>
    <row r="5218" ht="15.75" customHeight="1">
      <c r="A5218" s="1" t="str">
        <f>IFERROR(__xludf.DUMMYFUNCTION("""COMPUTED_VALUE"""),"mrs. brown")</f>
        <v>mrs. brown</v>
      </c>
      <c r="B5218" s="1" t="str">
        <f>IF(A5218&lt;&gt;"", VLOOKUP(A5218, imdb_netflix_v5!A$2:H$7370, 2, FALSE), "")</f>
        <v>Movie</v>
      </c>
      <c r="C5218" s="2" t="str">
        <f>IF(A5218&lt;&gt;"", VLOOKUP(A5218, imdb_netflix_v5!A$2:H$7370, 3, FALSE), "")</f>
        <v>Biography, Drama, History</v>
      </c>
      <c r="D5218" s="2">
        <f>IF(A5218&lt;&gt;"", VLOOKUP(A5218, imdb_netflix_v5!A$2:H$7370, 4, FALSE), "")</f>
        <v>7.2</v>
      </c>
      <c r="E5218" s="2">
        <f>IF(A5218&lt;&gt;"", VLOOKUP(A5218, imdb_netflix_v5!A$2:H$7370, 5, FALSE), "")</f>
        <v>1997</v>
      </c>
      <c r="F5218" s="2" t="str">
        <f>IF(A5218&lt;&gt;"", VLOOKUP(A5218, imdb_netflix_v5!A$2:H$7370, 7, FALSE), "")</f>
        <v>NA</v>
      </c>
    </row>
    <row r="5219" ht="15.75" customHeight="1">
      <c r="A5219" s="1" t="str">
        <f>IFERROR(__xludf.DUMMYFUNCTION("""COMPUTED_VALUE"""),"primeval")</f>
        <v>primeval</v>
      </c>
      <c r="B5219" s="1" t="str">
        <f>IF(A5219&lt;&gt;"", VLOOKUP(A5219, imdb_netflix_v5!A$2:H$7370, 2, FALSE), "")</f>
        <v>TV Show</v>
      </c>
      <c r="C5219" s="2" t="str">
        <f>IF(A5219&lt;&gt;"", VLOOKUP(A5219, imdb_netflix_v5!A$2:H$7370, 3, FALSE), "")</f>
        <v>Action, Adventure, Drama</v>
      </c>
      <c r="D5219" s="2">
        <f>IF(A5219&lt;&gt;"", VLOOKUP(A5219, imdb_netflix_v5!A$2:H$7370, 4, FALSE), "")</f>
        <v>7.2</v>
      </c>
      <c r="E5219" s="2">
        <f>IF(A5219&lt;&gt;"", VLOOKUP(A5219, imdb_netflix_v5!A$2:H$7370, 5, FALSE), "")</f>
        <v>2007</v>
      </c>
      <c r="F5219" s="2" t="str">
        <f>IF(A5219&lt;&gt;"", VLOOKUP(A5219, imdb_netflix_v5!A$2:H$7370, 7, FALSE), "")</f>
        <v>NA</v>
      </c>
    </row>
    <row r="5220" ht="15.75" customHeight="1">
      <c r="A5220" s="1" t="str">
        <f>IFERROR(__xludf.DUMMYFUNCTION("""COMPUTED_VALUE"""),"to the lake")</f>
        <v>to the lake</v>
      </c>
      <c r="B5220" s="1" t="str">
        <f>IF(A5220&lt;&gt;"", VLOOKUP(A5220, imdb_netflix_v5!A$2:H$7370, 2, FALSE), "")</f>
        <v>TV Show</v>
      </c>
      <c r="C5220" s="2" t="str">
        <f>IF(A5220&lt;&gt;"", VLOOKUP(A5220, imdb_netflix_v5!A$2:H$7370, 3, FALSE), "")</f>
        <v>Drama, Sci-Fi, Thriller</v>
      </c>
      <c r="D5220" s="2">
        <f>IF(A5220&lt;&gt;"", VLOOKUP(A5220, imdb_netflix_v5!A$2:H$7370, 4, FALSE), "")</f>
        <v>7.2</v>
      </c>
      <c r="E5220" s="2">
        <f>IF(A5220&lt;&gt;"", VLOOKUP(A5220, imdb_netflix_v5!A$2:H$7370, 5, FALSE), "")</f>
        <v>2019</v>
      </c>
      <c r="F5220" s="2" t="str">
        <f>IF(A5220&lt;&gt;"", VLOOKUP(A5220, imdb_netflix_v5!A$2:H$7370, 7, FALSE), "")</f>
        <v>NA</v>
      </c>
    </row>
    <row r="5221" ht="15.75" customHeight="1">
      <c r="A5221" s="1" t="str">
        <f>IFERROR(__xludf.DUMMYFUNCTION("""COMPUTED_VALUE"""),"paddleton")</f>
        <v>paddleton</v>
      </c>
      <c r="B5221" s="1" t="str">
        <f>IF(A5221&lt;&gt;"", VLOOKUP(A5221, imdb_netflix_v5!A$2:H$7370, 2, FALSE), "")</f>
        <v>Movie</v>
      </c>
      <c r="C5221" s="2" t="str">
        <f>IF(A5221&lt;&gt;"", VLOOKUP(A5221, imdb_netflix_v5!A$2:H$7370, 3, FALSE), "")</f>
        <v>Comedy, Drama</v>
      </c>
      <c r="D5221" s="2">
        <f>IF(A5221&lt;&gt;"", VLOOKUP(A5221, imdb_netflix_v5!A$2:H$7370, 4, FALSE), "")</f>
        <v>7.2</v>
      </c>
      <c r="E5221" s="2">
        <f>IF(A5221&lt;&gt;"", VLOOKUP(A5221, imdb_netflix_v5!A$2:H$7370, 5, FALSE), "")</f>
        <v>2019</v>
      </c>
      <c r="F5221" s="2" t="str">
        <f>IF(A5221&lt;&gt;"", VLOOKUP(A5221, imdb_netflix_v5!A$2:H$7370, 7, FALSE), "")</f>
        <v>NA</v>
      </c>
    </row>
    <row r="5222" ht="15.75" customHeight="1">
      <c r="A5222" s="1" t="str">
        <f>IFERROR(__xludf.DUMMYFUNCTION("""COMPUTED_VALUE"""),"old yeller")</f>
        <v>old yeller</v>
      </c>
      <c r="B5222" s="1" t="str">
        <f>IF(A5222&lt;&gt;"", VLOOKUP(A5222, imdb_netflix_v5!A$2:H$7370, 2, FALSE), "")</f>
        <v>Movie</v>
      </c>
      <c r="C5222" s="2" t="str">
        <f>IF(A5222&lt;&gt;"", VLOOKUP(A5222, imdb_netflix_v5!A$2:H$7370, 3, FALSE), "")</f>
        <v>Adventure, Drama, Family</v>
      </c>
      <c r="D5222" s="2">
        <f>IF(A5222&lt;&gt;"", VLOOKUP(A5222, imdb_netflix_v5!A$2:H$7370, 4, FALSE), "")</f>
        <v>7.2</v>
      </c>
      <c r="E5222" s="2">
        <f>IF(A5222&lt;&gt;"", VLOOKUP(A5222, imdb_netflix_v5!A$2:H$7370, 5, FALSE), "")</f>
        <v>1957</v>
      </c>
      <c r="F5222" s="2" t="str">
        <f>IF(A5222&lt;&gt;"", VLOOKUP(A5222, imdb_netflix_v5!A$2:H$7370, 7, FALSE), "")</f>
        <v>NA</v>
      </c>
    </row>
    <row r="5223" ht="15.75" customHeight="1">
      <c r="A5223" s="1" t="str">
        <f>IFERROR(__xludf.DUMMYFUNCTION("""COMPUTED_VALUE"""),"children of dune")</f>
        <v>children of dune</v>
      </c>
      <c r="B5223" s="1" t="str">
        <f>IF(A5223&lt;&gt;"", VLOOKUP(A5223, imdb_netflix_v5!A$2:H$7370, 2, FALSE), "")</f>
        <v>TV Show</v>
      </c>
      <c r="C5223" s="2" t="str">
        <f>IF(A5223&lt;&gt;"", VLOOKUP(A5223, imdb_netflix_v5!A$2:H$7370, 3, FALSE), "")</f>
        <v>Adventure, Drama, Sci-Fi</v>
      </c>
      <c r="D5223" s="2">
        <f>IF(A5223&lt;&gt;"", VLOOKUP(A5223, imdb_netflix_v5!A$2:H$7370, 4, FALSE), "")</f>
        <v>7.2</v>
      </c>
      <c r="E5223" s="2">
        <f>IF(A5223&lt;&gt;"", VLOOKUP(A5223, imdb_netflix_v5!A$2:H$7370, 5, FALSE), "")</f>
        <v>2003</v>
      </c>
      <c r="F5223" s="2" t="str">
        <f>IF(A5223&lt;&gt;"", VLOOKUP(A5223, imdb_netflix_v5!A$2:H$7370, 7, FALSE), "")</f>
        <v>NA</v>
      </c>
    </row>
    <row r="5224" ht="15.75" customHeight="1">
      <c r="A5224" s="1" t="str">
        <f>IFERROR(__xludf.DUMMYFUNCTION("""COMPUTED_VALUE"""),"the inventor out for blood in silicon valley")</f>
        <v>the inventor out for blood in silicon valley</v>
      </c>
      <c r="B5224" s="1" t="str">
        <f>IF(A5224&lt;&gt;"", VLOOKUP(A5224, imdb_netflix_v5!A$2:H$7370, 2, FALSE), "")</f>
        <v>Movie</v>
      </c>
      <c r="C5224" s="2" t="str">
        <f>IF(A5224&lt;&gt;"", VLOOKUP(A5224, imdb_netflix_v5!A$2:H$7370, 3, FALSE), "")</f>
        <v>Crime, Documentary</v>
      </c>
      <c r="D5224" s="2">
        <f>IF(A5224&lt;&gt;"", VLOOKUP(A5224, imdb_netflix_v5!A$2:H$7370, 4, FALSE), "")</f>
        <v>7.2</v>
      </c>
      <c r="E5224" s="2">
        <f>IF(A5224&lt;&gt;"", VLOOKUP(A5224, imdb_netflix_v5!A$2:H$7370, 5, FALSE), "")</f>
        <v>2019</v>
      </c>
      <c r="F5224" s="2" t="str">
        <f>IF(A5224&lt;&gt;"", VLOOKUP(A5224, imdb_netflix_v5!A$2:H$7370, 7, FALSE), "")</f>
        <v>NA</v>
      </c>
    </row>
    <row r="5225" ht="15.75" customHeight="1">
      <c r="A5225" s="1" t="str">
        <f>IFERROR(__xludf.DUMMYFUNCTION("""COMPUTED_VALUE"""),"berlin calling")</f>
        <v>berlin calling</v>
      </c>
      <c r="B5225" s="1" t="str">
        <f>IF(A5225&lt;&gt;"", VLOOKUP(A5225, imdb_netflix_v5!A$2:H$7370, 2, FALSE), "")</f>
        <v>Movie</v>
      </c>
      <c r="C5225" s="2" t="str">
        <f>IF(A5225&lt;&gt;"", VLOOKUP(A5225, imdb_netflix_v5!A$2:H$7370, 3, FALSE), "")</f>
        <v>Comedy, Drama, Music</v>
      </c>
      <c r="D5225" s="2">
        <f>IF(A5225&lt;&gt;"", VLOOKUP(A5225, imdb_netflix_v5!A$2:H$7370, 4, FALSE), "")</f>
        <v>7.2</v>
      </c>
      <c r="E5225" s="2">
        <f>IF(A5225&lt;&gt;"", VLOOKUP(A5225, imdb_netflix_v5!A$2:H$7370, 5, FALSE), "")</f>
        <v>2008</v>
      </c>
      <c r="F5225" s="2" t="str">
        <f>IF(A5225&lt;&gt;"", VLOOKUP(A5225, imdb_netflix_v5!A$2:H$7370, 7, FALSE), "")</f>
        <v>NA</v>
      </c>
    </row>
    <row r="5226" ht="15.75" customHeight="1">
      <c r="A5226" s="1" t="str">
        <f>IFERROR(__xludf.DUMMYFUNCTION("""COMPUTED_VALUE"""),"another woman")</f>
        <v>another woman</v>
      </c>
      <c r="B5226" s="1" t="str">
        <f>IF(A5226&lt;&gt;"", VLOOKUP(A5226, imdb_netflix_v5!A$2:H$7370, 2, FALSE), "")</f>
        <v>Movie</v>
      </c>
      <c r="C5226" s="2" t="str">
        <f>IF(A5226&lt;&gt;"", VLOOKUP(A5226, imdb_netflix_v5!A$2:H$7370, 3, FALSE), "")</f>
        <v>Drama</v>
      </c>
      <c r="D5226" s="2">
        <f>IF(A5226&lt;&gt;"", VLOOKUP(A5226, imdb_netflix_v5!A$2:H$7370, 4, FALSE), "")</f>
        <v>7.2</v>
      </c>
      <c r="E5226" s="2">
        <f>IF(A5226&lt;&gt;"", VLOOKUP(A5226, imdb_netflix_v5!A$2:H$7370, 5, FALSE), "")</f>
        <v>1988</v>
      </c>
      <c r="F5226" s="2" t="str">
        <f>IF(A5226&lt;&gt;"", VLOOKUP(A5226, imdb_netflix_v5!A$2:H$7370, 7, FALSE), "")</f>
        <v>NA</v>
      </c>
    </row>
    <row r="5227" ht="15.75" customHeight="1">
      <c r="A5227" s="1" t="str">
        <f>IFERROR(__xludf.DUMMYFUNCTION("""COMPUTED_VALUE"""),"rams")</f>
        <v>rams</v>
      </c>
      <c r="B5227" s="1" t="str">
        <f>IF(A5227&lt;&gt;"", VLOOKUP(A5227, imdb_netflix_v5!A$2:H$7370, 2, FALSE), "")</f>
        <v>Movie</v>
      </c>
      <c r="C5227" s="2" t="str">
        <f>IF(A5227&lt;&gt;"", VLOOKUP(A5227, imdb_netflix_v5!A$2:H$7370, 3, FALSE), "")</f>
        <v>Drama</v>
      </c>
      <c r="D5227" s="2">
        <f>IF(A5227&lt;&gt;"", VLOOKUP(A5227, imdb_netflix_v5!A$2:H$7370, 4, FALSE), "")</f>
        <v>7.2</v>
      </c>
      <c r="E5227" s="2">
        <f>IF(A5227&lt;&gt;"", VLOOKUP(A5227, imdb_netflix_v5!A$2:H$7370, 5, FALSE), "")</f>
        <v>2015</v>
      </c>
      <c r="F5227" s="2" t="str">
        <f>IF(A5227&lt;&gt;"", VLOOKUP(A5227, imdb_netflix_v5!A$2:H$7370, 7, FALSE), "")</f>
        <v>NA</v>
      </c>
    </row>
    <row r="5228" ht="15.75" customHeight="1">
      <c r="A5228" s="1" t="str">
        <f>IFERROR(__xludf.DUMMYFUNCTION("""COMPUTED_VALUE"""),"broken")</f>
        <v>broken</v>
      </c>
      <c r="B5228" s="1" t="str">
        <f>IF(A5228&lt;&gt;"", VLOOKUP(A5228, imdb_netflix_v5!A$2:H$7370, 2, FALSE), "")</f>
        <v>Movie</v>
      </c>
      <c r="C5228" s="2" t="str">
        <f>IF(A5228&lt;&gt;"", VLOOKUP(A5228, imdb_netflix_v5!A$2:H$7370, 3, FALSE), "")</f>
        <v>Drama, Romance</v>
      </c>
      <c r="D5228" s="2">
        <f>IF(A5228&lt;&gt;"", VLOOKUP(A5228, imdb_netflix_v5!A$2:H$7370, 4, FALSE), "")</f>
        <v>7.2</v>
      </c>
      <c r="E5228" s="2">
        <f>IF(A5228&lt;&gt;"", VLOOKUP(A5228, imdb_netflix_v5!A$2:H$7370, 5, FALSE), "")</f>
        <v>2012</v>
      </c>
      <c r="F5228" s="2" t="str">
        <f>IF(A5228&lt;&gt;"", VLOOKUP(A5228, imdb_netflix_v5!A$2:H$7370, 7, FALSE), "")</f>
        <v>NA</v>
      </c>
    </row>
    <row r="5229" ht="15.75" customHeight="1">
      <c r="A5229" s="1" t="str">
        <f>IFERROR(__xludf.DUMMYFUNCTION("""COMPUTED_VALUE"""),"the late show with stephen colbert")</f>
        <v>the late show with stephen colbert</v>
      </c>
      <c r="B5229" s="1" t="str">
        <f>IF(A5229&lt;&gt;"", VLOOKUP(A5229, imdb_netflix_v5!A$2:H$7370, 2, FALSE), "")</f>
        <v>TV Show</v>
      </c>
      <c r="C5229" s="2" t="str">
        <f>IF(A5229&lt;&gt;"", VLOOKUP(A5229, imdb_netflix_v5!A$2:H$7370, 3, FALSE), "")</f>
        <v>Comedy, Talk-Show</v>
      </c>
      <c r="D5229" s="2">
        <f>IF(A5229&lt;&gt;"", VLOOKUP(A5229, imdb_netflix_v5!A$2:H$7370, 4, FALSE), "")</f>
        <v>7.2</v>
      </c>
      <c r="E5229" s="2">
        <f>IF(A5229&lt;&gt;"", VLOOKUP(A5229, imdb_netflix_v5!A$2:H$7370, 5, FALSE), "")</f>
        <v>2015</v>
      </c>
      <c r="F5229" s="2" t="str">
        <f>IF(A5229&lt;&gt;"", VLOOKUP(A5229, imdb_netflix_v5!A$2:H$7370, 7, FALSE), "")</f>
        <v>NA</v>
      </c>
    </row>
    <row r="5230" ht="15.75" customHeight="1">
      <c r="A5230" s="1" t="str">
        <f>IFERROR(__xludf.DUMMYFUNCTION("""COMPUTED_VALUE"""),"amen.")</f>
        <v>amen.</v>
      </c>
      <c r="B5230" s="1" t="str">
        <f>IF(A5230&lt;&gt;"", VLOOKUP(A5230, imdb_netflix_v5!A$2:H$7370, 2, FALSE), "")</f>
        <v>Movie</v>
      </c>
      <c r="C5230" s="2" t="str">
        <f>IF(A5230&lt;&gt;"", VLOOKUP(A5230, imdb_netflix_v5!A$2:H$7370, 3, FALSE), "")</f>
        <v>Biography, Crime, Drama</v>
      </c>
      <c r="D5230" s="2">
        <f>IF(A5230&lt;&gt;"", VLOOKUP(A5230, imdb_netflix_v5!A$2:H$7370, 4, FALSE), "")</f>
        <v>7.2</v>
      </c>
      <c r="E5230" s="2">
        <f>IF(A5230&lt;&gt;"", VLOOKUP(A5230, imdb_netflix_v5!A$2:H$7370, 5, FALSE), "")</f>
        <v>2002</v>
      </c>
      <c r="F5230" s="2" t="str">
        <f>IF(A5230&lt;&gt;"", VLOOKUP(A5230, imdb_netflix_v5!A$2:H$7370, 7, FALSE), "")</f>
        <v>NA</v>
      </c>
    </row>
    <row r="5231" ht="15.75" customHeight="1">
      <c r="A5231" s="1" t="str">
        <f>IFERROR(__xludf.DUMMYFUNCTION("""COMPUTED_VALUE"""),"educating rita")</f>
        <v>educating rita</v>
      </c>
      <c r="B5231" s="1" t="str">
        <f>IF(A5231&lt;&gt;"", VLOOKUP(A5231, imdb_netflix_v5!A$2:H$7370, 2, FALSE), "")</f>
        <v>Movie</v>
      </c>
      <c r="C5231" s="2" t="str">
        <f>IF(A5231&lt;&gt;"", VLOOKUP(A5231, imdb_netflix_v5!A$2:H$7370, 3, FALSE), "")</f>
        <v>Comedy, Drama</v>
      </c>
      <c r="D5231" s="2">
        <f>IF(A5231&lt;&gt;"", VLOOKUP(A5231, imdb_netflix_v5!A$2:H$7370, 4, FALSE), "")</f>
        <v>7.2</v>
      </c>
      <c r="E5231" s="2">
        <f>IF(A5231&lt;&gt;"", VLOOKUP(A5231, imdb_netflix_v5!A$2:H$7370, 5, FALSE), "")</f>
        <v>1983</v>
      </c>
      <c r="F5231" s="2" t="str">
        <f>IF(A5231&lt;&gt;"", VLOOKUP(A5231, imdb_netflix_v5!A$2:H$7370, 7, FALSE), "")</f>
        <v>NA</v>
      </c>
    </row>
    <row r="5232" ht="15.75" customHeight="1">
      <c r="A5232" s="1" t="str">
        <f>IFERROR(__xludf.DUMMYFUNCTION("""COMPUTED_VALUE"""),"the apostle")</f>
        <v>the apostle</v>
      </c>
      <c r="B5232" s="1" t="str">
        <f>IF(A5232&lt;&gt;"", VLOOKUP(A5232, imdb_netflix_v5!A$2:H$7370, 2, FALSE), "")</f>
        <v>Movie</v>
      </c>
      <c r="C5232" s="2" t="str">
        <f>IF(A5232&lt;&gt;"", VLOOKUP(A5232, imdb_netflix_v5!A$2:H$7370, 3, FALSE), "")</f>
        <v>Drama</v>
      </c>
      <c r="D5232" s="2">
        <f>IF(A5232&lt;&gt;"", VLOOKUP(A5232, imdb_netflix_v5!A$2:H$7370, 4, FALSE), "")</f>
        <v>7.2</v>
      </c>
      <c r="E5232" s="2">
        <f>IF(A5232&lt;&gt;"", VLOOKUP(A5232, imdb_netflix_v5!A$2:H$7370, 5, FALSE), "")</f>
        <v>1997</v>
      </c>
      <c r="F5232" s="2" t="str">
        <f>IF(A5232&lt;&gt;"", VLOOKUP(A5232, imdb_netflix_v5!A$2:H$7370, 7, FALSE), "")</f>
        <v>NA</v>
      </c>
    </row>
    <row r="5233" ht="15.75" customHeight="1">
      <c r="A5233" s="1" t="str">
        <f>IFERROR(__xludf.DUMMYFUNCTION("""COMPUTED_VALUE"""),"three pines")</f>
        <v>three pines</v>
      </c>
      <c r="B5233" s="1" t="str">
        <f>IF(A5233&lt;&gt;"", VLOOKUP(A5233, imdb_netflix_v5!A$2:H$7370, 2, FALSE), "")</f>
        <v>TV Show</v>
      </c>
      <c r="C5233" s="2" t="str">
        <f>IF(A5233&lt;&gt;"", VLOOKUP(A5233, imdb_netflix_v5!A$2:H$7370, 3, FALSE), "")</f>
        <v>Crime, Drama, Mystery</v>
      </c>
      <c r="D5233" s="2">
        <f>IF(A5233&lt;&gt;"", VLOOKUP(A5233, imdb_netflix_v5!A$2:H$7370, 4, FALSE), "")</f>
        <v>7.2</v>
      </c>
      <c r="E5233" s="2">
        <f>IF(A5233&lt;&gt;"", VLOOKUP(A5233, imdb_netflix_v5!A$2:H$7370, 5, FALSE), "")</f>
        <v>2022</v>
      </c>
      <c r="F5233" s="2" t="str">
        <f>IF(A5233&lt;&gt;"", VLOOKUP(A5233, imdb_netflix_v5!A$2:H$7370, 7, FALSE), "")</f>
        <v>NA</v>
      </c>
    </row>
    <row r="5234" ht="15.75" customHeight="1">
      <c r="A5234" s="1" t="str">
        <f>IFERROR(__xludf.DUMMYFUNCTION("""COMPUTED_VALUE"""),"lâge dor")</f>
        <v>lâge dor</v>
      </c>
      <c r="B5234" s="1" t="str">
        <f>IF(A5234&lt;&gt;"", VLOOKUP(A5234, imdb_netflix_v5!A$2:H$7370, 2, FALSE), "")</f>
        <v>Movie</v>
      </c>
      <c r="C5234" s="2" t="str">
        <f>IF(A5234&lt;&gt;"", VLOOKUP(A5234, imdb_netflix_v5!A$2:H$7370, 3, FALSE), "")</f>
        <v>Comedy, Drama</v>
      </c>
      <c r="D5234" s="2">
        <f>IF(A5234&lt;&gt;"", VLOOKUP(A5234, imdb_netflix_v5!A$2:H$7370, 4, FALSE), "")</f>
        <v>7.2</v>
      </c>
      <c r="E5234" s="2">
        <f>IF(A5234&lt;&gt;"", VLOOKUP(A5234, imdb_netflix_v5!A$2:H$7370, 5, FALSE), "")</f>
        <v>1930</v>
      </c>
      <c r="F5234" s="2" t="str">
        <f>IF(A5234&lt;&gt;"", VLOOKUP(A5234, imdb_netflix_v5!A$2:H$7370, 7, FALSE), "")</f>
        <v>NA</v>
      </c>
    </row>
    <row r="5235" ht="15.75" customHeight="1">
      <c r="A5235" s="1" t="str">
        <f>IFERROR(__xludf.DUMMYFUNCTION("""COMPUTED_VALUE"""),"ittefaq")</f>
        <v>ittefaq</v>
      </c>
      <c r="B5235" s="1" t="str">
        <f>IF(A5235&lt;&gt;"", VLOOKUP(A5235, imdb_netflix_v5!A$2:H$7370, 2, FALSE), "")</f>
        <v>Movie</v>
      </c>
      <c r="C5235" s="2" t="str">
        <f>IF(A5235&lt;&gt;"", VLOOKUP(A5235, imdb_netflix_v5!A$2:H$7370, 3, FALSE), "")</f>
        <v>Mystery, Thriller</v>
      </c>
      <c r="D5235" s="2">
        <f>IF(A5235&lt;&gt;"", VLOOKUP(A5235, imdb_netflix_v5!A$2:H$7370, 4, FALSE), "")</f>
        <v>7.2</v>
      </c>
      <c r="E5235" s="2">
        <f>IF(A5235&lt;&gt;"", VLOOKUP(A5235, imdb_netflix_v5!A$2:H$7370, 5, FALSE), "")</f>
        <v>2017</v>
      </c>
      <c r="F5235" s="2" t="str">
        <f>IF(A5235&lt;&gt;"", VLOOKUP(A5235, imdb_netflix_v5!A$2:H$7370, 7, FALSE), "")</f>
        <v>NA</v>
      </c>
    </row>
    <row r="5236" ht="15.75" customHeight="1">
      <c r="A5236" s="1" t="str">
        <f>IFERROR(__xludf.DUMMYFUNCTION("""COMPUTED_VALUE"""),"talk radio")</f>
        <v>talk radio</v>
      </c>
      <c r="B5236" s="1" t="str">
        <f>IF(A5236&lt;&gt;"", VLOOKUP(A5236, imdb_netflix_v5!A$2:H$7370, 2, FALSE), "")</f>
        <v>Movie</v>
      </c>
      <c r="C5236" s="2" t="str">
        <f>IF(A5236&lt;&gt;"", VLOOKUP(A5236, imdb_netflix_v5!A$2:H$7370, 3, FALSE), "")</f>
        <v>Drama, Thriller</v>
      </c>
      <c r="D5236" s="2">
        <f>IF(A5236&lt;&gt;"", VLOOKUP(A5236, imdb_netflix_v5!A$2:H$7370, 4, FALSE), "")</f>
        <v>7.2</v>
      </c>
      <c r="E5236" s="2">
        <f>IF(A5236&lt;&gt;"", VLOOKUP(A5236, imdb_netflix_v5!A$2:H$7370, 5, FALSE), "")</f>
        <v>1988</v>
      </c>
      <c r="F5236" s="2" t="str">
        <f>IF(A5236&lt;&gt;"", VLOOKUP(A5236, imdb_netflix_v5!A$2:H$7370, 7, FALSE), "")</f>
        <v>NA</v>
      </c>
    </row>
    <row r="5237" ht="15.75" customHeight="1">
      <c r="A5237" s="1" t="str">
        <f>IFERROR(__xludf.DUMMYFUNCTION("""COMPUTED_VALUE"""),"little caesar")</f>
        <v>little caesar</v>
      </c>
      <c r="B5237" s="1" t="str">
        <f>IF(A5237&lt;&gt;"", VLOOKUP(A5237, imdb_netflix_v5!A$2:H$7370, 2, FALSE), "")</f>
        <v>Movie</v>
      </c>
      <c r="C5237" s="2" t="str">
        <f>IF(A5237&lt;&gt;"", VLOOKUP(A5237, imdb_netflix_v5!A$2:H$7370, 3, FALSE), "")</f>
        <v>Action, Crime, Drama</v>
      </c>
      <c r="D5237" s="2">
        <f>IF(A5237&lt;&gt;"", VLOOKUP(A5237, imdb_netflix_v5!A$2:H$7370, 4, FALSE), "")</f>
        <v>7.2</v>
      </c>
      <c r="E5237" s="2">
        <f>IF(A5237&lt;&gt;"", VLOOKUP(A5237, imdb_netflix_v5!A$2:H$7370, 5, FALSE), "")</f>
        <v>1931</v>
      </c>
      <c r="F5237" s="2" t="str">
        <f>IF(A5237&lt;&gt;"", VLOOKUP(A5237, imdb_netflix_v5!A$2:H$7370, 7, FALSE), "")</f>
        <v>NA</v>
      </c>
    </row>
    <row r="5238" ht="15.75" customHeight="1">
      <c r="A5238" s="1" t="str">
        <f>IFERROR(__xludf.DUMMYFUNCTION("""COMPUTED_VALUE"""),"ultimate spider-man")</f>
        <v>ultimate spider-man</v>
      </c>
      <c r="B5238" s="1" t="str">
        <f>IF(A5238&lt;&gt;"", VLOOKUP(A5238, imdb_netflix_v5!A$2:H$7370, 2, FALSE), "")</f>
        <v>TV Show</v>
      </c>
      <c r="C5238" s="2" t="str">
        <f>IF(A5238&lt;&gt;"", VLOOKUP(A5238, imdb_netflix_v5!A$2:H$7370, 3, FALSE), "")</f>
        <v>Action, Adventure, Animation</v>
      </c>
      <c r="D5238" s="2">
        <f>IF(A5238&lt;&gt;"", VLOOKUP(A5238, imdb_netflix_v5!A$2:H$7370, 4, FALSE), "")</f>
        <v>7.2</v>
      </c>
      <c r="E5238" s="2">
        <f>IF(A5238&lt;&gt;"", VLOOKUP(A5238, imdb_netflix_v5!A$2:H$7370, 5, FALSE), "")</f>
        <v>2012</v>
      </c>
      <c r="F5238" s="2" t="str">
        <f>IF(A5238&lt;&gt;"", VLOOKUP(A5238, imdb_netflix_v5!A$2:H$7370, 7, FALSE), "")</f>
        <v>NA</v>
      </c>
    </row>
    <row r="5239" ht="15.75" customHeight="1">
      <c r="A5239" s="1" t="str">
        <f>IFERROR(__xludf.DUMMYFUNCTION("""COMPUTED_VALUE"""),"asterix and cleopatra")</f>
        <v>asterix and cleopatra</v>
      </c>
      <c r="B5239" s="1" t="str">
        <f>IF(A5239&lt;&gt;"", VLOOKUP(A5239, imdb_netflix_v5!A$2:H$7370, 2, FALSE), "")</f>
        <v>Movie</v>
      </c>
      <c r="C5239" s="2" t="str">
        <f>IF(A5239&lt;&gt;"", VLOOKUP(A5239, imdb_netflix_v5!A$2:H$7370, 3, FALSE), "")</f>
        <v>Adventure, Animation, Comedy</v>
      </c>
      <c r="D5239" s="2">
        <f>IF(A5239&lt;&gt;"", VLOOKUP(A5239, imdb_netflix_v5!A$2:H$7370, 4, FALSE), "")</f>
        <v>7.2</v>
      </c>
      <c r="E5239" s="2">
        <f>IF(A5239&lt;&gt;"", VLOOKUP(A5239, imdb_netflix_v5!A$2:H$7370, 5, FALSE), "")</f>
        <v>1968</v>
      </c>
      <c r="F5239" s="2" t="str">
        <f>IF(A5239&lt;&gt;"", VLOOKUP(A5239, imdb_netflix_v5!A$2:H$7370, 7, FALSE), "")</f>
        <v>NA</v>
      </c>
    </row>
    <row r="5240" ht="15.75" customHeight="1">
      <c r="A5240" s="1" t="str">
        <f>IFERROR(__xludf.DUMMYFUNCTION("""COMPUTED_VALUE"""),"wild bill")</f>
        <v>wild bill</v>
      </c>
      <c r="B5240" s="1" t="str">
        <f>IF(A5240&lt;&gt;"", VLOOKUP(A5240, imdb_netflix_v5!A$2:H$7370, 2, FALSE), "")</f>
        <v>Movie</v>
      </c>
      <c r="C5240" s="2" t="str">
        <f>IF(A5240&lt;&gt;"", VLOOKUP(A5240, imdb_netflix_v5!A$2:H$7370, 3, FALSE), "")</f>
        <v>Comedy, Crime, Drama</v>
      </c>
      <c r="D5240" s="2">
        <f>IF(A5240&lt;&gt;"", VLOOKUP(A5240, imdb_netflix_v5!A$2:H$7370, 4, FALSE), "")</f>
        <v>7.2</v>
      </c>
      <c r="E5240" s="2">
        <f>IF(A5240&lt;&gt;"", VLOOKUP(A5240, imdb_netflix_v5!A$2:H$7370, 5, FALSE), "")</f>
        <v>2011</v>
      </c>
      <c r="F5240" s="2" t="str">
        <f>IF(A5240&lt;&gt;"", VLOOKUP(A5240, imdb_netflix_v5!A$2:H$7370, 7, FALSE), "")</f>
        <v>NA</v>
      </c>
    </row>
    <row r="5241" ht="15.75" customHeight="1">
      <c r="A5241" s="1" t="str">
        <f>IFERROR(__xludf.DUMMYFUNCTION("""COMPUTED_VALUE"""),"table no. 21")</f>
        <v>table no. 21</v>
      </c>
      <c r="B5241" s="1" t="str">
        <f>IF(A5241&lt;&gt;"", VLOOKUP(A5241, imdb_netflix_v5!A$2:H$7370, 2, FALSE), "")</f>
        <v>Movie</v>
      </c>
      <c r="C5241" s="2" t="str">
        <f>IF(A5241&lt;&gt;"", VLOOKUP(A5241, imdb_netflix_v5!A$2:H$7370, 3, FALSE), "")</f>
        <v>Adventure, Drama, Thriller</v>
      </c>
      <c r="D5241" s="2">
        <f>IF(A5241&lt;&gt;"", VLOOKUP(A5241, imdb_netflix_v5!A$2:H$7370, 4, FALSE), "")</f>
        <v>7.2</v>
      </c>
      <c r="E5241" s="2">
        <f>IF(A5241&lt;&gt;"", VLOOKUP(A5241, imdb_netflix_v5!A$2:H$7370, 5, FALSE), "")</f>
        <v>2013</v>
      </c>
      <c r="F5241" s="2" t="str">
        <f>IF(A5241&lt;&gt;"", VLOOKUP(A5241, imdb_netflix_v5!A$2:H$7370, 7, FALSE), "")</f>
        <v>NA</v>
      </c>
    </row>
    <row r="5242" ht="15.75" customHeight="1">
      <c r="A5242" s="1" t="str">
        <f>IFERROR(__xludf.DUMMYFUNCTION("""COMPUTED_VALUE"""),"the new adventures of old christine")</f>
        <v>the new adventures of old christine</v>
      </c>
      <c r="B5242" s="1" t="str">
        <f>IF(A5242&lt;&gt;"", VLOOKUP(A5242, imdb_netflix_v5!A$2:H$7370, 2, FALSE), "")</f>
        <v>TV Show</v>
      </c>
      <c r="C5242" s="2" t="str">
        <f>IF(A5242&lt;&gt;"", VLOOKUP(A5242, imdb_netflix_v5!A$2:H$7370, 3, FALSE), "")</f>
        <v>Comedy</v>
      </c>
      <c r="D5242" s="2">
        <f>IF(A5242&lt;&gt;"", VLOOKUP(A5242, imdb_netflix_v5!A$2:H$7370, 4, FALSE), "")</f>
        <v>7.2</v>
      </c>
      <c r="E5242" s="2">
        <f>IF(A5242&lt;&gt;"", VLOOKUP(A5242, imdb_netflix_v5!A$2:H$7370, 5, FALSE), "")</f>
        <v>2006</v>
      </c>
      <c r="F5242" s="2" t="str">
        <f>IF(A5242&lt;&gt;"", VLOOKUP(A5242, imdb_netflix_v5!A$2:H$7370, 7, FALSE), "")</f>
        <v>NA</v>
      </c>
    </row>
    <row r="5243" ht="15.75" customHeight="1">
      <c r="A5243" s="1" t="str">
        <f>IFERROR(__xludf.DUMMYFUNCTION("""COMPUTED_VALUE"""),"words on bathroom walls")</f>
        <v>words on bathroom walls</v>
      </c>
      <c r="B5243" s="1" t="str">
        <f>IF(A5243&lt;&gt;"", VLOOKUP(A5243, imdb_netflix_v5!A$2:H$7370, 2, FALSE), "")</f>
        <v>Movie</v>
      </c>
      <c r="C5243" s="2" t="str">
        <f>IF(A5243&lt;&gt;"", VLOOKUP(A5243, imdb_netflix_v5!A$2:H$7370, 3, FALSE), "")</f>
        <v>Drama, Romance</v>
      </c>
      <c r="D5243" s="2">
        <f>IF(A5243&lt;&gt;"", VLOOKUP(A5243, imdb_netflix_v5!A$2:H$7370, 4, FALSE), "")</f>
        <v>7.2</v>
      </c>
      <c r="E5243" s="2">
        <f>IF(A5243&lt;&gt;"", VLOOKUP(A5243, imdb_netflix_v5!A$2:H$7370, 5, FALSE), "")</f>
        <v>2020</v>
      </c>
      <c r="F5243" s="2" t="str">
        <f>IF(A5243&lt;&gt;"", VLOOKUP(A5243, imdb_netflix_v5!A$2:H$7370, 7, FALSE), "")</f>
        <v>NA</v>
      </c>
    </row>
    <row r="5244" ht="15.75" customHeight="1">
      <c r="A5244" s="1" t="str">
        <f>IFERROR(__xludf.DUMMYFUNCTION("""COMPUTED_VALUE"""),"angst")</f>
        <v>angst</v>
      </c>
      <c r="B5244" s="1" t="str">
        <f>IF(A5244&lt;&gt;"", VLOOKUP(A5244, imdb_netflix_v5!A$2:H$7370, 2, FALSE), "")</f>
        <v>Movie</v>
      </c>
      <c r="C5244" s="2" t="str">
        <f>IF(A5244&lt;&gt;"", VLOOKUP(A5244, imdb_netflix_v5!A$2:H$7370, 3, FALSE), "")</f>
        <v>Drama, Horror, Thriller</v>
      </c>
      <c r="D5244" s="2">
        <f>IF(A5244&lt;&gt;"", VLOOKUP(A5244, imdb_netflix_v5!A$2:H$7370, 4, FALSE), "")</f>
        <v>7.2</v>
      </c>
      <c r="E5244" s="2">
        <f>IF(A5244&lt;&gt;"", VLOOKUP(A5244, imdb_netflix_v5!A$2:H$7370, 5, FALSE), "")</f>
        <v>1983</v>
      </c>
      <c r="F5244" s="2" t="str">
        <f>IF(A5244&lt;&gt;"", VLOOKUP(A5244, imdb_netflix_v5!A$2:H$7370, 7, FALSE), "")</f>
        <v>NA</v>
      </c>
    </row>
    <row r="5245" ht="15.75" customHeight="1">
      <c r="A5245" s="1" t="str">
        <f>IFERROR(__xludf.DUMMYFUNCTION("""COMPUTED_VALUE"""),"nh 10")</f>
        <v>nh 10</v>
      </c>
      <c r="B5245" s="1" t="str">
        <f>IF(A5245&lt;&gt;"", VLOOKUP(A5245, imdb_netflix_v5!A$2:H$7370, 2, FALSE), "")</f>
        <v>Movie</v>
      </c>
      <c r="C5245" s="2" t="str">
        <f>IF(A5245&lt;&gt;"", VLOOKUP(A5245, imdb_netflix_v5!A$2:H$7370, 3, FALSE), "")</f>
        <v>Action, Crime, Drama</v>
      </c>
      <c r="D5245" s="2">
        <f>IF(A5245&lt;&gt;"", VLOOKUP(A5245, imdb_netflix_v5!A$2:H$7370, 4, FALSE), "")</f>
        <v>7.2</v>
      </c>
      <c r="E5245" s="2">
        <f>IF(A5245&lt;&gt;"", VLOOKUP(A5245, imdb_netflix_v5!A$2:H$7370, 5, FALSE), "")</f>
        <v>2015</v>
      </c>
      <c r="F5245" s="2" t="str">
        <f>IF(A5245&lt;&gt;"", VLOOKUP(A5245, imdb_netflix_v5!A$2:H$7370, 7, FALSE), "")</f>
        <v>NA</v>
      </c>
    </row>
    <row r="5246" ht="15.75" customHeight="1">
      <c r="A5246" s="1" t="str">
        <f>IFERROR(__xludf.DUMMYFUNCTION("""COMPUTED_VALUE"""),"kevin can f**k himself")</f>
        <v>kevin can f**k himself</v>
      </c>
      <c r="B5246" s="1" t="str">
        <f>IF(A5246&lt;&gt;"", VLOOKUP(A5246, imdb_netflix_v5!A$2:H$7370, 2, FALSE), "")</f>
        <v>TV Show</v>
      </c>
      <c r="C5246" s="2" t="str">
        <f>IF(A5246&lt;&gt;"", VLOOKUP(A5246, imdb_netflix_v5!A$2:H$7370, 3, FALSE), "")</f>
        <v>Comedy, Drama</v>
      </c>
      <c r="D5246" s="2">
        <f>IF(A5246&lt;&gt;"", VLOOKUP(A5246, imdb_netflix_v5!A$2:H$7370, 4, FALSE), "")</f>
        <v>7.2</v>
      </c>
      <c r="E5246" s="2">
        <f>IF(A5246&lt;&gt;"", VLOOKUP(A5246, imdb_netflix_v5!A$2:H$7370, 5, FALSE), "")</f>
        <v>2021</v>
      </c>
      <c r="F5246" s="2" t="str">
        <f>IF(A5246&lt;&gt;"", VLOOKUP(A5246, imdb_netflix_v5!A$2:H$7370, 7, FALSE), "")</f>
        <v>NA</v>
      </c>
    </row>
    <row r="5247" ht="15.75" customHeight="1">
      <c r="A5247" s="1" t="str">
        <f>IFERROR(__xludf.DUMMYFUNCTION("""COMPUTED_VALUE"""),"the mighty")</f>
        <v>the mighty</v>
      </c>
      <c r="B5247" s="1" t="str">
        <f>IF(A5247&lt;&gt;"", VLOOKUP(A5247, imdb_netflix_v5!A$2:H$7370, 2, FALSE), "")</f>
        <v>Movie</v>
      </c>
      <c r="C5247" s="2" t="str">
        <f>IF(A5247&lt;&gt;"", VLOOKUP(A5247, imdb_netflix_v5!A$2:H$7370, 3, FALSE), "")</f>
        <v>Comedy, Drama</v>
      </c>
      <c r="D5247" s="2">
        <f>IF(A5247&lt;&gt;"", VLOOKUP(A5247, imdb_netflix_v5!A$2:H$7370, 4, FALSE), "")</f>
        <v>7.2</v>
      </c>
      <c r="E5247" s="2">
        <f>IF(A5247&lt;&gt;"", VLOOKUP(A5247, imdb_netflix_v5!A$2:H$7370, 5, FALSE), "")</f>
        <v>1998</v>
      </c>
      <c r="F5247" s="2" t="str">
        <f>IF(A5247&lt;&gt;"", VLOOKUP(A5247, imdb_netflix_v5!A$2:H$7370, 7, FALSE), "")</f>
        <v>NA</v>
      </c>
    </row>
    <row r="5248" ht="15.75" customHeight="1">
      <c r="A5248" s="1" t="str">
        <f>IFERROR(__xludf.DUMMYFUNCTION("""COMPUTED_VALUE"""),"the other side of hope")</f>
        <v>the other side of hope</v>
      </c>
      <c r="B5248" s="1" t="str">
        <f>IF(A5248&lt;&gt;"", VLOOKUP(A5248, imdb_netflix_v5!A$2:H$7370, 2, FALSE), "")</f>
        <v>Movie</v>
      </c>
      <c r="C5248" s="2" t="str">
        <f>IF(A5248&lt;&gt;"", VLOOKUP(A5248, imdb_netflix_v5!A$2:H$7370, 3, FALSE), "")</f>
        <v>Comedy, Drama</v>
      </c>
      <c r="D5248" s="2">
        <f>IF(A5248&lt;&gt;"", VLOOKUP(A5248, imdb_netflix_v5!A$2:H$7370, 4, FALSE), "")</f>
        <v>7.2</v>
      </c>
      <c r="E5248" s="2">
        <f>IF(A5248&lt;&gt;"", VLOOKUP(A5248, imdb_netflix_v5!A$2:H$7370, 5, FALSE), "")</f>
        <v>2017</v>
      </c>
      <c r="F5248" s="2" t="str">
        <f>IF(A5248&lt;&gt;"", VLOOKUP(A5248, imdb_netflix_v5!A$2:H$7370, 7, FALSE), "")</f>
        <v>NA</v>
      </c>
    </row>
    <row r="5249" ht="15.75" customHeight="1">
      <c r="A5249" s="1" t="str">
        <f>IFERROR(__xludf.DUMMYFUNCTION("""COMPUTED_VALUE"""),"rye lane")</f>
        <v>rye lane</v>
      </c>
      <c r="B5249" s="1" t="str">
        <f>IF(A5249&lt;&gt;"", VLOOKUP(A5249, imdb_netflix_v5!A$2:H$7370, 2, FALSE), "")</f>
        <v>Movie</v>
      </c>
      <c r="C5249" s="2" t="str">
        <f>IF(A5249&lt;&gt;"", VLOOKUP(A5249, imdb_netflix_v5!A$2:H$7370, 3, FALSE), "")</f>
        <v>Comedy, Drama, Romance</v>
      </c>
      <c r="D5249" s="2">
        <f>IF(A5249&lt;&gt;"", VLOOKUP(A5249, imdb_netflix_v5!A$2:H$7370, 4, FALSE), "")</f>
        <v>7.2</v>
      </c>
      <c r="E5249" s="2">
        <f>IF(A5249&lt;&gt;"", VLOOKUP(A5249, imdb_netflix_v5!A$2:H$7370, 5, FALSE), "")</f>
        <v>2023</v>
      </c>
      <c r="F5249" s="2" t="str">
        <f>IF(A5249&lt;&gt;"", VLOOKUP(A5249, imdb_netflix_v5!A$2:H$7370, 7, FALSE), "")</f>
        <v>NA</v>
      </c>
    </row>
    <row r="5250" ht="15.75" customHeight="1">
      <c r="A5250" s="1" t="str">
        <f>IFERROR(__xludf.DUMMYFUNCTION("""COMPUTED_VALUE"""),"te3n")</f>
        <v>te3n</v>
      </c>
      <c r="B5250" s="1" t="str">
        <f>IF(A5250&lt;&gt;"", VLOOKUP(A5250, imdb_netflix_v5!A$2:H$7370, 2, FALSE), "")</f>
        <v>Movie</v>
      </c>
      <c r="C5250" s="2" t="str">
        <f>IF(A5250&lt;&gt;"", VLOOKUP(A5250, imdb_netflix_v5!A$2:H$7370, 3, FALSE), "")</f>
        <v>Crime, Drama, Mystery</v>
      </c>
      <c r="D5250" s="2">
        <f>IF(A5250&lt;&gt;"", VLOOKUP(A5250, imdb_netflix_v5!A$2:H$7370, 4, FALSE), "")</f>
        <v>7.2</v>
      </c>
      <c r="E5250" s="2">
        <f>IF(A5250&lt;&gt;"", VLOOKUP(A5250, imdb_netflix_v5!A$2:H$7370, 5, FALSE), "")</f>
        <v>2016</v>
      </c>
      <c r="F5250" s="2" t="str">
        <f>IF(A5250&lt;&gt;"", VLOOKUP(A5250, imdb_netflix_v5!A$2:H$7370, 7, FALSE), "")</f>
        <v>NA</v>
      </c>
    </row>
    <row r="5251" ht="15.75" customHeight="1">
      <c r="A5251" s="1" t="str">
        <f>IFERROR(__xludf.DUMMYFUNCTION("""COMPUTED_VALUE"""),"garfield and friends")</f>
        <v>garfield and friends</v>
      </c>
      <c r="B5251" s="1" t="str">
        <f>IF(A5251&lt;&gt;"", VLOOKUP(A5251, imdb_netflix_v5!A$2:H$7370, 2, FALSE), "")</f>
        <v>TV Show</v>
      </c>
      <c r="C5251" s="2" t="str">
        <f>IF(A5251&lt;&gt;"", VLOOKUP(A5251, imdb_netflix_v5!A$2:H$7370, 3, FALSE), "")</f>
        <v>Animation, Comedy, Family</v>
      </c>
      <c r="D5251" s="2">
        <f>IF(A5251&lt;&gt;"", VLOOKUP(A5251, imdb_netflix_v5!A$2:H$7370, 4, FALSE), "")</f>
        <v>7.2</v>
      </c>
      <c r="E5251" s="2">
        <f>IF(A5251&lt;&gt;"", VLOOKUP(A5251, imdb_netflix_v5!A$2:H$7370, 5, FALSE), "")</f>
        <v>1988</v>
      </c>
      <c r="F5251" s="2" t="str">
        <f>IF(A5251&lt;&gt;"", VLOOKUP(A5251, imdb_netflix_v5!A$2:H$7370, 7, FALSE), "")</f>
        <v>NA</v>
      </c>
    </row>
    <row r="5252" ht="15.75" customHeight="1">
      <c r="A5252" s="1" t="str">
        <f>IFERROR(__xludf.DUMMYFUNCTION("""COMPUTED_VALUE"""),"two-lane blacktop")</f>
        <v>two-lane blacktop</v>
      </c>
      <c r="B5252" s="1" t="str">
        <f>IF(A5252&lt;&gt;"", VLOOKUP(A5252, imdb_netflix_v5!A$2:H$7370, 2, FALSE), "")</f>
        <v>Movie</v>
      </c>
      <c r="C5252" s="2" t="str">
        <f>IF(A5252&lt;&gt;"", VLOOKUP(A5252, imdb_netflix_v5!A$2:H$7370, 3, FALSE), "")</f>
        <v>Drama</v>
      </c>
      <c r="D5252" s="2">
        <f>IF(A5252&lt;&gt;"", VLOOKUP(A5252, imdb_netflix_v5!A$2:H$7370, 4, FALSE), "")</f>
        <v>7.2</v>
      </c>
      <c r="E5252" s="2">
        <f>IF(A5252&lt;&gt;"", VLOOKUP(A5252, imdb_netflix_v5!A$2:H$7370, 5, FALSE), "")</f>
        <v>1971</v>
      </c>
      <c r="F5252" s="2" t="str">
        <f>IF(A5252&lt;&gt;"", VLOOKUP(A5252, imdb_netflix_v5!A$2:H$7370, 7, FALSE), "")</f>
        <v>NA</v>
      </c>
    </row>
    <row r="5253" ht="15.75" customHeight="1">
      <c r="A5253" s="1" t="str">
        <f>IFERROR(__xludf.DUMMYFUNCTION("""COMPUTED_VALUE"""),"loose cannons")</f>
        <v>loose cannons</v>
      </c>
      <c r="B5253" s="1" t="str">
        <f>IF(A5253&lt;&gt;"", VLOOKUP(A5253, imdb_netflix_v5!A$2:H$7370, 2, FALSE), "")</f>
        <v>Movie</v>
      </c>
      <c r="C5253" s="2" t="str">
        <f>IF(A5253&lt;&gt;"", VLOOKUP(A5253, imdb_netflix_v5!A$2:H$7370, 3, FALSE), "")</f>
        <v>Comedy, Drama, Romance</v>
      </c>
      <c r="D5253" s="2">
        <f>IF(A5253&lt;&gt;"", VLOOKUP(A5253, imdb_netflix_v5!A$2:H$7370, 4, FALSE), "")</f>
        <v>7.2</v>
      </c>
      <c r="E5253" s="2">
        <f>IF(A5253&lt;&gt;"", VLOOKUP(A5253, imdb_netflix_v5!A$2:H$7370, 5, FALSE), "")</f>
        <v>2010</v>
      </c>
      <c r="F5253" s="2" t="str">
        <f>IF(A5253&lt;&gt;"", VLOOKUP(A5253, imdb_netflix_v5!A$2:H$7370, 7, FALSE), "")</f>
        <v>NA</v>
      </c>
    </row>
    <row r="5254" ht="15.75" customHeight="1">
      <c r="A5254" s="1" t="str">
        <f>IFERROR(__xludf.DUMMYFUNCTION("""COMPUTED_VALUE"""),"human capital")</f>
        <v>human capital</v>
      </c>
      <c r="B5254" s="1" t="str">
        <f>IF(A5254&lt;&gt;"", VLOOKUP(A5254, imdb_netflix_v5!A$2:H$7370, 2, FALSE), "")</f>
        <v>Movie</v>
      </c>
      <c r="C5254" s="2" t="str">
        <f>IF(A5254&lt;&gt;"", VLOOKUP(A5254, imdb_netflix_v5!A$2:H$7370, 3, FALSE), "")</f>
        <v>Crime, Drama</v>
      </c>
      <c r="D5254" s="2">
        <f>IF(A5254&lt;&gt;"", VLOOKUP(A5254, imdb_netflix_v5!A$2:H$7370, 4, FALSE), "")</f>
        <v>7.2</v>
      </c>
      <c r="E5254" s="2">
        <f>IF(A5254&lt;&gt;"", VLOOKUP(A5254, imdb_netflix_v5!A$2:H$7370, 5, FALSE), "")</f>
        <v>2013</v>
      </c>
      <c r="F5254" s="2" t="str">
        <f>IF(A5254&lt;&gt;"", VLOOKUP(A5254, imdb_netflix_v5!A$2:H$7370, 7, FALSE), "")</f>
        <v>NA</v>
      </c>
    </row>
    <row r="5255" ht="15.75" customHeight="1">
      <c r="A5255" s="1" t="str">
        <f>IFERROR(__xludf.DUMMYFUNCTION("""COMPUTED_VALUE"""),"the forest")</f>
        <v>the forest</v>
      </c>
      <c r="B5255" s="1" t="str">
        <f>IF(A5255&lt;&gt;"", VLOOKUP(A5255, imdb_netflix_v5!A$2:H$7370, 2, FALSE), "")</f>
        <v>TV Show</v>
      </c>
      <c r="C5255" s="2" t="str">
        <f>IF(A5255&lt;&gt;"", VLOOKUP(A5255, imdb_netflix_v5!A$2:H$7370, 3, FALSE), "")</f>
        <v>Crime, Drama</v>
      </c>
      <c r="D5255" s="2">
        <f>IF(A5255&lt;&gt;"", VLOOKUP(A5255, imdb_netflix_v5!A$2:H$7370, 4, FALSE), "")</f>
        <v>7.2</v>
      </c>
      <c r="E5255" s="2">
        <f>IF(A5255&lt;&gt;"", VLOOKUP(A5255, imdb_netflix_v5!A$2:H$7370, 5, FALSE), "")</f>
        <v>2017</v>
      </c>
      <c r="F5255" s="2" t="str">
        <f>IF(A5255&lt;&gt;"", VLOOKUP(A5255, imdb_netflix_v5!A$2:H$7370, 7, FALSE), "")</f>
        <v>NA</v>
      </c>
    </row>
    <row r="5256" ht="15.75" customHeight="1">
      <c r="A5256" s="1" t="str">
        <f>IFERROR(__xludf.DUMMYFUNCTION("""COMPUTED_VALUE"""),"his three daughters")</f>
        <v>his three daughters</v>
      </c>
      <c r="B5256" s="1" t="str">
        <f>IF(A5256&lt;&gt;"", VLOOKUP(A5256, imdb_netflix_v5!A$2:H$7370, 2, FALSE), "")</f>
        <v>Movie</v>
      </c>
      <c r="C5256" s="2" t="str">
        <f>IF(A5256&lt;&gt;"", VLOOKUP(A5256, imdb_netflix_v5!A$2:H$7370, 3, FALSE), "")</f>
        <v>Drama</v>
      </c>
      <c r="D5256" s="2">
        <f>IF(A5256&lt;&gt;"", VLOOKUP(A5256, imdb_netflix_v5!A$2:H$7370, 4, FALSE), "")</f>
        <v>7.2</v>
      </c>
      <c r="E5256" s="2">
        <f>IF(A5256&lt;&gt;"", VLOOKUP(A5256, imdb_netflix_v5!A$2:H$7370, 5, FALSE), "")</f>
        <v>2023</v>
      </c>
      <c r="F5256" s="2" t="str">
        <f>IF(A5256&lt;&gt;"", VLOOKUP(A5256, imdb_netflix_v5!A$2:H$7370, 7, FALSE), "")</f>
        <v>NA</v>
      </c>
    </row>
    <row r="5257" ht="15.75" customHeight="1">
      <c r="A5257" s="1" t="str">
        <f>IFERROR(__xludf.DUMMYFUNCTION("""COMPUTED_VALUE"""),"memoir of a murderer")</f>
        <v>memoir of a murderer</v>
      </c>
      <c r="B5257" s="1" t="str">
        <f>IF(A5257&lt;&gt;"", VLOOKUP(A5257, imdb_netflix_v5!A$2:H$7370, 2, FALSE), "")</f>
        <v>Movie</v>
      </c>
      <c r="C5257" s="2" t="str">
        <f>IF(A5257&lt;&gt;"", VLOOKUP(A5257, imdb_netflix_v5!A$2:H$7370, 3, FALSE), "")</f>
        <v>Action, Crime, Mystery</v>
      </c>
      <c r="D5257" s="2">
        <f>IF(A5257&lt;&gt;"", VLOOKUP(A5257, imdb_netflix_v5!A$2:H$7370, 4, FALSE), "")</f>
        <v>7.2</v>
      </c>
      <c r="E5257" s="2">
        <f>IF(A5257&lt;&gt;"", VLOOKUP(A5257, imdb_netflix_v5!A$2:H$7370, 5, FALSE), "")</f>
        <v>2017</v>
      </c>
      <c r="F5257" s="2" t="str">
        <f>IF(A5257&lt;&gt;"", VLOOKUP(A5257, imdb_netflix_v5!A$2:H$7370, 7, FALSE), "")</f>
        <v>NA</v>
      </c>
    </row>
    <row r="5258" ht="15.75" customHeight="1">
      <c r="A5258" s="1" t="str">
        <f>IFERROR(__xludf.DUMMYFUNCTION("""COMPUTED_VALUE"""),"d.o.a.")</f>
        <v>d.o.a.</v>
      </c>
      <c r="B5258" s="1" t="str">
        <f>IF(A5258&lt;&gt;"", VLOOKUP(A5258, imdb_netflix_v5!A$2:H$7370, 2, FALSE), "")</f>
        <v>Movie</v>
      </c>
      <c r="C5258" s="2" t="str">
        <f>IF(A5258&lt;&gt;"", VLOOKUP(A5258, imdb_netflix_v5!A$2:H$7370, 3, FALSE), "")</f>
        <v>Crime, Drama, Film-Noir</v>
      </c>
      <c r="D5258" s="2">
        <f>IF(A5258&lt;&gt;"", VLOOKUP(A5258, imdb_netflix_v5!A$2:H$7370, 4, FALSE), "")</f>
        <v>7.2</v>
      </c>
      <c r="E5258" s="2">
        <f>IF(A5258&lt;&gt;"", VLOOKUP(A5258, imdb_netflix_v5!A$2:H$7370, 5, FALSE), "")</f>
        <v>1949</v>
      </c>
      <c r="F5258" s="2" t="str">
        <f>IF(A5258&lt;&gt;"", VLOOKUP(A5258, imdb_netflix_v5!A$2:H$7370, 7, FALSE), "")</f>
        <v>NA</v>
      </c>
    </row>
    <row r="5259" ht="15.75" customHeight="1">
      <c r="A5259" s="1" t="str">
        <f>IFERROR(__xludf.DUMMYFUNCTION("""COMPUTED_VALUE"""),"julius caesar")</f>
        <v>julius caesar</v>
      </c>
      <c r="B5259" s="1" t="str">
        <f>IF(A5259&lt;&gt;"", VLOOKUP(A5259, imdb_netflix_v5!A$2:H$7370, 2, FALSE), "")</f>
        <v>Movie</v>
      </c>
      <c r="C5259" s="2" t="str">
        <f>IF(A5259&lt;&gt;"", VLOOKUP(A5259, imdb_netflix_v5!A$2:H$7370, 3, FALSE), "")</f>
        <v>Drama, History</v>
      </c>
      <c r="D5259" s="2">
        <f>IF(A5259&lt;&gt;"", VLOOKUP(A5259, imdb_netflix_v5!A$2:H$7370, 4, FALSE), "")</f>
        <v>7.2</v>
      </c>
      <c r="E5259" s="2">
        <f>IF(A5259&lt;&gt;"", VLOOKUP(A5259, imdb_netflix_v5!A$2:H$7370, 5, FALSE), "")</f>
        <v>1953</v>
      </c>
      <c r="F5259" s="2" t="str">
        <f>IF(A5259&lt;&gt;"", VLOOKUP(A5259, imdb_netflix_v5!A$2:H$7370, 7, FALSE), "")</f>
        <v>NA</v>
      </c>
    </row>
    <row r="5260" ht="15.75" customHeight="1">
      <c r="A5260" s="1" t="str">
        <f>IFERROR(__xludf.DUMMYFUNCTION("""COMPUTED_VALUE"""),"heroic losers")</f>
        <v>heroic losers</v>
      </c>
      <c r="B5260" s="1" t="str">
        <f>IF(A5260&lt;&gt;"", VLOOKUP(A5260, imdb_netflix_v5!A$2:H$7370, 2, FALSE), "")</f>
        <v>Movie</v>
      </c>
      <c r="C5260" s="2" t="str">
        <f>IF(A5260&lt;&gt;"", VLOOKUP(A5260, imdb_netflix_v5!A$2:H$7370, 3, FALSE), "")</f>
        <v>Adventure, Comedy, Crime</v>
      </c>
      <c r="D5260" s="2">
        <f>IF(A5260&lt;&gt;"", VLOOKUP(A5260, imdb_netflix_v5!A$2:H$7370, 4, FALSE), "")</f>
        <v>7.2</v>
      </c>
      <c r="E5260" s="2">
        <f>IF(A5260&lt;&gt;"", VLOOKUP(A5260, imdb_netflix_v5!A$2:H$7370, 5, FALSE), "")</f>
        <v>2019</v>
      </c>
      <c r="F5260" s="2" t="str">
        <f>IF(A5260&lt;&gt;"", VLOOKUP(A5260, imdb_netflix_v5!A$2:H$7370, 7, FALSE), "")</f>
        <v>NA</v>
      </c>
    </row>
    <row r="5261" ht="15.75" customHeight="1">
      <c r="A5261" s="1" t="str">
        <f>IFERROR(__xludf.DUMMYFUNCTION("""COMPUTED_VALUE"""),"pamela a love story")</f>
        <v>pamela a love story</v>
      </c>
      <c r="B5261" s="1" t="str">
        <f>IF(A5261&lt;&gt;"", VLOOKUP(A5261, imdb_netflix_v5!A$2:H$7370, 2, FALSE), "")</f>
        <v>Movie</v>
      </c>
      <c r="C5261" s="2" t="str">
        <f>IF(A5261&lt;&gt;"", VLOOKUP(A5261, imdb_netflix_v5!A$2:H$7370, 3, FALSE), "")</f>
        <v>Biography, Documentary</v>
      </c>
      <c r="D5261" s="2">
        <f>IF(A5261&lt;&gt;"", VLOOKUP(A5261, imdb_netflix_v5!A$2:H$7370, 4, FALSE), "")</f>
        <v>7.2</v>
      </c>
      <c r="E5261" s="2">
        <f>IF(A5261&lt;&gt;"", VLOOKUP(A5261, imdb_netflix_v5!A$2:H$7370, 5, FALSE), "")</f>
        <v>2023</v>
      </c>
      <c r="F5261" s="2" t="str">
        <f>IF(A5261&lt;&gt;"", VLOOKUP(A5261, imdb_netflix_v5!A$2:H$7370, 7, FALSE), "")</f>
        <v>NA</v>
      </c>
    </row>
    <row r="5262" ht="15.75" customHeight="1">
      <c r="A5262" s="1" t="str">
        <f>IFERROR(__xludf.DUMMYFUNCTION("""COMPUTED_VALUE"""),"mork &amp; mindy")</f>
        <v>mork &amp; mindy</v>
      </c>
      <c r="B5262" s="1" t="str">
        <f>IF(A5262&lt;&gt;"", VLOOKUP(A5262, imdb_netflix_v5!A$2:H$7370, 2, FALSE), "")</f>
        <v>TV Show</v>
      </c>
      <c r="C5262" s="2" t="str">
        <f>IF(A5262&lt;&gt;"", VLOOKUP(A5262, imdb_netflix_v5!A$2:H$7370, 3, FALSE), "")</f>
        <v>Comedy, Family, Sci-Fi</v>
      </c>
      <c r="D5262" s="2">
        <f>IF(A5262&lt;&gt;"", VLOOKUP(A5262, imdb_netflix_v5!A$2:H$7370, 4, FALSE), "")</f>
        <v>7.2</v>
      </c>
      <c r="E5262" s="2">
        <f>IF(A5262&lt;&gt;"", VLOOKUP(A5262, imdb_netflix_v5!A$2:H$7370, 5, FALSE), "")</f>
        <v>1978</v>
      </c>
      <c r="F5262" s="2" t="str">
        <f>IF(A5262&lt;&gt;"", VLOOKUP(A5262, imdb_netflix_v5!A$2:H$7370, 7, FALSE), "")</f>
        <v>NA</v>
      </c>
    </row>
    <row r="5263" ht="15.75" customHeight="1">
      <c r="A5263" s="1" t="str">
        <f>IFERROR(__xludf.DUMMYFUNCTION("""COMPUTED_VALUE"""),"common wealth")</f>
        <v>common wealth</v>
      </c>
      <c r="B5263" s="1" t="str">
        <f>IF(A5263&lt;&gt;"", VLOOKUP(A5263, imdb_netflix_v5!A$2:H$7370, 2, FALSE), "")</f>
        <v>Movie</v>
      </c>
      <c r="C5263" s="2" t="str">
        <f>IF(A5263&lt;&gt;"", VLOOKUP(A5263, imdb_netflix_v5!A$2:H$7370, 3, FALSE), "")</f>
        <v>Comedy, Crime, Mystery</v>
      </c>
      <c r="D5263" s="2">
        <f>IF(A5263&lt;&gt;"", VLOOKUP(A5263, imdb_netflix_v5!A$2:H$7370, 4, FALSE), "")</f>
        <v>7.2</v>
      </c>
      <c r="E5263" s="2">
        <f>IF(A5263&lt;&gt;"", VLOOKUP(A5263, imdb_netflix_v5!A$2:H$7370, 5, FALSE), "")</f>
        <v>2000</v>
      </c>
      <c r="F5263" s="2" t="str">
        <f>IF(A5263&lt;&gt;"", VLOOKUP(A5263, imdb_netflix_v5!A$2:H$7370, 7, FALSE), "")</f>
        <v>NA</v>
      </c>
    </row>
    <row r="5264" ht="15.75" customHeight="1">
      <c r="A5264" s="1" t="str">
        <f>IFERROR(__xludf.DUMMYFUNCTION("""COMPUTED_VALUE"""),"gunga din")</f>
        <v>gunga din</v>
      </c>
      <c r="B5264" s="1" t="str">
        <f>IF(A5264&lt;&gt;"", VLOOKUP(A5264, imdb_netflix_v5!A$2:H$7370, 2, FALSE), "")</f>
        <v>Movie</v>
      </c>
      <c r="C5264" s="2" t="str">
        <f>IF(A5264&lt;&gt;"", VLOOKUP(A5264, imdb_netflix_v5!A$2:H$7370, 3, FALSE), "")</f>
        <v>Adventure, Comedy, War</v>
      </c>
      <c r="D5264" s="2">
        <f>IF(A5264&lt;&gt;"", VLOOKUP(A5264, imdb_netflix_v5!A$2:H$7370, 4, FALSE), "")</f>
        <v>7.2</v>
      </c>
      <c r="E5264" s="2">
        <f>IF(A5264&lt;&gt;"", VLOOKUP(A5264, imdb_netflix_v5!A$2:H$7370, 5, FALSE), "")</f>
        <v>1939</v>
      </c>
      <c r="F5264" s="2" t="str">
        <f>IF(A5264&lt;&gt;"", VLOOKUP(A5264, imdb_netflix_v5!A$2:H$7370, 7, FALSE), "")</f>
        <v>NA</v>
      </c>
    </row>
    <row r="5265" ht="15.75" customHeight="1">
      <c r="A5265" s="1" t="str">
        <f>IFERROR(__xludf.DUMMYFUNCTION("""COMPUTED_VALUE"""),"mr. blandings builds his dream house")</f>
        <v>mr. blandings builds his dream house</v>
      </c>
      <c r="B5265" s="1" t="str">
        <f>IF(A5265&lt;&gt;"", VLOOKUP(A5265, imdb_netflix_v5!A$2:H$7370, 2, FALSE), "")</f>
        <v>Movie</v>
      </c>
      <c r="C5265" s="2" t="str">
        <f>IF(A5265&lt;&gt;"", VLOOKUP(A5265, imdb_netflix_v5!A$2:H$7370, 3, FALSE), "")</f>
        <v>Comedy, Romance</v>
      </c>
      <c r="D5265" s="2">
        <f>IF(A5265&lt;&gt;"", VLOOKUP(A5265, imdb_netflix_v5!A$2:H$7370, 4, FALSE), "")</f>
        <v>7.2</v>
      </c>
      <c r="E5265" s="2">
        <f>IF(A5265&lt;&gt;"", VLOOKUP(A5265, imdb_netflix_v5!A$2:H$7370, 5, FALSE), "")</f>
        <v>1948</v>
      </c>
      <c r="F5265" s="2" t="str">
        <f>IF(A5265&lt;&gt;"", VLOOKUP(A5265, imdb_netflix_v5!A$2:H$7370, 7, FALSE), "")</f>
        <v>NA</v>
      </c>
    </row>
    <row r="5266" ht="15.75" customHeight="1">
      <c r="A5266" s="1" t="str">
        <f>IFERROR(__xludf.DUMMYFUNCTION("""COMPUTED_VALUE"""),"selfie")</f>
        <v>selfie</v>
      </c>
      <c r="B5266" s="1" t="str">
        <f>IF(A5266&lt;&gt;"", VLOOKUP(A5266, imdb_netflix_v5!A$2:H$7370, 2, FALSE), "")</f>
        <v>TV Show</v>
      </c>
      <c r="C5266" s="2" t="str">
        <f>IF(A5266&lt;&gt;"", VLOOKUP(A5266, imdb_netflix_v5!A$2:H$7370, 3, FALSE), "")</f>
        <v>Comedy, Romance</v>
      </c>
      <c r="D5266" s="2">
        <f>IF(A5266&lt;&gt;"", VLOOKUP(A5266, imdb_netflix_v5!A$2:H$7370, 4, FALSE), "")</f>
        <v>7.2</v>
      </c>
      <c r="E5266" s="2">
        <f>IF(A5266&lt;&gt;"", VLOOKUP(A5266, imdb_netflix_v5!A$2:H$7370, 5, FALSE), "")</f>
        <v>2014</v>
      </c>
      <c r="F5266" s="2" t="str">
        <f>IF(A5266&lt;&gt;"", VLOOKUP(A5266, imdb_netflix_v5!A$2:H$7370, 7, FALSE), "")</f>
        <v>NA</v>
      </c>
    </row>
    <row r="5267" ht="15.75" customHeight="1">
      <c r="A5267" s="1" t="str">
        <f>IFERROR(__xludf.DUMMYFUNCTION("""COMPUTED_VALUE"""),"mother and child")</f>
        <v>mother and child</v>
      </c>
      <c r="B5267" s="1" t="str">
        <f>IF(A5267&lt;&gt;"", VLOOKUP(A5267, imdb_netflix_v5!A$2:H$7370, 2, FALSE), "")</f>
        <v>Movie</v>
      </c>
      <c r="C5267" s="2" t="str">
        <f>IF(A5267&lt;&gt;"", VLOOKUP(A5267, imdb_netflix_v5!A$2:H$7370, 3, FALSE), "")</f>
        <v>Drama, Romance</v>
      </c>
      <c r="D5267" s="2">
        <f>IF(A5267&lt;&gt;"", VLOOKUP(A5267, imdb_netflix_v5!A$2:H$7370, 4, FALSE), "")</f>
        <v>7.2</v>
      </c>
      <c r="E5267" s="2">
        <f>IF(A5267&lt;&gt;"", VLOOKUP(A5267, imdb_netflix_v5!A$2:H$7370, 5, FALSE), "")</f>
        <v>2009</v>
      </c>
      <c r="F5267" s="2" t="str">
        <f>IF(A5267&lt;&gt;"", VLOOKUP(A5267, imdb_netflix_v5!A$2:H$7370, 7, FALSE), "")</f>
        <v>NA</v>
      </c>
    </row>
    <row r="5268" ht="15.75" customHeight="1">
      <c r="A5268" s="1" t="str">
        <f>IFERROR(__xludf.DUMMYFUNCTION("""COMPUTED_VALUE"""),"the uninvited")</f>
        <v>the uninvited</v>
      </c>
      <c r="B5268" s="1" t="str">
        <f>IF(A5268&lt;&gt;"", VLOOKUP(A5268, imdb_netflix_v5!A$2:H$7370, 2, FALSE), "")</f>
        <v>Movie</v>
      </c>
      <c r="C5268" s="2" t="str">
        <f>IF(A5268&lt;&gt;"", VLOOKUP(A5268, imdb_netflix_v5!A$2:H$7370, 3, FALSE), "")</f>
        <v>Fantasy, Horror, Mystery</v>
      </c>
      <c r="D5268" s="2">
        <f>IF(A5268&lt;&gt;"", VLOOKUP(A5268, imdb_netflix_v5!A$2:H$7370, 4, FALSE), "")</f>
        <v>7.2</v>
      </c>
      <c r="E5268" s="2">
        <f>IF(A5268&lt;&gt;"", VLOOKUP(A5268, imdb_netflix_v5!A$2:H$7370, 5, FALSE), "")</f>
        <v>1944</v>
      </c>
      <c r="F5268" s="2" t="str">
        <f>IF(A5268&lt;&gt;"", VLOOKUP(A5268, imdb_netflix_v5!A$2:H$7370, 7, FALSE), "")</f>
        <v>NA</v>
      </c>
    </row>
    <row r="5269" ht="15.75" customHeight="1">
      <c r="A5269" s="1" t="str">
        <f>IFERROR(__xludf.DUMMYFUNCTION("""COMPUTED_VALUE"""),"shadows")</f>
        <v>shadows</v>
      </c>
      <c r="B5269" s="1" t="str">
        <f>IF(A5269&lt;&gt;"", VLOOKUP(A5269, imdb_netflix_v5!A$2:H$7370, 2, FALSE), "")</f>
        <v>Movie</v>
      </c>
      <c r="C5269" s="2" t="str">
        <f>IF(A5269&lt;&gt;"", VLOOKUP(A5269, imdb_netflix_v5!A$2:H$7370, 3, FALSE), "")</f>
        <v>Drama, Music, Romance</v>
      </c>
      <c r="D5269" s="2">
        <f>IF(A5269&lt;&gt;"", VLOOKUP(A5269, imdb_netflix_v5!A$2:H$7370, 4, FALSE), "")</f>
        <v>7.2</v>
      </c>
      <c r="E5269" s="2">
        <f>IF(A5269&lt;&gt;"", VLOOKUP(A5269, imdb_netflix_v5!A$2:H$7370, 5, FALSE), "")</f>
        <v>1958</v>
      </c>
      <c r="F5269" s="2" t="str">
        <f>IF(A5269&lt;&gt;"", VLOOKUP(A5269, imdb_netflix_v5!A$2:H$7370, 7, FALSE), "")</f>
        <v>NA</v>
      </c>
    </row>
    <row r="5270" ht="15.75" customHeight="1">
      <c r="A5270" s="1" t="str">
        <f>IFERROR(__xludf.DUMMYFUNCTION("""COMPUTED_VALUE"""),"smoke signals")</f>
        <v>smoke signals</v>
      </c>
      <c r="B5270" s="1" t="str">
        <f>IF(A5270&lt;&gt;"", VLOOKUP(A5270, imdb_netflix_v5!A$2:H$7370, 2, FALSE), "")</f>
        <v>Movie</v>
      </c>
      <c r="C5270" s="2" t="str">
        <f>IF(A5270&lt;&gt;"", VLOOKUP(A5270, imdb_netflix_v5!A$2:H$7370, 3, FALSE), "")</f>
        <v>Comedy, Drama</v>
      </c>
      <c r="D5270" s="2">
        <f>IF(A5270&lt;&gt;"", VLOOKUP(A5270, imdb_netflix_v5!A$2:H$7370, 4, FALSE), "")</f>
        <v>7.2</v>
      </c>
      <c r="E5270" s="2">
        <f>IF(A5270&lt;&gt;"", VLOOKUP(A5270, imdb_netflix_v5!A$2:H$7370, 5, FALSE), "")</f>
        <v>1998</v>
      </c>
      <c r="F5270" s="2" t="str">
        <f>IF(A5270&lt;&gt;"", VLOOKUP(A5270, imdb_netflix_v5!A$2:H$7370, 7, FALSE), "")</f>
        <v>NA</v>
      </c>
    </row>
    <row r="5271" ht="15.75" customHeight="1">
      <c r="A5271" s="1" t="str">
        <f>IFERROR(__xludf.DUMMYFUNCTION("""COMPUTED_VALUE"""),"aaahh!!! real monsters")</f>
        <v>aaahh!!! real monsters</v>
      </c>
      <c r="B5271" s="1" t="str">
        <f>IF(A5271&lt;&gt;"", VLOOKUP(A5271, imdb_netflix_v5!A$2:H$7370, 2, FALSE), "")</f>
        <v>TV Show</v>
      </c>
      <c r="C5271" s="2" t="str">
        <f>IF(A5271&lt;&gt;"", VLOOKUP(A5271, imdb_netflix_v5!A$2:H$7370, 3, FALSE), "")</f>
        <v>Animation, Comedy, Family</v>
      </c>
      <c r="D5271" s="2">
        <f>IF(A5271&lt;&gt;"", VLOOKUP(A5271, imdb_netflix_v5!A$2:H$7370, 4, FALSE), "")</f>
        <v>7.2</v>
      </c>
      <c r="E5271" s="2">
        <f>IF(A5271&lt;&gt;"", VLOOKUP(A5271, imdb_netflix_v5!A$2:H$7370, 5, FALSE), "")</f>
        <v>1994</v>
      </c>
      <c r="F5271" s="2" t="str">
        <f>IF(A5271&lt;&gt;"", VLOOKUP(A5271, imdb_netflix_v5!A$2:H$7370, 7, FALSE), "")</f>
        <v>NA</v>
      </c>
    </row>
    <row r="5272" ht="15.75" customHeight="1">
      <c r="A5272" s="1" t="str">
        <f>IFERROR(__xludf.DUMMYFUNCTION("""COMPUTED_VALUE"""),"viva zapata!")</f>
        <v>viva zapata!</v>
      </c>
      <c r="B5272" s="1" t="str">
        <f>IF(A5272&lt;&gt;"", VLOOKUP(A5272, imdb_netflix_v5!A$2:H$7370, 2, FALSE), "")</f>
        <v>Movie</v>
      </c>
      <c r="C5272" s="2" t="str">
        <f>IF(A5272&lt;&gt;"", VLOOKUP(A5272, imdb_netflix_v5!A$2:H$7370, 3, FALSE), "")</f>
        <v>Biography, Drama, History</v>
      </c>
      <c r="D5272" s="2">
        <f>IF(A5272&lt;&gt;"", VLOOKUP(A5272, imdb_netflix_v5!A$2:H$7370, 4, FALSE), "")</f>
        <v>7.2</v>
      </c>
      <c r="E5272" s="2">
        <f>IF(A5272&lt;&gt;"", VLOOKUP(A5272, imdb_netflix_v5!A$2:H$7370, 5, FALSE), "")</f>
        <v>1952</v>
      </c>
      <c r="F5272" s="2" t="str">
        <f>IF(A5272&lt;&gt;"", VLOOKUP(A5272, imdb_netflix_v5!A$2:H$7370, 7, FALSE), "")</f>
        <v>NA</v>
      </c>
    </row>
    <row r="5273" ht="15.75" customHeight="1">
      <c r="A5273" s="1" t="str">
        <f>IFERROR(__xludf.DUMMYFUNCTION("""COMPUTED_VALUE"""),"chapelwaite")</f>
        <v>chapelwaite</v>
      </c>
      <c r="B5273" s="1" t="str">
        <f>IF(A5273&lt;&gt;"", VLOOKUP(A5273, imdb_netflix_v5!A$2:H$7370, 2, FALSE), "")</f>
        <v>TV Show</v>
      </c>
      <c r="C5273" s="2" t="str">
        <f>IF(A5273&lt;&gt;"", VLOOKUP(A5273, imdb_netflix_v5!A$2:H$7370, 3, FALSE), "")</f>
        <v>Drama, Horror, Mystery</v>
      </c>
      <c r="D5273" s="2">
        <f>IF(A5273&lt;&gt;"", VLOOKUP(A5273, imdb_netflix_v5!A$2:H$7370, 4, FALSE), "")</f>
        <v>7.2</v>
      </c>
      <c r="E5273" s="2">
        <f>IF(A5273&lt;&gt;"", VLOOKUP(A5273, imdb_netflix_v5!A$2:H$7370, 5, FALSE), "")</f>
        <v>2021</v>
      </c>
      <c r="F5273" s="2" t="str">
        <f>IF(A5273&lt;&gt;"", VLOOKUP(A5273, imdb_netflix_v5!A$2:H$7370, 7, FALSE), "")</f>
        <v>NA</v>
      </c>
    </row>
    <row r="5274" ht="15.75" customHeight="1">
      <c r="A5274" s="1" t="str">
        <f>IFERROR(__xludf.DUMMYFUNCTION("""COMPUTED_VALUE"""),"batla house")</f>
        <v>batla house</v>
      </c>
      <c r="B5274" s="1" t="str">
        <f>IF(A5274&lt;&gt;"", VLOOKUP(A5274, imdb_netflix_v5!A$2:H$7370, 2, FALSE), "")</f>
        <v>Movie</v>
      </c>
      <c r="C5274" s="2" t="str">
        <f>IF(A5274&lt;&gt;"", VLOOKUP(A5274, imdb_netflix_v5!A$2:H$7370, 3, FALSE), "")</f>
        <v>Action, Crime, Drama</v>
      </c>
      <c r="D5274" s="2">
        <f>IF(A5274&lt;&gt;"", VLOOKUP(A5274, imdb_netflix_v5!A$2:H$7370, 4, FALSE), "")</f>
        <v>7.2</v>
      </c>
      <c r="E5274" s="2">
        <f>IF(A5274&lt;&gt;"", VLOOKUP(A5274, imdb_netflix_v5!A$2:H$7370, 5, FALSE), "")</f>
        <v>2019</v>
      </c>
      <c r="F5274" s="2" t="str">
        <f>IF(A5274&lt;&gt;"", VLOOKUP(A5274, imdb_netflix_v5!A$2:H$7370, 7, FALSE), "")</f>
        <v>NA</v>
      </c>
    </row>
    <row r="5275" ht="15.75" customHeight="1">
      <c r="A5275" s="1" t="str">
        <f>IFERROR(__xludf.DUMMYFUNCTION("""COMPUTED_VALUE"""),"the passage")</f>
        <v>the passage</v>
      </c>
      <c r="B5275" s="1" t="str">
        <f>IF(A5275&lt;&gt;"", VLOOKUP(A5275, imdb_netflix_v5!A$2:H$7370, 2, FALSE), "")</f>
        <v>TV Show</v>
      </c>
      <c r="C5275" s="2" t="str">
        <f>IF(A5275&lt;&gt;"", VLOOKUP(A5275, imdb_netflix_v5!A$2:H$7370, 3, FALSE), "")</f>
        <v>Action, Adventure, Drama</v>
      </c>
      <c r="D5275" s="2">
        <f>IF(A5275&lt;&gt;"", VLOOKUP(A5275, imdb_netflix_v5!A$2:H$7370, 4, FALSE), "")</f>
        <v>7.2</v>
      </c>
      <c r="E5275" s="2">
        <f>IF(A5275&lt;&gt;"", VLOOKUP(A5275, imdb_netflix_v5!A$2:H$7370, 5, FALSE), "")</f>
        <v>2019</v>
      </c>
      <c r="F5275" s="2" t="str">
        <f>IF(A5275&lt;&gt;"", VLOOKUP(A5275, imdb_netflix_v5!A$2:H$7370, 7, FALSE), "")</f>
        <v>NA</v>
      </c>
    </row>
    <row r="5276" ht="15.75" customHeight="1">
      <c r="A5276" s="1" t="str">
        <f>IFERROR(__xludf.DUMMYFUNCTION("""COMPUTED_VALUE"""),"flaked")</f>
        <v>flaked</v>
      </c>
      <c r="B5276" s="1" t="str">
        <f>IF(A5276&lt;&gt;"", VLOOKUP(A5276, imdb_netflix_v5!A$2:H$7370, 2, FALSE), "")</f>
        <v>TV Show</v>
      </c>
      <c r="C5276" s="2" t="str">
        <f>IF(A5276&lt;&gt;"", VLOOKUP(A5276, imdb_netflix_v5!A$2:H$7370, 3, FALSE), "")</f>
        <v>Comedy, Drama, Romance</v>
      </c>
      <c r="D5276" s="2">
        <f>IF(A5276&lt;&gt;"", VLOOKUP(A5276, imdb_netflix_v5!A$2:H$7370, 4, FALSE), "")</f>
        <v>7.2</v>
      </c>
      <c r="E5276" s="2">
        <f>IF(A5276&lt;&gt;"", VLOOKUP(A5276, imdb_netflix_v5!A$2:H$7370, 5, FALSE), "")</f>
        <v>2016</v>
      </c>
      <c r="F5276" s="2" t="str">
        <f>IF(A5276&lt;&gt;"", VLOOKUP(A5276, imdb_netflix_v5!A$2:H$7370, 7, FALSE), "")</f>
        <v>NA</v>
      </c>
    </row>
    <row r="5277" ht="15.75" customHeight="1">
      <c r="A5277" s="1" t="str">
        <f>IFERROR(__xludf.DUMMYFUNCTION("""COMPUTED_VALUE"""),"kaam chalu hai")</f>
        <v>kaam chalu hai</v>
      </c>
      <c r="B5277" s="1" t="str">
        <f>IF(A5277&lt;&gt;"", VLOOKUP(A5277, imdb_netflix_v5!A$2:H$7370, 2, FALSE), "")</f>
        <v>Movie</v>
      </c>
      <c r="C5277" s="2" t="str">
        <f>IF(A5277&lt;&gt;"", VLOOKUP(A5277, imdb_netflix_v5!A$2:H$7370, 3, FALSE), "")</f>
        <v>Drama</v>
      </c>
      <c r="D5277" s="2">
        <f>IF(A5277&lt;&gt;"", VLOOKUP(A5277, imdb_netflix_v5!A$2:H$7370, 4, FALSE), "")</f>
        <v>7.2</v>
      </c>
      <c r="E5277" s="2">
        <f>IF(A5277&lt;&gt;"", VLOOKUP(A5277, imdb_netflix_v5!A$2:H$7370, 5, FALSE), "")</f>
        <v>2024</v>
      </c>
      <c r="F5277" s="2" t="str">
        <f>IF(A5277&lt;&gt;"", VLOOKUP(A5277, imdb_netflix_v5!A$2:H$7370, 7, FALSE), "")</f>
        <v>NA</v>
      </c>
    </row>
    <row r="5278" ht="15.75" customHeight="1">
      <c r="A5278" s="1" t="str">
        <f>IFERROR(__xludf.DUMMYFUNCTION("""COMPUTED_VALUE"""),"modigliani")</f>
        <v>modigliani</v>
      </c>
      <c r="B5278" s="1" t="str">
        <f>IF(A5278&lt;&gt;"", VLOOKUP(A5278, imdb_netflix_v5!A$2:H$7370, 2, FALSE), "")</f>
        <v>Movie</v>
      </c>
      <c r="C5278" s="2" t="str">
        <f>IF(A5278&lt;&gt;"", VLOOKUP(A5278, imdb_netflix_v5!A$2:H$7370, 3, FALSE), "")</f>
        <v>Biography, Drama</v>
      </c>
      <c r="D5278" s="2">
        <f>IF(A5278&lt;&gt;"", VLOOKUP(A5278, imdb_netflix_v5!A$2:H$7370, 4, FALSE), "")</f>
        <v>7.2</v>
      </c>
      <c r="E5278" s="2">
        <f>IF(A5278&lt;&gt;"", VLOOKUP(A5278, imdb_netflix_v5!A$2:H$7370, 5, FALSE), "")</f>
        <v>2004</v>
      </c>
      <c r="F5278" s="2" t="str">
        <f>IF(A5278&lt;&gt;"", VLOOKUP(A5278, imdb_netflix_v5!A$2:H$7370, 7, FALSE), "")</f>
        <v>NA</v>
      </c>
    </row>
    <row r="5279" ht="15.75" customHeight="1">
      <c r="A5279" s="1" t="str">
        <f>IFERROR(__xludf.DUMMYFUNCTION("""COMPUTED_VALUE"""),"the wing or the thigh?")</f>
        <v>the wing or the thigh?</v>
      </c>
      <c r="B5279" s="1" t="str">
        <f>IF(A5279&lt;&gt;"", VLOOKUP(A5279, imdb_netflix_v5!A$2:H$7370, 2, FALSE), "")</f>
        <v>Movie</v>
      </c>
      <c r="C5279" s="2" t="str">
        <f>IF(A5279&lt;&gt;"", VLOOKUP(A5279, imdb_netflix_v5!A$2:H$7370, 3, FALSE), "")</f>
        <v>Comedy, Family</v>
      </c>
      <c r="D5279" s="2">
        <f>IF(A5279&lt;&gt;"", VLOOKUP(A5279, imdb_netflix_v5!A$2:H$7370, 4, FALSE), "")</f>
        <v>7.2</v>
      </c>
      <c r="E5279" s="2">
        <f>IF(A5279&lt;&gt;"", VLOOKUP(A5279, imdb_netflix_v5!A$2:H$7370, 5, FALSE), "")</f>
        <v>1976</v>
      </c>
      <c r="F5279" s="2" t="str">
        <f>IF(A5279&lt;&gt;"", VLOOKUP(A5279, imdb_netflix_v5!A$2:H$7370, 7, FALSE), "")</f>
        <v>NA</v>
      </c>
    </row>
    <row r="5280" ht="15.75" customHeight="1">
      <c r="A5280" s="1" t="str">
        <f>IFERROR(__xludf.DUMMYFUNCTION("""COMPUTED_VALUE"""),"the 8 show")</f>
        <v>the 8 show</v>
      </c>
      <c r="B5280" s="1" t="str">
        <f>IF(A5280&lt;&gt;"", VLOOKUP(A5280, imdb_netflix_v5!A$2:H$7370, 2, FALSE), "")</f>
        <v>TV Show</v>
      </c>
      <c r="C5280" s="2" t="str">
        <f>IF(A5280&lt;&gt;"", VLOOKUP(A5280, imdb_netflix_v5!A$2:H$7370, 3, FALSE), "")</f>
        <v>Comedy, Drama, Horror</v>
      </c>
      <c r="D5280" s="2">
        <f>IF(A5280&lt;&gt;"", VLOOKUP(A5280, imdb_netflix_v5!A$2:H$7370, 4, FALSE), "")</f>
        <v>7.2</v>
      </c>
      <c r="E5280" s="2">
        <f>IF(A5280&lt;&gt;"", VLOOKUP(A5280, imdb_netflix_v5!A$2:H$7370, 5, FALSE), "")</f>
        <v>2024</v>
      </c>
      <c r="F5280" s="2" t="str">
        <f>IF(A5280&lt;&gt;"", VLOOKUP(A5280, imdb_netflix_v5!A$2:H$7370, 7, FALSE), "")</f>
        <v>NA</v>
      </c>
    </row>
    <row r="5281" ht="15.75" customHeight="1">
      <c r="A5281" s="1" t="str">
        <f>IFERROR(__xludf.DUMMYFUNCTION("""COMPUTED_VALUE"""),"rashmi rocket")</f>
        <v>rashmi rocket</v>
      </c>
      <c r="B5281" s="1" t="str">
        <f>IF(A5281&lt;&gt;"", VLOOKUP(A5281, imdb_netflix_v5!A$2:H$7370, 2, FALSE), "")</f>
        <v>Movie</v>
      </c>
      <c r="C5281" s="2" t="str">
        <f>IF(A5281&lt;&gt;"", VLOOKUP(A5281, imdb_netflix_v5!A$2:H$7370, 3, FALSE), "")</f>
        <v>Drama, Sport</v>
      </c>
      <c r="D5281" s="2">
        <f>IF(A5281&lt;&gt;"", VLOOKUP(A5281, imdb_netflix_v5!A$2:H$7370, 4, FALSE), "")</f>
        <v>7.2</v>
      </c>
      <c r="E5281" s="2">
        <f>IF(A5281&lt;&gt;"", VLOOKUP(A5281, imdb_netflix_v5!A$2:H$7370, 5, FALSE), "")</f>
        <v>2021</v>
      </c>
      <c r="F5281" s="2" t="str">
        <f>IF(A5281&lt;&gt;"", VLOOKUP(A5281, imdb_netflix_v5!A$2:H$7370, 7, FALSE), "")</f>
        <v>NA</v>
      </c>
    </row>
    <row r="5282" ht="15.75" customHeight="1">
      <c r="A5282" s="1" t="str">
        <f>IFERROR(__xludf.DUMMYFUNCTION("""COMPUTED_VALUE"""),"around the world in 80 days")</f>
        <v>around the world in 80 days</v>
      </c>
      <c r="B5282" s="1" t="str">
        <f>IF(A5282&lt;&gt;"", VLOOKUP(A5282, imdb_netflix_v5!A$2:H$7370, 2, FALSE), "")</f>
        <v>TV Show</v>
      </c>
      <c r="C5282" s="2" t="str">
        <f>IF(A5282&lt;&gt;"", VLOOKUP(A5282, imdb_netflix_v5!A$2:H$7370, 3, FALSE), "")</f>
        <v>Adventure, Comedy, History</v>
      </c>
      <c r="D5282" s="2">
        <f>IF(A5282&lt;&gt;"", VLOOKUP(A5282, imdb_netflix_v5!A$2:H$7370, 4, FALSE), "")</f>
        <v>7.2</v>
      </c>
      <c r="E5282" s="2">
        <f>IF(A5282&lt;&gt;"", VLOOKUP(A5282, imdb_netflix_v5!A$2:H$7370, 5, FALSE), "")</f>
        <v>2021</v>
      </c>
      <c r="F5282" s="2" t="str">
        <f>IF(A5282&lt;&gt;"", VLOOKUP(A5282, imdb_netflix_v5!A$2:H$7370, 7, FALSE), "")</f>
        <v>NA</v>
      </c>
    </row>
    <row r="5283" ht="15.75" customHeight="1">
      <c r="A5283" s="1" t="str">
        <f>IFERROR(__xludf.DUMMYFUNCTION("""COMPUTED_VALUE"""),"no one killed jessica")</f>
        <v>no one killed jessica</v>
      </c>
      <c r="B5283" s="1" t="str">
        <f>IF(A5283&lt;&gt;"", VLOOKUP(A5283, imdb_netflix_v5!A$2:H$7370, 2, FALSE), "")</f>
        <v>Movie</v>
      </c>
      <c r="C5283" s="2" t="str">
        <f>IF(A5283&lt;&gt;"", VLOOKUP(A5283, imdb_netflix_v5!A$2:H$7370, 3, FALSE), "")</f>
        <v>Biography, Crime, Drama</v>
      </c>
      <c r="D5283" s="2">
        <f>IF(A5283&lt;&gt;"", VLOOKUP(A5283, imdb_netflix_v5!A$2:H$7370, 4, FALSE), "")</f>
        <v>7.2</v>
      </c>
      <c r="E5283" s="2">
        <f>IF(A5283&lt;&gt;"", VLOOKUP(A5283, imdb_netflix_v5!A$2:H$7370, 5, FALSE), "")</f>
        <v>2011</v>
      </c>
      <c r="F5283" s="2" t="str">
        <f>IF(A5283&lt;&gt;"", VLOOKUP(A5283, imdb_netflix_v5!A$2:H$7370, 7, FALSE), "")</f>
        <v>NA</v>
      </c>
    </row>
    <row r="5284" ht="15.75" customHeight="1">
      <c r="A5284" s="1" t="str">
        <f>IFERROR(__xludf.DUMMYFUNCTION("""COMPUTED_VALUE"""),"beanpole")</f>
        <v>beanpole</v>
      </c>
      <c r="B5284" s="1" t="str">
        <f>IF(A5284&lt;&gt;"", VLOOKUP(A5284, imdb_netflix_v5!A$2:H$7370, 2, FALSE), "")</f>
        <v>Movie</v>
      </c>
      <c r="C5284" s="2" t="str">
        <f>IF(A5284&lt;&gt;"", VLOOKUP(A5284, imdb_netflix_v5!A$2:H$7370, 3, FALSE), "")</f>
        <v>Drama, War</v>
      </c>
      <c r="D5284" s="2">
        <f>IF(A5284&lt;&gt;"", VLOOKUP(A5284, imdb_netflix_v5!A$2:H$7370, 4, FALSE), "")</f>
        <v>7.2</v>
      </c>
      <c r="E5284" s="2">
        <f>IF(A5284&lt;&gt;"", VLOOKUP(A5284, imdb_netflix_v5!A$2:H$7370, 5, FALSE), "")</f>
        <v>2019</v>
      </c>
      <c r="F5284" s="2" t="str">
        <f>IF(A5284&lt;&gt;"", VLOOKUP(A5284, imdb_netflix_v5!A$2:H$7370, 7, FALSE), "")</f>
        <v>NA</v>
      </c>
    </row>
    <row r="5285" ht="15.75" customHeight="1">
      <c r="A5285" s="1" t="str">
        <f>IFERROR(__xludf.DUMMYFUNCTION("""COMPUTED_VALUE"""),"hard times")</f>
        <v>hard times</v>
      </c>
      <c r="B5285" s="1" t="str">
        <f>IF(A5285&lt;&gt;"", VLOOKUP(A5285, imdb_netflix_v5!A$2:H$7370, 2, FALSE), "")</f>
        <v>Movie</v>
      </c>
      <c r="C5285" s="2" t="str">
        <f>IF(A5285&lt;&gt;"", VLOOKUP(A5285, imdb_netflix_v5!A$2:H$7370, 3, FALSE), "")</f>
        <v>Crime, Drama, Sport</v>
      </c>
      <c r="D5285" s="2">
        <f>IF(A5285&lt;&gt;"", VLOOKUP(A5285, imdb_netflix_v5!A$2:H$7370, 4, FALSE), "")</f>
        <v>7.2</v>
      </c>
      <c r="E5285" s="2">
        <f>IF(A5285&lt;&gt;"", VLOOKUP(A5285, imdb_netflix_v5!A$2:H$7370, 5, FALSE), "")</f>
        <v>1975</v>
      </c>
      <c r="F5285" s="2" t="str">
        <f>IF(A5285&lt;&gt;"", VLOOKUP(A5285, imdb_netflix_v5!A$2:H$7370, 7, FALSE), "")</f>
        <v>NA</v>
      </c>
    </row>
    <row r="5286" ht="15.75" customHeight="1">
      <c r="A5286" s="1" t="str">
        <f>IFERROR(__xludf.DUMMYFUNCTION("""COMPUTED_VALUE"""),"the bay")</f>
        <v>the bay</v>
      </c>
      <c r="B5286" s="1" t="str">
        <f>IF(A5286&lt;&gt;"", VLOOKUP(A5286, imdb_netflix_v5!A$2:H$7370, 2, FALSE), "")</f>
        <v>TV Show</v>
      </c>
      <c r="C5286" s="2" t="str">
        <f>IF(A5286&lt;&gt;"", VLOOKUP(A5286, imdb_netflix_v5!A$2:H$7370, 3, FALSE), "")</f>
        <v>Crime, Drama, Mystery</v>
      </c>
      <c r="D5286" s="2">
        <f>IF(A5286&lt;&gt;"", VLOOKUP(A5286, imdb_netflix_v5!A$2:H$7370, 4, FALSE), "")</f>
        <v>7.2</v>
      </c>
      <c r="E5286" s="2">
        <f>IF(A5286&lt;&gt;"", VLOOKUP(A5286, imdb_netflix_v5!A$2:H$7370, 5, FALSE), "")</f>
        <v>2019</v>
      </c>
      <c r="F5286" s="2" t="str">
        <f>IF(A5286&lt;&gt;"", VLOOKUP(A5286, imdb_netflix_v5!A$2:H$7370, 7, FALSE), "")</f>
        <v>NA</v>
      </c>
    </row>
    <row r="5287" ht="15.75" customHeight="1">
      <c r="A5287" s="1" t="str">
        <f>IFERROR(__xludf.DUMMYFUNCTION("""COMPUTED_VALUE"""),"salyut-7")</f>
        <v>salyut-7</v>
      </c>
      <c r="B5287" s="1" t="str">
        <f>IF(A5287&lt;&gt;"", VLOOKUP(A5287, imdb_netflix_v5!A$2:H$7370, 2, FALSE), "")</f>
        <v>Movie</v>
      </c>
      <c r="C5287" s="2" t="str">
        <f>IF(A5287&lt;&gt;"", VLOOKUP(A5287, imdb_netflix_v5!A$2:H$7370, 3, FALSE), "")</f>
        <v>Action, Drama, History</v>
      </c>
      <c r="D5287" s="2">
        <f>IF(A5287&lt;&gt;"", VLOOKUP(A5287, imdb_netflix_v5!A$2:H$7370, 4, FALSE), "")</f>
        <v>7.2</v>
      </c>
      <c r="E5287" s="2">
        <f>IF(A5287&lt;&gt;"", VLOOKUP(A5287, imdb_netflix_v5!A$2:H$7370, 5, FALSE), "")</f>
        <v>2017</v>
      </c>
      <c r="F5287" s="2" t="str">
        <f>IF(A5287&lt;&gt;"", VLOOKUP(A5287, imdb_netflix_v5!A$2:H$7370, 7, FALSE), "")</f>
        <v>NA</v>
      </c>
    </row>
    <row r="5288" ht="15.75" customHeight="1">
      <c r="A5288" s="1" t="str">
        <f>IFERROR(__xludf.DUMMYFUNCTION("""COMPUTED_VALUE"""),"apollo 10½ a space age childhood")</f>
        <v>apollo 10½ a space age childhood</v>
      </c>
      <c r="B5288" s="1" t="str">
        <f>IF(A5288&lt;&gt;"", VLOOKUP(A5288, imdb_netflix_v5!A$2:H$7370, 2, FALSE), "")</f>
        <v>Movie</v>
      </c>
      <c r="C5288" s="2" t="str">
        <f>IF(A5288&lt;&gt;"", VLOOKUP(A5288, imdb_netflix_v5!A$2:H$7370, 3, FALSE), "")</f>
        <v>Adventure, Animation, Drama</v>
      </c>
      <c r="D5288" s="2">
        <f>IF(A5288&lt;&gt;"", VLOOKUP(A5288, imdb_netflix_v5!A$2:H$7370, 4, FALSE), "")</f>
        <v>7.2</v>
      </c>
      <c r="E5288" s="2">
        <f>IF(A5288&lt;&gt;"", VLOOKUP(A5288, imdb_netflix_v5!A$2:H$7370, 5, FALSE), "")</f>
        <v>2022</v>
      </c>
      <c r="F5288" s="2" t="str">
        <f>IF(A5288&lt;&gt;"", VLOOKUP(A5288, imdb_netflix_v5!A$2:H$7370, 7, FALSE), "")</f>
        <v>NA</v>
      </c>
    </row>
    <row r="5289" ht="15.75" customHeight="1">
      <c r="A5289" s="1" t="str">
        <f>IFERROR(__xludf.DUMMYFUNCTION("""COMPUTED_VALUE"""),"the frankenstein chronicles")</f>
        <v>the frankenstein chronicles</v>
      </c>
      <c r="B5289" s="1" t="str">
        <f>IF(A5289&lt;&gt;"", VLOOKUP(A5289, imdb_netflix_v5!A$2:H$7370, 2, FALSE), "")</f>
        <v>TV Show</v>
      </c>
      <c r="C5289" s="2" t="str">
        <f>IF(A5289&lt;&gt;"", VLOOKUP(A5289, imdb_netflix_v5!A$2:H$7370, 3, FALSE), "")</f>
        <v>Crime, Drama, Fantasy</v>
      </c>
      <c r="D5289" s="2">
        <f>IF(A5289&lt;&gt;"", VLOOKUP(A5289, imdb_netflix_v5!A$2:H$7370, 4, FALSE), "")</f>
        <v>7.2</v>
      </c>
      <c r="E5289" s="2">
        <f>IF(A5289&lt;&gt;"", VLOOKUP(A5289, imdb_netflix_v5!A$2:H$7370, 5, FALSE), "")</f>
        <v>2015</v>
      </c>
      <c r="F5289" s="2" t="str">
        <f>IF(A5289&lt;&gt;"", VLOOKUP(A5289, imdb_netflix_v5!A$2:H$7370, 7, FALSE), "")</f>
        <v>NA</v>
      </c>
    </row>
    <row r="5290" ht="15.75" customHeight="1">
      <c r="A5290" s="1" t="str">
        <f>IFERROR(__xludf.DUMMYFUNCTION("""COMPUTED_VALUE"""),"channel zero")</f>
        <v>channel zero</v>
      </c>
      <c r="B5290" s="1" t="str">
        <f>IF(A5290&lt;&gt;"", VLOOKUP(A5290, imdb_netflix_v5!A$2:H$7370, 2, FALSE), "")</f>
        <v>TV Show</v>
      </c>
      <c r="C5290" s="2" t="str">
        <f>IF(A5290&lt;&gt;"", VLOOKUP(A5290, imdb_netflix_v5!A$2:H$7370, 3, FALSE), "")</f>
        <v>Drama, Fantasy, Horror</v>
      </c>
      <c r="D5290" s="2">
        <f>IF(A5290&lt;&gt;"", VLOOKUP(A5290, imdb_netflix_v5!A$2:H$7370, 4, FALSE), "")</f>
        <v>7.2</v>
      </c>
      <c r="E5290" s="2">
        <f>IF(A5290&lt;&gt;"", VLOOKUP(A5290, imdb_netflix_v5!A$2:H$7370, 5, FALSE), "")</f>
        <v>2016</v>
      </c>
      <c r="F5290" s="2" t="str">
        <f>IF(A5290&lt;&gt;"", VLOOKUP(A5290, imdb_netflix_v5!A$2:H$7370, 7, FALSE), "")</f>
        <v>NA</v>
      </c>
    </row>
    <row r="5291" ht="15.75" customHeight="1">
      <c r="A5291" s="1" t="str">
        <f>IFERROR(__xludf.DUMMYFUNCTION("""COMPUTED_VALUE"""),"ghulam")</f>
        <v>ghulam</v>
      </c>
      <c r="B5291" s="1" t="str">
        <f>IF(A5291&lt;&gt;"", VLOOKUP(A5291, imdb_netflix_v5!A$2:H$7370, 2, FALSE), "")</f>
        <v>Movie</v>
      </c>
      <c r="C5291" s="2" t="str">
        <f>IF(A5291&lt;&gt;"", VLOOKUP(A5291, imdb_netflix_v5!A$2:H$7370, 3, FALSE), "")</f>
        <v>Action, Crime, Drama</v>
      </c>
      <c r="D5291" s="2">
        <f>IF(A5291&lt;&gt;"", VLOOKUP(A5291, imdb_netflix_v5!A$2:H$7370, 4, FALSE), "")</f>
        <v>7.2</v>
      </c>
      <c r="E5291" s="2">
        <f>IF(A5291&lt;&gt;"", VLOOKUP(A5291, imdb_netflix_v5!A$2:H$7370, 5, FALSE), "")</f>
        <v>1998</v>
      </c>
      <c r="F5291" s="2" t="str">
        <f>IF(A5291&lt;&gt;"", VLOOKUP(A5291, imdb_netflix_v5!A$2:H$7370, 7, FALSE), "")</f>
        <v>NA</v>
      </c>
    </row>
    <row r="5292" ht="15.75" customHeight="1">
      <c r="A5292" s="1" t="str">
        <f>IFERROR(__xludf.DUMMYFUNCTION("""COMPUTED_VALUE"""),"dirty sexy money")</f>
        <v>dirty sexy money</v>
      </c>
      <c r="B5292" s="1" t="str">
        <f>IF(A5292&lt;&gt;"", VLOOKUP(A5292, imdb_netflix_v5!A$2:H$7370, 2, FALSE), "")</f>
        <v>TV Show</v>
      </c>
      <c r="C5292" s="2" t="str">
        <f>IF(A5292&lt;&gt;"", VLOOKUP(A5292, imdb_netflix_v5!A$2:H$7370, 3, FALSE), "")</f>
        <v>Drama</v>
      </c>
      <c r="D5292" s="2">
        <f>IF(A5292&lt;&gt;"", VLOOKUP(A5292, imdb_netflix_v5!A$2:H$7370, 4, FALSE), "")</f>
        <v>7.2</v>
      </c>
      <c r="E5292" s="2">
        <f>IF(A5292&lt;&gt;"", VLOOKUP(A5292, imdb_netflix_v5!A$2:H$7370, 5, FALSE), "")</f>
        <v>2007</v>
      </c>
      <c r="F5292" s="2" t="str">
        <f>IF(A5292&lt;&gt;"", VLOOKUP(A5292, imdb_netflix_v5!A$2:H$7370, 7, FALSE), "")</f>
        <v>NA</v>
      </c>
    </row>
    <row r="5293" ht="15.75" customHeight="1">
      <c r="A5293" s="1" t="str">
        <f>IFERROR(__xludf.DUMMYFUNCTION("""COMPUTED_VALUE"""),"muhammad the messenger of god")</f>
        <v>muhammad the messenger of god</v>
      </c>
      <c r="B5293" s="1" t="str">
        <f>IF(A5293&lt;&gt;"", VLOOKUP(A5293, imdb_netflix_v5!A$2:H$7370, 2, FALSE), "")</f>
        <v>Movie</v>
      </c>
      <c r="C5293" s="2" t="str">
        <f>IF(A5293&lt;&gt;"", VLOOKUP(A5293, imdb_netflix_v5!A$2:H$7370, 3, FALSE), "")</f>
        <v>Biography, Drama, History</v>
      </c>
      <c r="D5293" s="2">
        <f>IF(A5293&lt;&gt;"", VLOOKUP(A5293, imdb_netflix_v5!A$2:H$7370, 4, FALSE), "")</f>
        <v>7.2</v>
      </c>
      <c r="E5293" s="2">
        <f>IF(A5293&lt;&gt;"", VLOOKUP(A5293, imdb_netflix_v5!A$2:H$7370, 5, FALSE), "")</f>
        <v>2015</v>
      </c>
      <c r="F5293" s="2" t="str">
        <f>IF(A5293&lt;&gt;"", VLOOKUP(A5293, imdb_netflix_v5!A$2:H$7370, 7, FALSE), "")</f>
        <v>NA</v>
      </c>
    </row>
    <row r="5294" ht="15.75" customHeight="1">
      <c r="A5294" s="1" t="str">
        <f>IFERROR(__xludf.DUMMYFUNCTION("""COMPUTED_VALUE"""),"cactus flower")</f>
        <v>cactus flower</v>
      </c>
      <c r="B5294" s="1" t="str">
        <f>IF(A5294&lt;&gt;"", VLOOKUP(A5294, imdb_netflix_v5!A$2:H$7370, 2, FALSE), "")</f>
        <v>Movie</v>
      </c>
      <c r="C5294" s="2" t="str">
        <f>IF(A5294&lt;&gt;"", VLOOKUP(A5294, imdb_netflix_v5!A$2:H$7370, 3, FALSE), "")</f>
        <v>Comedy, Romance</v>
      </c>
      <c r="D5294" s="2">
        <f>IF(A5294&lt;&gt;"", VLOOKUP(A5294, imdb_netflix_v5!A$2:H$7370, 4, FALSE), "")</f>
        <v>7.2</v>
      </c>
      <c r="E5294" s="2">
        <f>IF(A5294&lt;&gt;"", VLOOKUP(A5294, imdb_netflix_v5!A$2:H$7370, 5, FALSE), "")</f>
        <v>1969</v>
      </c>
      <c r="F5294" s="2" t="str">
        <f>IF(A5294&lt;&gt;"", VLOOKUP(A5294, imdb_netflix_v5!A$2:H$7370, 7, FALSE), "")</f>
        <v>NA</v>
      </c>
    </row>
    <row r="5295" ht="15.75" customHeight="1">
      <c r="A5295" s="1" t="str">
        <f>IFERROR(__xludf.DUMMYFUNCTION("""COMPUTED_VALUE"""),"mad tv")</f>
        <v>mad tv</v>
      </c>
      <c r="B5295" s="1" t="str">
        <f>IF(A5295&lt;&gt;"", VLOOKUP(A5295, imdb_netflix_v5!A$2:H$7370, 2, FALSE), "")</f>
        <v>TV Show</v>
      </c>
      <c r="C5295" s="2" t="str">
        <f>IF(A5295&lt;&gt;"", VLOOKUP(A5295, imdb_netflix_v5!A$2:H$7370, 3, FALSE), "")</f>
        <v>Comedy</v>
      </c>
      <c r="D5295" s="2">
        <f>IF(A5295&lt;&gt;"", VLOOKUP(A5295, imdb_netflix_v5!A$2:H$7370, 4, FALSE), "")</f>
        <v>7.2</v>
      </c>
      <c r="E5295" s="2">
        <f>IF(A5295&lt;&gt;"", VLOOKUP(A5295, imdb_netflix_v5!A$2:H$7370, 5, FALSE), "")</f>
        <v>1995</v>
      </c>
      <c r="F5295" s="2" t="str">
        <f>IF(A5295&lt;&gt;"", VLOOKUP(A5295, imdb_netflix_v5!A$2:H$7370, 7, FALSE), "")</f>
        <v>NA</v>
      </c>
    </row>
    <row r="5296" ht="15.75" customHeight="1">
      <c r="A5296" s="1" t="str">
        <f>IFERROR(__xludf.DUMMYFUNCTION("""COMPUTED_VALUE"""),"la cage aux folles")</f>
        <v>la cage aux folles</v>
      </c>
      <c r="B5296" s="1" t="str">
        <f>IF(A5296&lt;&gt;"", VLOOKUP(A5296, imdb_netflix_v5!A$2:H$7370, 2, FALSE), "")</f>
        <v>Movie</v>
      </c>
      <c r="C5296" s="2" t="str">
        <f>IF(A5296&lt;&gt;"", VLOOKUP(A5296, imdb_netflix_v5!A$2:H$7370, 3, FALSE), "")</f>
        <v>Comedy</v>
      </c>
      <c r="D5296" s="2">
        <f>IF(A5296&lt;&gt;"", VLOOKUP(A5296, imdb_netflix_v5!A$2:H$7370, 4, FALSE), "")</f>
        <v>7.2</v>
      </c>
      <c r="E5296" s="2">
        <f>IF(A5296&lt;&gt;"", VLOOKUP(A5296, imdb_netflix_v5!A$2:H$7370, 5, FALSE), "")</f>
        <v>1978</v>
      </c>
      <c r="F5296" s="2" t="str">
        <f>IF(A5296&lt;&gt;"", VLOOKUP(A5296, imdb_netflix_v5!A$2:H$7370, 7, FALSE), "")</f>
        <v>NA</v>
      </c>
    </row>
    <row r="5297" ht="15.75" customHeight="1">
      <c r="A5297" s="1" t="str">
        <f>IFERROR(__xludf.DUMMYFUNCTION("""COMPUTED_VALUE"""),"ordeal by innocence")</f>
        <v>ordeal by innocence</v>
      </c>
      <c r="B5297" s="1" t="str">
        <f>IF(A5297&lt;&gt;"", VLOOKUP(A5297, imdb_netflix_v5!A$2:H$7370, 2, FALSE), "")</f>
        <v>TV Show</v>
      </c>
      <c r="C5297" s="2" t="str">
        <f>IF(A5297&lt;&gt;"", VLOOKUP(A5297, imdb_netflix_v5!A$2:H$7370, 3, FALSE), "")</f>
        <v>Crime, Drama, Mystery</v>
      </c>
      <c r="D5297" s="2">
        <f>IF(A5297&lt;&gt;"", VLOOKUP(A5297, imdb_netflix_v5!A$2:H$7370, 4, FALSE), "")</f>
        <v>7.2</v>
      </c>
      <c r="E5297" s="2">
        <f>IF(A5297&lt;&gt;"", VLOOKUP(A5297, imdb_netflix_v5!A$2:H$7370, 5, FALSE), "")</f>
        <v>2018</v>
      </c>
      <c r="F5297" s="2" t="str">
        <f>IF(A5297&lt;&gt;"", VLOOKUP(A5297, imdb_netflix_v5!A$2:H$7370, 7, FALSE), "")</f>
        <v>NA</v>
      </c>
    </row>
    <row r="5298" ht="15.75" customHeight="1">
      <c r="A5298" s="1" t="str">
        <f>IFERROR(__xludf.DUMMYFUNCTION("""COMPUTED_VALUE"""),"champions")</f>
        <v>champions</v>
      </c>
      <c r="B5298" s="1" t="str">
        <f>IF(A5298&lt;&gt;"", VLOOKUP(A5298, imdb_netflix_v5!A$2:H$7370, 2, FALSE), "")</f>
        <v>Movie</v>
      </c>
      <c r="C5298" s="2" t="str">
        <f>IF(A5298&lt;&gt;"", VLOOKUP(A5298, imdb_netflix_v5!A$2:H$7370, 3, FALSE), "")</f>
        <v>Comedy, Drama, Family</v>
      </c>
      <c r="D5298" s="2">
        <f>IF(A5298&lt;&gt;"", VLOOKUP(A5298, imdb_netflix_v5!A$2:H$7370, 4, FALSE), "")</f>
        <v>7.2</v>
      </c>
      <c r="E5298" s="2">
        <f>IF(A5298&lt;&gt;"", VLOOKUP(A5298, imdb_netflix_v5!A$2:H$7370, 5, FALSE), "")</f>
        <v>2018</v>
      </c>
      <c r="F5298" s="2" t="str">
        <f>IF(A5298&lt;&gt;"", VLOOKUP(A5298, imdb_netflix_v5!A$2:H$7370, 7, FALSE), "")</f>
        <v>NA</v>
      </c>
    </row>
    <row r="5299" ht="15.75" customHeight="1">
      <c r="A5299" s="1" t="str">
        <f>IFERROR(__xludf.DUMMYFUNCTION("""COMPUTED_VALUE"""),"spare parts")</f>
        <v>spare parts</v>
      </c>
      <c r="B5299" s="1" t="str">
        <f>IF(A5299&lt;&gt;"", VLOOKUP(A5299, imdb_netflix_v5!A$2:H$7370, 2, FALSE), "")</f>
        <v>Movie</v>
      </c>
      <c r="C5299" s="2" t="str">
        <f>IF(A5299&lt;&gt;"", VLOOKUP(A5299, imdb_netflix_v5!A$2:H$7370, 3, FALSE), "")</f>
        <v>Biography, Drama, History</v>
      </c>
      <c r="D5299" s="2">
        <f>IF(A5299&lt;&gt;"", VLOOKUP(A5299, imdb_netflix_v5!A$2:H$7370, 4, FALSE), "")</f>
        <v>7.2</v>
      </c>
      <c r="E5299" s="2">
        <f>IF(A5299&lt;&gt;"", VLOOKUP(A5299, imdb_netflix_v5!A$2:H$7370, 5, FALSE), "")</f>
        <v>2015</v>
      </c>
      <c r="F5299" s="2" t="str">
        <f>IF(A5299&lt;&gt;"", VLOOKUP(A5299, imdb_netflix_v5!A$2:H$7370, 7, FALSE), "")</f>
        <v>NA</v>
      </c>
    </row>
    <row r="5300" ht="15.75" customHeight="1">
      <c r="A5300" s="1" t="str">
        <f>IFERROR(__xludf.DUMMYFUNCTION("""COMPUTED_VALUE"""),"avanti!")</f>
        <v>avanti!</v>
      </c>
      <c r="B5300" s="1" t="str">
        <f>IF(A5300&lt;&gt;"", VLOOKUP(A5300, imdb_netflix_v5!A$2:H$7370, 2, FALSE), "")</f>
        <v>Movie</v>
      </c>
      <c r="C5300" s="2" t="str">
        <f>IF(A5300&lt;&gt;"", VLOOKUP(A5300, imdb_netflix_v5!A$2:H$7370, 3, FALSE), "")</f>
        <v>Comedy, Romance</v>
      </c>
      <c r="D5300" s="2">
        <f>IF(A5300&lt;&gt;"", VLOOKUP(A5300, imdb_netflix_v5!A$2:H$7370, 4, FALSE), "")</f>
        <v>7.2</v>
      </c>
      <c r="E5300" s="2">
        <f>IF(A5300&lt;&gt;"", VLOOKUP(A5300, imdb_netflix_v5!A$2:H$7370, 5, FALSE), "")</f>
        <v>1972</v>
      </c>
      <c r="F5300" s="2" t="str">
        <f>IF(A5300&lt;&gt;"", VLOOKUP(A5300, imdb_netflix_v5!A$2:H$7370, 7, FALSE), "")</f>
        <v>NA</v>
      </c>
    </row>
    <row r="5301" ht="15.75" customHeight="1">
      <c r="A5301" s="1" t="str">
        <f>IFERROR(__xludf.DUMMYFUNCTION("""COMPUTED_VALUE"""),"lammbock")</f>
        <v>lammbock</v>
      </c>
      <c r="B5301" s="1" t="str">
        <f>IF(A5301&lt;&gt;"", VLOOKUP(A5301, imdb_netflix_v5!A$2:H$7370, 2, FALSE), "")</f>
        <v>Movie</v>
      </c>
      <c r="C5301" s="2" t="str">
        <f>IF(A5301&lt;&gt;"", VLOOKUP(A5301, imdb_netflix_v5!A$2:H$7370, 3, FALSE), "")</f>
        <v>Comedy, Crime</v>
      </c>
      <c r="D5301" s="2">
        <f>IF(A5301&lt;&gt;"", VLOOKUP(A5301, imdb_netflix_v5!A$2:H$7370, 4, FALSE), "")</f>
        <v>7.2</v>
      </c>
      <c r="E5301" s="2">
        <f>IF(A5301&lt;&gt;"", VLOOKUP(A5301, imdb_netflix_v5!A$2:H$7370, 5, FALSE), "")</f>
        <v>2001</v>
      </c>
      <c r="F5301" s="2" t="str">
        <f>IF(A5301&lt;&gt;"", VLOOKUP(A5301, imdb_netflix_v5!A$2:H$7370, 7, FALSE), "")</f>
        <v>NA</v>
      </c>
    </row>
    <row r="5302" ht="15.75" customHeight="1">
      <c r="A5302" s="1" t="str">
        <f>IFERROR(__xludf.DUMMYFUNCTION("""COMPUTED_VALUE"""),"eves bayou")</f>
        <v>eves bayou</v>
      </c>
      <c r="B5302" s="1" t="str">
        <f>IF(A5302&lt;&gt;"", VLOOKUP(A5302, imdb_netflix_v5!A$2:H$7370, 2, FALSE), "")</f>
        <v>Movie</v>
      </c>
      <c r="C5302" s="2" t="str">
        <f>IF(A5302&lt;&gt;"", VLOOKUP(A5302, imdb_netflix_v5!A$2:H$7370, 3, FALSE), "")</f>
        <v>Drama</v>
      </c>
      <c r="D5302" s="2">
        <f>IF(A5302&lt;&gt;"", VLOOKUP(A5302, imdb_netflix_v5!A$2:H$7370, 4, FALSE), "")</f>
        <v>7.2</v>
      </c>
      <c r="E5302" s="2">
        <f>IF(A5302&lt;&gt;"", VLOOKUP(A5302, imdb_netflix_v5!A$2:H$7370, 5, FALSE), "")</f>
        <v>1997</v>
      </c>
      <c r="F5302" s="2" t="str">
        <f>IF(A5302&lt;&gt;"", VLOOKUP(A5302, imdb_netflix_v5!A$2:H$7370, 7, FALSE), "")</f>
        <v>NA</v>
      </c>
    </row>
    <row r="5303" ht="15.75" customHeight="1">
      <c r="A5303" s="1" t="str">
        <f>IFERROR(__xludf.DUMMYFUNCTION("""COMPUTED_VALUE"""),"facing windows")</f>
        <v>facing windows</v>
      </c>
      <c r="B5303" s="1" t="str">
        <f>IF(A5303&lt;&gt;"", VLOOKUP(A5303, imdb_netflix_v5!A$2:H$7370, 2, FALSE), "")</f>
        <v>Movie</v>
      </c>
      <c r="C5303" s="2" t="str">
        <f>IF(A5303&lt;&gt;"", VLOOKUP(A5303, imdb_netflix_v5!A$2:H$7370, 3, FALSE), "")</f>
        <v>Drama, Romance</v>
      </c>
      <c r="D5303" s="2">
        <f>IF(A5303&lt;&gt;"", VLOOKUP(A5303, imdb_netflix_v5!A$2:H$7370, 4, FALSE), "")</f>
        <v>7.2</v>
      </c>
      <c r="E5303" s="2">
        <f>IF(A5303&lt;&gt;"", VLOOKUP(A5303, imdb_netflix_v5!A$2:H$7370, 5, FALSE), "")</f>
        <v>2003</v>
      </c>
      <c r="F5303" s="2" t="str">
        <f>IF(A5303&lt;&gt;"", VLOOKUP(A5303, imdb_netflix_v5!A$2:H$7370, 7, FALSE), "")</f>
        <v>NA</v>
      </c>
    </row>
    <row r="5304" ht="15.75" customHeight="1">
      <c r="A5304" s="1" t="str">
        <f>IFERROR(__xludf.DUMMYFUNCTION("""COMPUTED_VALUE"""),"business man")</f>
        <v>business man</v>
      </c>
      <c r="B5304" s="1" t="str">
        <f>IF(A5304&lt;&gt;"", VLOOKUP(A5304, imdb_netflix_v5!A$2:H$7370, 2, FALSE), "")</f>
        <v>Movie</v>
      </c>
      <c r="C5304" s="2" t="str">
        <f>IF(A5304&lt;&gt;"", VLOOKUP(A5304, imdb_netflix_v5!A$2:H$7370, 3, FALSE), "")</f>
        <v>Action, Crime, Drama</v>
      </c>
      <c r="D5304" s="2">
        <f>IF(A5304&lt;&gt;"", VLOOKUP(A5304, imdb_netflix_v5!A$2:H$7370, 4, FALSE), "")</f>
        <v>7.2</v>
      </c>
      <c r="E5304" s="2">
        <f>IF(A5304&lt;&gt;"", VLOOKUP(A5304, imdb_netflix_v5!A$2:H$7370, 5, FALSE), "")</f>
        <v>2012</v>
      </c>
      <c r="F5304" s="2" t="str">
        <f>IF(A5304&lt;&gt;"", VLOOKUP(A5304, imdb_netflix_v5!A$2:H$7370, 7, FALSE), "")</f>
        <v>NA</v>
      </c>
    </row>
    <row r="5305" ht="15.75" customHeight="1">
      <c r="A5305" s="1" t="str">
        <f>IFERROR(__xludf.DUMMYFUNCTION("""COMPUTED_VALUE"""),"johnny stecchino")</f>
        <v>johnny stecchino</v>
      </c>
      <c r="B5305" s="1" t="str">
        <f>IF(A5305&lt;&gt;"", VLOOKUP(A5305, imdb_netflix_v5!A$2:H$7370, 2, FALSE), "")</f>
        <v>Movie</v>
      </c>
      <c r="C5305" s="2" t="str">
        <f>IF(A5305&lt;&gt;"", VLOOKUP(A5305, imdb_netflix_v5!A$2:H$7370, 3, FALSE), "")</f>
        <v>Comedy, Crime, Romance</v>
      </c>
      <c r="D5305" s="2">
        <f>IF(A5305&lt;&gt;"", VLOOKUP(A5305, imdb_netflix_v5!A$2:H$7370, 4, FALSE), "")</f>
        <v>7.2</v>
      </c>
      <c r="E5305" s="2">
        <f>IF(A5305&lt;&gt;"", VLOOKUP(A5305, imdb_netflix_v5!A$2:H$7370, 5, FALSE), "")</f>
        <v>1991</v>
      </c>
      <c r="F5305" s="2" t="str">
        <f>IF(A5305&lt;&gt;"", VLOOKUP(A5305, imdb_netflix_v5!A$2:H$7370, 7, FALSE), "")</f>
        <v>NA</v>
      </c>
    </row>
    <row r="5306" ht="15.75" customHeight="1">
      <c r="A5306" s="1" t="str">
        <f>IFERROR(__xludf.DUMMYFUNCTION("""COMPUTED_VALUE"""),"a soldiers story")</f>
        <v>a soldiers story</v>
      </c>
      <c r="B5306" s="1" t="str">
        <f>IF(A5306&lt;&gt;"", VLOOKUP(A5306, imdb_netflix_v5!A$2:H$7370, 2, FALSE), "")</f>
        <v>Movie</v>
      </c>
      <c r="C5306" s="2" t="str">
        <f>IF(A5306&lt;&gt;"", VLOOKUP(A5306, imdb_netflix_v5!A$2:H$7370, 3, FALSE), "")</f>
        <v>Crime, Drama, Mystery</v>
      </c>
      <c r="D5306" s="2">
        <f>IF(A5306&lt;&gt;"", VLOOKUP(A5306, imdb_netflix_v5!A$2:H$7370, 4, FALSE), "")</f>
        <v>7.2</v>
      </c>
      <c r="E5306" s="2">
        <f>IF(A5306&lt;&gt;"", VLOOKUP(A5306, imdb_netflix_v5!A$2:H$7370, 5, FALSE), "")</f>
        <v>1984</v>
      </c>
      <c r="F5306" s="2" t="str">
        <f>IF(A5306&lt;&gt;"", VLOOKUP(A5306, imdb_netflix_v5!A$2:H$7370, 7, FALSE), "")</f>
        <v>NA</v>
      </c>
    </row>
    <row r="5307" ht="15.75" customHeight="1">
      <c r="A5307" s="1" t="str">
        <f>IFERROR(__xludf.DUMMYFUNCTION("""COMPUTED_VALUE"""),"savior")</f>
        <v>savior</v>
      </c>
      <c r="B5307" s="1" t="str">
        <f>IF(A5307&lt;&gt;"", VLOOKUP(A5307, imdb_netflix_v5!A$2:H$7370, 2, FALSE), "")</f>
        <v>Movie</v>
      </c>
      <c r="C5307" s="2" t="str">
        <f>IF(A5307&lt;&gt;"", VLOOKUP(A5307, imdb_netflix_v5!A$2:H$7370, 3, FALSE), "")</f>
        <v>Drama, War</v>
      </c>
      <c r="D5307" s="2">
        <f>IF(A5307&lt;&gt;"", VLOOKUP(A5307, imdb_netflix_v5!A$2:H$7370, 4, FALSE), "")</f>
        <v>7.2</v>
      </c>
      <c r="E5307" s="2">
        <f>IF(A5307&lt;&gt;"", VLOOKUP(A5307, imdb_netflix_v5!A$2:H$7370, 5, FALSE), "")</f>
        <v>1998</v>
      </c>
      <c r="F5307" s="2" t="str">
        <f>IF(A5307&lt;&gt;"", VLOOKUP(A5307, imdb_netflix_v5!A$2:H$7370, 7, FALSE), "")</f>
        <v>NA</v>
      </c>
    </row>
    <row r="5308" ht="15.75" customHeight="1">
      <c r="A5308" s="1" t="str">
        <f>IFERROR(__xludf.DUMMYFUNCTION("""COMPUTED_VALUE"""),"theeb")</f>
        <v>theeb</v>
      </c>
      <c r="B5308" s="1" t="str">
        <f>IF(A5308&lt;&gt;"", VLOOKUP(A5308, imdb_netflix_v5!A$2:H$7370, 2, FALSE), "")</f>
        <v>Movie</v>
      </c>
      <c r="C5308" s="2" t="str">
        <f>IF(A5308&lt;&gt;"", VLOOKUP(A5308, imdb_netflix_v5!A$2:H$7370, 3, FALSE), "")</f>
        <v>Adventure, Drama, Thriller</v>
      </c>
      <c r="D5308" s="2">
        <f>IF(A5308&lt;&gt;"", VLOOKUP(A5308, imdb_netflix_v5!A$2:H$7370, 4, FALSE), "")</f>
        <v>7.2</v>
      </c>
      <c r="E5308" s="2">
        <f>IF(A5308&lt;&gt;"", VLOOKUP(A5308, imdb_netflix_v5!A$2:H$7370, 5, FALSE), "")</f>
        <v>2014</v>
      </c>
      <c r="F5308" s="2" t="str">
        <f>IF(A5308&lt;&gt;"", VLOOKUP(A5308, imdb_netflix_v5!A$2:H$7370, 7, FALSE), "")</f>
        <v>NA</v>
      </c>
    </row>
    <row r="5309" ht="15.75" customHeight="1">
      <c r="A5309" s="1" t="str">
        <f>IFERROR(__xludf.DUMMYFUNCTION("""COMPUTED_VALUE"""),"a better tomorrow ii")</f>
        <v>a better tomorrow ii</v>
      </c>
      <c r="B5309" s="1" t="str">
        <f>IF(A5309&lt;&gt;"", VLOOKUP(A5309, imdb_netflix_v5!A$2:H$7370, 2, FALSE), "")</f>
        <v>Movie</v>
      </c>
      <c r="C5309" s="2" t="str">
        <f>IF(A5309&lt;&gt;"", VLOOKUP(A5309, imdb_netflix_v5!A$2:H$7370, 3, FALSE), "")</f>
        <v>Action, Crime, Drama</v>
      </c>
      <c r="D5309" s="2">
        <f>IF(A5309&lt;&gt;"", VLOOKUP(A5309, imdb_netflix_v5!A$2:H$7370, 4, FALSE), "")</f>
        <v>7.2</v>
      </c>
      <c r="E5309" s="2">
        <f>IF(A5309&lt;&gt;"", VLOOKUP(A5309, imdb_netflix_v5!A$2:H$7370, 5, FALSE), "")</f>
        <v>1987</v>
      </c>
      <c r="F5309" s="2" t="str">
        <f>IF(A5309&lt;&gt;"", VLOOKUP(A5309, imdb_netflix_v5!A$2:H$7370, 7, FALSE), "")</f>
        <v>NA</v>
      </c>
    </row>
    <row r="5310" ht="15.75" customHeight="1">
      <c r="A5310" s="1" t="str">
        <f>IFERROR(__xludf.DUMMYFUNCTION("""COMPUTED_VALUE"""),"the thing about pam")</f>
        <v>the thing about pam</v>
      </c>
      <c r="B5310" s="1" t="str">
        <f>IF(A5310&lt;&gt;"", VLOOKUP(A5310, imdb_netflix_v5!A$2:H$7370, 2, FALSE), "")</f>
        <v>TV Show</v>
      </c>
      <c r="C5310" s="2" t="str">
        <f>IF(A5310&lt;&gt;"", VLOOKUP(A5310, imdb_netflix_v5!A$2:H$7370, 3, FALSE), "")</f>
        <v>Comedy, Crime, Drama</v>
      </c>
      <c r="D5310" s="2">
        <f>IF(A5310&lt;&gt;"", VLOOKUP(A5310, imdb_netflix_v5!A$2:H$7370, 4, FALSE), "")</f>
        <v>7.2</v>
      </c>
      <c r="E5310" s="2">
        <f>IF(A5310&lt;&gt;"", VLOOKUP(A5310, imdb_netflix_v5!A$2:H$7370, 5, FALSE), "")</f>
        <v>2022</v>
      </c>
      <c r="F5310" s="2" t="str">
        <f>IF(A5310&lt;&gt;"", VLOOKUP(A5310, imdb_netflix_v5!A$2:H$7370, 7, FALSE), "")</f>
        <v>NA</v>
      </c>
    </row>
    <row r="5311" ht="15.75" customHeight="1">
      <c r="A5311" s="1" t="str">
        <f>IFERROR(__xludf.DUMMYFUNCTION("""COMPUTED_VALUE"""),"the war zone")</f>
        <v>the war zone</v>
      </c>
      <c r="B5311" s="1" t="str">
        <f>IF(A5311&lt;&gt;"", VLOOKUP(A5311, imdb_netflix_v5!A$2:H$7370, 2, FALSE), "")</f>
        <v>Movie</v>
      </c>
      <c r="C5311" s="2" t="str">
        <f>IF(A5311&lt;&gt;"", VLOOKUP(A5311, imdb_netflix_v5!A$2:H$7370, 3, FALSE), "")</f>
        <v>Drama, Thriller</v>
      </c>
      <c r="D5311" s="2">
        <f>IF(A5311&lt;&gt;"", VLOOKUP(A5311, imdb_netflix_v5!A$2:H$7370, 4, FALSE), "")</f>
        <v>7.2</v>
      </c>
      <c r="E5311" s="2">
        <f>IF(A5311&lt;&gt;"", VLOOKUP(A5311, imdb_netflix_v5!A$2:H$7370, 5, FALSE), "")</f>
        <v>1999</v>
      </c>
      <c r="F5311" s="2" t="str">
        <f>IF(A5311&lt;&gt;"", VLOOKUP(A5311, imdb_netflix_v5!A$2:H$7370, 7, FALSE), "")</f>
        <v>NA</v>
      </c>
    </row>
    <row r="5312" ht="15.75" customHeight="1">
      <c r="A5312" s="1" t="str">
        <f>IFERROR(__xludf.DUMMYFUNCTION("""COMPUTED_VALUE"""),"rescued by ruby")</f>
        <v>rescued by ruby</v>
      </c>
      <c r="B5312" s="1" t="str">
        <f>IF(A5312&lt;&gt;"", VLOOKUP(A5312, imdb_netflix_v5!A$2:H$7370, 2, FALSE), "")</f>
        <v>Movie</v>
      </c>
      <c r="C5312" s="2" t="str">
        <f>IF(A5312&lt;&gt;"", VLOOKUP(A5312, imdb_netflix_v5!A$2:H$7370, 3, FALSE), "")</f>
        <v>Biography, Drama, Family</v>
      </c>
      <c r="D5312" s="2">
        <f>IF(A5312&lt;&gt;"", VLOOKUP(A5312, imdb_netflix_v5!A$2:H$7370, 4, FALSE), "")</f>
        <v>7.2</v>
      </c>
      <c r="E5312" s="2">
        <f>IF(A5312&lt;&gt;"", VLOOKUP(A5312, imdb_netflix_v5!A$2:H$7370, 5, FALSE), "")</f>
        <v>2022</v>
      </c>
      <c r="F5312" s="2">
        <f>IF(A5312&lt;&gt;"", VLOOKUP(A5312, imdb_netflix_v5!A$2:H$7370, 7, FALSE), "")</f>
        <v>6380000</v>
      </c>
    </row>
    <row r="5313" ht="15.75" customHeight="1">
      <c r="A5313" s="1" t="str">
        <f>IFERROR(__xludf.DUMMYFUNCTION("""COMPUTED_VALUE"""),"the draughtsmans contract")</f>
        <v>the draughtsmans contract</v>
      </c>
      <c r="B5313" s="1" t="str">
        <f>IF(A5313&lt;&gt;"", VLOOKUP(A5313, imdb_netflix_v5!A$2:H$7370, 2, FALSE), "")</f>
        <v>Movie</v>
      </c>
      <c r="C5313" s="2" t="str">
        <f>IF(A5313&lt;&gt;"", VLOOKUP(A5313, imdb_netflix_v5!A$2:H$7370, 3, FALSE), "")</f>
        <v>Comedy, Drama, Mystery</v>
      </c>
      <c r="D5313" s="2">
        <f>IF(A5313&lt;&gt;"", VLOOKUP(A5313, imdb_netflix_v5!A$2:H$7370, 4, FALSE), "")</f>
        <v>7.2</v>
      </c>
      <c r="E5313" s="2">
        <f>IF(A5313&lt;&gt;"", VLOOKUP(A5313, imdb_netflix_v5!A$2:H$7370, 5, FALSE), "")</f>
        <v>1982</v>
      </c>
      <c r="F5313" s="2" t="str">
        <f>IF(A5313&lt;&gt;"", VLOOKUP(A5313, imdb_netflix_v5!A$2:H$7370, 7, FALSE), "")</f>
        <v>NA</v>
      </c>
    </row>
    <row r="5314" ht="15.75" customHeight="1">
      <c r="A5314" s="1" t="str">
        <f>IFERROR(__xludf.DUMMYFUNCTION("""COMPUTED_VALUE"""),"the warrior")</f>
        <v>the warrior</v>
      </c>
      <c r="B5314" s="1" t="str">
        <f>IF(A5314&lt;&gt;"", VLOOKUP(A5314, imdb_netflix_v5!A$2:H$7370, 2, FALSE), "")</f>
        <v>Movie</v>
      </c>
      <c r="C5314" s="2" t="str">
        <f>IF(A5314&lt;&gt;"", VLOOKUP(A5314, imdb_netflix_v5!A$2:H$7370, 3, FALSE), "")</f>
        <v>Action, Drama, History</v>
      </c>
      <c r="D5314" s="2">
        <f>IF(A5314&lt;&gt;"", VLOOKUP(A5314, imdb_netflix_v5!A$2:H$7370, 4, FALSE), "")</f>
        <v>7.2</v>
      </c>
      <c r="E5314" s="2">
        <f>IF(A5314&lt;&gt;"", VLOOKUP(A5314, imdb_netflix_v5!A$2:H$7370, 5, FALSE), "")</f>
        <v>2001</v>
      </c>
      <c r="F5314" s="2" t="str">
        <f>IF(A5314&lt;&gt;"", VLOOKUP(A5314, imdb_netflix_v5!A$2:H$7370, 7, FALSE), "")</f>
        <v>NA</v>
      </c>
    </row>
    <row r="5315" ht="15.75" customHeight="1">
      <c r="A5315" s="1" t="str">
        <f>IFERROR(__xludf.DUMMYFUNCTION("""COMPUTED_VALUE"""),"broken blossoms")</f>
        <v>broken blossoms</v>
      </c>
      <c r="B5315" s="1" t="str">
        <f>IF(A5315&lt;&gt;"", VLOOKUP(A5315, imdb_netflix_v5!A$2:H$7370, 2, FALSE), "")</f>
        <v>Movie</v>
      </c>
      <c r="C5315" s="2" t="str">
        <f>IF(A5315&lt;&gt;"", VLOOKUP(A5315, imdb_netflix_v5!A$2:H$7370, 3, FALSE), "")</f>
        <v>Drama, Romance</v>
      </c>
      <c r="D5315" s="2">
        <f>IF(A5315&lt;&gt;"", VLOOKUP(A5315, imdb_netflix_v5!A$2:H$7370, 4, FALSE), "")</f>
        <v>7.2</v>
      </c>
      <c r="E5315" s="2">
        <f>IF(A5315&lt;&gt;"", VLOOKUP(A5315, imdb_netflix_v5!A$2:H$7370, 5, FALSE), "")</f>
        <v>1919</v>
      </c>
      <c r="F5315" s="2" t="str">
        <f>IF(A5315&lt;&gt;"", VLOOKUP(A5315, imdb_netflix_v5!A$2:H$7370, 7, FALSE), "")</f>
        <v>NA</v>
      </c>
    </row>
    <row r="5316" ht="15.75" customHeight="1">
      <c r="A5316" s="1" t="str">
        <f>IFERROR(__xludf.DUMMYFUNCTION("""COMPUTED_VALUE"""),"calamity jane")</f>
        <v>calamity jane</v>
      </c>
      <c r="B5316" s="1" t="str">
        <f>IF(A5316&lt;&gt;"", VLOOKUP(A5316, imdb_netflix_v5!A$2:H$7370, 2, FALSE), "")</f>
        <v>Movie</v>
      </c>
      <c r="C5316" s="2" t="str">
        <f>IF(A5316&lt;&gt;"", VLOOKUP(A5316, imdb_netflix_v5!A$2:H$7370, 3, FALSE), "")</f>
        <v>Musical, Romance, Western</v>
      </c>
      <c r="D5316" s="2">
        <f>IF(A5316&lt;&gt;"", VLOOKUP(A5316, imdb_netflix_v5!A$2:H$7370, 4, FALSE), "")</f>
        <v>7.2</v>
      </c>
      <c r="E5316" s="2">
        <f>IF(A5316&lt;&gt;"", VLOOKUP(A5316, imdb_netflix_v5!A$2:H$7370, 5, FALSE), "")</f>
        <v>1953</v>
      </c>
      <c r="F5316" s="2" t="str">
        <f>IF(A5316&lt;&gt;"", VLOOKUP(A5316, imdb_netflix_v5!A$2:H$7370, 7, FALSE), "")</f>
        <v>NA</v>
      </c>
    </row>
    <row r="5317" ht="15.75" customHeight="1">
      <c r="A5317" s="1" t="str">
        <f>IFERROR(__xludf.DUMMYFUNCTION("""COMPUTED_VALUE"""),"rurouni kenshin final chapter part i - the final")</f>
        <v>rurouni kenshin final chapter part i - the final</v>
      </c>
      <c r="B5317" s="1" t="str">
        <f>IF(A5317&lt;&gt;"", VLOOKUP(A5317, imdb_netflix_v5!A$2:H$7370, 2, FALSE), "")</f>
        <v>Movie</v>
      </c>
      <c r="C5317" s="2" t="str">
        <f>IF(A5317&lt;&gt;"", VLOOKUP(A5317, imdb_netflix_v5!A$2:H$7370, 3, FALSE), "")</f>
        <v>Action, Adventure, Drama</v>
      </c>
      <c r="D5317" s="2">
        <f>IF(A5317&lt;&gt;"", VLOOKUP(A5317, imdb_netflix_v5!A$2:H$7370, 4, FALSE), "")</f>
        <v>7.2</v>
      </c>
      <c r="E5317" s="2">
        <f>IF(A5317&lt;&gt;"", VLOOKUP(A5317, imdb_netflix_v5!A$2:H$7370, 5, FALSE), "")</f>
        <v>2021</v>
      </c>
      <c r="F5317" s="2" t="str">
        <f>IF(A5317&lt;&gt;"", VLOOKUP(A5317, imdb_netflix_v5!A$2:H$7370, 7, FALSE), "")</f>
        <v>NA</v>
      </c>
    </row>
    <row r="5318" ht="15.75" customHeight="1">
      <c r="A5318" s="1" t="str">
        <f>IFERROR(__xludf.DUMMYFUNCTION("""COMPUTED_VALUE"""),"tai chi master")</f>
        <v>tai chi master</v>
      </c>
      <c r="B5318" s="1" t="str">
        <f>IF(A5318&lt;&gt;"", VLOOKUP(A5318, imdb_netflix_v5!A$2:H$7370, 2, FALSE), "")</f>
        <v>Movie</v>
      </c>
      <c r="C5318" s="2" t="str">
        <f>IF(A5318&lt;&gt;"", VLOOKUP(A5318, imdb_netflix_v5!A$2:H$7370, 3, FALSE), "")</f>
        <v>Action, Comedy, Drama</v>
      </c>
      <c r="D5318" s="2">
        <f>IF(A5318&lt;&gt;"", VLOOKUP(A5318, imdb_netflix_v5!A$2:H$7370, 4, FALSE), "")</f>
        <v>7.2</v>
      </c>
      <c r="E5318" s="2">
        <f>IF(A5318&lt;&gt;"", VLOOKUP(A5318, imdb_netflix_v5!A$2:H$7370, 5, FALSE), "")</f>
        <v>1993</v>
      </c>
      <c r="F5318" s="2" t="str">
        <f>IF(A5318&lt;&gt;"", VLOOKUP(A5318, imdb_netflix_v5!A$2:H$7370, 7, FALSE), "")</f>
        <v>NA</v>
      </c>
    </row>
    <row r="5319" ht="15.75" customHeight="1">
      <c r="A5319" s="1" t="str">
        <f>IFERROR(__xludf.DUMMYFUNCTION("""COMPUTED_VALUE"""),"the man in the white suit")</f>
        <v>the man in the white suit</v>
      </c>
      <c r="B5319" s="1" t="str">
        <f>IF(A5319&lt;&gt;"", VLOOKUP(A5319, imdb_netflix_v5!A$2:H$7370, 2, FALSE), "")</f>
        <v>Movie</v>
      </c>
      <c r="C5319" s="2" t="str">
        <f>IF(A5319&lt;&gt;"", VLOOKUP(A5319, imdb_netflix_v5!A$2:H$7370, 3, FALSE), "")</f>
        <v>Comedy, Drama, Sci-Fi</v>
      </c>
      <c r="D5319" s="2">
        <f>IF(A5319&lt;&gt;"", VLOOKUP(A5319, imdb_netflix_v5!A$2:H$7370, 4, FALSE), "")</f>
        <v>7.2</v>
      </c>
      <c r="E5319" s="2">
        <f>IF(A5319&lt;&gt;"", VLOOKUP(A5319, imdb_netflix_v5!A$2:H$7370, 5, FALSE), "")</f>
        <v>1951</v>
      </c>
      <c r="F5319" s="2" t="str">
        <f>IF(A5319&lt;&gt;"", VLOOKUP(A5319, imdb_netflix_v5!A$2:H$7370, 7, FALSE), "")</f>
        <v>NA</v>
      </c>
    </row>
    <row r="5320" ht="15.75" customHeight="1">
      <c r="A5320" s="1" t="str">
        <f>IFERROR(__xludf.DUMMYFUNCTION("""COMPUTED_VALUE"""),"dallas")</f>
        <v>dallas</v>
      </c>
      <c r="B5320" s="1" t="str">
        <f>IF(A5320&lt;&gt;"", VLOOKUP(A5320, imdb_netflix_v5!A$2:H$7370, 2, FALSE), "")</f>
        <v>TV Show</v>
      </c>
      <c r="C5320" s="2" t="str">
        <f>IF(A5320&lt;&gt;"", VLOOKUP(A5320, imdb_netflix_v5!A$2:H$7370, 3, FALSE), "")</f>
        <v>Drama, Romance</v>
      </c>
      <c r="D5320" s="2">
        <f>IF(A5320&lt;&gt;"", VLOOKUP(A5320, imdb_netflix_v5!A$2:H$7370, 4, FALSE), "")</f>
        <v>7.2</v>
      </c>
      <c r="E5320" s="2">
        <f>IF(A5320&lt;&gt;"", VLOOKUP(A5320, imdb_netflix_v5!A$2:H$7370, 5, FALSE), "")</f>
        <v>2012</v>
      </c>
      <c r="F5320" s="2" t="str">
        <f>IF(A5320&lt;&gt;"", VLOOKUP(A5320, imdb_netflix_v5!A$2:H$7370, 7, FALSE), "")</f>
        <v>NA</v>
      </c>
    </row>
    <row r="5321" ht="15.75" customHeight="1">
      <c r="A5321" s="1" t="str">
        <f>IFERROR(__xludf.DUMMYFUNCTION("""COMPUTED_VALUE"""),"grand prix")</f>
        <v>grand prix</v>
      </c>
      <c r="B5321" s="1" t="str">
        <f>IF(A5321&lt;&gt;"", VLOOKUP(A5321, imdb_netflix_v5!A$2:H$7370, 2, FALSE), "")</f>
        <v>Movie</v>
      </c>
      <c r="C5321" s="2" t="str">
        <f>IF(A5321&lt;&gt;"", VLOOKUP(A5321, imdb_netflix_v5!A$2:H$7370, 3, FALSE), "")</f>
        <v>Drama, Sport</v>
      </c>
      <c r="D5321" s="2">
        <f>IF(A5321&lt;&gt;"", VLOOKUP(A5321, imdb_netflix_v5!A$2:H$7370, 4, FALSE), "")</f>
        <v>7.2</v>
      </c>
      <c r="E5321" s="2">
        <f>IF(A5321&lt;&gt;"", VLOOKUP(A5321, imdb_netflix_v5!A$2:H$7370, 5, FALSE), "")</f>
        <v>1966</v>
      </c>
      <c r="F5321" s="2" t="str">
        <f>IF(A5321&lt;&gt;"", VLOOKUP(A5321, imdb_netflix_v5!A$2:H$7370, 7, FALSE), "")</f>
        <v>NA</v>
      </c>
    </row>
    <row r="5322" ht="15.75" customHeight="1">
      <c r="A5322" s="1" t="str">
        <f>IFERROR(__xludf.DUMMYFUNCTION("""COMPUTED_VALUE"""),"tere bin laden")</f>
        <v>tere bin laden</v>
      </c>
      <c r="B5322" s="1" t="str">
        <f>IF(A5322&lt;&gt;"", VLOOKUP(A5322, imdb_netflix_v5!A$2:H$7370, 2, FALSE), "")</f>
        <v>Movie</v>
      </c>
      <c r="C5322" s="2" t="str">
        <f>IF(A5322&lt;&gt;"", VLOOKUP(A5322, imdb_netflix_v5!A$2:H$7370, 3, FALSE), "")</f>
        <v>Comedy, Drama</v>
      </c>
      <c r="D5322" s="2">
        <f>IF(A5322&lt;&gt;"", VLOOKUP(A5322, imdb_netflix_v5!A$2:H$7370, 4, FALSE), "")</f>
        <v>7.2</v>
      </c>
      <c r="E5322" s="2">
        <f>IF(A5322&lt;&gt;"", VLOOKUP(A5322, imdb_netflix_v5!A$2:H$7370, 5, FALSE), "")</f>
        <v>2010</v>
      </c>
      <c r="F5322" s="2" t="str">
        <f>IF(A5322&lt;&gt;"", VLOOKUP(A5322, imdb_netflix_v5!A$2:H$7370, 7, FALSE), "")</f>
        <v>NA</v>
      </c>
    </row>
    <row r="5323" ht="15.75" customHeight="1">
      <c r="A5323" s="1" t="str">
        <f>IFERROR(__xludf.DUMMYFUNCTION("""COMPUTED_VALUE"""),"cuckoo")</f>
        <v>cuckoo</v>
      </c>
      <c r="B5323" s="1" t="str">
        <f>IF(A5323&lt;&gt;"", VLOOKUP(A5323, imdb_netflix_v5!A$2:H$7370, 2, FALSE), "")</f>
        <v>TV Show</v>
      </c>
      <c r="C5323" s="2" t="str">
        <f>IF(A5323&lt;&gt;"", VLOOKUP(A5323, imdb_netflix_v5!A$2:H$7370, 3, FALSE), "")</f>
        <v>Comedy</v>
      </c>
      <c r="D5323" s="2">
        <f>IF(A5323&lt;&gt;"", VLOOKUP(A5323, imdb_netflix_v5!A$2:H$7370, 4, FALSE), "")</f>
        <v>7.2</v>
      </c>
      <c r="E5323" s="2">
        <f>IF(A5323&lt;&gt;"", VLOOKUP(A5323, imdb_netflix_v5!A$2:H$7370, 5, FALSE), "")</f>
        <v>2012</v>
      </c>
      <c r="F5323" s="2" t="str">
        <f>IF(A5323&lt;&gt;"", VLOOKUP(A5323, imdb_netflix_v5!A$2:H$7370, 7, FALSE), "")</f>
        <v>NA</v>
      </c>
    </row>
    <row r="5324" ht="15.75" customHeight="1">
      <c r="A5324" s="1" t="str">
        <f>IFERROR(__xludf.DUMMYFUNCTION("""COMPUTED_VALUE"""),"street fighter assassins fist")</f>
        <v>street fighter assassins fist</v>
      </c>
      <c r="B5324" s="1" t="str">
        <f>IF(A5324&lt;&gt;"", VLOOKUP(A5324, imdb_netflix_v5!A$2:H$7370, 2, FALSE), "")</f>
        <v>TV Show</v>
      </c>
      <c r="C5324" s="2" t="str">
        <f>IF(A5324&lt;&gt;"", VLOOKUP(A5324, imdb_netflix_v5!A$2:H$7370, 3, FALSE), "")</f>
        <v>Action, Adventure, Drama</v>
      </c>
      <c r="D5324" s="2">
        <f>IF(A5324&lt;&gt;"", VLOOKUP(A5324, imdb_netflix_v5!A$2:H$7370, 4, FALSE), "")</f>
        <v>7.2</v>
      </c>
      <c r="E5324" s="2">
        <f>IF(A5324&lt;&gt;"", VLOOKUP(A5324, imdb_netflix_v5!A$2:H$7370, 5, FALSE), "")</f>
        <v>2014</v>
      </c>
      <c r="F5324" s="2" t="str">
        <f>IF(A5324&lt;&gt;"", VLOOKUP(A5324, imdb_netflix_v5!A$2:H$7370, 7, FALSE), "")</f>
        <v>NA</v>
      </c>
    </row>
    <row r="5325" ht="15.75" customHeight="1">
      <c r="A5325" s="1" t="str">
        <f>IFERROR(__xludf.DUMMYFUNCTION("""COMPUTED_VALUE"""),"the ballad of cable hogue")</f>
        <v>the ballad of cable hogue</v>
      </c>
      <c r="B5325" s="1" t="str">
        <f>IF(A5325&lt;&gt;"", VLOOKUP(A5325, imdb_netflix_v5!A$2:H$7370, 2, FALSE), "")</f>
        <v>Movie</v>
      </c>
      <c r="C5325" s="2" t="str">
        <f>IF(A5325&lt;&gt;"", VLOOKUP(A5325, imdb_netflix_v5!A$2:H$7370, 3, FALSE), "")</f>
        <v>Comedy, Drama, Romance</v>
      </c>
      <c r="D5325" s="2">
        <f>IF(A5325&lt;&gt;"", VLOOKUP(A5325, imdb_netflix_v5!A$2:H$7370, 4, FALSE), "")</f>
        <v>7.2</v>
      </c>
      <c r="E5325" s="2">
        <f>IF(A5325&lt;&gt;"", VLOOKUP(A5325, imdb_netflix_v5!A$2:H$7370, 5, FALSE), "")</f>
        <v>1970</v>
      </c>
      <c r="F5325" s="2" t="str">
        <f>IF(A5325&lt;&gt;"", VLOOKUP(A5325, imdb_netflix_v5!A$2:H$7370, 7, FALSE), "")</f>
        <v>NA</v>
      </c>
    </row>
    <row r="5326" ht="15.75" customHeight="1">
      <c r="A5326" s="1" t="str">
        <f>IFERROR(__xludf.DUMMYFUNCTION("""COMPUTED_VALUE"""),"the gilded cage")</f>
        <v>the gilded cage</v>
      </c>
      <c r="B5326" s="1" t="str">
        <f>IF(A5326&lt;&gt;"", VLOOKUP(A5326, imdb_netflix_v5!A$2:H$7370, 2, FALSE), "")</f>
        <v>Movie</v>
      </c>
      <c r="C5326" s="2" t="str">
        <f>IF(A5326&lt;&gt;"", VLOOKUP(A5326, imdb_netflix_v5!A$2:H$7370, 3, FALSE), "")</f>
        <v>Comedy, Drama</v>
      </c>
      <c r="D5326" s="2">
        <f>IF(A5326&lt;&gt;"", VLOOKUP(A5326, imdb_netflix_v5!A$2:H$7370, 4, FALSE), "")</f>
        <v>7.2</v>
      </c>
      <c r="E5326" s="2">
        <f>IF(A5326&lt;&gt;"", VLOOKUP(A5326, imdb_netflix_v5!A$2:H$7370, 5, FALSE), "")</f>
        <v>2013</v>
      </c>
      <c r="F5326" s="2" t="str">
        <f>IF(A5326&lt;&gt;"", VLOOKUP(A5326, imdb_netflix_v5!A$2:H$7370, 7, FALSE), "")</f>
        <v>NA</v>
      </c>
    </row>
    <row r="5327" ht="15.75" customHeight="1">
      <c r="A5327" s="1" t="str">
        <f>IFERROR(__xludf.DUMMYFUNCTION("""COMPUTED_VALUE"""),"the yakuza")</f>
        <v>the yakuza</v>
      </c>
      <c r="B5327" s="1" t="str">
        <f>IF(A5327&lt;&gt;"", VLOOKUP(A5327, imdb_netflix_v5!A$2:H$7370, 2, FALSE), "")</f>
        <v>Movie</v>
      </c>
      <c r="C5327" s="2" t="str">
        <f>IF(A5327&lt;&gt;"", VLOOKUP(A5327, imdb_netflix_v5!A$2:H$7370, 3, FALSE), "")</f>
        <v>Action, Crime, Drama</v>
      </c>
      <c r="D5327" s="2">
        <f>IF(A5327&lt;&gt;"", VLOOKUP(A5327, imdb_netflix_v5!A$2:H$7370, 4, FALSE), "")</f>
        <v>7.2</v>
      </c>
      <c r="E5327" s="2">
        <f>IF(A5327&lt;&gt;"", VLOOKUP(A5327, imdb_netflix_v5!A$2:H$7370, 5, FALSE), "")</f>
        <v>1974</v>
      </c>
      <c r="F5327" s="2" t="str">
        <f>IF(A5327&lt;&gt;"", VLOOKUP(A5327, imdb_netflix_v5!A$2:H$7370, 7, FALSE), "")</f>
        <v>NA</v>
      </c>
    </row>
    <row r="5328" ht="15.75" customHeight="1">
      <c r="A5328" s="1" t="str">
        <f>IFERROR(__xludf.DUMMYFUNCTION("""COMPUTED_VALUE"""),"the memory of a killer")</f>
        <v>the memory of a killer</v>
      </c>
      <c r="B5328" s="1" t="str">
        <f>IF(A5328&lt;&gt;"", VLOOKUP(A5328, imdb_netflix_v5!A$2:H$7370, 2, FALSE), "")</f>
        <v>Movie</v>
      </c>
      <c r="C5328" s="2" t="str">
        <f>IF(A5328&lt;&gt;"", VLOOKUP(A5328, imdb_netflix_v5!A$2:H$7370, 3, FALSE), "")</f>
        <v>Action, Crime, Drama</v>
      </c>
      <c r="D5328" s="2">
        <f>IF(A5328&lt;&gt;"", VLOOKUP(A5328, imdb_netflix_v5!A$2:H$7370, 4, FALSE), "")</f>
        <v>7.2</v>
      </c>
      <c r="E5328" s="2">
        <f>IF(A5328&lt;&gt;"", VLOOKUP(A5328, imdb_netflix_v5!A$2:H$7370, 5, FALSE), "")</f>
        <v>2003</v>
      </c>
      <c r="F5328" s="2" t="str">
        <f>IF(A5328&lt;&gt;"", VLOOKUP(A5328, imdb_netflix_v5!A$2:H$7370, 7, FALSE), "")</f>
        <v>NA</v>
      </c>
    </row>
    <row r="5329" ht="15.75" customHeight="1">
      <c r="A5329" s="1" t="str">
        <f>IFERROR(__xludf.DUMMYFUNCTION("""COMPUTED_VALUE"""),"fat city")</f>
        <v>fat city</v>
      </c>
      <c r="B5329" s="1" t="str">
        <f>IF(A5329&lt;&gt;"", VLOOKUP(A5329, imdb_netflix_v5!A$2:H$7370, 2, FALSE), "")</f>
        <v>Movie</v>
      </c>
      <c r="C5329" s="2" t="str">
        <f>IF(A5329&lt;&gt;"", VLOOKUP(A5329, imdb_netflix_v5!A$2:H$7370, 3, FALSE), "")</f>
        <v>Drama, Sport</v>
      </c>
      <c r="D5329" s="2">
        <f>IF(A5329&lt;&gt;"", VLOOKUP(A5329, imdb_netflix_v5!A$2:H$7370, 4, FALSE), "")</f>
        <v>7.2</v>
      </c>
      <c r="E5329" s="2">
        <f>IF(A5329&lt;&gt;"", VLOOKUP(A5329, imdb_netflix_v5!A$2:H$7370, 5, FALSE), "")</f>
        <v>1972</v>
      </c>
      <c r="F5329" s="2" t="str">
        <f>IF(A5329&lt;&gt;"", VLOOKUP(A5329, imdb_netflix_v5!A$2:H$7370, 7, FALSE), "")</f>
        <v>NA</v>
      </c>
    </row>
    <row r="5330" ht="15.75" customHeight="1">
      <c r="A5330" s="1" t="str">
        <f>IFERROR(__xludf.DUMMYFUNCTION("""COMPUTED_VALUE"""),"shanghai")</f>
        <v>shanghai</v>
      </c>
      <c r="B5330" s="1" t="str">
        <f>IF(A5330&lt;&gt;"", VLOOKUP(A5330, imdb_netflix_v5!A$2:H$7370, 2, FALSE), "")</f>
        <v>Movie</v>
      </c>
      <c r="C5330" s="2" t="str">
        <f>IF(A5330&lt;&gt;"", VLOOKUP(A5330, imdb_netflix_v5!A$2:H$7370, 3, FALSE), "")</f>
        <v>Crime, Drama, Mystery</v>
      </c>
      <c r="D5330" s="2">
        <f>IF(A5330&lt;&gt;"", VLOOKUP(A5330, imdb_netflix_v5!A$2:H$7370, 4, FALSE), "")</f>
        <v>7.2</v>
      </c>
      <c r="E5330" s="2">
        <f>IF(A5330&lt;&gt;"", VLOOKUP(A5330, imdb_netflix_v5!A$2:H$7370, 5, FALSE), "")</f>
        <v>2012</v>
      </c>
      <c r="F5330" s="2" t="str">
        <f>IF(A5330&lt;&gt;"", VLOOKUP(A5330, imdb_netflix_v5!A$2:H$7370, 7, FALSE), "")</f>
        <v>NA</v>
      </c>
    </row>
    <row r="5331" ht="15.75" customHeight="1">
      <c r="A5331" s="1" t="str">
        <f>IFERROR(__xludf.DUMMYFUNCTION("""COMPUTED_VALUE"""),"ghost adventures")</f>
        <v>ghost adventures</v>
      </c>
      <c r="B5331" s="1" t="str">
        <f>IF(A5331&lt;&gt;"", VLOOKUP(A5331, imdb_netflix_v5!A$2:H$7370, 2, FALSE), "")</f>
        <v>TV Show</v>
      </c>
      <c r="C5331" s="2" t="str">
        <f>IF(A5331&lt;&gt;"", VLOOKUP(A5331, imdb_netflix_v5!A$2:H$7370, 3, FALSE), "")</f>
        <v>Documentary, History, Reality-TV</v>
      </c>
      <c r="D5331" s="2">
        <f>IF(A5331&lt;&gt;"", VLOOKUP(A5331, imdb_netflix_v5!A$2:H$7370, 4, FALSE), "")</f>
        <v>7.2</v>
      </c>
      <c r="E5331" s="2">
        <f>IF(A5331&lt;&gt;"", VLOOKUP(A5331, imdb_netflix_v5!A$2:H$7370, 5, FALSE), "")</f>
        <v>2008</v>
      </c>
      <c r="F5331" s="2" t="str">
        <f>IF(A5331&lt;&gt;"", VLOOKUP(A5331, imdb_netflix_v5!A$2:H$7370, 7, FALSE), "")</f>
        <v>NA</v>
      </c>
    </row>
    <row r="5332" ht="15.75" customHeight="1">
      <c r="A5332" s="1" t="str">
        <f>IFERROR(__xludf.DUMMYFUNCTION("""COMPUTED_VALUE"""),"the bride wore black")</f>
        <v>the bride wore black</v>
      </c>
      <c r="B5332" s="1" t="str">
        <f>IF(A5332&lt;&gt;"", VLOOKUP(A5332, imdb_netflix_v5!A$2:H$7370, 2, FALSE), "")</f>
        <v>Movie</v>
      </c>
      <c r="C5332" s="2" t="str">
        <f>IF(A5332&lt;&gt;"", VLOOKUP(A5332, imdb_netflix_v5!A$2:H$7370, 3, FALSE), "")</f>
        <v>Crime, Drama, Mystery</v>
      </c>
      <c r="D5332" s="2">
        <f>IF(A5332&lt;&gt;"", VLOOKUP(A5332, imdb_netflix_v5!A$2:H$7370, 4, FALSE), "")</f>
        <v>7.2</v>
      </c>
      <c r="E5332" s="2">
        <f>IF(A5332&lt;&gt;"", VLOOKUP(A5332, imdb_netflix_v5!A$2:H$7370, 5, FALSE), "")</f>
        <v>1968</v>
      </c>
      <c r="F5332" s="2" t="str">
        <f>IF(A5332&lt;&gt;"", VLOOKUP(A5332, imdb_netflix_v5!A$2:H$7370, 7, FALSE), "")</f>
        <v>NA</v>
      </c>
    </row>
    <row r="5333" ht="15.75" customHeight="1">
      <c r="A5333" s="1" t="str">
        <f>IFERROR(__xludf.DUMMYFUNCTION("""COMPUTED_VALUE"""),"sweetpea")</f>
        <v>sweetpea</v>
      </c>
      <c r="B5333" s="1" t="str">
        <f>IF(A5333&lt;&gt;"", VLOOKUP(A5333, imdb_netflix_v5!A$2:H$7370, 2, FALSE), "")</f>
        <v>TV Show</v>
      </c>
      <c r="C5333" s="2" t="str">
        <f>IF(A5333&lt;&gt;"", VLOOKUP(A5333, imdb_netflix_v5!A$2:H$7370, 3, FALSE), "")</f>
        <v>Comedy, Drama</v>
      </c>
      <c r="D5333" s="2">
        <f>IF(A5333&lt;&gt;"", VLOOKUP(A5333, imdb_netflix_v5!A$2:H$7370, 4, FALSE), "")</f>
        <v>7.2</v>
      </c>
      <c r="E5333" s="2">
        <f>IF(A5333&lt;&gt;"", VLOOKUP(A5333, imdb_netflix_v5!A$2:H$7370, 5, FALSE), "")</f>
        <v>2024</v>
      </c>
      <c r="F5333" s="2" t="str">
        <f>IF(A5333&lt;&gt;"", VLOOKUP(A5333, imdb_netflix_v5!A$2:H$7370, 7, FALSE), "")</f>
        <v>NA</v>
      </c>
    </row>
    <row r="5334" ht="15.75" customHeight="1">
      <c r="A5334" s="1" t="str">
        <f>IFERROR(__xludf.DUMMYFUNCTION("""COMPUTED_VALUE"""),"the taste of others")</f>
        <v>the taste of others</v>
      </c>
      <c r="B5334" s="1" t="str">
        <f>IF(A5334&lt;&gt;"", VLOOKUP(A5334, imdb_netflix_v5!A$2:H$7370, 2, FALSE), "")</f>
        <v>Movie</v>
      </c>
      <c r="C5334" s="2" t="str">
        <f>IF(A5334&lt;&gt;"", VLOOKUP(A5334, imdb_netflix_v5!A$2:H$7370, 3, FALSE), "")</f>
        <v>Comedy, Drama, Romance</v>
      </c>
      <c r="D5334" s="2">
        <f>IF(A5334&lt;&gt;"", VLOOKUP(A5334, imdb_netflix_v5!A$2:H$7370, 4, FALSE), "")</f>
        <v>7.2</v>
      </c>
      <c r="E5334" s="2">
        <f>IF(A5334&lt;&gt;"", VLOOKUP(A5334, imdb_netflix_v5!A$2:H$7370, 5, FALSE), "")</f>
        <v>2000</v>
      </c>
      <c r="F5334" s="2" t="str">
        <f>IF(A5334&lt;&gt;"", VLOOKUP(A5334, imdb_netflix_v5!A$2:H$7370, 7, FALSE), "")</f>
        <v>NA</v>
      </c>
    </row>
    <row r="5335" ht="15.75" customHeight="1">
      <c r="A5335" s="1" t="str">
        <f>IFERROR(__xludf.DUMMYFUNCTION("""COMPUTED_VALUE"""),"branded to kill")</f>
        <v>branded to kill</v>
      </c>
      <c r="B5335" s="1" t="str">
        <f>IF(A5335&lt;&gt;"", VLOOKUP(A5335, imdb_netflix_v5!A$2:H$7370, 2, FALSE), "")</f>
        <v>Movie</v>
      </c>
      <c r="C5335" s="2" t="str">
        <f>IF(A5335&lt;&gt;"", VLOOKUP(A5335, imdb_netflix_v5!A$2:H$7370, 3, FALSE), "")</f>
        <v>Action, Crime, Drama</v>
      </c>
      <c r="D5335" s="2">
        <f>IF(A5335&lt;&gt;"", VLOOKUP(A5335, imdb_netflix_v5!A$2:H$7370, 4, FALSE), "")</f>
        <v>7.2</v>
      </c>
      <c r="E5335" s="2">
        <f>IF(A5335&lt;&gt;"", VLOOKUP(A5335, imdb_netflix_v5!A$2:H$7370, 5, FALSE), "")</f>
        <v>1967</v>
      </c>
      <c r="F5335" s="2" t="str">
        <f>IF(A5335&lt;&gt;"", VLOOKUP(A5335, imdb_netflix_v5!A$2:H$7370, 7, FALSE), "")</f>
        <v>NA</v>
      </c>
    </row>
    <row r="5336" ht="15.75" customHeight="1">
      <c r="A5336" s="1" t="str">
        <f>IFERROR(__xludf.DUMMYFUNCTION("""COMPUTED_VALUE"""),"yesterday, today and tomorrow")</f>
        <v>yesterday, today and tomorrow</v>
      </c>
      <c r="B5336" s="1" t="str">
        <f>IF(A5336&lt;&gt;"", VLOOKUP(A5336, imdb_netflix_v5!A$2:H$7370, 2, FALSE), "")</f>
        <v>Movie</v>
      </c>
      <c r="C5336" s="2" t="str">
        <f>IF(A5336&lt;&gt;"", VLOOKUP(A5336, imdb_netflix_v5!A$2:H$7370, 3, FALSE), "")</f>
        <v>Comedy, Romance</v>
      </c>
      <c r="D5336" s="2">
        <f>IF(A5336&lt;&gt;"", VLOOKUP(A5336, imdb_netflix_v5!A$2:H$7370, 4, FALSE), "")</f>
        <v>7.2</v>
      </c>
      <c r="E5336" s="2">
        <f>IF(A5336&lt;&gt;"", VLOOKUP(A5336, imdb_netflix_v5!A$2:H$7370, 5, FALSE), "")</f>
        <v>1963</v>
      </c>
      <c r="F5336" s="2" t="str">
        <f>IF(A5336&lt;&gt;"", VLOOKUP(A5336, imdb_netflix_v5!A$2:H$7370, 7, FALSE), "")</f>
        <v>NA</v>
      </c>
    </row>
    <row r="5337" ht="15.75" customHeight="1">
      <c r="A5337" s="1" t="str">
        <f>IFERROR(__xludf.DUMMYFUNCTION("""COMPUTED_VALUE"""),"surface")</f>
        <v>surface</v>
      </c>
      <c r="B5337" s="1" t="str">
        <f>IF(A5337&lt;&gt;"", VLOOKUP(A5337, imdb_netflix_v5!A$2:H$7370, 2, FALSE), "")</f>
        <v>TV Show</v>
      </c>
      <c r="C5337" s="2" t="str">
        <f>IF(A5337&lt;&gt;"", VLOOKUP(A5337, imdb_netflix_v5!A$2:H$7370, 3, FALSE), "")</f>
        <v>Adventure, Drama, Mystery</v>
      </c>
      <c r="D5337" s="2">
        <f>IF(A5337&lt;&gt;"", VLOOKUP(A5337, imdb_netflix_v5!A$2:H$7370, 4, FALSE), "")</f>
        <v>7.2</v>
      </c>
      <c r="E5337" s="2">
        <f>IF(A5337&lt;&gt;"", VLOOKUP(A5337, imdb_netflix_v5!A$2:H$7370, 5, FALSE), "")</f>
        <v>2005</v>
      </c>
      <c r="F5337" s="2" t="str">
        <f>IF(A5337&lt;&gt;"", VLOOKUP(A5337, imdb_netflix_v5!A$2:H$7370, 7, FALSE), "")</f>
        <v>NA</v>
      </c>
    </row>
    <row r="5338" ht="15.75" customHeight="1">
      <c r="A5338" s="1" t="str">
        <f>IFERROR(__xludf.DUMMYFUNCTION("""COMPUTED_VALUE"""),"we are legion the story of the hacktivists")</f>
        <v>we are legion the story of the hacktivists</v>
      </c>
      <c r="B5338" s="1" t="str">
        <f>IF(A5338&lt;&gt;"", VLOOKUP(A5338, imdb_netflix_v5!A$2:H$7370, 2, FALSE), "")</f>
        <v>Movie</v>
      </c>
      <c r="C5338" s="2" t="str">
        <f>IF(A5338&lt;&gt;"", VLOOKUP(A5338, imdb_netflix_v5!A$2:H$7370, 3, FALSE), "")</f>
        <v>Documentary</v>
      </c>
      <c r="D5338" s="2">
        <f>IF(A5338&lt;&gt;"", VLOOKUP(A5338, imdb_netflix_v5!A$2:H$7370, 4, FALSE), "")</f>
        <v>7.2</v>
      </c>
      <c r="E5338" s="2">
        <f>IF(A5338&lt;&gt;"", VLOOKUP(A5338, imdb_netflix_v5!A$2:H$7370, 5, FALSE), "")</f>
        <v>2012</v>
      </c>
      <c r="F5338" s="2" t="str">
        <f>IF(A5338&lt;&gt;"", VLOOKUP(A5338, imdb_netflix_v5!A$2:H$7370, 7, FALSE), "")</f>
        <v>NA</v>
      </c>
    </row>
    <row r="5339" ht="15.75" customHeight="1">
      <c r="A5339" s="1" t="str">
        <f>IFERROR(__xludf.DUMMYFUNCTION("""COMPUTED_VALUE"""),"d-day")</f>
        <v>d-day</v>
      </c>
      <c r="B5339" s="1" t="str">
        <f>IF(A5339&lt;&gt;"", VLOOKUP(A5339, imdb_netflix_v5!A$2:H$7370, 2, FALSE), "")</f>
        <v>Movie</v>
      </c>
      <c r="C5339" s="2" t="str">
        <f>IF(A5339&lt;&gt;"", VLOOKUP(A5339, imdb_netflix_v5!A$2:H$7370, 3, FALSE), "")</f>
        <v>Action, Thriller</v>
      </c>
      <c r="D5339" s="2">
        <f>IF(A5339&lt;&gt;"", VLOOKUP(A5339, imdb_netflix_v5!A$2:H$7370, 4, FALSE), "")</f>
        <v>7.2</v>
      </c>
      <c r="E5339" s="2">
        <f>IF(A5339&lt;&gt;"", VLOOKUP(A5339, imdb_netflix_v5!A$2:H$7370, 5, FALSE), "")</f>
        <v>2013</v>
      </c>
      <c r="F5339" s="2" t="str">
        <f>IF(A5339&lt;&gt;"", VLOOKUP(A5339, imdb_netflix_v5!A$2:H$7370, 7, FALSE), "")</f>
        <v>NA</v>
      </c>
    </row>
    <row r="5340" ht="15.75" customHeight="1">
      <c r="A5340" s="1" t="str">
        <f>IFERROR(__xludf.DUMMYFUNCTION("""COMPUTED_VALUE"""),"the man from snowy river")</f>
        <v>the man from snowy river</v>
      </c>
      <c r="B5340" s="1" t="str">
        <f>IF(A5340&lt;&gt;"", VLOOKUP(A5340, imdb_netflix_v5!A$2:H$7370, 2, FALSE), "")</f>
        <v>Movie</v>
      </c>
      <c r="C5340" s="2" t="str">
        <f>IF(A5340&lt;&gt;"", VLOOKUP(A5340, imdb_netflix_v5!A$2:H$7370, 3, FALSE), "")</f>
        <v>Adventure, Drama, Romance</v>
      </c>
      <c r="D5340" s="2">
        <f>IF(A5340&lt;&gt;"", VLOOKUP(A5340, imdb_netflix_v5!A$2:H$7370, 4, FALSE), "")</f>
        <v>7.2</v>
      </c>
      <c r="E5340" s="2">
        <f>IF(A5340&lt;&gt;"", VLOOKUP(A5340, imdb_netflix_v5!A$2:H$7370, 5, FALSE), "")</f>
        <v>1982</v>
      </c>
      <c r="F5340" s="2" t="str">
        <f>IF(A5340&lt;&gt;"", VLOOKUP(A5340, imdb_netflix_v5!A$2:H$7370, 7, FALSE), "")</f>
        <v>NA</v>
      </c>
    </row>
    <row r="5341" ht="15.75" customHeight="1">
      <c r="A5341" s="1" t="str">
        <f>IFERROR(__xludf.DUMMYFUNCTION("""COMPUTED_VALUE"""),"twisted")</f>
        <v>twisted</v>
      </c>
      <c r="B5341" s="1" t="str">
        <f>IF(A5341&lt;&gt;"", VLOOKUP(A5341, imdb_netflix_v5!A$2:H$7370, 2, FALSE), "")</f>
        <v>TV Show</v>
      </c>
      <c r="C5341" s="2" t="str">
        <f>IF(A5341&lt;&gt;"", VLOOKUP(A5341, imdb_netflix_v5!A$2:H$7370, 3, FALSE), "")</f>
        <v>Drama, Mystery, Thriller</v>
      </c>
      <c r="D5341" s="2">
        <f>IF(A5341&lt;&gt;"", VLOOKUP(A5341, imdb_netflix_v5!A$2:H$7370, 4, FALSE), "")</f>
        <v>7.2</v>
      </c>
      <c r="E5341" s="2">
        <f>IF(A5341&lt;&gt;"", VLOOKUP(A5341, imdb_netflix_v5!A$2:H$7370, 5, FALSE), "")</f>
        <v>2013</v>
      </c>
      <c r="F5341" s="2" t="str">
        <f>IF(A5341&lt;&gt;"", VLOOKUP(A5341, imdb_netflix_v5!A$2:H$7370, 7, FALSE), "")</f>
        <v>NA</v>
      </c>
    </row>
    <row r="5342" ht="15.75" customHeight="1">
      <c r="A5342" s="1" t="str">
        <f>IFERROR(__xludf.DUMMYFUNCTION("""COMPUTED_VALUE"""),"bend of the river")</f>
        <v>bend of the river</v>
      </c>
      <c r="B5342" s="1" t="str">
        <f>IF(A5342&lt;&gt;"", VLOOKUP(A5342, imdb_netflix_v5!A$2:H$7370, 2, FALSE), "")</f>
        <v>Movie</v>
      </c>
      <c r="C5342" s="2" t="str">
        <f>IF(A5342&lt;&gt;"", VLOOKUP(A5342, imdb_netflix_v5!A$2:H$7370, 3, FALSE), "")</f>
        <v>Action, Adventure, Drama</v>
      </c>
      <c r="D5342" s="2">
        <f>IF(A5342&lt;&gt;"", VLOOKUP(A5342, imdb_netflix_v5!A$2:H$7370, 4, FALSE), "")</f>
        <v>7.2</v>
      </c>
      <c r="E5342" s="2">
        <f>IF(A5342&lt;&gt;"", VLOOKUP(A5342, imdb_netflix_v5!A$2:H$7370, 5, FALSE), "")</f>
        <v>1952</v>
      </c>
      <c r="F5342" s="2" t="str">
        <f>IF(A5342&lt;&gt;"", VLOOKUP(A5342, imdb_netflix_v5!A$2:H$7370, 7, FALSE), "")</f>
        <v>NA</v>
      </c>
    </row>
    <row r="5343" ht="15.75" customHeight="1">
      <c r="A5343" s="1" t="str">
        <f>IFERROR(__xludf.DUMMYFUNCTION("""COMPUTED_VALUE"""),"street fighter ii the animated movie")</f>
        <v>street fighter ii the animated movie</v>
      </c>
      <c r="B5343" s="1" t="str">
        <f>IF(A5343&lt;&gt;"", VLOOKUP(A5343, imdb_netflix_v5!A$2:H$7370, 2, FALSE), "")</f>
        <v>Movie</v>
      </c>
      <c r="C5343" s="2" t="str">
        <f>IF(A5343&lt;&gt;"", VLOOKUP(A5343, imdb_netflix_v5!A$2:H$7370, 3, FALSE), "")</f>
        <v>Action, Adventure, Animation</v>
      </c>
      <c r="D5343" s="2">
        <f>IF(A5343&lt;&gt;"", VLOOKUP(A5343, imdb_netflix_v5!A$2:H$7370, 4, FALSE), "")</f>
        <v>7.2</v>
      </c>
      <c r="E5343" s="2">
        <f>IF(A5343&lt;&gt;"", VLOOKUP(A5343, imdb_netflix_v5!A$2:H$7370, 5, FALSE), "")</f>
        <v>1994</v>
      </c>
      <c r="F5343" s="2" t="str">
        <f>IF(A5343&lt;&gt;"", VLOOKUP(A5343, imdb_netflix_v5!A$2:H$7370, 7, FALSE), "")</f>
        <v>NA</v>
      </c>
    </row>
    <row r="5344" ht="15.75" customHeight="1">
      <c r="A5344" s="1" t="str">
        <f>IFERROR(__xludf.DUMMYFUNCTION("""COMPUTED_VALUE"""),"before i disappear")</f>
        <v>before i disappear</v>
      </c>
      <c r="B5344" s="1" t="str">
        <f>IF(A5344&lt;&gt;"", VLOOKUP(A5344, imdb_netflix_v5!A$2:H$7370, 2, FALSE), "")</f>
        <v>Movie</v>
      </c>
      <c r="C5344" s="2" t="str">
        <f>IF(A5344&lt;&gt;"", VLOOKUP(A5344, imdb_netflix_v5!A$2:H$7370, 3, FALSE), "")</f>
        <v>Adventure, Drama</v>
      </c>
      <c r="D5344" s="2">
        <f>IF(A5344&lt;&gt;"", VLOOKUP(A5344, imdb_netflix_v5!A$2:H$7370, 4, FALSE), "")</f>
        <v>7.2</v>
      </c>
      <c r="E5344" s="2">
        <f>IF(A5344&lt;&gt;"", VLOOKUP(A5344, imdb_netflix_v5!A$2:H$7370, 5, FALSE), "")</f>
        <v>2014</v>
      </c>
      <c r="F5344" s="2" t="str">
        <f>IF(A5344&lt;&gt;"", VLOOKUP(A5344, imdb_netflix_v5!A$2:H$7370, 7, FALSE), "")</f>
        <v>NA</v>
      </c>
    </row>
    <row r="5345" ht="15.75" customHeight="1">
      <c r="A5345" s="1" t="str">
        <f>IFERROR(__xludf.DUMMYFUNCTION("""COMPUTED_VALUE"""),"into the inferno")</f>
        <v>into the inferno</v>
      </c>
      <c r="B5345" s="1" t="str">
        <f>IF(A5345&lt;&gt;"", VLOOKUP(A5345, imdb_netflix_v5!A$2:H$7370, 2, FALSE), "")</f>
        <v>Movie</v>
      </c>
      <c r="C5345" s="2" t="str">
        <f>IF(A5345&lt;&gt;"", VLOOKUP(A5345, imdb_netflix_v5!A$2:H$7370, 3, FALSE), "")</f>
        <v>Documentary</v>
      </c>
      <c r="D5345" s="2">
        <f>IF(A5345&lt;&gt;"", VLOOKUP(A5345, imdb_netflix_v5!A$2:H$7370, 4, FALSE), "")</f>
        <v>7.2</v>
      </c>
      <c r="E5345" s="2">
        <f>IF(A5345&lt;&gt;"", VLOOKUP(A5345, imdb_netflix_v5!A$2:H$7370, 5, FALSE), "")</f>
        <v>2016</v>
      </c>
      <c r="F5345" s="2" t="str">
        <f>IF(A5345&lt;&gt;"", VLOOKUP(A5345, imdb_netflix_v5!A$2:H$7370, 7, FALSE), "")</f>
        <v>NA</v>
      </c>
    </row>
    <row r="5346" ht="15.75" customHeight="1">
      <c r="A5346" s="1" t="str">
        <f>IFERROR(__xludf.DUMMYFUNCTION("""COMPUTED_VALUE"""),"truly madly deeply")</f>
        <v>truly madly deeply</v>
      </c>
      <c r="B5346" s="1" t="str">
        <f>IF(A5346&lt;&gt;"", VLOOKUP(A5346, imdb_netflix_v5!A$2:H$7370, 2, FALSE), "")</f>
        <v>Movie</v>
      </c>
      <c r="C5346" s="2" t="str">
        <f>IF(A5346&lt;&gt;"", VLOOKUP(A5346, imdb_netflix_v5!A$2:H$7370, 3, FALSE), "")</f>
        <v>Comedy, Drama, Fantasy</v>
      </c>
      <c r="D5346" s="2">
        <f>IF(A5346&lt;&gt;"", VLOOKUP(A5346, imdb_netflix_v5!A$2:H$7370, 4, FALSE), "")</f>
        <v>7.2</v>
      </c>
      <c r="E5346" s="2">
        <f>IF(A5346&lt;&gt;"", VLOOKUP(A5346, imdb_netflix_v5!A$2:H$7370, 5, FALSE), "")</f>
        <v>1990</v>
      </c>
      <c r="F5346" s="2" t="str">
        <f>IF(A5346&lt;&gt;"", VLOOKUP(A5346, imdb_netflix_v5!A$2:H$7370, 7, FALSE), "")</f>
        <v>NA</v>
      </c>
    </row>
    <row r="5347" ht="15.75" customHeight="1">
      <c r="A5347" s="1" t="str">
        <f>IFERROR(__xludf.DUMMYFUNCTION("""COMPUTED_VALUE"""),"the buddy holly story")</f>
        <v>the buddy holly story</v>
      </c>
      <c r="B5347" s="1" t="str">
        <f>IF(A5347&lt;&gt;"", VLOOKUP(A5347, imdb_netflix_v5!A$2:H$7370, 2, FALSE), "")</f>
        <v>Movie</v>
      </c>
      <c r="C5347" s="2" t="str">
        <f>IF(A5347&lt;&gt;"", VLOOKUP(A5347, imdb_netflix_v5!A$2:H$7370, 3, FALSE), "")</f>
        <v>Biography, Drama, Music</v>
      </c>
      <c r="D5347" s="2">
        <f>IF(A5347&lt;&gt;"", VLOOKUP(A5347, imdb_netflix_v5!A$2:H$7370, 4, FALSE), "")</f>
        <v>7.2</v>
      </c>
      <c r="E5347" s="2">
        <f>IF(A5347&lt;&gt;"", VLOOKUP(A5347, imdb_netflix_v5!A$2:H$7370, 5, FALSE), "")</f>
        <v>1978</v>
      </c>
      <c r="F5347" s="2" t="str">
        <f>IF(A5347&lt;&gt;"", VLOOKUP(A5347, imdb_netflix_v5!A$2:H$7370, 7, FALSE), "")</f>
        <v>NA</v>
      </c>
    </row>
    <row r="5348" ht="15.75" customHeight="1">
      <c r="A5348" s="1" t="str">
        <f>IFERROR(__xludf.DUMMYFUNCTION("""COMPUTED_VALUE"""),"masterchef usa")</f>
        <v>masterchef usa</v>
      </c>
      <c r="B5348" s="1" t="str">
        <f>IF(A5348&lt;&gt;"", VLOOKUP(A5348, imdb_netflix_v5!A$2:H$7370, 2, FALSE), "")</f>
        <v>TV Show</v>
      </c>
      <c r="C5348" s="2" t="str">
        <f>IF(A5348&lt;&gt;"", VLOOKUP(A5348, imdb_netflix_v5!A$2:H$7370, 3, FALSE), "")</f>
        <v>Game-Show, Reality-TV</v>
      </c>
      <c r="D5348" s="2">
        <f>IF(A5348&lt;&gt;"", VLOOKUP(A5348, imdb_netflix_v5!A$2:H$7370, 4, FALSE), "")</f>
        <v>7.2</v>
      </c>
      <c r="E5348" s="2">
        <f>IF(A5348&lt;&gt;"", VLOOKUP(A5348, imdb_netflix_v5!A$2:H$7370, 5, FALSE), "")</f>
        <v>2010</v>
      </c>
      <c r="F5348" s="2" t="str">
        <f>IF(A5348&lt;&gt;"", VLOOKUP(A5348, imdb_netflix_v5!A$2:H$7370, 7, FALSE), "")</f>
        <v>NA</v>
      </c>
    </row>
    <row r="5349" ht="15.75" customHeight="1">
      <c r="A5349" s="1" t="str">
        <f>IFERROR(__xludf.DUMMYFUNCTION("""COMPUTED_VALUE"""),"giant little ones")</f>
        <v>giant little ones</v>
      </c>
      <c r="B5349" s="1" t="str">
        <f>IF(A5349&lt;&gt;"", VLOOKUP(A5349, imdb_netflix_v5!A$2:H$7370, 2, FALSE), "")</f>
        <v>Movie</v>
      </c>
      <c r="C5349" s="2" t="str">
        <f>IF(A5349&lt;&gt;"", VLOOKUP(A5349, imdb_netflix_v5!A$2:H$7370, 3, FALSE), "")</f>
        <v>Drama</v>
      </c>
      <c r="D5349" s="2">
        <f>IF(A5349&lt;&gt;"", VLOOKUP(A5349, imdb_netflix_v5!A$2:H$7370, 4, FALSE), "")</f>
        <v>7.2</v>
      </c>
      <c r="E5349" s="2">
        <f>IF(A5349&lt;&gt;"", VLOOKUP(A5349, imdb_netflix_v5!A$2:H$7370, 5, FALSE), "")</f>
        <v>2018</v>
      </c>
      <c r="F5349" s="2" t="str">
        <f>IF(A5349&lt;&gt;"", VLOOKUP(A5349, imdb_netflix_v5!A$2:H$7370, 7, FALSE), "")</f>
        <v>NA</v>
      </c>
    </row>
    <row r="5350" ht="15.75" customHeight="1">
      <c r="A5350" s="1" t="str">
        <f>IFERROR(__xludf.DUMMYFUNCTION("""COMPUTED_VALUE"""),"the god of cookery")</f>
        <v>the god of cookery</v>
      </c>
      <c r="B5350" s="1" t="str">
        <f>IF(A5350&lt;&gt;"", VLOOKUP(A5350, imdb_netflix_v5!A$2:H$7370, 2, FALSE), "")</f>
        <v>Movie</v>
      </c>
      <c r="C5350" s="2" t="str">
        <f>IF(A5350&lt;&gt;"", VLOOKUP(A5350, imdb_netflix_v5!A$2:H$7370, 3, FALSE), "")</f>
        <v>Action, Comedy, Fantasy</v>
      </c>
      <c r="D5350" s="2">
        <f>IF(A5350&lt;&gt;"", VLOOKUP(A5350, imdb_netflix_v5!A$2:H$7370, 4, FALSE), "")</f>
        <v>7.2</v>
      </c>
      <c r="E5350" s="2">
        <f>IF(A5350&lt;&gt;"", VLOOKUP(A5350, imdb_netflix_v5!A$2:H$7370, 5, FALSE), "")</f>
        <v>1996</v>
      </c>
      <c r="F5350" s="2" t="str">
        <f>IF(A5350&lt;&gt;"", VLOOKUP(A5350, imdb_netflix_v5!A$2:H$7370, 7, FALSE), "")</f>
        <v>NA</v>
      </c>
    </row>
    <row r="5351" ht="15.75" customHeight="1">
      <c r="A5351" s="1" t="str">
        <f>IFERROR(__xludf.DUMMYFUNCTION("""COMPUTED_VALUE"""),"annika")</f>
        <v>annika</v>
      </c>
      <c r="B5351" s="1" t="str">
        <f>IF(A5351&lt;&gt;"", VLOOKUP(A5351, imdb_netflix_v5!A$2:H$7370, 2, FALSE), "")</f>
        <v>TV Show</v>
      </c>
      <c r="C5351" s="2" t="str">
        <f>IF(A5351&lt;&gt;"", VLOOKUP(A5351, imdb_netflix_v5!A$2:H$7370, 3, FALSE), "")</f>
        <v>Crime, Drama, Mystery</v>
      </c>
      <c r="D5351" s="2">
        <f>IF(A5351&lt;&gt;"", VLOOKUP(A5351, imdb_netflix_v5!A$2:H$7370, 4, FALSE), "")</f>
        <v>7.2</v>
      </c>
      <c r="E5351" s="2">
        <f>IF(A5351&lt;&gt;"", VLOOKUP(A5351, imdb_netflix_v5!A$2:H$7370, 5, FALSE), "")</f>
        <v>2021</v>
      </c>
      <c r="F5351" s="2" t="str">
        <f>IF(A5351&lt;&gt;"", VLOOKUP(A5351, imdb_netflix_v5!A$2:H$7370, 7, FALSE), "")</f>
        <v>NA</v>
      </c>
    </row>
    <row r="5352" ht="15.75" customHeight="1">
      <c r="A5352" s="1" t="str">
        <f>IFERROR(__xludf.DUMMYFUNCTION("""COMPUTED_VALUE"""),"viy")</f>
        <v>viy</v>
      </c>
      <c r="B5352" s="1" t="str">
        <f>IF(A5352&lt;&gt;"", VLOOKUP(A5352, imdb_netflix_v5!A$2:H$7370, 2, FALSE), "")</f>
        <v>Movie</v>
      </c>
      <c r="C5352" s="2" t="str">
        <f>IF(A5352&lt;&gt;"", VLOOKUP(A5352, imdb_netflix_v5!A$2:H$7370, 3, FALSE), "")</f>
        <v>Drama, Fantasy, Horror</v>
      </c>
      <c r="D5352" s="2">
        <f>IF(A5352&lt;&gt;"", VLOOKUP(A5352, imdb_netflix_v5!A$2:H$7370, 4, FALSE), "")</f>
        <v>7.2</v>
      </c>
      <c r="E5352" s="2">
        <f>IF(A5352&lt;&gt;"", VLOOKUP(A5352, imdb_netflix_v5!A$2:H$7370, 5, FALSE), "")</f>
        <v>1967</v>
      </c>
      <c r="F5352" s="2" t="str">
        <f>IF(A5352&lt;&gt;"", VLOOKUP(A5352, imdb_netflix_v5!A$2:H$7370, 7, FALSE), "")</f>
        <v>NA</v>
      </c>
    </row>
    <row r="5353" ht="15.75" customHeight="1">
      <c r="A5353" s="1" t="str">
        <f>IFERROR(__xludf.DUMMYFUNCTION("""COMPUTED_VALUE"""),"brian banks")</f>
        <v>brian banks</v>
      </c>
      <c r="B5353" s="1" t="str">
        <f>IF(A5353&lt;&gt;"", VLOOKUP(A5353, imdb_netflix_v5!A$2:H$7370, 2, FALSE), "")</f>
        <v>Movie</v>
      </c>
      <c r="C5353" s="2" t="str">
        <f>IF(A5353&lt;&gt;"", VLOOKUP(A5353, imdb_netflix_v5!A$2:H$7370, 3, FALSE), "")</f>
        <v>Biography, Drama, Sport</v>
      </c>
      <c r="D5353" s="2">
        <f>IF(A5353&lt;&gt;"", VLOOKUP(A5353, imdb_netflix_v5!A$2:H$7370, 4, FALSE), "")</f>
        <v>7.2</v>
      </c>
      <c r="E5353" s="2">
        <f>IF(A5353&lt;&gt;"", VLOOKUP(A5353, imdb_netflix_v5!A$2:H$7370, 5, FALSE), "")</f>
        <v>2018</v>
      </c>
      <c r="F5353" s="2" t="str">
        <f>IF(A5353&lt;&gt;"", VLOOKUP(A5353, imdb_netflix_v5!A$2:H$7370, 7, FALSE), "")</f>
        <v>NA</v>
      </c>
    </row>
    <row r="5354" ht="15.75" customHeight="1">
      <c r="A5354" s="1" t="str">
        <f>IFERROR(__xludf.DUMMYFUNCTION("""COMPUTED_VALUE"""),"iron man 3")</f>
        <v>iron man 3</v>
      </c>
      <c r="B5354" s="1" t="str">
        <f>IF(A5354&lt;&gt;"", VLOOKUP(A5354, imdb_netflix_v5!A$2:H$7370, 2, FALSE), "")</f>
        <v>Movie</v>
      </c>
      <c r="C5354" s="2" t="str">
        <f>IF(A5354&lt;&gt;"", VLOOKUP(A5354, imdb_netflix_v5!A$2:H$7370, 3, FALSE), "")</f>
        <v>Action, Adventure, Sci-Fi</v>
      </c>
      <c r="D5354" s="2">
        <f>IF(A5354&lt;&gt;"", VLOOKUP(A5354, imdb_netflix_v5!A$2:H$7370, 4, FALSE), "")</f>
        <v>7.1</v>
      </c>
      <c r="E5354" s="2">
        <f>IF(A5354&lt;&gt;"", VLOOKUP(A5354, imdb_netflix_v5!A$2:H$7370, 5, FALSE), "")</f>
        <v>2013</v>
      </c>
      <c r="F5354" s="2" t="str">
        <f>IF(A5354&lt;&gt;"", VLOOKUP(A5354, imdb_netflix_v5!A$2:H$7370, 7, FALSE), "")</f>
        <v>NA</v>
      </c>
    </row>
    <row r="5355" ht="15.75" customHeight="1">
      <c r="A5355" s="1" t="str">
        <f>IFERROR(__xludf.DUMMYFUNCTION("""COMPUTED_VALUE"""),"man of steel")</f>
        <v>man of steel</v>
      </c>
      <c r="B5355" s="1" t="str">
        <f>IF(A5355&lt;&gt;"", VLOOKUP(A5355, imdb_netflix_v5!A$2:H$7370, 2, FALSE), "")</f>
        <v>Movie</v>
      </c>
      <c r="C5355" s="2" t="str">
        <f>IF(A5355&lt;&gt;"", VLOOKUP(A5355, imdb_netflix_v5!A$2:H$7370, 3, FALSE), "")</f>
        <v>Action, Adventure, Sci-Fi</v>
      </c>
      <c r="D5355" s="2">
        <f>IF(A5355&lt;&gt;"", VLOOKUP(A5355, imdb_netflix_v5!A$2:H$7370, 4, FALSE), "")</f>
        <v>7.1</v>
      </c>
      <c r="E5355" s="2">
        <f>IF(A5355&lt;&gt;"", VLOOKUP(A5355, imdb_netflix_v5!A$2:H$7370, 5, FALSE), "")</f>
        <v>2013</v>
      </c>
      <c r="F5355" s="2" t="str">
        <f>IF(A5355&lt;&gt;"", VLOOKUP(A5355, imdb_netflix_v5!A$2:H$7370, 7, FALSE), "")</f>
        <v>NA</v>
      </c>
    </row>
    <row r="5356" ht="15.75" customHeight="1">
      <c r="A5356" s="1" t="str">
        <f>IFERROR(__xludf.DUMMYFUNCTION("""COMPUTED_VALUE"""),"pirates of the caribbean at worlds end")</f>
        <v>pirates of the caribbean at worlds end</v>
      </c>
      <c r="B5356" s="1" t="str">
        <f>IF(A5356&lt;&gt;"", VLOOKUP(A5356, imdb_netflix_v5!A$2:H$7370, 2, FALSE), "")</f>
        <v>Movie</v>
      </c>
      <c r="C5356" s="2" t="str">
        <f>IF(A5356&lt;&gt;"", VLOOKUP(A5356, imdb_netflix_v5!A$2:H$7370, 3, FALSE), "")</f>
        <v>Action, Adventure, Fantasy</v>
      </c>
      <c r="D5356" s="2">
        <f>IF(A5356&lt;&gt;"", VLOOKUP(A5356, imdb_netflix_v5!A$2:H$7370, 4, FALSE), "")</f>
        <v>7.1</v>
      </c>
      <c r="E5356" s="2">
        <f>IF(A5356&lt;&gt;"", VLOOKUP(A5356, imdb_netflix_v5!A$2:H$7370, 5, FALSE), "")</f>
        <v>2007</v>
      </c>
      <c r="F5356" s="2" t="str">
        <f>IF(A5356&lt;&gt;"", VLOOKUP(A5356, imdb_netflix_v5!A$2:H$7370, 7, FALSE), "")</f>
        <v>NA</v>
      </c>
    </row>
    <row r="5357" ht="15.75" customHeight="1">
      <c r="A5357" s="1" t="str">
        <f>IFERROR(__xludf.DUMMYFUNCTION("""COMPUTED_VALUE"""),"transformers")</f>
        <v>transformers</v>
      </c>
      <c r="B5357" s="1" t="str">
        <f>IF(A5357&lt;&gt;"", VLOOKUP(A5357, imdb_netflix_v5!A$2:H$7370, 2, FALSE), "")</f>
        <v>Movie</v>
      </c>
      <c r="C5357" s="2" t="str">
        <f>IF(A5357&lt;&gt;"", VLOOKUP(A5357, imdb_netflix_v5!A$2:H$7370, 3, FALSE), "")</f>
        <v>Action, Adventure, Sci-Fi</v>
      </c>
      <c r="D5357" s="2">
        <f>IF(A5357&lt;&gt;"", VLOOKUP(A5357, imdb_netflix_v5!A$2:H$7370, 4, FALSE), "")</f>
        <v>7.1</v>
      </c>
      <c r="E5357" s="2">
        <f>IF(A5357&lt;&gt;"", VLOOKUP(A5357, imdb_netflix_v5!A$2:H$7370, 5, FALSE), "")</f>
        <v>2007</v>
      </c>
      <c r="F5357" s="2" t="str">
        <f>IF(A5357&lt;&gt;"", VLOOKUP(A5357, imdb_netflix_v5!A$2:H$7370, 7, FALSE), "")</f>
        <v>NA</v>
      </c>
    </row>
    <row r="5358" ht="15.75" customHeight="1">
      <c r="A5358" s="1" t="str">
        <f>IFERROR(__xludf.DUMMYFUNCTION("""COMPUTED_VALUE"""),"i, robot")</f>
        <v>i, robot</v>
      </c>
      <c r="B5358" s="1" t="str">
        <f>IF(A5358&lt;&gt;"", VLOOKUP(A5358, imdb_netflix_v5!A$2:H$7370, 2, FALSE), "")</f>
        <v>Movie</v>
      </c>
      <c r="C5358" s="2" t="str">
        <f>IF(A5358&lt;&gt;"", VLOOKUP(A5358, imdb_netflix_v5!A$2:H$7370, 3, FALSE), "")</f>
        <v>Action, Mystery, Sci-Fi</v>
      </c>
      <c r="D5358" s="2">
        <f>IF(A5358&lt;&gt;"", VLOOKUP(A5358, imdb_netflix_v5!A$2:H$7370, 4, FALSE), "")</f>
        <v>7.1</v>
      </c>
      <c r="E5358" s="2">
        <f>IF(A5358&lt;&gt;"", VLOOKUP(A5358, imdb_netflix_v5!A$2:H$7370, 5, FALSE), "")</f>
        <v>2004</v>
      </c>
      <c r="F5358" s="2" t="str">
        <f>IF(A5358&lt;&gt;"", VLOOKUP(A5358, imdb_netflix_v5!A$2:H$7370, 7, FALSE), "")</f>
        <v>NA</v>
      </c>
    </row>
    <row r="5359" ht="15.75" customHeight="1">
      <c r="A5359" s="1" t="str">
        <f>IFERROR(__xludf.DUMMYFUNCTION("""COMPUTED_VALUE"""),"the 40-year-old virgin")</f>
        <v>the 40-year-old virgin</v>
      </c>
      <c r="B5359" s="1" t="str">
        <f>IF(A5359&lt;&gt;"", VLOOKUP(A5359, imdb_netflix_v5!A$2:H$7370, 2, FALSE), "")</f>
        <v>Movie</v>
      </c>
      <c r="C5359" s="2" t="str">
        <f>IF(A5359&lt;&gt;"", VLOOKUP(A5359, imdb_netflix_v5!A$2:H$7370, 3, FALSE), "")</f>
        <v>Comedy, Romance</v>
      </c>
      <c r="D5359" s="2">
        <f>IF(A5359&lt;&gt;"", VLOOKUP(A5359, imdb_netflix_v5!A$2:H$7370, 4, FALSE), "")</f>
        <v>7.1</v>
      </c>
      <c r="E5359" s="2">
        <f>IF(A5359&lt;&gt;"", VLOOKUP(A5359, imdb_netflix_v5!A$2:H$7370, 5, FALSE), "")</f>
        <v>2005</v>
      </c>
      <c r="F5359" s="2" t="str">
        <f>IF(A5359&lt;&gt;"", VLOOKUP(A5359, imdb_netflix_v5!A$2:H$7370, 7, FALSE), "")</f>
        <v>NA</v>
      </c>
    </row>
    <row r="5360" ht="15.75" customHeight="1">
      <c r="A5360" s="1" t="str">
        <f>IFERROR(__xludf.DUMMYFUNCTION("""COMPUTED_VALUE"""),"the mummy")</f>
        <v>the mummy</v>
      </c>
      <c r="B5360" s="1" t="str">
        <f>IF(A5360&lt;&gt;"", VLOOKUP(A5360, imdb_netflix_v5!A$2:H$7370, 2, FALSE), "")</f>
        <v>Movie</v>
      </c>
      <c r="C5360" s="2" t="str">
        <f>IF(A5360&lt;&gt;"", VLOOKUP(A5360, imdb_netflix_v5!A$2:H$7370, 3, FALSE), "")</f>
        <v>Action, Adventure, Fantasy</v>
      </c>
      <c r="D5360" s="2">
        <f>IF(A5360&lt;&gt;"", VLOOKUP(A5360, imdb_netflix_v5!A$2:H$7370, 4, FALSE), "")</f>
        <v>7.1</v>
      </c>
      <c r="E5360" s="2">
        <f>IF(A5360&lt;&gt;"", VLOOKUP(A5360, imdb_netflix_v5!A$2:H$7370, 5, FALSE), "")</f>
        <v>1999</v>
      </c>
      <c r="F5360" s="2">
        <f>IF(A5360&lt;&gt;"", VLOOKUP(A5360, imdb_netflix_v5!A$2:H$7370, 7, FALSE), "")</f>
        <v>11540000</v>
      </c>
    </row>
    <row r="5361" ht="15.75" customHeight="1">
      <c r="A5361" s="1" t="str">
        <f>IFERROR(__xludf.DUMMYFUNCTION("""COMPUTED_VALUE"""),"glass onion")</f>
        <v>glass onion</v>
      </c>
      <c r="B5361" s="1" t="str">
        <f>IF(A5361&lt;&gt;"", VLOOKUP(A5361, imdb_netflix_v5!A$2:H$7370, 2, FALSE), "")</f>
        <v>Movie</v>
      </c>
      <c r="C5361" s="2" t="str">
        <f>IF(A5361&lt;&gt;"", VLOOKUP(A5361, imdb_netflix_v5!A$2:H$7370, 3, FALSE), "")</f>
        <v>Comedy, Crime, Drama</v>
      </c>
      <c r="D5361" s="2">
        <f>IF(A5361&lt;&gt;"", VLOOKUP(A5361, imdb_netflix_v5!A$2:H$7370, 4, FALSE), "")</f>
        <v>7.1</v>
      </c>
      <c r="E5361" s="2">
        <f>IF(A5361&lt;&gt;"", VLOOKUP(A5361, imdb_netflix_v5!A$2:H$7370, 5, FALSE), "")</f>
        <v>2022</v>
      </c>
      <c r="F5361" s="2" t="str">
        <f>IF(A5361&lt;&gt;"", VLOOKUP(A5361, imdb_netflix_v5!A$2:H$7370, 7, FALSE), "")</f>
        <v>NA</v>
      </c>
    </row>
    <row r="5362" ht="15.75" customHeight="1">
      <c r="A5362" s="1" t="str">
        <f>IFERROR(__xludf.DUMMYFUNCTION("""COMPUTED_VALUE"""),"tropic thunder")</f>
        <v>tropic thunder</v>
      </c>
      <c r="B5362" s="1" t="str">
        <f>IF(A5362&lt;&gt;"", VLOOKUP(A5362, imdb_netflix_v5!A$2:H$7370, 2, FALSE), "")</f>
        <v>Movie</v>
      </c>
      <c r="C5362" s="2" t="str">
        <f>IF(A5362&lt;&gt;"", VLOOKUP(A5362, imdb_netflix_v5!A$2:H$7370, 3, FALSE), "")</f>
        <v>Action, Comedy, War</v>
      </c>
      <c r="D5362" s="2">
        <f>IF(A5362&lt;&gt;"", VLOOKUP(A5362, imdb_netflix_v5!A$2:H$7370, 4, FALSE), "")</f>
        <v>7.1</v>
      </c>
      <c r="E5362" s="2">
        <f>IF(A5362&lt;&gt;"", VLOOKUP(A5362, imdb_netflix_v5!A$2:H$7370, 5, FALSE), "")</f>
        <v>2008</v>
      </c>
      <c r="F5362" s="2" t="str">
        <f>IF(A5362&lt;&gt;"", VLOOKUP(A5362, imdb_netflix_v5!A$2:H$7370, 7, FALSE), "")</f>
        <v>NA</v>
      </c>
    </row>
    <row r="5363" ht="15.75" customHeight="1">
      <c r="A5363" s="1" t="str">
        <f>IFERROR(__xludf.DUMMYFUNCTION("""COMPUTED_VALUE"""),"brave")</f>
        <v>brave</v>
      </c>
      <c r="B5363" s="1" t="str">
        <f>IF(A5363&lt;&gt;"", VLOOKUP(A5363, imdb_netflix_v5!A$2:H$7370, 2, FALSE), "")</f>
        <v>Movie</v>
      </c>
      <c r="C5363" s="2" t="str">
        <f>IF(A5363&lt;&gt;"", VLOOKUP(A5363, imdb_netflix_v5!A$2:H$7370, 3, FALSE), "")</f>
        <v>Action, Adventure, Animation</v>
      </c>
      <c r="D5363" s="2">
        <f>IF(A5363&lt;&gt;"", VLOOKUP(A5363, imdb_netflix_v5!A$2:H$7370, 4, FALSE), "")</f>
        <v>7.1</v>
      </c>
      <c r="E5363" s="2">
        <f>IF(A5363&lt;&gt;"", VLOOKUP(A5363, imdb_netflix_v5!A$2:H$7370, 5, FALSE), "")</f>
        <v>2012</v>
      </c>
      <c r="F5363" s="2" t="str">
        <f>IF(A5363&lt;&gt;"", VLOOKUP(A5363, imdb_netflix_v5!A$2:H$7370, 7, FALSE), "")</f>
        <v>NA</v>
      </c>
    </row>
    <row r="5364" ht="15.75" customHeight="1">
      <c r="A5364" s="1" t="str">
        <f>IFERROR(__xludf.DUMMYFUNCTION("""COMPUTED_VALUE"""),"mean girls")</f>
        <v>mean girls</v>
      </c>
      <c r="B5364" s="1" t="str">
        <f>IF(A5364&lt;&gt;"", VLOOKUP(A5364, imdb_netflix_v5!A$2:H$7370, 2, FALSE), "")</f>
        <v>Movie</v>
      </c>
      <c r="C5364" s="2" t="str">
        <f>IF(A5364&lt;&gt;"", VLOOKUP(A5364, imdb_netflix_v5!A$2:H$7370, 3, FALSE), "")</f>
        <v>Comedy</v>
      </c>
      <c r="D5364" s="2">
        <f>IF(A5364&lt;&gt;"", VLOOKUP(A5364, imdb_netflix_v5!A$2:H$7370, 4, FALSE), "")</f>
        <v>7.1</v>
      </c>
      <c r="E5364" s="2">
        <f>IF(A5364&lt;&gt;"", VLOOKUP(A5364, imdb_netflix_v5!A$2:H$7370, 5, FALSE), "")</f>
        <v>2004</v>
      </c>
      <c r="F5364" s="2">
        <f>IF(A5364&lt;&gt;"", VLOOKUP(A5364, imdb_netflix_v5!A$2:H$7370, 7, FALSE), "")</f>
        <v>6300000</v>
      </c>
    </row>
    <row r="5365" ht="15.75" customHeight="1">
      <c r="A5365" s="1" t="str">
        <f>IFERROR(__xludf.DUMMYFUNCTION("""COMPUTED_VALUE"""),"free guy")</f>
        <v>free guy</v>
      </c>
      <c r="B5365" s="1" t="str">
        <f>IF(A5365&lt;&gt;"", VLOOKUP(A5365, imdb_netflix_v5!A$2:H$7370, 2, FALSE), "")</f>
        <v>Movie</v>
      </c>
      <c r="C5365" s="2" t="str">
        <f>IF(A5365&lt;&gt;"", VLOOKUP(A5365, imdb_netflix_v5!A$2:H$7370, 3, FALSE), "")</f>
        <v>Action, Adventure, Comedy</v>
      </c>
      <c r="D5365" s="2">
        <f>IF(A5365&lt;&gt;"", VLOOKUP(A5365, imdb_netflix_v5!A$2:H$7370, 4, FALSE), "")</f>
        <v>7.1</v>
      </c>
      <c r="E5365" s="2">
        <f>IF(A5365&lt;&gt;"", VLOOKUP(A5365, imdb_netflix_v5!A$2:H$7370, 5, FALSE), "")</f>
        <v>2021</v>
      </c>
      <c r="F5365" s="2" t="str">
        <f>IF(A5365&lt;&gt;"", VLOOKUP(A5365, imdb_netflix_v5!A$2:H$7370, 7, FALSE), "")</f>
        <v>NA</v>
      </c>
    </row>
    <row r="5366" ht="15.75" customHeight="1">
      <c r="A5366" s="1" t="str">
        <f>IFERROR(__xludf.DUMMYFUNCTION("""COMPUTED_VALUE"""),"midsommar")</f>
        <v>midsommar</v>
      </c>
      <c r="B5366" s="1" t="str">
        <f>IF(A5366&lt;&gt;"", VLOOKUP(A5366, imdb_netflix_v5!A$2:H$7370, 2, FALSE), "")</f>
        <v>Movie</v>
      </c>
      <c r="C5366" s="2" t="str">
        <f>IF(A5366&lt;&gt;"", VLOOKUP(A5366, imdb_netflix_v5!A$2:H$7370, 3, FALSE), "")</f>
        <v>Drama, Horror, Mystery</v>
      </c>
      <c r="D5366" s="2">
        <f>IF(A5366&lt;&gt;"", VLOOKUP(A5366, imdb_netflix_v5!A$2:H$7370, 4, FALSE), "")</f>
        <v>7.1</v>
      </c>
      <c r="E5366" s="2">
        <f>IF(A5366&lt;&gt;"", VLOOKUP(A5366, imdb_netflix_v5!A$2:H$7370, 5, FALSE), "")</f>
        <v>2019</v>
      </c>
      <c r="F5366" s="2" t="str">
        <f>IF(A5366&lt;&gt;"", VLOOKUP(A5366, imdb_netflix_v5!A$2:H$7370, 7, FALSE), "")</f>
        <v>NA</v>
      </c>
    </row>
    <row r="5367" ht="15.75" customHeight="1">
      <c r="A5367" s="1" t="str">
        <f>IFERROR(__xludf.DUMMYFUNCTION("""COMPUTED_VALUE"""),"live free or die hard")</f>
        <v>live free or die hard</v>
      </c>
      <c r="B5367" s="1" t="str">
        <f>IF(A5367&lt;&gt;"", VLOOKUP(A5367, imdb_netflix_v5!A$2:H$7370, 2, FALSE), "")</f>
        <v>Movie</v>
      </c>
      <c r="C5367" s="2" t="str">
        <f>IF(A5367&lt;&gt;"", VLOOKUP(A5367, imdb_netflix_v5!A$2:H$7370, 3, FALSE), "")</f>
        <v>Action, Thriller</v>
      </c>
      <c r="D5367" s="2">
        <f>IF(A5367&lt;&gt;"", VLOOKUP(A5367, imdb_netflix_v5!A$2:H$7370, 4, FALSE), "")</f>
        <v>7.1</v>
      </c>
      <c r="E5367" s="2">
        <f>IF(A5367&lt;&gt;"", VLOOKUP(A5367, imdb_netflix_v5!A$2:H$7370, 5, FALSE), "")</f>
        <v>2007</v>
      </c>
      <c r="F5367" s="2" t="str">
        <f>IF(A5367&lt;&gt;"", VLOOKUP(A5367, imdb_netflix_v5!A$2:H$7370, 7, FALSE), "")</f>
        <v>NA</v>
      </c>
    </row>
    <row r="5368" ht="15.75" customHeight="1">
      <c r="A5368" s="1" t="str">
        <f>IFERROR(__xludf.DUMMYFUNCTION("""COMPUTED_VALUE"""),"furious 7")</f>
        <v>furious 7</v>
      </c>
      <c r="B5368" s="1" t="str">
        <f>IF(A5368&lt;&gt;"", VLOOKUP(A5368, imdb_netflix_v5!A$2:H$7370, 2, FALSE), "")</f>
        <v>Movie</v>
      </c>
      <c r="C5368" s="2" t="str">
        <f>IF(A5368&lt;&gt;"", VLOOKUP(A5368, imdb_netflix_v5!A$2:H$7370, 3, FALSE), "")</f>
        <v>Action, Thriller</v>
      </c>
      <c r="D5368" s="2">
        <f>IF(A5368&lt;&gt;"", VLOOKUP(A5368, imdb_netflix_v5!A$2:H$7370, 4, FALSE), "")</f>
        <v>7.1</v>
      </c>
      <c r="E5368" s="2">
        <f>IF(A5368&lt;&gt;"", VLOOKUP(A5368, imdb_netflix_v5!A$2:H$7370, 5, FALSE), "")</f>
        <v>2015</v>
      </c>
      <c r="F5368" s="2" t="str">
        <f>IF(A5368&lt;&gt;"", VLOOKUP(A5368, imdb_netflix_v5!A$2:H$7370, 7, FALSE), "")</f>
        <v>NA</v>
      </c>
    </row>
    <row r="5369" ht="15.75" customHeight="1">
      <c r="A5369" s="1" t="str">
        <f>IFERROR(__xludf.DUMMYFUNCTION("""COMPUTED_VALUE"""),"snowpiercer")</f>
        <v>snowpiercer</v>
      </c>
      <c r="B5369" s="1" t="str">
        <f>IF(A5369&lt;&gt;"", VLOOKUP(A5369, imdb_netflix_v5!A$2:H$7370, 2, FALSE), "")</f>
        <v>Movie</v>
      </c>
      <c r="C5369" s="2" t="str">
        <f>IF(A5369&lt;&gt;"", VLOOKUP(A5369, imdb_netflix_v5!A$2:H$7370, 3, FALSE), "")</f>
        <v>Drama, Sci-Fi, Thriller</v>
      </c>
      <c r="D5369" s="2">
        <f>IF(A5369&lt;&gt;"", VLOOKUP(A5369, imdb_netflix_v5!A$2:H$7370, 4, FALSE), "")</f>
        <v>7.1</v>
      </c>
      <c r="E5369" s="2">
        <f>IF(A5369&lt;&gt;"", VLOOKUP(A5369, imdb_netflix_v5!A$2:H$7370, 5, FALSE), "")</f>
        <v>2013</v>
      </c>
      <c r="F5369" s="2" t="str">
        <f>IF(A5369&lt;&gt;"", VLOOKUP(A5369, imdb_netflix_v5!A$2:H$7370, 7, FALSE), "")</f>
        <v>NA</v>
      </c>
    </row>
    <row r="5370" ht="15.75" customHeight="1">
      <c r="A5370" s="1" t="str">
        <f>IFERROR(__xludf.DUMMYFUNCTION("""COMPUTED_VALUE"""),"die hard 2")</f>
        <v>die hard 2</v>
      </c>
      <c r="B5370" s="1" t="str">
        <f>IF(A5370&lt;&gt;"", VLOOKUP(A5370, imdb_netflix_v5!A$2:H$7370, 2, FALSE), "")</f>
        <v>Movie</v>
      </c>
      <c r="C5370" s="2" t="str">
        <f>IF(A5370&lt;&gt;"", VLOOKUP(A5370, imdb_netflix_v5!A$2:H$7370, 3, FALSE), "")</f>
        <v>Action, Thriller</v>
      </c>
      <c r="D5370" s="2">
        <f>IF(A5370&lt;&gt;"", VLOOKUP(A5370, imdb_netflix_v5!A$2:H$7370, 4, FALSE), "")</f>
        <v>7.1</v>
      </c>
      <c r="E5370" s="2">
        <f>IF(A5370&lt;&gt;"", VLOOKUP(A5370, imdb_netflix_v5!A$2:H$7370, 5, FALSE), "")</f>
        <v>1990</v>
      </c>
      <c r="F5370" s="2" t="str">
        <f>IF(A5370&lt;&gt;"", VLOOKUP(A5370, imdb_netflix_v5!A$2:H$7370, 7, FALSE), "")</f>
        <v>NA</v>
      </c>
    </row>
    <row r="5371" ht="15.75" customHeight="1">
      <c r="A5371" s="1" t="str">
        <f>IFERROR(__xludf.DUMMYFUNCTION("""COMPUTED_VALUE"""),"jumanji")</f>
        <v>jumanji</v>
      </c>
      <c r="B5371" s="1" t="str">
        <f>IF(A5371&lt;&gt;"", VLOOKUP(A5371, imdb_netflix_v5!A$2:H$7370, 2, FALSE), "")</f>
        <v>Movie</v>
      </c>
      <c r="C5371" s="2" t="str">
        <f>IF(A5371&lt;&gt;"", VLOOKUP(A5371, imdb_netflix_v5!A$2:H$7370, 3, FALSE), "")</f>
        <v>Adventure, Comedy, Family</v>
      </c>
      <c r="D5371" s="2">
        <f>IF(A5371&lt;&gt;"", VLOOKUP(A5371, imdb_netflix_v5!A$2:H$7370, 4, FALSE), "")</f>
        <v>7.1</v>
      </c>
      <c r="E5371" s="2">
        <f>IF(A5371&lt;&gt;"", VLOOKUP(A5371, imdb_netflix_v5!A$2:H$7370, 5, FALSE), "")</f>
        <v>1995</v>
      </c>
      <c r="F5371" s="2" t="str">
        <f>IF(A5371&lt;&gt;"", VLOOKUP(A5371, imdb_netflix_v5!A$2:H$7370, 7, FALSE), "")</f>
        <v>NA</v>
      </c>
    </row>
    <row r="5372" ht="15.75" customHeight="1">
      <c r="A5372" s="1" t="str">
        <f>IFERROR(__xludf.DUMMYFUNCTION("""COMPUTED_VALUE"""),"anchorman the legend of ron burgundy")</f>
        <v>anchorman the legend of ron burgundy</v>
      </c>
      <c r="B5372" s="1" t="str">
        <f>IF(A5372&lt;&gt;"", VLOOKUP(A5372, imdb_netflix_v5!A$2:H$7370, 2, FALSE), "")</f>
        <v>Movie</v>
      </c>
      <c r="C5372" s="2" t="str">
        <f>IF(A5372&lt;&gt;"", VLOOKUP(A5372, imdb_netflix_v5!A$2:H$7370, 3, FALSE), "")</f>
        <v>Comedy</v>
      </c>
      <c r="D5372" s="2">
        <f>IF(A5372&lt;&gt;"", VLOOKUP(A5372, imdb_netflix_v5!A$2:H$7370, 4, FALSE), "")</f>
        <v>7.1</v>
      </c>
      <c r="E5372" s="2">
        <f>IF(A5372&lt;&gt;"", VLOOKUP(A5372, imdb_netflix_v5!A$2:H$7370, 5, FALSE), "")</f>
        <v>2004</v>
      </c>
      <c r="F5372" s="2" t="str">
        <f>IF(A5372&lt;&gt;"", VLOOKUP(A5372, imdb_netflix_v5!A$2:H$7370, 7, FALSE), "")</f>
        <v>NA</v>
      </c>
    </row>
    <row r="5373" ht="15.75" customHeight="1">
      <c r="A5373" s="1" t="str">
        <f>IFERROR(__xludf.DUMMYFUNCTION("""COMPUTED_VALUE"""),"the ring")</f>
        <v>the ring</v>
      </c>
      <c r="B5373" s="1" t="str">
        <f>IF(A5373&lt;&gt;"", VLOOKUP(A5373, imdb_netflix_v5!A$2:H$7370, 2, FALSE), "")</f>
        <v>Movie</v>
      </c>
      <c r="C5373" s="2" t="str">
        <f>IF(A5373&lt;&gt;"", VLOOKUP(A5373, imdb_netflix_v5!A$2:H$7370, 3, FALSE), "")</f>
        <v>Horror, Mystery</v>
      </c>
      <c r="D5373" s="2">
        <f>IF(A5373&lt;&gt;"", VLOOKUP(A5373, imdb_netflix_v5!A$2:H$7370, 4, FALSE), "")</f>
        <v>7.1</v>
      </c>
      <c r="E5373" s="2">
        <f>IF(A5373&lt;&gt;"", VLOOKUP(A5373, imdb_netflix_v5!A$2:H$7370, 5, FALSE), "")</f>
        <v>2002</v>
      </c>
      <c r="F5373" s="2" t="str">
        <f>IF(A5373&lt;&gt;"", VLOOKUP(A5373, imdb_netflix_v5!A$2:H$7370, 7, FALSE), "")</f>
        <v>NA</v>
      </c>
    </row>
    <row r="5374" ht="15.75" customHeight="1">
      <c r="A5374" s="1" t="str">
        <f>IFERROR(__xludf.DUMMYFUNCTION("""COMPUTED_VALUE"""),"pretty woman")</f>
        <v>pretty woman</v>
      </c>
      <c r="B5374" s="1" t="str">
        <f>IF(A5374&lt;&gt;"", VLOOKUP(A5374, imdb_netflix_v5!A$2:H$7370, 2, FALSE), "")</f>
        <v>Movie</v>
      </c>
      <c r="C5374" s="2" t="str">
        <f>IF(A5374&lt;&gt;"", VLOOKUP(A5374, imdb_netflix_v5!A$2:H$7370, 3, FALSE), "")</f>
        <v>Comedy, Romance</v>
      </c>
      <c r="D5374" s="2">
        <f>IF(A5374&lt;&gt;"", VLOOKUP(A5374, imdb_netflix_v5!A$2:H$7370, 4, FALSE), "")</f>
        <v>7.1</v>
      </c>
      <c r="E5374" s="2">
        <f>IF(A5374&lt;&gt;"", VLOOKUP(A5374, imdb_netflix_v5!A$2:H$7370, 5, FALSE), "")</f>
        <v>1990</v>
      </c>
      <c r="F5374" s="2" t="str">
        <f>IF(A5374&lt;&gt;"", VLOOKUP(A5374, imdb_netflix_v5!A$2:H$7370, 7, FALSE), "")</f>
        <v>NA</v>
      </c>
    </row>
    <row r="5375" ht="15.75" customHeight="1">
      <c r="A5375" s="1" t="str">
        <f>IFERROR(__xludf.DUMMYFUNCTION("""COMPUTED_VALUE"""),"real steel")</f>
        <v>real steel</v>
      </c>
      <c r="B5375" s="1" t="str">
        <f>IF(A5375&lt;&gt;"", VLOOKUP(A5375, imdb_netflix_v5!A$2:H$7370, 2, FALSE), "")</f>
        <v>Movie</v>
      </c>
      <c r="C5375" s="2" t="str">
        <f>IF(A5375&lt;&gt;"", VLOOKUP(A5375, imdb_netflix_v5!A$2:H$7370, 3, FALSE), "")</f>
        <v>Action, Drama, Sci-Fi</v>
      </c>
      <c r="D5375" s="2">
        <f>IF(A5375&lt;&gt;"", VLOOKUP(A5375, imdb_netflix_v5!A$2:H$7370, 4, FALSE), "")</f>
        <v>7.1</v>
      </c>
      <c r="E5375" s="2">
        <f>IF(A5375&lt;&gt;"", VLOOKUP(A5375, imdb_netflix_v5!A$2:H$7370, 5, FALSE), "")</f>
        <v>2011</v>
      </c>
      <c r="F5375" s="2" t="str">
        <f>IF(A5375&lt;&gt;"", VLOOKUP(A5375, imdb_netflix_v5!A$2:H$7370, 7, FALSE), "")</f>
        <v>NA</v>
      </c>
    </row>
    <row r="5376" ht="15.75" customHeight="1">
      <c r="A5376" s="1" t="str">
        <f>IFERROR(__xludf.DUMMYFUNCTION("""COMPUTED_VALUE"""),"the mist")</f>
        <v>the mist</v>
      </c>
      <c r="B5376" s="1" t="str">
        <f>IF(A5376&lt;&gt;"", VLOOKUP(A5376, imdb_netflix_v5!A$2:H$7370, 2, FALSE), "")</f>
        <v>Movie</v>
      </c>
      <c r="C5376" s="2" t="str">
        <f>IF(A5376&lt;&gt;"", VLOOKUP(A5376, imdb_netflix_v5!A$2:H$7370, 3, FALSE), "")</f>
        <v>Horror, Sci-Fi, Thriller</v>
      </c>
      <c r="D5376" s="2">
        <f>IF(A5376&lt;&gt;"", VLOOKUP(A5376, imdb_netflix_v5!A$2:H$7370, 4, FALSE), "")</f>
        <v>7.1</v>
      </c>
      <c r="E5376" s="2">
        <f>IF(A5376&lt;&gt;"", VLOOKUP(A5376, imdb_netflix_v5!A$2:H$7370, 5, FALSE), "")</f>
        <v>2007</v>
      </c>
      <c r="F5376" s="2">
        <f>IF(A5376&lt;&gt;"", VLOOKUP(A5376, imdb_netflix_v5!A$2:H$7370, 7, FALSE), "")</f>
        <v>6230000</v>
      </c>
    </row>
    <row r="5377" ht="15.75" customHeight="1">
      <c r="A5377" s="1" t="str">
        <f>IFERROR(__xludf.DUMMYFUNCTION("""COMPUTED_VALUE"""),"pitch perfect")</f>
        <v>pitch perfect</v>
      </c>
      <c r="B5377" s="1" t="str">
        <f>IF(A5377&lt;&gt;"", VLOOKUP(A5377, imdb_netflix_v5!A$2:H$7370, 2, FALSE), "")</f>
        <v>Movie</v>
      </c>
      <c r="C5377" s="2" t="str">
        <f>IF(A5377&lt;&gt;"", VLOOKUP(A5377, imdb_netflix_v5!A$2:H$7370, 3, FALSE), "")</f>
        <v>Comedy, Music, Romance</v>
      </c>
      <c r="D5377" s="2">
        <f>IF(A5377&lt;&gt;"", VLOOKUP(A5377, imdb_netflix_v5!A$2:H$7370, 4, FALSE), "")</f>
        <v>7.1</v>
      </c>
      <c r="E5377" s="2">
        <f>IF(A5377&lt;&gt;"", VLOOKUP(A5377, imdb_netflix_v5!A$2:H$7370, 5, FALSE), "")</f>
        <v>2012</v>
      </c>
      <c r="F5377" s="2">
        <f>IF(A5377&lt;&gt;"", VLOOKUP(A5377, imdb_netflix_v5!A$2:H$7370, 7, FALSE), "")</f>
        <v>4580000</v>
      </c>
    </row>
    <row r="5378" ht="15.75" customHeight="1">
      <c r="A5378" s="1" t="str">
        <f>IFERROR(__xludf.DUMMYFUNCTION("""COMPUTED_VALUE"""),"batman returns")</f>
        <v>batman returns</v>
      </c>
      <c r="B5378" s="1" t="str">
        <f>IF(A5378&lt;&gt;"", VLOOKUP(A5378, imdb_netflix_v5!A$2:H$7370, 2, FALSE), "")</f>
        <v>Movie</v>
      </c>
      <c r="C5378" s="2" t="str">
        <f>IF(A5378&lt;&gt;"", VLOOKUP(A5378, imdb_netflix_v5!A$2:H$7370, 3, FALSE), "")</f>
        <v>Action, Crime, Fantasy</v>
      </c>
      <c r="D5378" s="2">
        <f>IF(A5378&lt;&gt;"", VLOOKUP(A5378, imdb_netflix_v5!A$2:H$7370, 4, FALSE), "")</f>
        <v>7.1</v>
      </c>
      <c r="E5378" s="2">
        <f>IF(A5378&lt;&gt;"", VLOOKUP(A5378, imdb_netflix_v5!A$2:H$7370, 5, FALSE), "")</f>
        <v>1992</v>
      </c>
      <c r="F5378" s="2" t="str">
        <f>IF(A5378&lt;&gt;"", VLOOKUP(A5378, imdb_netflix_v5!A$2:H$7370, 7, FALSE), "")</f>
        <v>NA</v>
      </c>
    </row>
    <row r="5379" ht="15.75" customHeight="1">
      <c r="A5379" s="1" t="str">
        <f>IFERROR(__xludf.DUMMYFUNCTION("""COMPUTED_VALUE"""),"theres something about mary")</f>
        <v>theres something about mary</v>
      </c>
      <c r="B5379" s="1" t="str">
        <f>IF(A5379&lt;&gt;"", VLOOKUP(A5379, imdb_netflix_v5!A$2:H$7370, 2, FALSE), "")</f>
        <v>Movie</v>
      </c>
      <c r="C5379" s="2" t="str">
        <f>IF(A5379&lt;&gt;"", VLOOKUP(A5379, imdb_netflix_v5!A$2:H$7370, 3, FALSE), "")</f>
        <v>Comedy, Romance</v>
      </c>
      <c r="D5379" s="2">
        <f>IF(A5379&lt;&gt;"", VLOOKUP(A5379, imdb_netflix_v5!A$2:H$7370, 4, FALSE), "")</f>
        <v>7.1</v>
      </c>
      <c r="E5379" s="2">
        <f>IF(A5379&lt;&gt;"", VLOOKUP(A5379, imdb_netflix_v5!A$2:H$7370, 5, FALSE), "")</f>
        <v>1998</v>
      </c>
      <c r="F5379" s="2" t="str">
        <f>IF(A5379&lt;&gt;"", VLOOKUP(A5379, imdb_netflix_v5!A$2:H$7370, 7, FALSE), "")</f>
        <v>NA</v>
      </c>
    </row>
    <row r="5380" ht="15.75" customHeight="1">
      <c r="A5380" s="1" t="str">
        <f>IFERROR(__xludf.DUMMYFUNCTION("""COMPUTED_VALUE"""),"deja vu")</f>
        <v>deja vu</v>
      </c>
      <c r="B5380" s="1" t="str">
        <f>IF(A5380&lt;&gt;"", VLOOKUP(A5380, imdb_netflix_v5!A$2:H$7370, 2, FALSE), "")</f>
        <v>Movie</v>
      </c>
      <c r="C5380" s="2" t="str">
        <f>IF(A5380&lt;&gt;"", VLOOKUP(A5380, imdb_netflix_v5!A$2:H$7370, 3, FALSE), "")</f>
        <v>Action, Crime, Sci-Fi</v>
      </c>
      <c r="D5380" s="2">
        <f>IF(A5380&lt;&gt;"", VLOOKUP(A5380, imdb_netflix_v5!A$2:H$7370, 4, FALSE), "")</f>
        <v>7.1</v>
      </c>
      <c r="E5380" s="2">
        <f>IF(A5380&lt;&gt;"", VLOOKUP(A5380, imdb_netflix_v5!A$2:H$7370, 5, FALSE), "")</f>
        <v>2006</v>
      </c>
      <c r="F5380" s="2" t="str">
        <f>IF(A5380&lt;&gt;"", VLOOKUP(A5380, imdb_netflix_v5!A$2:H$7370, 7, FALSE), "")</f>
        <v>NA</v>
      </c>
    </row>
    <row r="5381" ht="15.75" customHeight="1">
      <c r="A5381" s="1" t="str">
        <f>IFERROR(__xludf.DUMMYFUNCTION("""COMPUTED_VALUE"""),"elf")</f>
        <v>elf</v>
      </c>
      <c r="B5381" s="1" t="str">
        <f>IF(A5381&lt;&gt;"", VLOOKUP(A5381, imdb_netflix_v5!A$2:H$7370, 2, FALSE), "")</f>
        <v>Movie</v>
      </c>
      <c r="C5381" s="2" t="str">
        <f>IF(A5381&lt;&gt;"", VLOOKUP(A5381, imdb_netflix_v5!A$2:H$7370, 3, FALSE), "")</f>
        <v>Adventure, Comedy, Family</v>
      </c>
      <c r="D5381" s="2">
        <f>IF(A5381&lt;&gt;"", VLOOKUP(A5381, imdb_netflix_v5!A$2:H$7370, 4, FALSE), "")</f>
        <v>7.1</v>
      </c>
      <c r="E5381" s="2">
        <f>IF(A5381&lt;&gt;"", VLOOKUP(A5381, imdb_netflix_v5!A$2:H$7370, 5, FALSE), "")</f>
        <v>2003</v>
      </c>
      <c r="F5381" s="2" t="str">
        <f>IF(A5381&lt;&gt;"", VLOOKUP(A5381, imdb_netflix_v5!A$2:H$7370, 7, FALSE), "")</f>
        <v>NA</v>
      </c>
    </row>
    <row r="5382" ht="15.75" customHeight="1">
      <c r="A5382" s="1" t="str">
        <f>IFERROR(__xludf.DUMMYFUNCTION("""COMPUTED_VALUE"""),"dont breathe")</f>
        <v>dont breathe</v>
      </c>
      <c r="B5382" s="1" t="str">
        <f>IF(A5382&lt;&gt;"", VLOOKUP(A5382, imdb_netflix_v5!A$2:H$7370, 2, FALSE), "")</f>
        <v>Movie</v>
      </c>
      <c r="C5382" s="2" t="str">
        <f>IF(A5382&lt;&gt;"", VLOOKUP(A5382, imdb_netflix_v5!A$2:H$7370, 3, FALSE), "")</f>
        <v>Crime, Horror, Thriller</v>
      </c>
      <c r="D5382" s="2">
        <f>IF(A5382&lt;&gt;"", VLOOKUP(A5382, imdb_netflix_v5!A$2:H$7370, 4, FALSE), "")</f>
        <v>7.1</v>
      </c>
      <c r="E5382" s="2">
        <f>IF(A5382&lt;&gt;"", VLOOKUP(A5382, imdb_netflix_v5!A$2:H$7370, 5, FALSE), "")</f>
        <v>2016</v>
      </c>
      <c r="F5382" s="2" t="str">
        <f>IF(A5382&lt;&gt;"", VLOOKUP(A5382, imdb_netflix_v5!A$2:H$7370, 7, FALSE), "")</f>
        <v>NA</v>
      </c>
    </row>
    <row r="5383" ht="15.75" customHeight="1">
      <c r="A5383" s="1" t="str">
        <f>IFERROR(__xludf.DUMMYFUNCTION("""COMPUTED_VALUE"""),"blade")</f>
        <v>blade</v>
      </c>
      <c r="B5383" s="1" t="str">
        <f>IF(A5383&lt;&gt;"", VLOOKUP(A5383, imdb_netflix_v5!A$2:H$7370, 2, FALSE), "")</f>
        <v>Movie</v>
      </c>
      <c r="C5383" s="2" t="str">
        <f>IF(A5383&lt;&gt;"", VLOOKUP(A5383, imdb_netflix_v5!A$2:H$7370, 3, FALSE), "")</f>
        <v>Action, Horror, Sci-Fi</v>
      </c>
      <c r="D5383" s="2">
        <f>IF(A5383&lt;&gt;"", VLOOKUP(A5383, imdb_netflix_v5!A$2:H$7370, 4, FALSE), "")</f>
        <v>7.1</v>
      </c>
      <c r="E5383" s="2">
        <f>IF(A5383&lt;&gt;"", VLOOKUP(A5383, imdb_netflix_v5!A$2:H$7370, 5, FALSE), "")</f>
        <v>1998</v>
      </c>
      <c r="F5383" s="2" t="str">
        <f>IF(A5383&lt;&gt;"", VLOOKUP(A5383, imdb_netflix_v5!A$2:H$7370, 7, FALSE), "")</f>
        <v>NA</v>
      </c>
    </row>
    <row r="5384" ht="15.75" customHeight="1">
      <c r="A5384" s="1" t="str">
        <f>IFERROR(__xludf.DUMMYFUNCTION("""COMPUTED_VALUE"""),"the lobster")</f>
        <v>the lobster</v>
      </c>
      <c r="B5384" s="1" t="str">
        <f>IF(A5384&lt;&gt;"", VLOOKUP(A5384, imdb_netflix_v5!A$2:H$7370, 2, FALSE), "")</f>
        <v>Movie</v>
      </c>
      <c r="C5384" s="2" t="str">
        <f>IF(A5384&lt;&gt;"", VLOOKUP(A5384, imdb_netflix_v5!A$2:H$7370, 3, FALSE), "")</f>
        <v>Drama, Romance, Sci-Fi</v>
      </c>
      <c r="D5384" s="2">
        <f>IF(A5384&lt;&gt;"", VLOOKUP(A5384, imdb_netflix_v5!A$2:H$7370, 4, FALSE), "")</f>
        <v>7.1</v>
      </c>
      <c r="E5384" s="2">
        <f>IF(A5384&lt;&gt;"", VLOOKUP(A5384, imdb_netflix_v5!A$2:H$7370, 5, FALSE), "")</f>
        <v>2015</v>
      </c>
      <c r="F5384" s="2" t="str">
        <f>IF(A5384&lt;&gt;"", VLOOKUP(A5384, imdb_netflix_v5!A$2:H$7370, 7, FALSE), "")</f>
        <v>NA</v>
      </c>
    </row>
    <row r="5385" ht="15.75" customHeight="1">
      <c r="A5385" s="1" t="str">
        <f>IFERROR(__xludf.DUMMYFUNCTION("""COMPUTED_VALUE"""),"forgetting sarah marshall")</f>
        <v>forgetting sarah marshall</v>
      </c>
      <c r="B5385" s="1" t="str">
        <f>IF(A5385&lt;&gt;"", VLOOKUP(A5385, imdb_netflix_v5!A$2:H$7370, 2, FALSE), "")</f>
        <v>Movie</v>
      </c>
      <c r="C5385" s="2" t="str">
        <f>IF(A5385&lt;&gt;"", VLOOKUP(A5385, imdb_netflix_v5!A$2:H$7370, 3, FALSE), "")</f>
        <v>Comedy, Drama, Romance</v>
      </c>
      <c r="D5385" s="2">
        <f>IF(A5385&lt;&gt;"", VLOOKUP(A5385, imdb_netflix_v5!A$2:H$7370, 4, FALSE), "")</f>
        <v>7.1</v>
      </c>
      <c r="E5385" s="2">
        <f>IF(A5385&lt;&gt;"", VLOOKUP(A5385, imdb_netflix_v5!A$2:H$7370, 5, FALSE), "")</f>
        <v>2008</v>
      </c>
      <c r="F5385" s="2" t="str">
        <f>IF(A5385&lt;&gt;"", VLOOKUP(A5385, imdb_netflix_v5!A$2:H$7370, 7, FALSE), "")</f>
        <v>NA</v>
      </c>
    </row>
    <row r="5386" ht="15.75" customHeight="1">
      <c r="A5386" s="1" t="str">
        <f>IFERROR(__xludf.DUMMYFUNCTION("""COMPUTED_VALUE"""),"dredd")</f>
        <v>dredd</v>
      </c>
      <c r="B5386" s="1" t="str">
        <f>IF(A5386&lt;&gt;"", VLOOKUP(A5386, imdb_netflix_v5!A$2:H$7370, 2, FALSE), "")</f>
        <v>Movie</v>
      </c>
      <c r="C5386" s="2" t="str">
        <f>IF(A5386&lt;&gt;"", VLOOKUP(A5386, imdb_netflix_v5!A$2:H$7370, 3, FALSE), "")</f>
        <v>Action, Crime, Sci-Fi</v>
      </c>
      <c r="D5386" s="2">
        <f>IF(A5386&lt;&gt;"", VLOOKUP(A5386, imdb_netflix_v5!A$2:H$7370, 4, FALSE), "")</f>
        <v>7.1</v>
      </c>
      <c r="E5386" s="2">
        <f>IF(A5386&lt;&gt;"", VLOOKUP(A5386, imdb_netflix_v5!A$2:H$7370, 5, FALSE), "")</f>
        <v>2012</v>
      </c>
      <c r="F5386" s="2" t="str">
        <f>IF(A5386&lt;&gt;"", VLOOKUP(A5386, imdb_netflix_v5!A$2:H$7370, 7, FALSE), "")</f>
        <v>NA</v>
      </c>
    </row>
    <row r="5387" ht="15.75" customHeight="1">
      <c r="A5387" s="1" t="str">
        <f>IFERROR(__xludf.DUMMYFUNCTION("""COMPUTED_VALUE"""),"mrs. doubtfire")</f>
        <v>mrs. doubtfire</v>
      </c>
      <c r="B5387" s="1" t="str">
        <f>IF(A5387&lt;&gt;"", VLOOKUP(A5387, imdb_netflix_v5!A$2:H$7370, 2, FALSE), "")</f>
        <v>Movie</v>
      </c>
      <c r="C5387" s="2" t="str">
        <f>IF(A5387&lt;&gt;"", VLOOKUP(A5387, imdb_netflix_v5!A$2:H$7370, 3, FALSE), "")</f>
        <v>Comedy, Drama</v>
      </c>
      <c r="D5387" s="2">
        <f>IF(A5387&lt;&gt;"", VLOOKUP(A5387, imdb_netflix_v5!A$2:H$7370, 4, FALSE), "")</f>
        <v>7.1</v>
      </c>
      <c r="E5387" s="2">
        <f>IF(A5387&lt;&gt;"", VLOOKUP(A5387, imdb_netflix_v5!A$2:H$7370, 5, FALSE), "")</f>
        <v>1993</v>
      </c>
      <c r="F5387" s="2" t="str">
        <f>IF(A5387&lt;&gt;"", VLOOKUP(A5387, imdb_netflix_v5!A$2:H$7370, 7, FALSE), "")</f>
        <v>NA</v>
      </c>
    </row>
    <row r="5388" ht="15.75" customHeight="1">
      <c r="A5388" s="1" t="str">
        <f>IFERROR(__xludf.DUMMYFUNCTION("""COMPUTED_VALUE"""),"phone booth")</f>
        <v>phone booth</v>
      </c>
      <c r="B5388" s="1" t="str">
        <f>IF(A5388&lt;&gt;"", VLOOKUP(A5388, imdb_netflix_v5!A$2:H$7370, 2, FALSE), "")</f>
        <v>Movie</v>
      </c>
      <c r="C5388" s="2" t="str">
        <f>IF(A5388&lt;&gt;"", VLOOKUP(A5388, imdb_netflix_v5!A$2:H$7370, 3, FALSE), "")</f>
        <v>Crime, Thriller</v>
      </c>
      <c r="D5388" s="2">
        <f>IF(A5388&lt;&gt;"", VLOOKUP(A5388, imdb_netflix_v5!A$2:H$7370, 4, FALSE), "")</f>
        <v>7.1</v>
      </c>
      <c r="E5388" s="2">
        <f>IF(A5388&lt;&gt;"", VLOOKUP(A5388, imdb_netflix_v5!A$2:H$7370, 5, FALSE), "")</f>
        <v>2002</v>
      </c>
      <c r="F5388" s="2" t="str">
        <f>IF(A5388&lt;&gt;"", VLOOKUP(A5388, imdb_netflix_v5!A$2:H$7370, 7, FALSE), "")</f>
        <v>NA</v>
      </c>
    </row>
    <row r="5389" ht="15.75" customHeight="1">
      <c r="A5389" s="1" t="str">
        <f>IFERROR(__xludf.DUMMYFUNCTION("""COMPUTED_VALUE"""),"the intern")</f>
        <v>the intern</v>
      </c>
      <c r="B5389" s="1" t="str">
        <f>IF(A5389&lt;&gt;"", VLOOKUP(A5389, imdb_netflix_v5!A$2:H$7370, 2, FALSE), "")</f>
        <v>Movie</v>
      </c>
      <c r="C5389" s="2" t="str">
        <f>IF(A5389&lt;&gt;"", VLOOKUP(A5389, imdb_netflix_v5!A$2:H$7370, 3, FALSE), "")</f>
        <v>Comedy, Drama</v>
      </c>
      <c r="D5389" s="2">
        <f>IF(A5389&lt;&gt;"", VLOOKUP(A5389, imdb_netflix_v5!A$2:H$7370, 4, FALSE), "")</f>
        <v>7.1</v>
      </c>
      <c r="E5389" s="2">
        <f>IF(A5389&lt;&gt;"", VLOOKUP(A5389, imdb_netflix_v5!A$2:H$7370, 5, FALSE), "")</f>
        <v>2015</v>
      </c>
      <c r="F5389" s="2" t="str">
        <f>IF(A5389&lt;&gt;"", VLOOKUP(A5389, imdb_netflix_v5!A$2:H$7370, 7, FALSE), "")</f>
        <v>NA</v>
      </c>
    </row>
    <row r="5390" ht="15.75" customHeight="1">
      <c r="A5390" s="1" t="str">
        <f>IFERROR(__xludf.DUMMYFUNCTION("""COMPUTED_VALUE"""),"two and a half men")</f>
        <v>two and a half men</v>
      </c>
      <c r="B5390" s="1" t="str">
        <f>IF(A5390&lt;&gt;"", VLOOKUP(A5390, imdb_netflix_v5!A$2:H$7370, 2, FALSE), "")</f>
        <v>TV Show</v>
      </c>
      <c r="C5390" s="2" t="str">
        <f>IF(A5390&lt;&gt;"", VLOOKUP(A5390, imdb_netflix_v5!A$2:H$7370, 3, FALSE), "")</f>
        <v>Comedy, Romance</v>
      </c>
      <c r="D5390" s="2">
        <f>IF(A5390&lt;&gt;"", VLOOKUP(A5390, imdb_netflix_v5!A$2:H$7370, 4, FALSE), "")</f>
        <v>7.1</v>
      </c>
      <c r="E5390" s="2">
        <f>IF(A5390&lt;&gt;"", VLOOKUP(A5390, imdb_netflix_v5!A$2:H$7370, 5, FALSE), "")</f>
        <v>2003</v>
      </c>
      <c r="F5390" s="2" t="str">
        <f>IF(A5390&lt;&gt;"", VLOOKUP(A5390, imdb_netflix_v5!A$2:H$7370, 7, FALSE), "")</f>
        <v>NA</v>
      </c>
    </row>
    <row r="5391" ht="15.75" customHeight="1">
      <c r="A5391" s="1" t="str">
        <f>IFERROR(__xludf.DUMMYFUNCTION("""COMPUTED_VALUE"""),"seven psychopaths")</f>
        <v>seven psychopaths</v>
      </c>
      <c r="B5391" s="1" t="str">
        <f>IF(A5391&lt;&gt;"", VLOOKUP(A5391, imdb_netflix_v5!A$2:H$7370, 2, FALSE), "")</f>
        <v>Movie</v>
      </c>
      <c r="C5391" s="2" t="str">
        <f>IF(A5391&lt;&gt;"", VLOOKUP(A5391, imdb_netflix_v5!A$2:H$7370, 3, FALSE), "")</f>
        <v>Comedy, Crime</v>
      </c>
      <c r="D5391" s="2">
        <f>IF(A5391&lt;&gt;"", VLOOKUP(A5391, imdb_netflix_v5!A$2:H$7370, 4, FALSE), "")</f>
        <v>7.1</v>
      </c>
      <c r="E5391" s="2">
        <f>IF(A5391&lt;&gt;"", VLOOKUP(A5391, imdb_netflix_v5!A$2:H$7370, 5, FALSE), "")</f>
        <v>2012</v>
      </c>
      <c r="F5391" s="2" t="str">
        <f>IF(A5391&lt;&gt;"", VLOOKUP(A5391, imdb_netflix_v5!A$2:H$7370, 7, FALSE), "")</f>
        <v>NA</v>
      </c>
    </row>
    <row r="5392" ht="15.75" customHeight="1">
      <c r="A5392" s="1" t="str">
        <f>IFERROR(__xludf.DUMMYFUNCTION("""COMPUTED_VALUE"""),"vicky cristina barcelona")</f>
        <v>vicky cristina barcelona</v>
      </c>
      <c r="B5392" s="1" t="str">
        <f>IF(A5392&lt;&gt;"", VLOOKUP(A5392, imdb_netflix_v5!A$2:H$7370, 2, FALSE), "")</f>
        <v>Movie</v>
      </c>
      <c r="C5392" s="2" t="str">
        <f>IF(A5392&lt;&gt;"", VLOOKUP(A5392, imdb_netflix_v5!A$2:H$7370, 3, FALSE), "")</f>
        <v>Comedy, Drama, Romance</v>
      </c>
      <c r="D5392" s="2">
        <f>IF(A5392&lt;&gt;"", VLOOKUP(A5392, imdb_netflix_v5!A$2:H$7370, 4, FALSE), "")</f>
        <v>7.1</v>
      </c>
      <c r="E5392" s="2">
        <f>IF(A5392&lt;&gt;"", VLOOKUP(A5392, imdb_netflix_v5!A$2:H$7370, 5, FALSE), "")</f>
        <v>2008</v>
      </c>
      <c r="F5392" s="2" t="str">
        <f>IF(A5392&lt;&gt;"", VLOOKUP(A5392, imdb_netflix_v5!A$2:H$7370, 7, FALSE), "")</f>
        <v>NA</v>
      </c>
    </row>
    <row r="5393" ht="15.75" customHeight="1">
      <c r="A5393" s="1" t="str">
        <f>IFERROR(__xludf.DUMMYFUNCTION("""COMPUTED_VALUE"""),"war dogs")</f>
        <v>war dogs</v>
      </c>
      <c r="B5393" s="1" t="str">
        <f>IF(A5393&lt;&gt;"", VLOOKUP(A5393, imdb_netflix_v5!A$2:H$7370, 2, FALSE), "")</f>
        <v>Movie</v>
      </c>
      <c r="C5393" s="2" t="str">
        <f>IF(A5393&lt;&gt;"", VLOOKUP(A5393, imdb_netflix_v5!A$2:H$7370, 3, FALSE), "")</f>
        <v>Biography, Comedy, Crime</v>
      </c>
      <c r="D5393" s="2">
        <f>IF(A5393&lt;&gt;"", VLOOKUP(A5393, imdb_netflix_v5!A$2:H$7370, 4, FALSE), "")</f>
        <v>7.1</v>
      </c>
      <c r="E5393" s="2">
        <f>IF(A5393&lt;&gt;"", VLOOKUP(A5393, imdb_netflix_v5!A$2:H$7370, 5, FALSE), "")</f>
        <v>2016</v>
      </c>
      <c r="F5393" s="2" t="str">
        <f>IF(A5393&lt;&gt;"", VLOOKUP(A5393, imdb_netflix_v5!A$2:H$7370, 7, FALSE), "")</f>
        <v>NA</v>
      </c>
    </row>
    <row r="5394" ht="15.75" customHeight="1">
      <c r="A5394" s="1" t="str">
        <f>IFERROR(__xludf.DUMMYFUNCTION("""COMPUTED_VALUE"""),"dirty dancing")</f>
        <v>dirty dancing</v>
      </c>
      <c r="B5394" s="1" t="str">
        <f>IF(A5394&lt;&gt;"", VLOOKUP(A5394, imdb_netflix_v5!A$2:H$7370, 2, FALSE), "")</f>
        <v>Movie</v>
      </c>
      <c r="C5394" s="2" t="str">
        <f>IF(A5394&lt;&gt;"", VLOOKUP(A5394, imdb_netflix_v5!A$2:H$7370, 3, FALSE), "")</f>
        <v>Drama, Music, Romance</v>
      </c>
      <c r="D5394" s="2">
        <f>IF(A5394&lt;&gt;"", VLOOKUP(A5394, imdb_netflix_v5!A$2:H$7370, 4, FALSE), "")</f>
        <v>7.1</v>
      </c>
      <c r="E5394" s="2">
        <f>IF(A5394&lt;&gt;"", VLOOKUP(A5394, imdb_netflix_v5!A$2:H$7370, 5, FALSE), "")</f>
        <v>1987</v>
      </c>
      <c r="F5394" s="2" t="str">
        <f>IF(A5394&lt;&gt;"", VLOOKUP(A5394, imdb_netflix_v5!A$2:H$7370, 7, FALSE), "")</f>
        <v>NA</v>
      </c>
    </row>
    <row r="5395" ht="15.75" customHeight="1">
      <c r="A5395" s="1" t="str">
        <f>IFERROR(__xludf.DUMMYFUNCTION("""COMPUTED_VALUE"""),"valkyrie")</f>
        <v>valkyrie</v>
      </c>
      <c r="B5395" s="1" t="str">
        <f>IF(A5395&lt;&gt;"", VLOOKUP(A5395, imdb_netflix_v5!A$2:H$7370, 2, FALSE), "")</f>
        <v>Movie</v>
      </c>
      <c r="C5395" s="2" t="str">
        <f>IF(A5395&lt;&gt;"", VLOOKUP(A5395, imdb_netflix_v5!A$2:H$7370, 3, FALSE), "")</f>
        <v>Drama, History, Thriller</v>
      </c>
      <c r="D5395" s="2">
        <f>IF(A5395&lt;&gt;"", VLOOKUP(A5395, imdb_netflix_v5!A$2:H$7370, 4, FALSE), "")</f>
        <v>7.1</v>
      </c>
      <c r="E5395" s="2">
        <f>IF(A5395&lt;&gt;"", VLOOKUP(A5395, imdb_netflix_v5!A$2:H$7370, 5, FALSE), "")</f>
        <v>2008</v>
      </c>
      <c r="F5395" s="2" t="str">
        <f>IF(A5395&lt;&gt;"", VLOOKUP(A5395, imdb_netflix_v5!A$2:H$7370, 7, FALSE), "")</f>
        <v>NA</v>
      </c>
    </row>
    <row r="5396" ht="15.75" customHeight="1">
      <c r="A5396" s="1" t="str">
        <f>IFERROR(__xludf.DUMMYFUNCTION("""COMPUTED_VALUE"""),"the falcon and the winter soldier")</f>
        <v>the falcon and the winter soldier</v>
      </c>
      <c r="B5396" s="1" t="str">
        <f>IF(A5396&lt;&gt;"", VLOOKUP(A5396, imdb_netflix_v5!A$2:H$7370, 2, FALSE), "")</f>
        <v>TV Show</v>
      </c>
      <c r="C5396" s="2" t="str">
        <f>IF(A5396&lt;&gt;"", VLOOKUP(A5396, imdb_netflix_v5!A$2:H$7370, 3, FALSE), "")</f>
        <v>Action, Adventure, Drama</v>
      </c>
      <c r="D5396" s="2">
        <f>IF(A5396&lt;&gt;"", VLOOKUP(A5396, imdb_netflix_v5!A$2:H$7370, 4, FALSE), "")</f>
        <v>7.1</v>
      </c>
      <c r="E5396" s="2">
        <f>IF(A5396&lt;&gt;"", VLOOKUP(A5396, imdb_netflix_v5!A$2:H$7370, 5, FALSE), "")</f>
        <v>2021</v>
      </c>
      <c r="F5396" s="2" t="str">
        <f>IF(A5396&lt;&gt;"", VLOOKUP(A5396, imdb_netflix_v5!A$2:H$7370, 7, FALSE), "")</f>
        <v>NA</v>
      </c>
    </row>
    <row r="5397" ht="15.75" customHeight="1">
      <c r="A5397" s="1" t="str">
        <f>IFERROR(__xludf.DUMMYFUNCTION("""COMPUTED_VALUE"""),"cube")</f>
        <v>cube</v>
      </c>
      <c r="B5397" s="1" t="str">
        <f>IF(A5397&lt;&gt;"", VLOOKUP(A5397, imdb_netflix_v5!A$2:H$7370, 2, FALSE), "")</f>
        <v>Movie</v>
      </c>
      <c r="C5397" s="2" t="str">
        <f>IF(A5397&lt;&gt;"", VLOOKUP(A5397, imdb_netflix_v5!A$2:H$7370, 3, FALSE), "")</f>
        <v>Horror, Mystery, Sci-Fi</v>
      </c>
      <c r="D5397" s="2">
        <f>IF(A5397&lt;&gt;"", VLOOKUP(A5397, imdb_netflix_v5!A$2:H$7370, 4, FALSE), "")</f>
        <v>7.1</v>
      </c>
      <c r="E5397" s="2">
        <f>IF(A5397&lt;&gt;"", VLOOKUP(A5397, imdb_netflix_v5!A$2:H$7370, 5, FALSE), "")</f>
        <v>1997</v>
      </c>
      <c r="F5397" s="2" t="str">
        <f>IF(A5397&lt;&gt;"", VLOOKUP(A5397, imdb_netflix_v5!A$2:H$7370, 7, FALSE), "")</f>
        <v>NA</v>
      </c>
    </row>
    <row r="5398" ht="15.75" customHeight="1">
      <c r="A5398" s="1" t="str">
        <f>IFERROR(__xludf.DUMMYFUNCTION("""COMPUTED_VALUE"""),"ghost")</f>
        <v>ghost</v>
      </c>
      <c r="B5398" s="1" t="str">
        <f>IF(A5398&lt;&gt;"", VLOOKUP(A5398, imdb_netflix_v5!A$2:H$7370, 2, FALSE), "")</f>
        <v>Movie</v>
      </c>
      <c r="C5398" s="2" t="str">
        <f>IF(A5398&lt;&gt;"", VLOOKUP(A5398, imdb_netflix_v5!A$2:H$7370, 3, FALSE), "")</f>
        <v>Drama, Fantasy, Romance</v>
      </c>
      <c r="D5398" s="2">
        <f>IF(A5398&lt;&gt;"", VLOOKUP(A5398, imdb_netflix_v5!A$2:H$7370, 4, FALSE), "")</f>
        <v>7.1</v>
      </c>
      <c r="E5398" s="2">
        <f>IF(A5398&lt;&gt;"", VLOOKUP(A5398, imdb_netflix_v5!A$2:H$7370, 5, FALSE), "")</f>
        <v>1990</v>
      </c>
      <c r="F5398" s="2" t="str">
        <f>IF(A5398&lt;&gt;"", VLOOKUP(A5398, imdb_netflix_v5!A$2:H$7370, 7, FALSE), "")</f>
        <v>NA</v>
      </c>
    </row>
    <row r="5399" ht="15.75" customHeight="1">
      <c r="A5399" s="1" t="str">
        <f>IFERROR(__xludf.DUMMYFUNCTION("""COMPUTED_VALUE"""),"prey")</f>
        <v>prey</v>
      </c>
      <c r="B5399" s="1" t="str">
        <f>IF(A5399&lt;&gt;"", VLOOKUP(A5399, imdb_netflix_v5!A$2:H$7370, 2, FALSE), "")</f>
        <v>Movie</v>
      </c>
      <c r="C5399" s="2" t="str">
        <f>IF(A5399&lt;&gt;"", VLOOKUP(A5399, imdb_netflix_v5!A$2:H$7370, 3, FALSE), "")</f>
        <v>Action, Adventure, Horror</v>
      </c>
      <c r="D5399" s="2">
        <f>IF(A5399&lt;&gt;"", VLOOKUP(A5399, imdb_netflix_v5!A$2:H$7370, 4, FALSE), "")</f>
        <v>7.1</v>
      </c>
      <c r="E5399" s="2">
        <f>IF(A5399&lt;&gt;"", VLOOKUP(A5399, imdb_netflix_v5!A$2:H$7370, 5, FALSE), "")</f>
        <v>2022</v>
      </c>
      <c r="F5399" s="2">
        <f>IF(A5399&lt;&gt;"", VLOOKUP(A5399, imdb_netflix_v5!A$2:H$7370, 7, FALSE), "")</f>
        <v>2330000</v>
      </c>
    </row>
    <row r="5400" ht="15.75" customHeight="1">
      <c r="A5400" s="1" t="str">
        <f>IFERROR(__xludf.DUMMYFUNCTION("""COMPUTED_VALUE"""),"the croods")</f>
        <v>the croods</v>
      </c>
      <c r="B5400" s="1" t="str">
        <f>IF(A5400&lt;&gt;"", VLOOKUP(A5400, imdb_netflix_v5!A$2:H$7370, 2, FALSE), "")</f>
        <v>Movie</v>
      </c>
      <c r="C5400" s="2" t="str">
        <f>IF(A5400&lt;&gt;"", VLOOKUP(A5400, imdb_netflix_v5!A$2:H$7370, 3, FALSE), "")</f>
        <v>Adventure, Animation, Comedy</v>
      </c>
      <c r="D5400" s="2">
        <f>IF(A5400&lt;&gt;"", VLOOKUP(A5400, imdb_netflix_v5!A$2:H$7370, 4, FALSE), "")</f>
        <v>7.1</v>
      </c>
      <c r="E5400" s="2">
        <f>IF(A5400&lt;&gt;"", VLOOKUP(A5400, imdb_netflix_v5!A$2:H$7370, 5, FALSE), "")</f>
        <v>2013</v>
      </c>
      <c r="F5400" s="2">
        <f>IF(A5400&lt;&gt;"", VLOOKUP(A5400, imdb_netflix_v5!A$2:H$7370, 7, FALSE), "")</f>
        <v>5200000</v>
      </c>
    </row>
    <row r="5401" ht="15.75" customHeight="1">
      <c r="A5401" s="1" t="str">
        <f>IFERROR(__xludf.DUMMYFUNCTION("""COMPUTED_VALUE"""),"shakespeare in love")</f>
        <v>shakespeare in love</v>
      </c>
      <c r="B5401" s="1" t="str">
        <f>IF(A5401&lt;&gt;"", VLOOKUP(A5401, imdb_netflix_v5!A$2:H$7370, 2, FALSE), "")</f>
        <v>Movie</v>
      </c>
      <c r="C5401" s="2" t="str">
        <f>IF(A5401&lt;&gt;"", VLOOKUP(A5401, imdb_netflix_v5!A$2:H$7370, 3, FALSE), "")</f>
        <v>Comedy, Drama, History</v>
      </c>
      <c r="D5401" s="2">
        <f>IF(A5401&lt;&gt;"", VLOOKUP(A5401, imdb_netflix_v5!A$2:H$7370, 4, FALSE), "")</f>
        <v>7.1</v>
      </c>
      <c r="E5401" s="2">
        <f>IF(A5401&lt;&gt;"", VLOOKUP(A5401, imdb_netflix_v5!A$2:H$7370, 5, FALSE), "")</f>
        <v>1998</v>
      </c>
      <c r="F5401" s="2" t="str">
        <f>IF(A5401&lt;&gt;"", VLOOKUP(A5401, imdb_netflix_v5!A$2:H$7370, 7, FALSE), "")</f>
        <v>NA</v>
      </c>
    </row>
    <row r="5402" ht="15.75" customHeight="1">
      <c r="A5402" s="1" t="str">
        <f>IFERROR(__xludf.DUMMYFUNCTION("""COMPUTED_VALUE"""),"everest")</f>
        <v>everest</v>
      </c>
      <c r="B5402" s="1" t="str">
        <f>IF(A5402&lt;&gt;"", VLOOKUP(A5402, imdb_netflix_v5!A$2:H$7370, 2, FALSE), "")</f>
        <v>Movie</v>
      </c>
      <c r="C5402" s="2" t="str">
        <f>IF(A5402&lt;&gt;"", VLOOKUP(A5402, imdb_netflix_v5!A$2:H$7370, 3, FALSE), "")</f>
        <v>Adventure, Biography, Drama</v>
      </c>
      <c r="D5402" s="2">
        <f>IF(A5402&lt;&gt;"", VLOOKUP(A5402, imdb_netflix_v5!A$2:H$7370, 4, FALSE), "")</f>
        <v>7.1</v>
      </c>
      <c r="E5402" s="2">
        <f>IF(A5402&lt;&gt;"", VLOOKUP(A5402, imdb_netflix_v5!A$2:H$7370, 5, FALSE), "")</f>
        <v>2015</v>
      </c>
      <c r="F5402" s="2" t="str">
        <f>IF(A5402&lt;&gt;"", VLOOKUP(A5402, imdb_netflix_v5!A$2:H$7370, 7, FALSE), "")</f>
        <v>NA</v>
      </c>
    </row>
    <row r="5403" ht="15.75" customHeight="1">
      <c r="A5403" s="1" t="str">
        <f>IFERROR(__xludf.DUMMYFUNCTION("""COMPUTED_VALUE"""),"rocky balboa")</f>
        <v>rocky balboa</v>
      </c>
      <c r="B5403" s="1" t="str">
        <f>IF(A5403&lt;&gt;"", VLOOKUP(A5403, imdb_netflix_v5!A$2:H$7370, 2, FALSE), "")</f>
        <v>Movie</v>
      </c>
      <c r="C5403" s="2" t="str">
        <f>IF(A5403&lt;&gt;"", VLOOKUP(A5403, imdb_netflix_v5!A$2:H$7370, 3, FALSE), "")</f>
        <v>Drama, Sport</v>
      </c>
      <c r="D5403" s="2">
        <f>IF(A5403&lt;&gt;"", VLOOKUP(A5403, imdb_netflix_v5!A$2:H$7370, 4, FALSE), "")</f>
        <v>7.1</v>
      </c>
      <c r="E5403" s="2">
        <f>IF(A5403&lt;&gt;"", VLOOKUP(A5403, imdb_netflix_v5!A$2:H$7370, 5, FALSE), "")</f>
        <v>2006</v>
      </c>
      <c r="F5403" s="2" t="str">
        <f>IF(A5403&lt;&gt;"", VLOOKUP(A5403, imdb_netflix_v5!A$2:H$7370, 7, FALSE), "")</f>
        <v>NA</v>
      </c>
    </row>
    <row r="5404" ht="15.75" customHeight="1">
      <c r="A5404" s="1" t="str">
        <f>IFERROR(__xludf.DUMMYFUNCTION("""COMPUTED_VALUE"""),"the ides of march")</f>
        <v>the ides of march</v>
      </c>
      <c r="B5404" s="1" t="str">
        <f>IF(A5404&lt;&gt;"", VLOOKUP(A5404, imdb_netflix_v5!A$2:H$7370, 2, FALSE), "")</f>
        <v>Movie</v>
      </c>
      <c r="C5404" s="2" t="str">
        <f>IF(A5404&lt;&gt;"", VLOOKUP(A5404, imdb_netflix_v5!A$2:H$7370, 3, FALSE), "")</f>
        <v>Drama, Thriller</v>
      </c>
      <c r="D5404" s="2">
        <f>IF(A5404&lt;&gt;"", VLOOKUP(A5404, imdb_netflix_v5!A$2:H$7370, 4, FALSE), "")</f>
        <v>7.1</v>
      </c>
      <c r="E5404" s="2">
        <f>IF(A5404&lt;&gt;"", VLOOKUP(A5404, imdb_netflix_v5!A$2:H$7370, 5, FALSE), "")</f>
        <v>2011</v>
      </c>
      <c r="F5404" s="2" t="str">
        <f>IF(A5404&lt;&gt;"", VLOOKUP(A5404, imdb_netflix_v5!A$2:H$7370, 7, FALSE), "")</f>
        <v>NA</v>
      </c>
    </row>
    <row r="5405" ht="15.75" customHeight="1">
      <c r="A5405" s="1" t="str">
        <f>IFERROR(__xludf.DUMMYFUNCTION("""COMPUTED_VALUE"""),"coming to america")</f>
        <v>coming to america</v>
      </c>
      <c r="B5405" s="1" t="str">
        <f>IF(A5405&lt;&gt;"", VLOOKUP(A5405, imdb_netflix_v5!A$2:H$7370, 2, FALSE), "")</f>
        <v>Movie</v>
      </c>
      <c r="C5405" s="2" t="str">
        <f>IF(A5405&lt;&gt;"", VLOOKUP(A5405, imdb_netflix_v5!A$2:H$7370, 3, FALSE), "")</f>
        <v>Comedy, Romance</v>
      </c>
      <c r="D5405" s="2">
        <f>IF(A5405&lt;&gt;"", VLOOKUP(A5405, imdb_netflix_v5!A$2:H$7370, 4, FALSE), "")</f>
        <v>7.1</v>
      </c>
      <c r="E5405" s="2">
        <f>IF(A5405&lt;&gt;"", VLOOKUP(A5405, imdb_netflix_v5!A$2:H$7370, 5, FALSE), "")</f>
        <v>1988</v>
      </c>
      <c r="F5405" s="2" t="str">
        <f>IF(A5405&lt;&gt;"", VLOOKUP(A5405, imdb_netflix_v5!A$2:H$7370, 7, FALSE), "")</f>
        <v>NA</v>
      </c>
    </row>
    <row r="5406" ht="15.75" customHeight="1">
      <c r="A5406" s="1" t="str">
        <f>IFERROR(__xludf.DUMMYFUNCTION("""COMPUTED_VALUE"""),"basic instinct")</f>
        <v>basic instinct</v>
      </c>
      <c r="B5406" s="1" t="str">
        <f>IF(A5406&lt;&gt;"", VLOOKUP(A5406, imdb_netflix_v5!A$2:H$7370, 2, FALSE), "")</f>
        <v>Movie</v>
      </c>
      <c r="C5406" s="2" t="str">
        <f>IF(A5406&lt;&gt;"", VLOOKUP(A5406, imdb_netflix_v5!A$2:H$7370, 3, FALSE), "")</f>
        <v>Drama, Mystery, Thriller</v>
      </c>
      <c r="D5406" s="2">
        <f>IF(A5406&lt;&gt;"", VLOOKUP(A5406, imdb_netflix_v5!A$2:H$7370, 4, FALSE), "")</f>
        <v>7.1</v>
      </c>
      <c r="E5406" s="2">
        <f>IF(A5406&lt;&gt;"", VLOOKUP(A5406, imdb_netflix_v5!A$2:H$7370, 5, FALSE), "")</f>
        <v>1992</v>
      </c>
      <c r="F5406" s="2" t="str">
        <f>IF(A5406&lt;&gt;"", VLOOKUP(A5406, imdb_netflix_v5!A$2:H$7370, 7, FALSE), "")</f>
        <v>NA</v>
      </c>
    </row>
    <row r="5407" ht="15.75" customHeight="1">
      <c r="A5407" s="1" t="str">
        <f>IFERROR(__xludf.DUMMYFUNCTION("""COMPUTED_VALUE"""),"enchanted")</f>
        <v>enchanted</v>
      </c>
      <c r="B5407" s="1" t="str">
        <f>IF(A5407&lt;&gt;"", VLOOKUP(A5407, imdb_netflix_v5!A$2:H$7370, 2, FALSE), "")</f>
        <v>Movie</v>
      </c>
      <c r="C5407" s="2" t="str">
        <f>IF(A5407&lt;&gt;"", VLOOKUP(A5407, imdb_netflix_v5!A$2:H$7370, 3, FALSE), "")</f>
        <v>Adventure, Animation, Comedy</v>
      </c>
      <c r="D5407" s="2">
        <f>IF(A5407&lt;&gt;"", VLOOKUP(A5407, imdb_netflix_v5!A$2:H$7370, 4, FALSE), "")</f>
        <v>7.1</v>
      </c>
      <c r="E5407" s="2">
        <f>IF(A5407&lt;&gt;"", VLOOKUP(A5407, imdb_netflix_v5!A$2:H$7370, 5, FALSE), "")</f>
        <v>2007</v>
      </c>
      <c r="F5407" s="2" t="str">
        <f>IF(A5407&lt;&gt;"", VLOOKUP(A5407, imdb_netflix_v5!A$2:H$7370, 7, FALSE), "")</f>
        <v>NA</v>
      </c>
    </row>
    <row r="5408" ht="15.75" customHeight="1">
      <c r="A5408" s="1" t="str">
        <f>IFERROR(__xludf.DUMMYFUNCTION("""COMPUTED_VALUE"""),"wrath of man")</f>
        <v>wrath of man</v>
      </c>
      <c r="B5408" s="1" t="str">
        <f>IF(A5408&lt;&gt;"", VLOOKUP(A5408, imdb_netflix_v5!A$2:H$7370, 2, FALSE), "")</f>
        <v>Movie</v>
      </c>
      <c r="C5408" s="2" t="str">
        <f>IF(A5408&lt;&gt;"", VLOOKUP(A5408, imdb_netflix_v5!A$2:H$7370, 3, FALSE), "")</f>
        <v>Action, Crime, Thriller</v>
      </c>
      <c r="D5408" s="2">
        <f>IF(A5408&lt;&gt;"", VLOOKUP(A5408, imdb_netflix_v5!A$2:H$7370, 4, FALSE), "")</f>
        <v>7.1</v>
      </c>
      <c r="E5408" s="2">
        <f>IF(A5408&lt;&gt;"", VLOOKUP(A5408, imdb_netflix_v5!A$2:H$7370, 5, FALSE), "")</f>
        <v>2021</v>
      </c>
      <c r="F5408" s="2" t="str">
        <f>IF(A5408&lt;&gt;"", VLOOKUP(A5408, imdb_netflix_v5!A$2:H$7370, 7, FALSE), "")</f>
        <v>NA</v>
      </c>
    </row>
    <row r="5409" ht="15.75" customHeight="1">
      <c r="A5409" s="1" t="str">
        <f>IFERROR(__xludf.DUMMYFUNCTION("""COMPUTED_VALUE"""),"chicken run")</f>
        <v>chicken run</v>
      </c>
      <c r="B5409" s="1" t="str">
        <f>IF(A5409&lt;&gt;"", VLOOKUP(A5409, imdb_netflix_v5!A$2:H$7370, 2, FALSE), "")</f>
        <v>Movie</v>
      </c>
      <c r="C5409" s="2" t="str">
        <f>IF(A5409&lt;&gt;"", VLOOKUP(A5409, imdb_netflix_v5!A$2:H$7370, 3, FALSE), "")</f>
        <v>Adventure, Animation, Comedy</v>
      </c>
      <c r="D5409" s="2">
        <f>IF(A5409&lt;&gt;"", VLOOKUP(A5409, imdb_netflix_v5!A$2:H$7370, 4, FALSE), "")</f>
        <v>7.1</v>
      </c>
      <c r="E5409" s="2">
        <f>IF(A5409&lt;&gt;"", VLOOKUP(A5409, imdb_netflix_v5!A$2:H$7370, 5, FALSE), "")</f>
        <v>2000</v>
      </c>
      <c r="F5409" s="2" t="str">
        <f>IF(A5409&lt;&gt;"", VLOOKUP(A5409, imdb_netflix_v5!A$2:H$7370, 7, FALSE), "")</f>
        <v>NA</v>
      </c>
    </row>
    <row r="5410" ht="15.75" customHeight="1">
      <c r="A5410" s="1" t="str">
        <f>IFERROR(__xludf.DUMMYFUNCTION("""COMPUTED_VALUE"""),"american made")</f>
        <v>american made</v>
      </c>
      <c r="B5410" s="1" t="str">
        <f>IF(A5410&lt;&gt;"", VLOOKUP(A5410, imdb_netflix_v5!A$2:H$7370, 2, FALSE), "")</f>
        <v>Movie</v>
      </c>
      <c r="C5410" s="2" t="str">
        <f>IF(A5410&lt;&gt;"", VLOOKUP(A5410, imdb_netflix_v5!A$2:H$7370, 3, FALSE), "")</f>
        <v>Action, Comedy, Crime</v>
      </c>
      <c r="D5410" s="2">
        <f>IF(A5410&lt;&gt;"", VLOOKUP(A5410, imdb_netflix_v5!A$2:H$7370, 4, FALSE), "")</f>
        <v>7.1</v>
      </c>
      <c r="E5410" s="2">
        <f>IF(A5410&lt;&gt;"", VLOOKUP(A5410, imdb_netflix_v5!A$2:H$7370, 5, FALSE), "")</f>
        <v>2017</v>
      </c>
      <c r="F5410" s="2">
        <f>IF(A5410&lt;&gt;"", VLOOKUP(A5410, imdb_netflix_v5!A$2:H$7370, 7, FALSE), "")</f>
        <v>9300000</v>
      </c>
    </row>
    <row r="5411" ht="15.75" customHeight="1">
      <c r="A5411" s="1" t="str">
        <f>IFERROR(__xludf.DUMMYFUNCTION("""COMPUTED_VALUE"""),"spaceballs")</f>
        <v>spaceballs</v>
      </c>
      <c r="B5411" s="1" t="str">
        <f>IF(A5411&lt;&gt;"", VLOOKUP(A5411, imdb_netflix_v5!A$2:H$7370, 2, FALSE), "")</f>
        <v>Movie</v>
      </c>
      <c r="C5411" s="2" t="str">
        <f>IF(A5411&lt;&gt;"", VLOOKUP(A5411, imdb_netflix_v5!A$2:H$7370, 3, FALSE), "")</f>
        <v>Adventure, Comedy, Sci-Fi</v>
      </c>
      <c r="D5411" s="2">
        <f>IF(A5411&lt;&gt;"", VLOOKUP(A5411, imdb_netflix_v5!A$2:H$7370, 4, FALSE), "")</f>
        <v>7.1</v>
      </c>
      <c r="E5411" s="2">
        <f>IF(A5411&lt;&gt;"", VLOOKUP(A5411, imdb_netflix_v5!A$2:H$7370, 5, FALSE), "")</f>
        <v>1987</v>
      </c>
      <c r="F5411" s="2" t="str">
        <f>IF(A5411&lt;&gt;"", VLOOKUP(A5411, imdb_netflix_v5!A$2:H$7370, 7, FALSE), "")</f>
        <v>NA</v>
      </c>
    </row>
    <row r="5412" ht="15.75" customHeight="1">
      <c r="A5412" s="1" t="str">
        <f>IFERROR(__xludf.DUMMYFUNCTION("""COMPUTED_VALUE"""),"the danish girl")</f>
        <v>the danish girl</v>
      </c>
      <c r="B5412" s="1" t="str">
        <f>IF(A5412&lt;&gt;"", VLOOKUP(A5412, imdb_netflix_v5!A$2:H$7370, 2, FALSE), "")</f>
        <v>Movie</v>
      </c>
      <c r="C5412" s="2" t="str">
        <f>IF(A5412&lt;&gt;"", VLOOKUP(A5412, imdb_netflix_v5!A$2:H$7370, 3, FALSE), "")</f>
        <v>Biography, Drama</v>
      </c>
      <c r="D5412" s="2">
        <f>IF(A5412&lt;&gt;"", VLOOKUP(A5412, imdb_netflix_v5!A$2:H$7370, 4, FALSE), "")</f>
        <v>7.1</v>
      </c>
      <c r="E5412" s="2">
        <f>IF(A5412&lt;&gt;"", VLOOKUP(A5412, imdb_netflix_v5!A$2:H$7370, 5, FALSE), "")</f>
        <v>2015</v>
      </c>
      <c r="F5412" s="2" t="str">
        <f>IF(A5412&lt;&gt;"", VLOOKUP(A5412, imdb_netflix_v5!A$2:H$7370, 7, FALSE), "")</f>
        <v>NA</v>
      </c>
    </row>
    <row r="5413" ht="15.75" customHeight="1">
      <c r="A5413" s="1" t="str">
        <f>IFERROR(__xludf.DUMMYFUNCTION("""COMPUTED_VALUE"""),"desperado")</f>
        <v>desperado</v>
      </c>
      <c r="B5413" s="1" t="str">
        <f>IF(A5413&lt;&gt;"", VLOOKUP(A5413, imdb_netflix_v5!A$2:H$7370, 2, FALSE), "")</f>
        <v>Movie</v>
      </c>
      <c r="C5413" s="2" t="str">
        <f>IF(A5413&lt;&gt;"", VLOOKUP(A5413, imdb_netflix_v5!A$2:H$7370, 3, FALSE), "")</f>
        <v>Action, Crime, Drama</v>
      </c>
      <c r="D5413" s="2">
        <f>IF(A5413&lt;&gt;"", VLOOKUP(A5413, imdb_netflix_v5!A$2:H$7370, 4, FALSE), "")</f>
        <v>7.1</v>
      </c>
      <c r="E5413" s="2">
        <f>IF(A5413&lt;&gt;"", VLOOKUP(A5413, imdb_netflix_v5!A$2:H$7370, 5, FALSE), "")</f>
        <v>1995</v>
      </c>
      <c r="F5413" s="2" t="str">
        <f>IF(A5413&lt;&gt;"", VLOOKUP(A5413, imdb_netflix_v5!A$2:H$7370, 7, FALSE), "")</f>
        <v>NA</v>
      </c>
    </row>
    <row r="5414" ht="15.75" customHeight="1">
      <c r="A5414" s="1" t="str">
        <f>IFERROR(__xludf.DUMMYFUNCTION("""COMPUTED_VALUE"""),"melancholia")</f>
        <v>melancholia</v>
      </c>
      <c r="B5414" s="1" t="str">
        <f>IF(A5414&lt;&gt;"", VLOOKUP(A5414, imdb_netflix_v5!A$2:H$7370, 2, FALSE), "")</f>
        <v>Movie</v>
      </c>
      <c r="C5414" s="2" t="str">
        <f>IF(A5414&lt;&gt;"", VLOOKUP(A5414, imdb_netflix_v5!A$2:H$7370, 3, FALSE), "")</f>
        <v>Drama, Sci-Fi</v>
      </c>
      <c r="D5414" s="2">
        <f>IF(A5414&lt;&gt;"", VLOOKUP(A5414, imdb_netflix_v5!A$2:H$7370, 4, FALSE), "")</f>
        <v>7.1</v>
      </c>
      <c r="E5414" s="2">
        <f>IF(A5414&lt;&gt;"", VLOOKUP(A5414, imdb_netflix_v5!A$2:H$7370, 5, FALSE), "")</f>
        <v>2011</v>
      </c>
      <c r="F5414" s="2" t="str">
        <f>IF(A5414&lt;&gt;"", VLOOKUP(A5414, imdb_netflix_v5!A$2:H$7370, 7, FALSE), "")</f>
        <v>NA</v>
      </c>
    </row>
    <row r="5415" ht="15.75" customHeight="1">
      <c r="A5415" s="1" t="str">
        <f>IFERROR(__xludf.DUMMYFUNCTION("""COMPUTED_VALUE"""),"side effects")</f>
        <v>side effects</v>
      </c>
      <c r="B5415" s="1" t="str">
        <f>IF(A5415&lt;&gt;"", VLOOKUP(A5415, imdb_netflix_v5!A$2:H$7370, 2, FALSE), "")</f>
        <v>Movie</v>
      </c>
      <c r="C5415" s="2" t="str">
        <f>IF(A5415&lt;&gt;"", VLOOKUP(A5415, imdb_netflix_v5!A$2:H$7370, 3, FALSE), "")</f>
        <v>Crime, Drama, Mystery</v>
      </c>
      <c r="D5415" s="2">
        <f>IF(A5415&lt;&gt;"", VLOOKUP(A5415, imdb_netflix_v5!A$2:H$7370, 4, FALSE), "")</f>
        <v>7.1</v>
      </c>
      <c r="E5415" s="2">
        <f>IF(A5415&lt;&gt;"", VLOOKUP(A5415, imdb_netflix_v5!A$2:H$7370, 5, FALSE), "")</f>
        <v>2013</v>
      </c>
      <c r="F5415" s="2" t="str">
        <f>IF(A5415&lt;&gt;"", VLOOKUP(A5415, imdb_netflix_v5!A$2:H$7370, 7, FALSE), "")</f>
        <v>NA</v>
      </c>
    </row>
    <row r="5416" ht="15.75" customHeight="1">
      <c r="A5416" s="1" t="str">
        <f>IFERROR(__xludf.DUMMYFUNCTION("""COMPUTED_VALUE"""),"kung fu panda 3")</f>
        <v>kung fu panda 3</v>
      </c>
      <c r="B5416" s="1" t="str">
        <f>IF(A5416&lt;&gt;"", VLOOKUP(A5416, imdb_netflix_v5!A$2:H$7370, 2, FALSE), "")</f>
        <v>Movie</v>
      </c>
      <c r="C5416" s="2" t="str">
        <f>IF(A5416&lt;&gt;"", VLOOKUP(A5416, imdb_netflix_v5!A$2:H$7370, 3, FALSE), "")</f>
        <v>Action, Adventure, Animation</v>
      </c>
      <c r="D5416" s="2">
        <f>IF(A5416&lt;&gt;"", VLOOKUP(A5416, imdb_netflix_v5!A$2:H$7370, 4, FALSE), "")</f>
        <v>7.1</v>
      </c>
      <c r="E5416" s="2">
        <f>IF(A5416&lt;&gt;"", VLOOKUP(A5416, imdb_netflix_v5!A$2:H$7370, 5, FALSE), "")</f>
        <v>2016</v>
      </c>
      <c r="F5416" s="2">
        <f>IF(A5416&lt;&gt;"", VLOOKUP(A5416, imdb_netflix_v5!A$2:H$7370, 7, FALSE), "")</f>
        <v>5750000</v>
      </c>
    </row>
    <row r="5417" ht="15.75" customHeight="1">
      <c r="A5417" s="1" t="str">
        <f>IFERROR(__xludf.DUMMYFUNCTION("""COMPUTED_VALUE"""),"sing")</f>
        <v>sing</v>
      </c>
      <c r="B5417" s="1" t="str">
        <f>IF(A5417&lt;&gt;"", VLOOKUP(A5417, imdb_netflix_v5!A$2:H$7370, 2, FALSE), "")</f>
        <v>Movie</v>
      </c>
      <c r="C5417" s="2" t="str">
        <f>IF(A5417&lt;&gt;"", VLOOKUP(A5417, imdb_netflix_v5!A$2:H$7370, 3, FALSE), "")</f>
        <v>Animation, Comedy, Family</v>
      </c>
      <c r="D5417" s="2">
        <f>IF(A5417&lt;&gt;"", VLOOKUP(A5417, imdb_netflix_v5!A$2:H$7370, 4, FALSE), "")</f>
        <v>7.1</v>
      </c>
      <c r="E5417" s="2">
        <f>IF(A5417&lt;&gt;"", VLOOKUP(A5417, imdb_netflix_v5!A$2:H$7370, 5, FALSE), "")</f>
        <v>2016</v>
      </c>
      <c r="F5417" s="2">
        <f>IF(A5417&lt;&gt;"", VLOOKUP(A5417, imdb_netflix_v5!A$2:H$7370, 7, FALSE), "")</f>
        <v>6500000</v>
      </c>
    </row>
    <row r="5418" ht="15.75" customHeight="1">
      <c r="A5418" s="1" t="str">
        <f>IFERROR(__xludf.DUMMYFUNCTION("""COMPUTED_VALUE"""),"about a boy")</f>
        <v>about a boy</v>
      </c>
      <c r="B5418" s="1" t="str">
        <f>IF(A5418&lt;&gt;"", VLOOKUP(A5418, imdb_netflix_v5!A$2:H$7370, 2, FALSE), "")</f>
        <v>Movie</v>
      </c>
      <c r="C5418" s="2" t="str">
        <f>IF(A5418&lt;&gt;"", VLOOKUP(A5418, imdb_netflix_v5!A$2:H$7370, 3, FALSE), "")</f>
        <v>Comedy, Drama, Romance</v>
      </c>
      <c r="D5418" s="2">
        <f>IF(A5418&lt;&gt;"", VLOOKUP(A5418, imdb_netflix_v5!A$2:H$7370, 4, FALSE), "")</f>
        <v>7.1</v>
      </c>
      <c r="E5418" s="2">
        <f>IF(A5418&lt;&gt;"", VLOOKUP(A5418, imdb_netflix_v5!A$2:H$7370, 5, FALSE), "")</f>
        <v>2002</v>
      </c>
      <c r="F5418" s="2" t="str">
        <f>IF(A5418&lt;&gt;"", VLOOKUP(A5418, imdb_netflix_v5!A$2:H$7370, 7, FALSE), "")</f>
        <v>NA</v>
      </c>
    </row>
    <row r="5419" ht="15.75" customHeight="1">
      <c r="A5419" s="1" t="str">
        <f>IFERROR(__xludf.DUMMYFUNCTION("""COMPUTED_VALUE"""),"the master")</f>
        <v>the master</v>
      </c>
      <c r="B5419" s="1" t="str">
        <f>IF(A5419&lt;&gt;"", VLOOKUP(A5419, imdb_netflix_v5!A$2:H$7370, 2, FALSE), "")</f>
        <v>Movie</v>
      </c>
      <c r="C5419" s="2" t="str">
        <f>IF(A5419&lt;&gt;"", VLOOKUP(A5419, imdb_netflix_v5!A$2:H$7370, 3, FALSE), "")</f>
        <v>Drama, History</v>
      </c>
      <c r="D5419" s="2">
        <f>IF(A5419&lt;&gt;"", VLOOKUP(A5419, imdb_netflix_v5!A$2:H$7370, 4, FALSE), "")</f>
        <v>7.1</v>
      </c>
      <c r="E5419" s="2">
        <f>IF(A5419&lt;&gt;"", VLOOKUP(A5419, imdb_netflix_v5!A$2:H$7370, 5, FALSE), "")</f>
        <v>2012</v>
      </c>
      <c r="F5419" s="2" t="str">
        <f>IF(A5419&lt;&gt;"", VLOOKUP(A5419, imdb_netflix_v5!A$2:H$7370, 7, FALSE), "")</f>
        <v>NA</v>
      </c>
    </row>
    <row r="5420" ht="15.75" customHeight="1">
      <c r="A5420" s="1" t="str">
        <f>IFERROR(__xludf.DUMMYFUNCTION("""COMPUTED_VALUE"""),"alien romulus")</f>
        <v>alien romulus</v>
      </c>
      <c r="B5420" s="1" t="str">
        <f>IF(A5420&lt;&gt;"", VLOOKUP(A5420, imdb_netflix_v5!A$2:H$7370, 2, FALSE), "")</f>
        <v>Movie</v>
      </c>
      <c r="C5420" s="2" t="str">
        <f>IF(A5420&lt;&gt;"", VLOOKUP(A5420, imdb_netflix_v5!A$2:H$7370, 3, FALSE), "")</f>
        <v>Horror, Sci-Fi, Thriller</v>
      </c>
      <c r="D5420" s="2">
        <f>IF(A5420&lt;&gt;"", VLOOKUP(A5420, imdb_netflix_v5!A$2:H$7370, 4, FALSE), "")</f>
        <v>7.1</v>
      </c>
      <c r="E5420" s="2">
        <f>IF(A5420&lt;&gt;"", VLOOKUP(A5420, imdb_netflix_v5!A$2:H$7370, 5, FALSE), "")</f>
        <v>2024</v>
      </c>
      <c r="F5420" s="2" t="str">
        <f>IF(A5420&lt;&gt;"", VLOOKUP(A5420, imdb_netflix_v5!A$2:H$7370, 7, FALSE), "")</f>
        <v>NA</v>
      </c>
    </row>
    <row r="5421" ht="15.75" customHeight="1">
      <c r="A5421" s="1" t="str">
        <f>IFERROR(__xludf.DUMMYFUNCTION("""COMPUTED_VALUE"""),"deepwater horizon")</f>
        <v>deepwater horizon</v>
      </c>
      <c r="B5421" s="1" t="str">
        <f>IF(A5421&lt;&gt;"", VLOOKUP(A5421, imdb_netflix_v5!A$2:H$7370, 2, FALSE), "")</f>
        <v>Movie</v>
      </c>
      <c r="C5421" s="2" t="str">
        <f>IF(A5421&lt;&gt;"", VLOOKUP(A5421, imdb_netflix_v5!A$2:H$7370, 3, FALSE), "")</f>
        <v>Action, Drama, History</v>
      </c>
      <c r="D5421" s="2">
        <f>IF(A5421&lt;&gt;"", VLOOKUP(A5421, imdb_netflix_v5!A$2:H$7370, 4, FALSE), "")</f>
        <v>7.1</v>
      </c>
      <c r="E5421" s="2">
        <f>IF(A5421&lt;&gt;"", VLOOKUP(A5421, imdb_netflix_v5!A$2:H$7370, 5, FALSE), "")</f>
        <v>2016</v>
      </c>
      <c r="F5421" s="2" t="str">
        <f>IF(A5421&lt;&gt;"", VLOOKUP(A5421, imdb_netflix_v5!A$2:H$7370, 7, FALSE), "")</f>
        <v>NA</v>
      </c>
    </row>
    <row r="5422" ht="15.75" customHeight="1">
      <c r="A5422" s="1" t="str">
        <f>IFERROR(__xludf.DUMMYFUNCTION("""COMPUTED_VALUE"""),"babylon")</f>
        <v>babylon</v>
      </c>
      <c r="B5422" s="1" t="str">
        <f>IF(A5422&lt;&gt;"", VLOOKUP(A5422, imdb_netflix_v5!A$2:H$7370, 2, FALSE), "")</f>
        <v>Movie</v>
      </c>
      <c r="C5422" s="2" t="str">
        <f>IF(A5422&lt;&gt;"", VLOOKUP(A5422, imdb_netflix_v5!A$2:H$7370, 3, FALSE), "")</f>
        <v>Comedy, Drama, History</v>
      </c>
      <c r="D5422" s="2">
        <f>IF(A5422&lt;&gt;"", VLOOKUP(A5422, imdb_netflix_v5!A$2:H$7370, 4, FALSE), "")</f>
        <v>7.1</v>
      </c>
      <c r="E5422" s="2">
        <f>IF(A5422&lt;&gt;"", VLOOKUP(A5422, imdb_netflix_v5!A$2:H$7370, 5, FALSE), "")</f>
        <v>2022</v>
      </c>
      <c r="F5422" s="2" t="str">
        <f>IF(A5422&lt;&gt;"", VLOOKUP(A5422, imdb_netflix_v5!A$2:H$7370, 7, FALSE), "")</f>
        <v>NA</v>
      </c>
    </row>
    <row r="5423" ht="15.75" customHeight="1">
      <c r="A5423" s="1" t="str">
        <f>IFERROR(__xludf.DUMMYFUNCTION("""COMPUTED_VALUE"""),"three kings")</f>
        <v>three kings</v>
      </c>
      <c r="B5423" s="1" t="str">
        <f>IF(A5423&lt;&gt;"", VLOOKUP(A5423, imdb_netflix_v5!A$2:H$7370, 2, FALSE), "")</f>
        <v>Movie</v>
      </c>
      <c r="C5423" s="2" t="str">
        <f>IF(A5423&lt;&gt;"", VLOOKUP(A5423, imdb_netflix_v5!A$2:H$7370, 3, FALSE), "")</f>
        <v>Action, Adventure, Comedy</v>
      </c>
      <c r="D5423" s="2">
        <f>IF(A5423&lt;&gt;"", VLOOKUP(A5423, imdb_netflix_v5!A$2:H$7370, 4, FALSE), "")</f>
        <v>7.1</v>
      </c>
      <c r="E5423" s="2">
        <f>IF(A5423&lt;&gt;"", VLOOKUP(A5423, imdb_netflix_v5!A$2:H$7370, 5, FALSE), "")</f>
        <v>1999</v>
      </c>
      <c r="F5423" s="2" t="str">
        <f>IF(A5423&lt;&gt;"", VLOOKUP(A5423, imdb_netflix_v5!A$2:H$7370, 7, FALSE), "")</f>
        <v>NA</v>
      </c>
    </row>
    <row r="5424" ht="15.75" customHeight="1">
      <c r="A5424" s="1" t="str">
        <f>IFERROR(__xludf.DUMMYFUNCTION("""COMPUTED_VALUE"""),"definitely, maybe")</f>
        <v>definitely, maybe</v>
      </c>
      <c r="B5424" s="1" t="str">
        <f>IF(A5424&lt;&gt;"", VLOOKUP(A5424, imdb_netflix_v5!A$2:H$7370, 2, FALSE), "")</f>
        <v>Movie</v>
      </c>
      <c r="C5424" s="2" t="str">
        <f>IF(A5424&lt;&gt;"", VLOOKUP(A5424, imdb_netflix_v5!A$2:H$7370, 3, FALSE), "")</f>
        <v>Comedy, Drama, Romance</v>
      </c>
      <c r="D5424" s="2">
        <f>IF(A5424&lt;&gt;"", VLOOKUP(A5424, imdb_netflix_v5!A$2:H$7370, 4, FALSE), "")</f>
        <v>7.1</v>
      </c>
      <c r="E5424" s="2">
        <f>IF(A5424&lt;&gt;"", VLOOKUP(A5424, imdb_netflix_v5!A$2:H$7370, 5, FALSE), "")</f>
        <v>2008</v>
      </c>
      <c r="F5424" s="2" t="str">
        <f>IF(A5424&lt;&gt;"", VLOOKUP(A5424, imdb_netflix_v5!A$2:H$7370, 7, FALSE), "")</f>
        <v>NA</v>
      </c>
    </row>
    <row r="5425" ht="15.75" customHeight="1">
      <c r="A5425" s="1" t="str">
        <f>IFERROR(__xludf.DUMMYFUNCTION("""COMPUTED_VALUE"""),"sicario day of the soldado")</f>
        <v>sicario day of the soldado</v>
      </c>
      <c r="B5425" s="1" t="str">
        <f>IF(A5425&lt;&gt;"", VLOOKUP(A5425, imdb_netflix_v5!A$2:H$7370, 2, FALSE), "")</f>
        <v>Movie</v>
      </c>
      <c r="C5425" s="2" t="str">
        <f>IF(A5425&lt;&gt;"", VLOOKUP(A5425, imdb_netflix_v5!A$2:H$7370, 3, FALSE), "")</f>
        <v>Action, Crime, Drama</v>
      </c>
      <c r="D5425" s="2">
        <f>IF(A5425&lt;&gt;"", VLOOKUP(A5425, imdb_netflix_v5!A$2:H$7370, 4, FALSE), "")</f>
        <v>7.1</v>
      </c>
      <c r="E5425" s="2">
        <f>IF(A5425&lt;&gt;"", VLOOKUP(A5425, imdb_netflix_v5!A$2:H$7370, 5, FALSE), "")</f>
        <v>2018</v>
      </c>
      <c r="F5425" s="2" t="str">
        <f>IF(A5425&lt;&gt;"", VLOOKUP(A5425, imdb_netflix_v5!A$2:H$7370, 7, FALSE), "")</f>
        <v>NA</v>
      </c>
    </row>
    <row r="5426" ht="15.75" customHeight="1">
      <c r="A5426" s="1" t="str">
        <f>IFERROR(__xludf.DUMMYFUNCTION("""COMPUTED_VALUE"""),"allied")</f>
        <v>allied</v>
      </c>
      <c r="B5426" s="1" t="str">
        <f>IF(A5426&lt;&gt;"", VLOOKUP(A5426, imdb_netflix_v5!A$2:H$7370, 2, FALSE), "")</f>
        <v>Movie</v>
      </c>
      <c r="C5426" s="2" t="str">
        <f>IF(A5426&lt;&gt;"", VLOOKUP(A5426, imdb_netflix_v5!A$2:H$7370, 3, FALSE), "")</f>
        <v>Action, Drama, Romance</v>
      </c>
      <c r="D5426" s="2">
        <f>IF(A5426&lt;&gt;"", VLOOKUP(A5426, imdb_netflix_v5!A$2:H$7370, 4, FALSE), "")</f>
        <v>7.1</v>
      </c>
      <c r="E5426" s="2">
        <f>IF(A5426&lt;&gt;"", VLOOKUP(A5426, imdb_netflix_v5!A$2:H$7370, 5, FALSE), "")</f>
        <v>2016</v>
      </c>
      <c r="F5426" s="2" t="str">
        <f>IF(A5426&lt;&gt;"", VLOOKUP(A5426, imdb_netflix_v5!A$2:H$7370, 7, FALSE), "")</f>
        <v>NA</v>
      </c>
    </row>
    <row r="5427" ht="15.75" customHeight="1">
      <c r="A5427" s="1" t="str">
        <f>IFERROR(__xludf.DUMMYFUNCTION("""COMPUTED_VALUE"""),"spy game")</f>
        <v>spy game</v>
      </c>
      <c r="B5427" s="1" t="str">
        <f>IF(A5427&lt;&gt;"", VLOOKUP(A5427, imdb_netflix_v5!A$2:H$7370, 2, FALSE), "")</f>
        <v>Movie</v>
      </c>
      <c r="C5427" s="2" t="str">
        <f>IF(A5427&lt;&gt;"", VLOOKUP(A5427, imdb_netflix_v5!A$2:H$7370, 3, FALSE), "")</f>
        <v>Action, Crime, Thriller</v>
      </c>
      <c r="D5427" s="2">
        <f>IF(A5427&lt;&gt;"", VLOOKUP(A5427, imdb_netflix_v5!A$2:H$7370, 4, FALSE), "")</f>
        <v>7.1</v>
      </c>
      <c r="E5427" s="2">
        <f>IF(A5427&lt;&gt;"", VLOOKUP(A5427, imdb_netflix_v5!A$2:H$7370, 5, FALSE), "")</f>
        <v>2001</v>
      </c>
      <c r="F5427" s="2" t="str">
        <f>IF(A5427&lt;&gt;"", VLOOKUP(A5427, imdb_netflix_v5!A$2:H$7370, 7, FALSE), "")</f>
        <v>NA</v>
      </c>
    </row>
    <row r="5428" ht="15.75" customHeight="1">
      <c r="A5428" s="1" t="str">
        <f>IFERROR(__xludf.DUMMYFUNCTION("""COMPUTED_VALUE"""),"four weddings and a funeral")</f>
        <v>four weddings and a funeral</v>
      </c>
      <c r="B5428" s="1" t="str">
        <f>IF(A5428&lt;&gt;"", VLOOKUP(A5428, imdb_netflix_v5!A$2:H$7370, 2, FALSE), "")</f>
        <v>Movie</v>
      </c>
      <c r="C5428" s="2" t="str">
        <f>IF(A5428&lt;&gt;"", VLOOKUP(A5428, imdb_netflix_v5!A$2:H$7370, 3, FALSE), "")</f>
        <v>Comedy, Drama, Romance</v>
      </c>
      <c r="D5428" s="2">
        <f>IF(A5428&lt;&gt;"", VLOOKUP(A5428, imdb_netflix_v5!A$2:H$7370, 4, FALSE), "")</f>
        <v>7.1</v>
      </c>
      <c r="E5428" s="2">
        <f>IF(A5428&lt;&gt;"", VLOOKUP(A5428, imdb_netflix_v5!A$2:H$7370, 5, FALSE), "")</f>
        <v>1994</v>
      </c>
      <c r="F5428" s="2" t="str">
        <f>IF(A5428&lt;&gt;"", VLOOKUP(A5428, imdb_netflix_v5!A$2:H$7370, 7, FALSE), "")</f>
        <v>NA</v>
      </c>
    </row>
    <row r="5429" ht="15.75" customHeight="1">
      <c r="A5429" s="1" t="str">
        <f>IFERROR(__xludf.DUMMYFUNCTION("""COMPUTED_VALUE"""),"bad times at the el royale")</f>
        <v>bad times at the el royale</v>
      </c>
      <c r="B5429" s="1" t="str">
        <f>IF(A5429&lt;&gt;"", VLOOKUP(A5429, imdb_netflix_v5!A$2:H$7370, 2, FALSE), "")</f>
        <v>Movie</v>
      </c>
      <c r="C5429" s="2" t="str">
        <f>IF(A5429&lt;&gt;"", VLOOKUP(A5429, imdb_netflix_v5!A$2:H$7370, 3, FALSE), "")</f>
        <v>Crime, Drama, Mystery</v>
      </c>
      <c r="D5429" s="2">
        <f>IF(A5429&lt;&gt;"", VLOOKUP(A5429, imdb_netflix_v5!A$2:H$7370, 4, FALSE), "")</f>
        <v>7.1</v>
      </c>
      <c r="E5429" s="2">
        <f>IF(A5429&lt;&gt;"", VLOOKUP(A5429, imdb_netflix_v5!A$2:H$7370, 5, FALSE), "")</f>
        <v>2018</v>
      </c>
      <c r="F5429" s="2" t="str">
        <f>IF(A5429&lt;&gt;"", VLOOKUP(A5429, imdb_netflix_v5!A$2:H$7370, 7, FALSE), "")</f>
        <v>NA</v>
      </c>
    </row>
    <row r="5430" ht="15.75" customHeight="1">
      <c r="A5430" s="1" t="str">
        <f>IFERROR(__xludf.DUMMYFUNCTION("""COMPUTED_VALUE"""),"locke")</f>
        <v>locke</v>
      </c>
      <c r="B5430" s="1" t="str">
        <f>IF(A5430&lt;&gt;"", VLOOKUP(A5430, imdb_netflix_v5!A$2:H$7370, 2, FALSE), "")</f>
        <v>Movie</v>
      </c>
      <c r="C5430" s="2" t="str">
        <f>IF(A5430&lt;&gt;"", VLOOKUP(A5430, imdb_netflix_v5!A$2:H$7370, 3, FALSE), "")</f>
        <v>Drama</v>
      </c>
      <c r="D5430" s="2">
        <f>IF(A5430&lt;&gt;"", VLOOKUP(A5430, imdb_netflix_v5!A$2:H$7370, 4, FALSE), "")</f>
        <v>7.1</v>
      </c>
      <c r="E5430" s="2">
        <f>IF(A5430&lt;&gt;"", VLOOKUP(A5430, imdb_netflix_v5!A$2:H$7370, 5, FALSE), "")</f>
        <v>2013</v>
      </c>
      <c r="F5430" s="2" t="str">
        <f>IF(A5430&lt;&gt;"", VLOOKUP(A5430, imdb_netflix_v5!A$2:H$7370, 7, FALSE), "")</f>
        <v>NA</v>
      </c>
    </row>
    <row r="5431" ht="15.75" customHeight="1">
      <c r="A5431" s="1" t="str">
        <f>IFERROR(__xludf.DUMMYFUNCTION("""COMPUTED_VALUE"""),"escape from new york")</f>
        <v>escape from new york</v>
      </c>
      <c r="B5431" s="1" t="str">
        <f>IF(A5431&lt;&gt;"", VLOOKUP(A5431, imdb_netflix_v5!A$2:H$7370, 2, FALSE), "")</f>
        <v>Movie</v>
      </c>
      <c r="C5431" s="2" t="str">
        <f>IF(A5431&lt;&gt;"", VLOOKUP(A5431, imdb_netflix_v5!A$2:H$7370, 3, FALSE), "")</f>
        <v>Action, Adventure, Sci-Fi</v>
      </c>
      <c r="D5431" s="2">
        <f>IF(A5431&lt;&gt;"", VLOOKUP(A5431, imdb_netflix_v5!A$2:H$7370, 4, FALSE), "")</f>
        <v>7.1</v>
      </c>
      <c r="E5431" s="2">
        <f>IF(A5431&lt;&gt;"", VLOOKUP(A5431, imdb_netflix_v5!A$2:H$7370, 5, FALSE), "")</f>
        <v>1981</v>
      </c>
      <c r="F5431" s="2" t="str">
        <f>IF(A5431&lt;&gt;"", VLOOKUP(A5431, imdb_netflix_v5!A$2:H$7370, 7, FALSE), "")</f>
        <v>NA</v>
      </c>
    </row>
    <row r="5432" ht="15.75" customHeight="1">
      <c r="A5432" s="1" t="str">
        <f>IFERROR(__xludf.DUMMYFUNCTION("""COMPUTED_VALUE"""),"love, rosie")</f>
        <v>love, rosie</v>
      </c>
      <c r="B5432" s="1" t="str">
        <f>IF(A5432&lt;&gt;"", VLOOKUP(A5432, imdb_netflix_v5!A$2:H$7370, 2, FALSE), "")</f>
        <v>Movie</v>
      </c>
      <c r="C5432" s="2" t="str">
        <f>IF(A5432&lt;&gt;"", VLOOKUP(A5432, imdb_netflix_v5!A$2:H$7370, 3, FALSE), "")</f>
        <v>Comedy, Romance</v>
      </c>
      <c r="D5432" s="2">
        <f>IF(A5432&lt;&gt;"", VLOOKUP(A5432, imdb_netflix_v5!A$2:H$7370, 4, FALSE), "")</f>
        <v>7.1</v>
      </c>
      <c r="E5432" s="2">
        <f>IF(A5432&lt;&gt;"", VLOOKUP(A5432, imdb_netflix_v5!A$2:H$7370, 5, FALSE), "")</f>
        <v>2014</v>
      </c>
      <c r="F5432" s="2" t="str">
        <f>IF(A5432&lt;&gt;"", VLOOKUP(A5432, imdb_netflix_v5!A$2:H$7370, 7, FALSE), "")</f>
        <v>NA</v>
      </c>
    </row>
    <row r="5433" ht="15.75" customHeight="1">
      <c r="A5433" s="1" t="str">
        <f>IFERROR(__xludf.DUMMYFUNCTION("""COMPUTED_VALUE"""),"creed ii")</f>
        <v>creed ii</v>
      </c>
      <c r="B5433" s="1" t="str">
        <f>IF(A5433&lt;&gt;"", VLOOKUP(A5433, imdb_netflix_v5!A$2:H$7370, 2, FALSE), "")</f>
        <v>Movie</v>
      </c>
      <c r="C5433" s="2" t="str">
        <f>IF(A5433&lt;&gt;"", VLOOKUP(A5433, imdb_netflix_v5!A$2:H$7370, 3, FALSE), "")</f>
        <v>Action, Drama, Sport</v>
      </c>
      <c r="D5433" s="2">
        <f>IF(A5433&lt;&gt;"", VLOOKUP(A5433, imdb_netflix_v5!A$2:H$7370, 4, FALSE), "")</f>
        <v>7.1</v>
      </c>
      <c r="E5433" s="2">
        <f>IF(A5433&lt;&gt;"", VLOOKUP(A5433, imdb_netflix_v5!A$2:H$7370, 5, FALSE), "")</f>
        <v>2018</v>
      </c>
      <c r="F5433" s="2" t="str">
        <f>IF(A5433&lt;&gt;"", VLOOKUP(A5433, imdb_netflix_v5!A$2:H$7370, 7, FALSE), "")</f>
        <v>NA</v>
      </c>
    </row>
    <row r="5434" ht="15.75" customHeight="1">
      <c r="A5434" s="1" t="str">
        <f>IFERROR(__xludf.DUMMYFUNCTION("""COMPUTED_VALUE"""),"seven years in tibet")</f>
        <v>seven years in tibet</v>
      </c>
      <c r="B5434" s="1" t="str">
        <f>IF(A5434&lt;&gt;"", VLOOKUP(A5434, imdb_netflix_v5!A$2:H$7370, 2, FALSE), "")</f>
        <v>Movie</v>
      </c>
      <c r="C5434" s="2" t="str">
        <f>IF(A5434&lt;&gt;"", VLOOKUP(A5434, imdb_netflix_v5!A$2:H$7370, 3, FALSE), "")</f>
        <v>Adventure, Biography, Drama</v>
      </c>
      <c r="D5434" s="2">
        <f>IF(A5434&lt;&gt;"", VLOOKUP(A5434, imdb_netflix_v5!A$2:H$7370, 4, FALSE), "")</f>
        <v>7.1</v>
      </c>
      <c r="E5434" s="2">
        <f>IF(A5434&lt;&gt;"", VLOOKUP(A5434, imdb_netflix_v5!A$2:H$7370, 5, FALSE), "")</f>
        <v>1997</v>
      </c>
      <c r="F5434" s="2" t="str">
        <f>IF(A5434&lt;&gt;"", VLOOKUP(A5434, imdb_netflix_v5!A$2:H$7370, 7, FALSE), "")</f>
        <v>NA</v>
      </c>
    </row>
    <row r="5435" ht="15.75" customHeight="1">
      <c r="A5435" s="1" t="str">
        <f>IFERROR(__xludf.DUMMYFUNCTION("""COMPUTED_VALUE"""),"remember me")</f>
        <v>remember me</v>
      </c>
      <c r="B5435" s="1" t="str">
        <f>IF(A5435&lt;&gt;"", VLOOKUP(A5435, imdb_netflix_v5!A$2:H$7370, 2, FALSE), "")</f>
        <v>Movie</v>
      </c>
      <c r="C5435" s="2" t="str">
        <f>IF(A5435&lt;&gt;"", VLOOKUP(A5435, imdb_netflix_v5!A$2:H$7370, 3, FALSE), "")</f>
        <v>Drama, Romance</v>
      </c>
      <c r="D5435" s="2">
        <f>IF(A5435&lt;&gt;"", VLOOKUP(A5435, imdb_netflix_v5!A$2:H$7370, 4, FALSE), "")</f>
        <v>7.1</v>
      </c>
      <c r="E5435" s="2">
        <f>IF(A5435&lt;&gt;"", VLOOKUP(A5435, imdb_netflix_v5!A$2:H$7370, 5, FALSE), "")</f>
        <v>2010</v>
      </c>
      <c r="F5435" s="2" t="str">
        <f>IF(A5435&lt;&gt;"", VLOOKUP(A5435, imdb_netflix_v5!A$2:H$7370, 7, FALSE), "")</f>
        <v>NA</v>
      </c>
    </row>
    <row r="5436" ht="15.75" customHeight="1">
      <c r="A5436" s="1" t="str">
        <f>IFERROR(__xludf.DUMMYFUNCTION("""COMPUTED_VALUE"""),"the devil all the time")</f>
        <v>the devil all the time</v>
      </c>
      <c r="B5436" s="1" t="str">
        <f>IF(A5436&lt;&gt;"", VLOOKUP(A5436, imdb_netflix_v5!A$2:H$7370, 2, FALSE), "")</f>
        <v>Movie</v>
      </c>
      <c r="C5436" s="2" t="str">
        <f>IF(A5436&lt;&gt;"", VLOOKUP(A5436, imdb_netflix_v5!A$2:H$7370, 3, FALSE), "")</f>
        <v>Crime, Drama, Thriller</v>
      </c>
      <c r="D5436" s="2">
        <f>IF(A5436&lt;&gt;"", VLOOKUP(A5436, imdb_netflix_v5!A$2:H$7370, 4, FALSE), "")</f>
        <v>7.1</v>
      </c>
      <c r="E5436" s="2">
        <f>IF(A5436&lt;&gt;"", VLOOKUP(A5436, imdb_netflix_v5!A$2:H$7370, 5, FALSE), "")</f>
        <v>2020</v>
      </c>
      <c r="F5436" s="2" t="str">
        <f>IF(A5436&lt;&gt;"", VLOOKUP(A5436, imdb_netflix_v5!A$2:H$7370, 7, FALSE), "")</f>
        <v>NA</v>
      </c>
    </row>
    <row r="5437" ht="15.75" customHeight="1">
      <c r="A5437" s="1" t="str">
        <f>IFERROR(__xludf.DUMMYFUNCTION("""COMPUTED_VALUE"""),"defiance")</f>
        <v>defiance</v>
      </c>
      <c r="B5437" s="1" t="str">
        <f>IF(A5437&lt;&gt;"", VLOOKUP(A5437, imdb_netflix_v5!A$2:H$7370, 2, FALSE), "")</f>
        <v>Movie</v>
      </c>
      <c r="C5437" s="2" t="str">
        <f>IF(A5437&lt;&gt;"", VLOOKUP(A5437, imdb_netflix_v5!A$2:H$7370, 3, FALSE), "")</f>
        <v>Action, Drama, History</v>
      </c>
      <c r="D5437" s="2">
        <f>IF(A5437&lt;&gt;"", VLOOKUP(A5437, imdb_netflix_v5!A$2:H$7370, 4, FALSE), "")</f>
        <v>7.1</v>
      </c>
      <c r="E5437" s="2">
        <f>IF(A5437&lt;&gt;"", VLOOKUP(A5437, imdb_netflix_v5!A$2:H$7370, 5, FALSE), "")</f>
        <v>2008</v>
      </c>
      <c r="F5437" s="2" t="str">
        <f>IF(A5437&lt;&gt;"", VLOOKUP(A5437, imdb_netflix_v5!A$2:H$7370, 7, FALSE), "")</f>
        <v>NA</v>
      </c>
    </row>
    <row r="5438" ht="15.75" customHeight="1">
      <c r="A5438" s="1" t="str">
        <f>IFERROR(__xludf.DUMMYFUNCTION("""COMPUTED_VALUE"""),"the french dispatch")</f>
        <v>the french dispatch</v>
      </c>
      <c r="B5438" s="1" t="str">
        <f>IF(A5438&lt;&gt;"", VLOOKUP(A5438, imdb_netflix_v5!A$2:H$7370, 2, FALSE), "")</f>
        <v>Movie</v>
      </c>
      <c r="C5438" s="2" t="str">
        <f>IF(A5438&lt;&gt;"", VLOOKUP(A5438, imdb_netflix_v5!A$2:H$7370, 3, FALSE), "")</f>
        <v>Comedy, Drama, Romance</v>
      </c>
      <c r="D5438" s="2">
        <f>IF(A5438&lt;&gt;"", VLOOKUP(A5438, imdb_netflix_v5!A$2:H$7370, 4, FALSE), "")</f>
        <v>7.1</v>
      </c>
      <c r="E5438" s="2">
        <f>IF(A5438&lt;&gt;"", VLOOKUP(A5438, imdb_netflix_v5!A$2:H$7370, 5, FALSE), "")</f>
        <v>2021</v>
      </c>
      <c r="F5438" s="2" t="str">
        <f>IF(A5438&lt;&gt;"", VLOOKUP(A5438, imdb_netflix_v5!A$2:H$7370, 7, FALSE), "")</f>
        <v>NA</v>
      </c>
    </row>
    <row r="5439" ht="15.75" customHeight="1">
      <c r="A5439" s="1" t="str">
        <f>IFERROR(__xludf.DUMMYFUNCTION("""COMPUTED_VALUE"""),"never let me go")</f>
        <v>never let me go</v>
      </c>
      <c r="B5439" s="1" t="str">
        <f>IF(A5439&lt;&gt;"", VLOOKUP(A5439, imdb_netflix_v5!A$2:H$7370, 2, FALSE), "")</f>
        <v>Movie</v>
      </c>
      <c r="C5439" s="2" t="str">
        <f>IF(A5439&lt;&gt;"", VLOOKUP(A5439, imdb_netflix_v5!A$2:H$7370, 3, FALSE), "")</f>
        <v>Drama, Romance</v>
      </c>
      <c r="D5439" s="2">
        <f>IF(A5439&lt;&gt;"", VLOOKUP(A5439, imdb_netflix_v5!A$2:H$7370, 4, FALSE), "")</f>
        <v>7.1</v>
      </c>
      <c r="E5439" s="2">
        <f>IF(A5439&lt;&gt;"", VLOOKUP(A5439, imdb_netflix_v5!A$2:H$7370, 5, FALSE), "")</f>
        <v>2010</v>
      </c>
      <c r="F5439" s="2" t="str">
        <f>IF(A5439&lt;&gt;"", VLOOKUP(A5439, imdb_netflix_v5!A$2:H$7370, 7, FALSE), "")</f>
        <v>NA</v>
      </c>
    </row>
    <row r="5440" ht="15.75" customHeight="1">
      <c r="A5440" s="1" t="str">
        <f>IFERROR(__xludf.DUMMYFUNCTION("""COMPUTED_VALUE"""),"winters bone")</f>
        <v>winters bone</v>
      </c>
      <c r="B5440" s="1" t="str">
        <f>IF(A5440&lt;&gt;"", VLOOKUP(A5440, imdb_netflix_v5!A$2:H$7370, 2, FALSE), "")</f>
        <v>Movie</v>
      </c>
      <c r="C5440" s="2" t="str">
        <f>IF(A5440&lt;&gt;"", VLOOKUP(A5440, imdb_netflix_v5!A$2:H$7370, 3, FALSE), "")</f>
        <v>Crime, Drama, Mystery</v>
      </c>
      <c r="D5440" s="2">
        <f>IF(A5440&lt;&gt;"", VLOOKUP(A5440, imdb_netflix_v5!A$2:H$7370, 4, FALSE), "")</f>
        <v>7.1</v>
      </c>
      <c r="E5440" s="2">
        <f>IF(A5440&lt;&gt;"", VLOOKUP(A5440, imdb_netflix_v5!A$2:H$7370, 5, FALSE), "")</f>
        <v>2010</v>
      </c>
      <c r="F5440" s="2" t="str">
        <f>IF(A5440&lt;&gt;"", VLOOKUP(A5440, imdb_netflix_v5!A$2:H$7370, 7, FALSE), "")</f>
        <v>NA</v>
      </c>
    </row>
    <row r="5441" ht="15.75" customHeight="1">
      <c r="A5441" s="1" t="str">
        <f>IFERROR(__xludf.DUMMYFUNCTION("""COMPUTED_VALUE"""),"its kind of a funny story")</f>
        <v>its kind of a funny story</v>
      </c>
      <c r="B5441" s="1" t="str">
        <f>IF(A5441&lt;&gt;"", VLOOKUP(A5441, imdb_netflix_v5!A$2:H$7370, 2, FALSE), "")</f>
        <v>Movie</v>
      </c>
      <c r="C5441" s="2" t="str">
        <f>IF(A5441&lt;&gt;"", VLOOKUP(A5441, imdb_netflix_v5!A$2:H$7370, 3, FALSE), "")</f>
        <v>Comedy, Drama, Romance</v>
      </c>
      <c r="D5441" s="2">
        <f>IF(A5441&lt;&gt;"", VLOOKUP(A5441, imdb_netflix_v5!A$2:H$7370, 4, FALSE), "")</f>
        <v>7.1</v>
      </c>
      <c r="E5441" s="2">
        <f>IF(A5441&lt;&gt;"", VLOOKUP(A5441, imdb_netflix_v5!A$2:H$7370, 5, FALSE), "")</f>
        <v>2010</v>
      </c>
      <c r="F5441" s="2" t="str">
        <f>IF(A5441&lt;&gt;"", VLOOKUP(A5441, imdb_netflix_v5!A$2:H$7370, 7, FALSE), "")</f>
        <v>NA</v>
      </c>
    </row>
    <row r="5442" ht="15.75" customHeight="1">
      <c r="A5442" s="1" t="str">
        <f>IFERROR(__xludf.DUMMYFUNCTION("""COMPUTED_VALUE"""),"margin call")</f>
        <v>margin call</v>
      </c>
      <c r="B5442" s="1" t="str">
        <f>IF(A5442&lt;&gt;"", VLOOKUP(A5442, imdb_netflix_v5!A$2:H$7370, 2, FALSE), "")</f>
        <v>Movie</v>
      </c>
      <c r="C5442" s="2" t="str">
        <f>IF(A5442&lt;&gt;"", VLOOKUP(A5442, imdb_netflix_v5!A$2:H$7370, 3, FALSE), "")</f>
        <v>Drama, Thriller</v>
      </c>
      <c r="D5442" s="2">
        <f>IF(A5442&lt;&gt;"", VLOOKUP(A5442, imdb_netflix_v5!A$2:H$7370, 4, FALSE), "")</f>
        <v>7.1</v>
      </c>
      <c r="E5442" s="2">
        <f>IF(A5442&lt;&gt;"", VLOOKUP(A5442, imdb_netflix_v5!A$2:H$7370, 5, FALSE), "")</f>
        <v>2011</v>
      </c>
      <c r="F5442" s="2" t="str">
        <f>IF(A5442&lt;&gt;"", VLOOKUP(A5442, imdb_netflix_v5!A$2:H$7370, 7, FALSE), "")</f>
        <v>NA</v>
      </c>
    </row>
    <row r="5443" ht="15.75" customHeight="1">
      <c r="A5443" s="1" t="str">
        <f>IFERROR(__xludf.DUMMYFUNCTION("""COMPUTED_VALUE"""),"payback")</f>
        <v>payback</v>
      </c>
      <c r="B5443" s="1" t="str">
        <f>IF(A5443&lt;&gt;"", VLOOKUP(A5443, imdb_netflix_v5!A$2:H$7370, 2, FALSE), "")</f>
        <v>Movie</v>
      </c>
      <c r="C5443" s="2" t="str">
        <f>IF(A5443&lt;&gt;"", VLOOKUP(A5443, imdb_netflix_v5!A$2:H$7370, 3, FALSE), "")</f>
        <v>Action, Crime, Drama</v>
      </c>
      <c r="D5443" s="2">
        <f>IF(A5443&lt;&gt;"", VLOOKUP(A5443, imdb_netflix_v5!A$2:H$7370, 4, FALSE), "")</f>
        <v>7.1</v>
      </c>
      <c r="E5443" s="2">
        <f>IF(A5443&lt;&gt;"", VLOOKUP(A5443, imdb_netflix_v5!A$2:H$7370, 5, FALSE), "")</f>
        <v>1999</v>
      </c>
      <c r="F5443" s="2" t="str">
        <f>IF(A5443&lt;&gt;"", VLOOKUP(A5443, imdb_netflix_v5!A$2:H$7370, 7, FALSE), "")</f>
        <v>NA</v>
      </c>
    </row>
    <row r="5444" ht="15.75" customHeight="1">
      <c r="A5444" s="1" t="str">
        <f>IFERROR(__xludf.DUMMYFUNCTION("""COMPUTED_VALUE"""),"john q")</f>
        <v>john q</v>
      </c>
      <c r="B5444" s="1" t="str">
        <f>IF(A5444&lt;&gt;"", VLOOKUP(A5444, imdb_netflix_v5!A$2:H$7370, 2, FALSE), "")</f>
        <v>Movie</v>
      </c>
      <c r="C5444" s="2" t="str">
        <f>IF(A5444&lt;&gt;"", VLOOKUP(A5444, imdb_netflix_v5!A$2:H$7370, 3, FALSE), "")</f>
        <v>Crime, Drama, Thriller</v>
      </c>
      <c r="D5444" s="2">
        <f>IF(A5444&lt;&gt;"", VLOOKUP(A5444, imdb_netflix_v5!A$2:H$7370, 4, FALSE), "")</f>
        <v>7.1</v>
      </c>
      <c r="E5444" s="2">
        <f>IF(A5444&lt;&gt;"", VLOOKUP(A5444, imdb_netflix_v5!A$2:H$7370, 5, FALSE), "")</f>
        <v>2002</v>
      </c>
      <c r="F5444" s="2" t="str">
        <f>IF(A5444&lt;&gt;"", VLOOKUP(A5444, imdb_netflix_v5!A$2:H$7370, 7, FALSE), "")</f>
        <v>NA</v>
      </c>
    </row>
    <row r="5445" ht="15.75" customHeight="1">
      <c r="A5445" s="1" t="str">
        <f>IFERROR(__xludf.DUMMYFUNCTION("""COMPUTED_VALUE"""),"licorice pizza")</f>
        <v>licorice pizza</v>
      </c>
      <c r="B5445" s="1" t="str">
        <f>IF(A5445&lt;&gt;"", VLOOKUP(A5445, imdb_netflix_v5!A$2:H$7370, 2, FALSE), "")</f>
        <v>Movie</v>
      </c>
      <c r="C5445" s="2" t="str">
        <f>IF(A5445&lt;&gt;"", VLOOKUP(A5445, imdb_netflix_v5!A$2:H$7370, 3, FALSE), "")</f>
        <v>Comedy, Drama, Romance</v>
      </c>
      <c r="D5445" s="2">
        <f>IF(A5445&lt;&gt;"", VLOOKUP(A5445, imdb_netflix_v5!A$2:H$7370, 4, FALSE), "")</f>
        <v>7.1</v>
      </c>
      <c r="E5445" s="2">
        <f>IF(A5445&lt;&gt;"", VLOOKUP(A5445, imdb_netflix_v5!A$2:H$7370, 5, FALSE), "")</f>
        <v>2021</v>
      </c>
      <c r="F5445" s="2" t="str">
        <f>IF(A5445&lt;&gt;"", VLOOKUP(A5445, imdb_netflix_v5!A$2:H$7370, 7, FALSE), "")</f>
        <v>NA</v>
      </c>
    </row>
    <row r="5446" ht="15.75" customHeight="1">
      <c r="A5446" s="1" t="str">
        <f>IFERROR(__xludf.DUMMYFUNCTION("""COMPUTED_VALUE"""),"wild")</f>
        <v>wild</v>
      </c>
      <c r="B5446" s="1" t="str">
        <f>IF(A5446&lt;&gt;"", VLOOKUP(A5446, imdb_netflix_v5!A$2:H$7370, 2, FALSE), "")</f>
        <v>Movie</v>
      </c>
      <c r="C5446" s="2" t="str">
        <f>IF(A5446&lt;&gt;"", VLOOKUP(A5446, imdb_netflix_v5!A$2:H$7370, 3, FALSE), "")</f>
        <v>Adventure, Biography, Drama</v>
      </c>
      <c r="D5446" s="2">
        <f>IF(A5446&lt;&gt;"", VLOOKUP(A5446, imdb_netflix_v5!A$2:H$7370, 4, FALSE), "")</f>
        <v>7.1</v>
      </c>
      <c r="E5446" s="2">
        <f>IF(A5446&lt;&gt;"", VLOOKUP(A5446, imdb_netflix_v5!A$2:H$7370, 5, FALSE), "")</f>
        <v>2014</v>
      </c>
      <c r="F5446" s="2" t="str">
        <f>IF(A5446&lt;&gt;"", VLOOKUP(A5446, imdb_netflix_v5!A$2:H$7370, 7, FALSE), "")</f>
        <v>NA</v>
      </c>
    </row>
    <row r="5447" ht="15.75" customHeight="1">
      <c r="A5447" s="1" t="str">
        <f>IFERROR(__xludf.DUMMYFUNCTION("""COMPUTED_VALUE"""),"anastasia")</f>
        <v>anastasia</v>
      </c>
      <c r="B5447" s="1" t="str">
        <f>IF(A5447&lt;&gt;"", VLOOKUP(A5447, imdb_netflix_v5!A$2:H$7370, 2, FALSE), "")</f>
        <v>Movie</v>
      </c>
      <c r="C5447" s="2" t="str">
        <f>IF(A5447&lt;&gt;"", VLOOKUP(A5447, imdb_netflix_v5!A$2:H$7370, 3, FALSE), "")</f>
        <v>Adventure, Animation, Drama</v>
      </c>
      <c r="D5447" s="2">
        <f>IF(A5447&lt;&gt;"", VLOOKUP(A5447, imdb_netflix_v5!A$2:H$7370, 4, FALSE), "")</f>
        <v>7.1</v>
      </c>
      <c r="E5447" s="2">
        <f>IF(A5447&lt;&gt;"", VLOOKUP(A5447, imdb_netflix_v5!A$2:H$7370, 5, FALSE), "")</f>
        <v>1997</v>
      </c>
      <c r="F5447" s="2" t="str">
        <f>IF(A5447&lt;&gt;"", VLOOKUP(A5447, imdb_netflix_v5!A$2:H$7370, 7, FALSE), "")</f>
        <v>NA</v>
      </c>
    </row>
    <row r="5448" ht="15.75" customHeight="1">
      <c r="A5448" s="1" t="str">
        <f>IFERROR(__xludf.DUMMYFUNCTION("""COMPUTED_VALUE"""),"black mirror bandersnatch")</f>
        <v>black mirror bandersnatch</v>
      </c>
      <c r="B5448" s="1" t="str">
        <f>IF(A5448&lt;&gt;"", VLOOKUP(A5448, imdb_netflix_v5!A$2:H$7370, 2, FALSE), "")</f>
        <v>Movie</v>
      </c>
      <c r="C5448" s="2" t="str">
        <f>IF(A5448&lt;&gt;"", VLOOKUP(A5448, imdb_netflix_v5!A$2:H$7370, 3, FALSE), "")</f>
        <v>Drama, Fantasy, Mystery</v>
      </c>
      <c r="D5448" s="2">
        <f>IF(A5448&lt;&gt;"", VLOOKUP(A5448, imdb_netflix_v5!A$2:H$7370, 4, FALSE), "")</f>
        <v>7.1</v>
      </c>
      <c r="E5448" s="2">
        <f>IF(A5448&lt;&gt;"", VLOOKUP(A5448, imdb_netflix_v5!A$2:H$7370, 5, FALSE), "")</f>
        <v>2018</v>
      </c>
      <c r="F5448" s="2" t="str">
        <f>IF(A5448&lt;&gt;"", VLOOKUP(A5448, imdb_netflix_v5!A$2:H$7370, 7, FALSE), "")</f>
        <v>NA</v>
      </c>
    </row>
    <row r="5449" ht="15.75" customHeight="1">
      <c r="A5449" s="1" t="str">
        <f>IFERROR(__xludf.DUMMYFUNCTION("""COMPUTED_VALUE"""),"the host")</f>
        <v>the host</v>
      </c>
      <c r="B5449" s="1" t="str">
        <f>IF(A5449&lt;&gt;"", VLOOKUP(A5449, imdb_netflix_v5!A$2:H$7370, 2, FALSE), "")</f>
        <v>Movie</v>
      </c>
      <c r="C5449" s="2" t="str">
        <f>IF(A5449&lt;&gt;"", VLOOKUP(A5449, imdb_netflix_v5!A$2:H$7370, 3, FALSE), "")</f>
        <v>Drama, Horror, Sci-Fi</v>
      </c>
      <c r="D5449" s="2">
        <f>IF(A5449&lt;&gt;"", VLOOKUP(A5449, imdb_netflix_v5!A$2:H$7370, 4, FALSE), "")</f>
        <v>7.1</v>
      </c>
      <c r="E5449" s="2">
        <f>IF(A5449&lt;&gt;"", VLOOKUP(A5449, imdb_netflix_v5!A$2:H$7370, 5, FALSE), "")</f>
        <v>2006</v>
      </c>
      <c r="F5449" s="2" t="str">
        <f>IF(A5449&lt;&gt;"", VLOOKUP(A5449, imdb_netflix_v5!A$2:H$7370, 7, FALSE), "")</f>
        <v>NA</v>
      </c>
    </row>
    <row r="5450" ht="15.75" customHeight="1">
      <c r="A5450" s="1" t="str">
        <f>IFERROR(__xludf.DUMMYFUNCTION("""COMPUTED_VALUE"""),"t2 trainspotting")</f>
        <v>t2 trainspotting</v>
      </c>
      <c r="B5450" s="1" t="str">
        <f>IF(A5450&lt;&gt;"", VLOOKUP(A5450, imdb_netflix_v5!A$2:H$7370, 2, FALSE), "")</f>
        <v>Movie</v>
      </c>
      <c r="C5450" s="2" t="str">
        <f>IF(A5450&lt;&gt;"", VLOOKUP(A5450, imdb_netflix_v5!A$2:H$7370, 3, FALSE), "")</f>
        <v>Comedy, Crime, Drama</v>
      </c>
      <c r="D5450" s="2">
        <f>IF(A5450&lt;&gt;"", VLOOKUP(A5450, imdb_netflix_v5!A$2:H$7370, 4, FALSE), "")</f>
        <v>7.1</v>
      </c>
      <c r="E5450" s="2">
        <f>IF(A5450&lt;&gt;"", VLOOKUP(A5450, imdb_netflix_v5!A$2:H$7370, 5, FALSE), "")</f>
        <v>2017</v>
      </c>
      <c r="F5450" s="2" t="str">
        <f>IF(A5450&lt;&gt;"", VLOOKUP(A5450, imdb_netflix_v5!A$2:H$7370, 7, FALSE), "")</f>
        <v>NA</v>
      </c>
    </row>
    <row r="5451" ht="15.75" customHeight="1">
      <c r="A5451" s="1" t="str">
        <f>IFERROR(__xludf.DUMMYFUNCTION("""COMPUTED_VALUE"""),"the dreamers")</f>
        <v>the dreamers</v>
      </c>
      <c r="B5451" s="1" t="str">
        <f>IF(A5451&lt;&gt;"", VLOOKUP(A5451, imdb_netflix_v5!A$2:H$7370, 2, FALSE), "")</f>
        <v>Movie</v>
      </c>
      <c r="C5451" s="2" t="str">
        <f>IF(A5451&lt;&gt;"", VLOOKUP(A5451, imdb_netflix_v5!A$2:H$7370, 3, FALSE), "")</f>
        <v>Drama, Romance</v>
      </c>
      <c r="D5451" s="2">
        <f>IF(A5451&lt;&gt;"", VLOOKUP(A5451, imdb_netflix_v5!A$2:H$7370, 4, FALSE), "")</f>
        <v>7.1</v>
      </c>
      <c r="E5451" s="2">
        <f>IF(A5451&lt;&gt;"", VLOOKUP(A5451, imdb_netflix_v5!A$2:H$7370, 5, FALSE), "")</f>
        <v>2003</v>
      </c>
      <c r="F5451" s="2" t="str">
        <f>IF(A5451&lt;&gt;"", VLOOKUP(A5451, imdb_netflix_v5!A$2:H$7370, 7, FALSE), "")</f>
        <v>NA</v>
      </c>
    </row>
    <row r="5452" ht="15.75" customHeight="1">
      <c r="A5452" s="1" t="str">
        <f>IFERROR(__xludf.DUMMYFUNCTION("""COMPUTED_VALUE"""),"booksmart")</f>
        <v>booksmart</v>
      </c>
      <c r="B5452" s="1" t="str">
        <f>IF(A5452&lt;&gt;"", VLOOKUP(A5452, imdb_netflix_v5!A$2:H$7370, 2, FALSE), "")</f>
        <v>Movie</v>
      </c>
      <c r="C5452" s="2" t="str">
        <f>IF(A5452&lt;&gt;"", VLOOKUP(A5452, imdb_netflix_v5!A$2:H$7370, 3, FALSE), "")</f>
        <v>Comedy</v>
      </c>
      <c r="D5452" s="2">
        <f>IF(A5452&lt;&gt;"", VLOOKUP(A5452, imdb_netflix_v5!A$2:H$7370, 4, FALSE), "")</f>
        <v>7.1</v>
      </c>
      <c r="E5452" s="2">
        <f>IF(A5452&lt;&gt;"", VLOOKUP(A5452, imdb_netflix_v5!A$2:H$7370, 5, FALSE), "")</f>
        <v>2019</v>
      </c>
      <c r="F5452" s="2" t="str">
        <f>IF(A5452&lt;&gt;"", VLOOKUP(A5452, imdb_netflix_v5!A$2:H$7370, 7, FALSE), "")</f>
        <v>NA</v>
      </c>
    </row>
    <row r="5453" ht="15.75" customHeight="1">
      <c r="A5453" s="1" t="str">
        <f>IFERROR(__xludf.DUMMYFUNCTION("""COMPUTED_VALUE"""),"carnage")</f>
        <v>carnage</v>
      </c>
      <c r="B5453" s="1" t="str">
        <f>IF(A5453&lt;&gt;"", VLOOKUP(A5453, imdb_netflix_v5!A$2:H$7370, 2, FALSE), "")</f>
        <v>Movie</v>
      </c>
      <c r="C5453" s="2" t="str">
        <f>IF(A5453&lt;&gt;"", VLOOKUP(A5453, imdb_netflix_v5!A$2:H$7370, 3, FALSE), "")</f>
        <v>Comedy, Drama</v>
      </c>
      <c r="D5453" s="2">
        <f>IF(A5453&lt;&gt;"", VLOOKUP(A5453, imdb_netflix_v5!A$2:H$7370, 4, FALSE), "")</f>
        <v>7.1</v>
      </c>
      <c r="E5453" s="2">
        <f>IF(A5453&lt;&gt;"", VLOOKUP(A5453, imdb_netflix_v5!A$2:H$7370, 5, FALSE), "")</f>
        <v>2011</v>
      </c>
      <c r="F5453" s="2" t="str">
        <f>IF(A5453&lt;&gt;"", VLOOKUP(A5453, imdb_netflix_v5!A$2:H$7370, 7, FALSE), "")</f>
        <v>NA</v>
      </c>
    </row>
    <row r="5454" ht="15.75" customHeight="1">
      <c r="A5454" s="1" t="str">
        <f>IFERROR(__xludf.DUMMYFUNCTION("""COMPUTED_VALUE"""),"flags of our fathers")</f>
        <v>flags of our fathers</v>
      </c>
      <c r="B5454" s="1" t="str">
        <f>IF(A5454&lt;&gt;"", VLOOKUP(A5454, imdb_netflix_v5!A$2:H$7370, 2, FALSE), "")</f>
        <v>Movie</v>
      </c>
      <c r="C5454" s="2" t="str">
        <f>IF(A5454&lt;&gt;"", VLOOKUP(A5454, imdb_netflix_v5!A$2:H$7370, 3, FALSE), "")</f>
        <v>Action, Adventure, Drama</v>
      </c>
      <c r="D5454" s="2">
        <f>IF(A5454&lt;&gt;"", VLOOKUP(A5454, imdb_netflix_v5!A$2:H$7370, 4, FALSE), "")</f>
        <v>7.1</v>
      </c>
      <c r="E5454" s="2">
        <f>IF(A5454&lt;&gt;"", VLOOKUP(A5454, imdb_netflix_v5!A$2:H$7370, 5, FALSE), "")</f>
        <v>2006</v>
      </c>
      <c r="F5454" s="2" t="str">
        <f>IF(A5454&lt;&gt;"", VLOOKUP(A5454, imdb_netflix_v5!A$2:H$7370, 7, FALSE), "")</f>
        <v>NA</v>
      </c>
    </row>
    <row r="5455" ht="15.75" customHeight="1">
      <c r="A5455" s="1" t="str">
        <f>IFERROR(__xludf.DUMMYFUNCTION("""COMPUTED_VALUE"""),"let me in")</f>
        <v>let me in</v>
      </c>
      <c r="B5455" s="1" t="str">
        <f>IF(A5455&lt;&gt;"", VLOOKUP(A5455, imdb_netflix_v5!A$2:H$7370, 2, FALSE), "")</f>
        <v>Movie</v>
      </c>
      <c r="C5455" s="2" t="str">
        <f>IF(A5455&lt;&gt;"", VLOOKUP(A5455, imdb_netflix_v5!A$2:H$7370, 3, FALSE), "")</f>
        <v>Drama, Fantasy, Horror</v>
      </c>
      <c r="D5455" s="2">
        <f>IF(A5455&lt;&gt;"", VLOOKUP(A5455, imdb_netflix_v5!A$2:H$7370, 4, FALSE), "")</f>
        <v>7.1</v>
      </c>
      <c r="E5455" s="2">
        <f>IF(A5455&lt;&gt;"", VLOOKUP(A5455, imdb_netflix_v5!A$2:H$7370, 5, FALSE), "")</f>
        <v>2010</v>
      </c>
      <c r="F5455" s="2" t="str">
        <f>IF(A5455&lt;&gt;"", VLOOKUP(A5455, imdb_netflix_v5!A$2:H$7370, 7, FALSE), "")</f>
        <v>NA</v>
      </c>
    </row>
    <row r="5456" ht="15.75" customHeight="1">
      <c r="A5456" s="1" t="str">
        <f>IFERROR(__xludf.DUMMYFUNCTION("""COMPUTED_VALUE"""),"bone tomahawk")</f>
        <v>bone tomahawk</v>
      </c>
      <c r="B5456" s="1" t="str">
        <f>IF(A5456&lt;&gt;"", VLOOKUP(A5456, imdb_netflix_v5!A$2:H$7370, 2, FALSE), "")</f>
        <v>Movie</v>
      </c>
      <c r="C5456" s="2" t="str">
        <f>IF(A5456&lt;&gt;"", VLOOKUP(A5456, imdb_netflix_v5!A$2:H$7370, 3, FALSE), "")</f>
        <v>Drama, Horror, Western</v>
      </c>
      <c r="D5456" s="2">
        <f>IF(A5456&lt;&gt;"", VLOOKUP(A5456, imdb_netflix_v5!A$2:H$7370, 4, FALSE), "")</f>
        <v>7.1</v>
      </c>
      <c r="E5456" s="2">
        <f>IF(A5456&lt;&gt;"", VLOOKUP(A5456, imdb_netflix_v5!A$2:H$7370, 5, FALSE), "")</f>
        <v>2015</v>
      </c>
      <c r="F5456" s="2" t="str">
        <f>IF(A5456&lt;&gt;"", VLOOKUP(A5456, imdb_netflix_v5!A$2:H$7370, 7, FALSE), "")</f>
        <v>NA</v>
      </c>
    </row>
    <row r="5457" ht="15.75" customHeight="1">
      <c r="A5457" s="1" t="str">
        <f>IFERROR(__xludf.DUMMYFUNCTION("""COMPUTED_VALUE"""),"challengers")</f>
        <v>challengers</v>
      </c>
      <c r="B5457" s="1" t="str">
        <f>IF(A5457&lt;&gt;"", VLOOKUP(A5457, imdb_netflix_v5!A$2:H$7370, 2, FALSE), "")</f>
        <v>Movie</v>
      </c>
      <c r="C5457" s="2" t="str">
        <f>IF(A5457&lt;&gt;"", VLOOKUP(A5457, imdb_netflix_v5!A$2:H$7370, 3, FALSE), "")</f>
        <v>Comedy, Drama, Romance</v>
      </c>
      <c r="D5457" s="2">
        <f>IF(A5457&lt;&gt;"", VLOOKUP(A5457, imdb_netflix_v5!A$2:H$7370, 4, FALSE), "")</f>
        <v>7.1</v>
      </c>
      <c r="E5457" s="2">
        <f>IF(A5457&lt;&gt;"", VLOOKUP(A5457, imdb_netflix_v5!A$2:H$7370, 5, FALSE), "")</f>
        <v>2024</v>
      </c>
      <c r="F5457" s="2" t="str">
        <f>IF(A5457&lt;&gt;"", VLOOKUP(A5457, imdb_netflix_v5!A$2:H$7370, 7, FALSE), "")</f>
        <v>NA</v>
      </c>
    </row>
    <row r="5458" ht="15.75" customHeight="1">
      <c r="A5458" s="1" t="str">
        <f>IFERROR(__xludf.DUMMYFUNCTION("""COMPUTED_VALUE"""),"the unforgivable")</f>
        <v>the unforgivable</v>
      </c>
      <c r="B5458" s="1" t="str">
        <f>IF(A5458&lt;&gt;"", VLOOKUP(A5458, imdb_netflix_v5!A$2:H$7370, 2, FALSE), "")</f>
        <v>Movie</v>
      </c>
      <c r="C5458" s="2" t="str">
        <f>IF(A5458&lt;&gt;"", VLOOKUP(A5458, imdb_netflix_v5!A$2:H$7370, 3, FALSE), "")</f>
        <v>Crime, Drama, Mystery</v>
      </c>
      <c r="D5458" s="2">
        <f>IF(A5458&lt;&gt;"", VLOOKUP(A5458, imdb_netflix_v5!A$2:H$7370, 4, FALSE), "")</f>
        <v>7.1</v>
      </c>
      <c r="E5458" s="2">
        <f>IF(A5458&lt;&gt;"", VLOOKUP(A5458, imdb_netflix_v5!A$2:H$7370, 5, FALSE), "")</f>
        <v>2021</v>
      </c>
      <c r="F5458" s="2">
        <f>IF(A5458&lt;&gt;"", VLOOKUP(A5458, imdb_netflix_v5!A$2:H$7370, 7, FALSE), "")</f>
        <v>11340000</v>
      </c>
    </row>
    <row r="5459" ht="15.75" customHeight="1">
      <c r="A5459" s="1" t="str">
        <f>IFERROR(__xludf.DUMMYFUNCTION("""COMPUTED_VALUE"""),"the jacket")</f>
        <v>the jacket</v>
      </c>
      <c r="B5459" s="1" t="str">
        <f>IF(A5459&lt;&gt;"", VLOOKUP(A5459, imdb_netflix_v5!A$2:H$7370, 2, FALSE), "")</f>
        <v>Movie</v>
      </c>
      <c r="C5459" s="2" t="str">
        <f>IF(A5459&lt;&gt;"", VLOOKUP(A5459, imdb_netflix_v5!A$2:H$7370, 3, FALSE), "")</f>
        <v>Drama, Fantasy, Mystery</v>
      </c>
      <c r="D5459" s="2">
        <f>IF(A5459&lt;&gt;"", VLOOKUP(A5459, imdb_netflix_v5!A$2:H$7370, 4, FALSE), "")</f>
        <v>7.1</v>
      </c>
      <c r="E5459" s="2">
        <f>IF(A5459&lt;&gt;"", VLOOKUP(A5459, imdb_netflix_v5!A$2:H$7370, 5, FALSE), "")</f>
        <v>2005</v>
      </c>
      <c r="F5459" s="2" t="str">
        <f>IF(A5459&lt;&gt;"", VLOOKUP(A5459, imdb_netflix_v5!A$2:H$7370, 7, FALSE), "")</f>
        <v>NA</v>
      </c>
    </row>
    <row r="5460" ht="15.75" customHeight="1">
      <c r="A5460" s="1" t="str">
        <f>IFERROR(__xludf.DUMMYFUNCTION("""COMPUTED_VALUE"""),"heathers")</f>
        <v>heathers</v>
      </c>
      <c r="B5460" s="1" t="str">
        <f>IF(A5460&lt;&gt;"", VLOOKUP(A5460, imdb_netflix_v5!A$2:H$7370, 2, FALSE), "")</f>
        <v>Movie</v>
      </c>
      <c r="C5460" s="2" t="str">
        <f>IF(A5460&lt;&gt;"", VLOOKUP(A5460, imdb_netflix_v5!A$2:H$7370, 3, FALSE), "")</f>
        <v>Comedy, Crime</v>
      </c>
      <c r="D5460" s="2">
        <f>IF(A5460&lt;&gt;"", VLOOKUP(A5460, imdb_netflix_v5!A$2:H$7370, 4, FALSE), "")</f>
        <v>7.1</v>
      </c>
      <c r="E5460" s="2">
        <f>IF(A5460&lt;&gt;"", VLOOKUP(A5460, imdb_netflix_v5!A$2:H$7370, 5, FALSE), "")</f>
        <v>1988</v>
      </c>
      <c r="F5460" s="2" t="str">
        <f>IF(A5460&lt;&gt;"", VLOOKUP(A5460, imdb_netflix_v5!A$2:H$7370, 7, FALSE), "")</f>
        <v>NA</v>
      </c>
    </row>
    <row r="5461" ht="15.75" customHeight="1">
      <c r="A5461" s="1" t="str">
        <f>IFERROR(__xludf.DUMMYFUNCTION("""COMPUTED_VALUE"""),"fast times at ridgemont high")</f>
        <v>fast times at ridgemont high</v>
      </c>
      <c r="B5461" s="1" t="str">
        <f>IF(A5461&lt;&gt;"", VLOOKUP(A5461, imdb_netflix_v5!A$2:H$7370, 2, FALSE), "")</f>
        <v>Movie</v>
      </c>
      <c r="C5461" s="2" t="str">
        <f>IF(A5461&lt;&gt;"", VLOOKUP(A5461, imdb_netflix_v5!A$2:H$7370, 3, FALSE), "")</f>
        <v>Comedy, Drama</v>
      </c>
      <c r="D5461" s="2">
        <f>IF(A5461&lt;&gt;"", VLOOKUP(A5461, imdb_netflix_v5!A$2:H$7370, 4, FALSE), "")</f>
        <v>7.1</v>
      </c>
      <c r="E5461" s="2">
        <f>IF(A5461&lt;&gt;"", VLOOKUP(A5461, imdb_netflix_v5!A$2:H$7370, 5, FALSE), "")</f>
        <v>1982</v>
      </c>
      <c r="F5461" s="2" t="str">
        <f>IF(A5461&lt;&gt;"", VLOOKUP(A5461, imdb_netflix_v5!A$2:H$7370, 7, FALSE), "")</f>
        <v>NA</v>
      </c>
    </row>
    <row r="5462" ht="15.75" customHeight="1">
      <c r="A5462" s="1" t="str">
        <f>IFERROR(__xludf.DUMMYFUNCTION("""COMPUTED_VALUE"""),"the aristocats")</f>
        <v>the aristocats</v>
      </c>
      <c r="B5462" s="1" t="str">
        <f>IF(A5462&lt;&gt;"", VLOOKUP(A5462, imdb_netflix_v5!A$2:H$7370, 2, FALSE), "")</f>
        <v>Movie</v>
      </c>
      <c r="C5462" s="2" t="str">
        <f>IF(A5462&lt;&gt;"", VLOOKUP(A5462, imdb_netflix_v5!A$2:H$7370, 3, FALSE), "")</f>
        <v>Adventure, Animation, Comedy</v>
      </c>
      <c r="D5462" s="2">
        <f>IF(A5462&lt;&gt;"", VLOOKUP(A5462, imdb_netflix_v5!A$2:H$7370, 4, FALSE), "")</f>
        <v>7.1</v>
      </c>
      <c r="E5462" s="2">
        <f>IF(A5462&lt;&gt;"", VLOOKUP(A5462, imdb_netflix_v5!A$2:H$7370, 5, FALSE), "")</f>
        <v>1970</v>
      </c>
      <c r="F5462" s="2" t="str">
        <f>IF(A5462&lt;&gt;"", VLOOKUP(A5462, imdb_netflix_v5!A$2:H$7370, 7, FALSE), "")</f>
        <v>NA</v>
      </c>
    </row>
    <row r="5463" ht="15.75" customHeight="1">
      <c r="A5463" s="1" t="str">
        <f>IFERROR(__xludf.DUMMYFUNCTION("""COMPUTED_VALUE"""),"dogtooth")</f>
        <v>dogtooth</v>
      </c>
      <c r="B5463" s="1" t="str">
        <f>IF(A5463&lt;&gt;"", VLOOKUP(A5463, imdb_netflix_v5!A$2:H$7370, 2, FALSE), "")</f>
        <v>Movie</v>
      </c>
      <c r="C5463" s="2" t="str">
        <f>IF(A5463&lt;&gt;"", VLOOKUP(A5463, imdb_netflix_v5!A$2:H$7370, 3, FALSE), "")</f>
        <v>Drama, Thriller</v>
      </c>
      <c r="D5463" s="2">
        <f>IF(A5463&lt;&gt;"", VLOOKUP(A5463, imdb_netflix_v5!A$2:H$7370, 4, FALSE), "")</f>
        <v>7.1</v>
      </c>
      <c r="E5463" s="2">
        <f>IF(A5463&lt;&gt;"", VLOOKUP(A5463, imdb_netflix_v5!A$2:H$7370, 5, FALSE), "")</f>
        <v>2009</v>
      </c>
      <c r="F5463" s="2" t="str">
        <f>IF(A5463&lt;&gt;"", VLOOKUP(A5463, imdb_netflix_v5!A$2:H$7370, 7, FALSE), "")</f>
        <v>NA</v>
      </c>
    </row>
    <row r="5464" ht="15.75" customHeight="1">
      <c r="A5464" s="1" t="str">
        <f>IFERROR(__xludf.DUMMYFUNCTION("""COMPUTED_VALUE"""),"wargames")</f>
        <v>wargames</v>
      </c>
      <c r="B5464" s="1" t="str">
        <f>IF(A5464&lt;&gt;"", VLOOKUP(A5464, imdb_netflix_v5!A$2:H$7370, 2, FALSE), "")</f>
        <v>Movie</v>
      </c>
      <c r="C5464" s="2" t="str">
        <f>IF(A5464&lt;&gt;"", VLOOKUP(A5464, imdb_netflix_v5!A$2:H$7370, 3, FALSE), "")</f>
        <v>Action, Drama, Sci-Fi</v>
      </c>
      <c r="D5464" s="2">
        <f>IF(A5464&lt;&gt;"", VLOOKUP(A5464, imdb_netflix_v5!A$2:H$7370, 4, FALSE), "")</f>
        <v>7.1</v>
      </c>
      <c r="E5464" s="2">
        <f>IF(A5464&lt;&gt;"", VLOOKUP(A5464, imdb_netflix_v5!A$2:H$7370, 5, FALSE), "")</f>
        <v>1983</v>
      </c>
      <c r="F5464" s="2" t="str">
        <f>IF(A5464&lt;&gt;"", VLOOKUP(A5464, imdb_netflix_v5!A$2:H$7370, 7, FALSE), "")</f>
        <v>NA</v>
      </c>
    </row>
    <row r="5465" ht="15.75" customHeight="1">
      <c r="A5465" s="1" t="str">
        <f>IFERROR(__xludf.DUMMYFUNCTION("""COMPUTED_VALUE"""),"gran turismo")</f>
        <v>gran turismo</v>
      </c>
      <c r="B5465" s="1" t="str">
        <f>IF(A5465&lt;&gt;"", VLOOKUP(A5465, imdb_netflix_v5!A$2:H$7370, 2, FALSE), "")</f>
        <v>Movie</v>
      </c>
      <c r="C5465" s="2" t="str">
        <f>IF(A5465&lt;&gt;"", VLOOKUP(A5465, imdb_netflix_v5!A$2:H$7370, 3, FALSE), "")</f>
        <v>Action, Adventure, Drama</v>
      </c>
      <c r="D5465" s="2">
        <f>IF(A5465&lt;&gt;"", VLOOKUP(A5465, imdb_netflix_v5!A$2:H$7370, 4, FALSE), "")</f>
        <v>7.1</v>
      </c>
      <c r="E5465" s="2">
        <f>IF(A5465&lt;&gt;"", VLOOKUP(A5465, imdb_netflix_v5!A$2:H$7370, 5, FALSE), "")</f>
        <v>2023</v>
      </c>
      <c r="F5465" s="2" t="str">
        <f>IF(A5465&lt;&gt;"", VLOOKUP(A5465, imdb_netflix_v5!A$2:H$7370, 7, FALSE), "")</f>
        <v>NA</v>
      </c>
    </row>
    <row r="5466" ht="15.75" customHeight="1">
      <c r="A5466" s="1" t="str">
        <f>IFERROR(__xludf.DUMMYFUNCTION("""COMPUTED_VALUE"""),"uncle buck")</f>
        <v>uncle buck</v>
      </c>
      <c r="B5466" s="1" t="str">
        <f>IF(A5466&lt;&gt;"", VLOOKUP(A5466, imdb_netflix_v5!A$2:H$7370, 2, FALSE), "")</f>
        <v>Movie</v>
      </c>
      <c r="C5466" s="2" t="str">
        <f>IF(A5466&lt;&gt;"", VLOOKUP(A5466, imdb_netflix_v5!A$2:H$7370, 3, FALSE), "")</f>
        <v>Comedy</v>
      </c>
      <c r="D5466" s="2">
        <f>IF(A5466&lt;&gt;"", VLOOKUP(A5466, imdb_netflix_v5!A$2:H$7370, 4, FALSE), "")</f>
        <v>7.1</v>
      </c>
      <c r="E5466" s="2">
        <f>IF(A5466&lt;&gt;"", VLOOKUP(A5466, imdb_netflix_v5!A$2:H$7370, 5, FALSE), "")</f>
        <v>1989</v>
      </c>
      <c r="F5466" s="2" t="str">
        <f>IF(A5466&lt;&gt;"", VLOOKUP(A5466, imdb_netflix_v5!A$2:H$7370, 7, FALSE), "")</f>
        <v>NA</v>
      </c>
    </row>
    <row r="5467" ht="15.75" customHeight="1">
      <c r="A5467" s="1" t="str">
        <f>IFERROR(__xludf.DUMMYFUNCTION("""COMPUTED_VALUE"""),"brick")</f>
        <v>brick</v>
      </c>
      <c r="B5467" s="1" t="str">
        <f>IF(A5467&lt;&gt;"", VLOOKUP(A5467, imdb_netflix_v5!A$2:H$7370, 2, FALSE), "")</f>
        <v>Movie</v>
      </c>
      <c r="C5467" s="2" t="str">
        <f>IF(A5467&lt;&gt;"", VLOOKUP(A5467, imdb_netflix_v5!A$2:H$7370, 3, FALSE), "")</f>
        <v>Crime, Drama, Mystery</v>
      </c>
      <c r="D5467" s="2">
        <f>IF(A5467&lt;&gt;"", VLOOKUP(A5467, imdb_netflix_v5!A$2:H$7370, 4, FALSE), "")</f>
        <v>7.1</v>
      </c>
      <c r="E5467" s="2">
        <f>IF(A5467&lt;&gt;"", VLOOKUP(A5467, imdb_netflix_v5!A$2:H$7370, 5, FALSE), "")</f>
        <v>2005</v>
      </c>
      <c r="F5467" s="2" t="str">
        <f>IF(A5467&lt;&gt;"", VLOOKUP(A5467, imdb_netflix_v5!A$2:H$7370, 7, FALSE), "")</f>
        <v>NA</v>
      </c>
    </row>
    <row r="5468" ht="15.75" customHeight="1">
      <c r="A5468" s="1" t="str">
        <f>IFERROR(__xludf.DUMMYFUNCTION("""COMPUTED_VALUE"""),"the sword in the stone")</f>
        <v>the sword in the stone</v>
      </c>
      <c r="B5468" s="1" t="str">
        <f>IF(A5468&lt;&gt;"", VLOOKUP(A5468, imdb_netflix_v5!A$2:H$7370, 2, FALSE), "")</f>
        <v>Movie</v>
      </c>
      <c r="C5468" s="2" t="str">
        <f>IF(A5468&lt;&gt;"", VLOOKUP(A5468, imdb_netflix_v5!A$2:H$7370, 3, FALSE), "")</f>
        <v>Adventure, Animation, Comedy</v>
      </c>
      <c r="D5468" s="2">
        <f>IF(A5468&lt;&gt;"", VLOOKUP(A5468, imdb_netflix_v5!A$2:H$7370, 4, FALSE), "")</f>
        <v>7.1</v>
      </c>
      <c r="E5468" s="2">
        <f>IF(A5468&lt;&gt;"", VLOOKUP(A5468, imdb_netflix_v5!A$2:H$7370, 5, FALSE), "")</f>
        <v>1963</v>
      </c>
      <c r="F5468" s="2" t="str">
        <f>IF(A5468&lt;&gt;"", VLOOKUP(A5468, imdb_netflix_v5!A$2:H$7370, 7, FALSE), "")</f>
        <v>NA</v>
      </c>
    </row>
    <row r="5469" ht="15.75" customHeight="1">
      <c r="A5469" s="1" t="str">
        <f>IFERROR(__xludf.DUMMYFUNCTION("""COMPUTED_VALUE"""),"broken flowers")</f>
        <v>broken flowers</v>
      </c>
      <c r="B5469" s="1" t="str">
        <f>IF(A5469&lt;&gt;"", VLOOKUP(A5469, imdb_netflix_v5!A$2:H$7370, 2, FALSE), "")</f>
        <v>Movie</v>
      </c>
      <c r="C5469" s="2" t="str">
        <f>IF(A5469&lt;&gt;"", VLOOKUP(A5469, imdb_netflix_v5!A$2:H$7370, 3, FALSE), "")</f>
        <v>Comedy, Drama, Mystery</v>
      </c>
      <c r="D5469" s="2">
        <f>IF(A5469&lt;&gt;"", VLOOKUP(A5469, imdb_netflix_v5!A$2:H$7370, 4, FALSE), "")</f>
        <v>7.1</v>
      </c>
      <c r="E5469" s="2">
        <f>IF(A5469&lt;&gt;"", VLOOKUP(A5469, imdb_netflix_v5!A$2:H$7370, 5, FALSE), "")</f>
        <v>2005</v>
      </c>
      <c r="F5469" s="2" t="str">
        <f>IF(A5469&lt;&gt;"", VLOOKUP(A5469, imdb_netflix_v5!A$2:H$7370, 7, FALSE), "")</f>
        <v>NA</v>
      </c>
    </row>
    <row r="5470" ht="15.75" customHeight="1">
      <c r="A5470" s="1" t="str">
        <f>IFERROR(__xludf.DUMMYFUNCTION("""COMPUTED_VALUE"""),"runaway jury")</f>
        <v>runaway jury</v>
      </c>
      <c r="B5470" s="1" t="str">
        <f>IF(A5470&lt;&gt;"", VLOOKUP(A5470, imdb_netflix_v5!A$2:H$7370, 2, FALSE), "")</f>
        <v>Movie</v>
      </c>
      <c r="C5470" s="2" t="str">
        <f>IF(A5470&lt;&gt;"", VLOOKUP(A5470, imdb_netflix_v5!A$2:H$7370, 3, FALSE), "")</f>
        <v>Crime, Drama, Thriller</v>
      </c>
      <c r="D5470" s="2">
        <f>IF(A5470&lt;&gt;"", VLOOKUP(A5470, imdb_netflix_v5!A$2:H$7370, 4, FALSE), "")</f>
        <v>7.1</v>
      </c>
      <c r="E5470" s="2">
        <f>IF(A5470&lt;&gt;"", VLOOKUP(A5470, imdb_netflix_v5!A$2:H$7370, 5, FALSE), "")</f>
        <v>2003</v>
      </c>
      <c r="F5470" s="2" t="str">
        <f>IF(A5470&lt;&gt;"", VLOOKUP(A5470, imdb_netflix_v5!A$2:H$7370, 7, FALSE), "")</f>
        <v>NA</v>
      </c>
    </row>
    <row r="5471" ht="15.75" customHeight="1">
      <c r="A5471" s="1" t="str">
        <f>IFERROR(__xludf.DUMMYFUNCTION("""COMPUTED_VALUE"""),"concussion")</f>
        <v>concussion</v>
      </c>
      <c r="B5471" s="1" t="str">
        <f>IF(A5471&lt;&gt;"", VLOOKUP(A5471, imdb_netflix_v5!A$2:H$7370, 2, FALSE), "")</f>
        <v>Movie</v>
      </c>
      <c r="C5471" s="2" t="str">
        <f>IF(A5471&lt;&gt;"", VLOOKUP(A5471, imdb_netflix_v5!A$2:H$7370, 3, FALSE), "")</f>
        <v>Biography, Drama, Sport</v>
      </c>
      <c r="D5471" s="2">
        <f>IF(A5471&lt;&gt;"", VLOOKUP(A5471, imdb_netflix_v5!A$2:H$7370, 4, FALSE), "")</f>
        <v>7.1</v>
      </c>
      <c r="E5471" s="2">
        <f>IF(A5471&lt;&gt;"", VLOOKUP(A5471, imdb_netflix_v5!A$2:H$7370, 5, FALSE), "")</f>
        <v>2015</v>
      </c>
      <c r="F5471" s="2" t="str">
        <f>IF(A5471&lt;&gt;"", VLOOKUP(A5471, imdb_netflix_v5!A$2:H$7370, 7, FALSE), "")</f>
        <v>NA</v>
      </c>
    </row>
    <row r="5472" ht="15.75" customHeight="1">
      <c r="A5472" s="1" t="str">
        <f>IFERROR(__xludf.DUMMYFUNCTION("""COMPUTED_VALUE"""),"tommy boy")</f>
        <v>tommy boy</v>
      </c>
      <c r="B5472" s="1" t="str">
        <f>IF(A5472&lt;&gt;"", VLOOKUP(A5472, imdb_netflix_v5!A$2:H$7370, 2, FALSE), "")</f>
        <v>Movie</v>
      </c>
      <c r="C5472" s="2" t="str">
        <f>IF(A5472&lt;&gt;"", VLOOKUP(A5472, imdb_netflix_v5!A$2:H$7370, 3, FALSE), "")</f>
        <v>Adventure, Comedy</v>
      </c>
      <c r="D5472" s="2">
        <f>IF(A5472&lt;&gt;"", VLOOKUP(A5472, imdb_netflix_v5!A$2:H$7370, 4, FALSE), "")</f>
        <v>7.1</v>
      </c>
      <c r="E5472" s="2">
        <f>IF(A5472&lt;&gt;"", VLOOKUP(A5472, imdb_netflix_v5!A$2:H$7370, 5, FALSE), "")</f>
        <v>1995</v>
      </c>
      <c r="F5472" s="2" t="str">
        <f>IF(A5472&lt;&gt;"", VLOOKUP(A5472, imdb_netflix_v5!A$2:H$7370, 7, FALSE), "")</f>
        <v>NA</v>
      </c>
    </row>
    <row r="5473" ht="15.75" customHeight="1">
      <c r="A5473" s="1" t="str">
        <f>IFERROR(__xludf.DUMMYFUNCTION("""COMPUTED_VALUE"""),"the girl who played with fire")</f>
        <v>the girl who played with fire</v>
      </c>
      <c r="B5473" s="1" t="str">
        <f>IF(A5473&lt;&gt;"", VLOOKUP(A5473, imdb_netflix_v5!A$2:H$7370, 2, FALSE), "")</f>
        <v>Movie</v>
      </c>
      <c r="C5473" s="2" t="str">
        <f>IF(A5473&lt;&gt;"", VLOOKUP(A5473, imdb_netflix_v5!A$2:H$7370, 3, FALSE), "")</f>
        <v>Action, Crime, Drama</v>
      </c>
      <c r="D5473" s="2">
        <f>IF(A5473&lt;&gt;"", VLOOKUP(A5473, imdb_netflix_v5!A$2:H$7370, 4, FALSE), "")</f>
        <v>7.1</v>
      </c>
      <c r="E5473" s="2">
        <f>IF(A5473&lt;&gt;"", VLOOKUP(A5473, imdb_netflix_v5!A$2:H$7370, 5, FALSE), "")</f>
        <v>2009</v>
      </c>
      <c r="F5473" s="2" t="str">
        <f>IF(A5473&lt;&gt;"", VLOOKUP(A5473, imdb_netflix_v5!A$2:H$7370, 7, FALSE), "")</f>
        <v>NA</v>
      </c>
    </row>
    <row r="5474" ht="15.75" customHeight="1">
      <c r="A5474" s="1" t="str">
        <f>IFERROR(__xludf.DUMMYFUNCTION("""COMPUTED_VALUE"""),"elephant")</f>
        <v>elephant</v>
      </c>
      <c r="B5474" s="1" t="str">
        <f>IF(A5474&lt;&gt;"", VLOOKUP(A5474, imdb_netflix_v5!A$2:H$7370, 2, FALSE), "")</f>
        <v>Movie</v>
      </c>
      <c r="C5474" s="2" t="str">
        <f>IF(A5474&lt;&gt;"", VLOOKUP(A5474, imdb_netflix_v5!A$2:H$7370, 3, FALSE), "")</f>
        <v>Crime, Drama, Thriller</v>
      </c>
      <c r="D5474" s="2">
        <f>IF(A5474&lt;&gt;"", VLOOKUP(A5474, imdb_netflix_v5!A$2:H$7370, 4, FALSE), "")</f>
        <v>7.1</v>
      </c>
      <c r="E5474" s="2">
        <f>IF(A5474&lt;&gt;"", VLOOKUP(A5474, imdb_netflix_v5!A$2:H$7370, 5, FALSE), "")</f>
        <v>2003</v>
      </c>
      <c r="F5474" s="2" t="str">
        <f>IF(A5474&lt;&gt;"", VLOOKUP(A5474, imdb_netflix_v5!A$2:H$7370, 7, FALSE), "")</f>
        <v>NA</v>
      </c>
    </row>
    <row r="5475" ht="15.75" customHeight="1">
      <c r="A5475" s="1" t="str">
        <f>IFERROR(__xludf.DUMMYFUNCTION("""COMPUTED_VALUE"""),"the muppets")</f>
        <v>the muppets</v>
      </c>
      <c r="B5475" s="1" t="str">
        <f>IF(A5475&lt;&gt;"", VLOOKUP(A5475, imdb_netflix_v5!A$2:H$7370, 2, FALSE), "")</f>
        <v>Movie</v>
      </c>
      <c r="C5475" s="2" t="str">
        <f>IF(A5475&lt;&gt;"", VLOOKUP(A5475, imdb_netflix_v5!A$2:H$7370, 3, FALSE), "")</f>
        <v>Adventure, Comedy, Family</v>
      </c>
      <c r="D5475" s="2">
        <f>IF(A5475&lt;&gt;"", VLOOKUP(A5475, imdb_netflix_v5!A$2:H$7370, 4, FALSE), "")</f>
        <v>7.1</v>
      </c>
      <c r="E5475" s="2">
        <f>IF(A5475&lt;&gt;"", VLOOKUP(A5475, imdb_netflix_v5!A$2:H$7370, 5, FALSE), "")</f>
        <v>2011</v>
      </c>
      <c r="F5475" s="2" t="str">
        <f>IF(A5475&lt;&gt;"", VLOOKUP(A5475, imdb_netflix_v5!A$2:H$7370, 7, FALSE), "")</f>
        <v>NA</v>
      </c>
    </row>
    <row r="5476" ht="15.75" customHeight="1">
      <c r="A5476" s="1" t="str">
        <f>IFERROR(__xludf.DUMMYFUNCTION("""COMPUTED_VALUE"""),"the frighteners")</f>
        <v>the frighteners</v>
      </c>
      <c r="B5476" s="1" t="str">
        <f>IF(A5476&lt;&gt;"", VLOOKUP(A5476, imdb_netflix_v5!A$2:H$7370, 2, FALSE), "")</f>
        <v>Movie</v>
      </c>
      <c r="C5476" s="2" t="str">
        <f>IF(A5476&lt;&gt;"", VLOOKUP(A5476, imdb_netflix_v5!A$2:H$7370, 3, FALSE), "")</f>
        <v>Comedy, Fantasy, Horror</v>
      </c>
      <c r="D5476" s="2">
        <f>IF(A5476&lt;&gt;"", VLOOKUP(A5476, imdb_netflix_v5!A$2:H$7370, 4, FALSE), "")</f>
        <v>7.1</v>
      </c>
      <c r="E5476" s="2">
        <f>IF(A5476&lt;&gt;"", VLOOKUP(A5476, imdb_netflix_v5!A$2:H$7370, 5, FALSE), "")</f>
        <v>1996</v>
      </c>
      <c r="F5476" s="2" t="str">
        <f>IF(A5476&lt;&gt;"", VLOOKUP(A5476, imdb_netflix_v5!A$2:H$7370, 7, FALSE), "")</f>
        <v>NA</v>
      </c>
    </row>
    <row r="5477" ht="15.75" customHeight="1">
      <c r="A5477" s="1" t="str">
        <f>IFERROR(__xludf.DUMMYFUNCTION("""COMPUTED_VALUE"""),"falling skies")</f>
        <v>falling skies</v>
      </c>
      <c r="B5477" s="1" t="str">
        <f>IF(A5477&lt;&gt;"", VLOOKUP(A5477, imdb_netflix_v5!A$2:H$7370, 2, FALSE), "")</f>
        <v>TV Show</v>
      </c>
      <c r="C5477" s="2" t="str">
        <f>IF(A5477&lt;&gt;"", VLOOKUP(A5477, imdb_netflix_v5!A$2:H$7370, 3, FALSE), "")</f>
        <v>Action, Adventure, Drama</v>
      </c>
      <c r="D5477" s="2">
        <f>IF(A5477&lt;&gt;"", VLOOKUP(A5477, imdb_netflix_v5!A$2:H$7370, 4, FALSE), "")</f>
        <v>7.1</v>
      </c>
      <c r="E5477" s="2">
        <f>IF(A5477&lt;&gt;"", VLOOKUP(A5477, imdb_netflix_v5!A$2:H$7370, 5, FALSE), "")</f>
        <v>2011</v>
      </c>
      <c r="F5477" s="2" t="str">
        <f>IF(A5477&lt;&gt;"", VLOOKUP(A5477, imdb_netflix_v5!A$2:H$7370, 7, FALSE), "")</f>
        <v>NA</v>
      </c>
    </row>
    <row r="5478" ht="15.75" customHeight="1">
      <c r="A5478" s="1" t="str">
        <f>IFERROR(__xludf.DUMMYFUNCTION("""COMPUTED_VALUE"""),"half nelson")</f>
        <v>half nelson</v>
      </c>
      <c r="B5478" s="1" t="str">
        <f>IF(A5478&lt;&gt;"", VLOOKUP(A5478, imdb_netflix_v5!A$2:H$7370, 2, FALSE), "")</f>
        <v>Movie</v>
      </c>
      <c r="C5478" s="2" t="str">
        <f>IF(A5478&lt;&gt;"", VLOOKUP(A5478, imdb_netflix_v5!A$2:H$7370, 3, FALSE), "")</f>
        <v>Drama</v>
      </c>
      <c r="D5478" s="2">
        <f>IF(A5478&lt;&gt;"", VLOOKUP(A5478, imdb_netflix_v5!A$2:H$7370, 4, FALSE), "")</f>
        <v>7.1</v>
      </c>
      <c r="E5478" s="2">
        <f>IF(A5478&lt;&gt;"", VLOOKUP(A5478, imdb_netflix_v5!A$2:H$7370, 5, FALSE), "")</f>
        <v>2006</v>
      </c>
      <c r="F5478" s="2" t="str">
        <f>IF(A5478&lt;&gt;"", VLOOKUP(A5478, imdb_netflix_v5!A$2:H$7370, 7, FALSE), "")</f>
        <v>NA</v>
      </c>
    </row>
    <row r="5479" ht="15.75" customHeight="1">
      <c r="A5479" s="1" t="str">
        <f>IFERROR(__xludf.DUMMYFUNCTION("""COMPUTED_VALUE"""),"audition")</f>
        <v>audition</v>
      </c>
      <c r="B5479" s="1" t="str">
        <f>IF(A5479&lt;&gt;"", VLOOKUP(A5479, imdb_netflix_v5!A$2:H$7370, 2, FALSE), "")</f>
        <v>Movie</v>
      </c>
      <c r="C5479" s="2" t="str">
        <f>IF(A5479&lt;&gt;"", VLOOKUP(A5479, imdb_netflix_v5!A$2:H$7370, 3, FALSE), "")</f>
        <v>Drama, Horror, Mystery</v>
      </c>
      <c r="D5479" s="2">
        <f>IF(A5479&lt;&gt;"", VLOOKUP(A5479, imdb_netflix_v5!A$2:H$7370, 4, FALSE), "")</f>
        <v>7.1</v>
      </c>
      <c r="E5479" s="2">
        <f>IF(A5479&lt;&gt;"", VLOOKUP(A5479, imdb_netflix_v5!A$2:H$7370, 5, FALSE), "")</f>
        <v>1999</v>
      </c>
      <c r="F5479" s="2" t="str">
        <f>IF(A5479&lt;&gt;"", VLOOKUP(A5479, imdb_netflix_v5!A$2:H$7370, 7, FALSE), "")</f>
        <v>NA</v>
      </c>
    </row>
    <row r="5480" ht="15.75" customHeight="1">
      <c r="A5480" s="1" t="str">
        <f>IFERROR(__xludf.DUMMYFUNCTION("""COMPUTED_VALUE"""),"cashback")</f>
        <v>cashback</v>
      </c>
      <c r="B5480" s="1" t="str">
        <f>IF(A5480&lt;&gt;"", VLOOKUP(A5480, imdb_netflix_v5!A$2:H$7370, 2, FALSE), "")</f>
        <v>Movie</v>
      </c>
      <c r="C5480" s="2" t="str">
        <f>IF(A5480&lt;&gt;"", VLOOKUP(A5480, imdb_netflix_v5!A$2:H$7370, 3, FALSE), "")</f>
        <v>Comedy, Drama, Romance</v>
      </c>
      <c r="D5480" s="2">
        <f>IF(A5480&lt;&gt;"", VLOOKUP(A5480, imdb_netflix_v5!A$2:H$7370, 4, FALSE), "")</f>
        <v>7.1</v>
      </c>
      <c r="E5480" s="2">
        <f>IF(A5480&lt;&gt;"", VLOOKUP(A5480, imdb_netflix_v5!A$2:H$7370, 5, FALSE), "")</f>
        <v>2006</v>
      </c>
      <c r="F5480" s="2" t="str">
        <f>IF(A5480&lt;&gt;"", VLOOKUP(A5480, imdb_netflix_v5!A$2:H$7370, 7, FALSE), "")</f>
        <v>NA</v>
      </c>
    </row>
    <row r="5481" ht="15.75" customHeight="1">
      <c r="A5481" s="1" t="str">
        <f>IFERROR(__xludf.DUMMYFUNCTION("""COMPUTED_VALUE"""),"wag the dog")</f>
        <v>wag the dog</v>
      </c>
      <c r="B5481" s="1" t="str">
        <f>IF(A5481&lt;&gt;"", VLOOKUP(A5481, imdb_netflix_v5!A$2:H$7370, 2, FALSE), "")</f>
        <v>Movie</v>
      </c>
      <c r="C5481" s="2" t="str">
        <f>IF(A5481&lt;&gt;"", VLOOKUP(A5481, imdb_netflix_v5!A$2:H$7370, 3, FALSE), "")</f>
        <v>Comedy, Drama</v>
      </c>
      <c r="D5481" s="2">
        <f>IF(A5481&lt;&gt;"", VLOOKUP(A5481, imdb_netflix_v5!A$2:H$7370, 4, FALSE), "")</f>
        <v>7.1</v>
      </c>
      <c r="E5481" s="2">
        <f>IF(A5481&lt;&gt;"", VLOOKUP(A5481, imdb_netflix_v5!A$2:H$7370, 5, FALSE), "")</f>
        <v>1997</v>
      </c>
      <c r="F5481" s="2" t="str">
        <f>IF(A5481&lt;&gt;"", VLOOKUP(A5481, imdb_netflix_v5!A$2:H$7370, 7, FALSE), "")</f>
        <v>NA</v>
      </c>
    </row>
    <row r="5482" ht="15.75" customHeight="1">
      <c r="A5482" s="1" t="str">
        <f>IFERROR(__xludf.DUMMYFUNCTION("""COMPUTED_VALUE"""),"little shop of horrors")</f>
        <v>little shop of horrors</v>
      </c>
      <c r="B5482" s="1" t="str">
        <f>IF(A5482&lt;&gt;"", VLOOKUP(A5482, imdb_netflix_v5!A$2:H$7370, 2, FALSE), "")</f>
        <v>Movie</v>
      </c>
      <c r="C5482" s="2" t="str">
        <f>IF(A5482&lt;&gt;"", VLOOKUP(A5482, imdb_netflix_v5!A$2:H$7370, 3, FALSE), "")</f>
        <v>Comedy, Horror, Musical</v>
      </c>
      <c r="D5482" s="2">
        <f>IF(A5482&lt;&gt;"", VLOOKUP(A5482, imdb_netflix_v5!A$2:H$7370, 4, FALSE), "")</f>
        <v>7.1</v>
      </c>
      <c r="E5482" s="2">
        <f>IF(A5482&lt;&gt;"", VLOOKUP(A5482, imdb_netflix_v5!A$2:H$7370, 5, FALSE), "")</f>
        <v>1986</v>
      </c>
      <c r="F5482" s="2" t="str">
        <f>IF(A5482&lt;&gt;"", VLOOKUP(A5482, imdb_netflix_v5!A$2:H$7370, 7, FALSE), "")</f>
        <v>NA</v>
      </c>
    </row>
    <row r="5483" ht="15.75" customHeight="1">
      <c r="A5483" s="1" t="str">
        <f>IFERROR(__xludf.DUMMYFUNCTION("""COMPUTED_VALUE"""),"out of africa")</f>
        <v>out of africa</v>
      </c>
      <c r="B5483" s="1" t="str">
        <f>IF(A5483&lt;&gt;"", VLOOKUP(A5483, imdb_netflix_v5!A$2:H$7370, 2, FALSE), "")</f>
        <v>Movie</v>
      </c>
      <c r="C5483" s="2" t="str">
        <f>IF(A5483&lt;&gt;"", VLOOKUP(A5483, imdb_netflix_v5!A$2:H$7370, 3, FALSE), "")</f>
        <v>Biography, Drama, Romance</v>
      </c>
      <c r="D5483" s="2">
        <f>IF(A5483&lt;&gt;"", VLOOKUP(A5483, imdb_netflix_v5!A$2:H$7370, 4, FALSE), "")</f>
        <v>7.1</v>
      </c>
      <c r="E5483" s="2">
        <f>IF(A5483&lt;&gt;"", VLOOKUP(A5483, imdb_netflix_v5!A$2:H$7370, 5, FALSE), "")</f>
        <v>1985</v>
      </c>
      <c r="F5483" s="2" t="str">
        <f>IF(A5483&lt;&gt;"", VLOOKUP(A5483, imdb_netflix_v5!A$2:H$7370, 7, FALSE), "")</f>
        <v>NA</v>
      </c>
    </row>
    <row r="5484" ht="15.75" customHeight="1">
      <c r="A5484" s="1" t="str">
        <f>IFERROR(__xludf.DUMMYFUNCTION("""COMPUTED_VALUE"""),"the kings of summer")</f>
        <v>the kings of summer</v>
      </c>
      <c r="B5484" s="1" t="str">
        <f>IF(A5484&lt;&gt;"", VLOOKUP(A5484, imdb_netflix_v5!A$2:H$7370, 2, FALSE), "")</f>
        <v>Movie</v>
      </c>
      <c r="C5484" s="2" t="str">
        <f>IF(A5484&lt;&gt;"", VLOOKUP(A5484, imdb_netflix_v5!A$2:H$7370, 3, FALSE), "")</f>
        <v>Adventure, Comedy, Drama</v>
      </c>
      <c r="D5484" s="2">
        <f>IF(A5484&lt;&gt;"", VLOOKUP(A5484, imdb_netflix_v5!A$2:H$7370, 4, FALSE), "")</f>
        <v>7.1</v>
      </c>
      <c r="E5484" s="2">
        <f>IF(A5484&lt;&gt;"", VLOOKUP(A5484, imdb_netflix_v5!A$2:H$7370, 5, FALSE), "")</f>
        <v>2013</v>
      </c>
      <c r="F5484" s="2" t="str">
        <f>IF(A5484&lt;&gt;"", VLOOKUP(A5484, imdb_netflix_v5!A$2:H$7370, 7, FALSE), "")</f>
        <v>NA</v>
      </c>
    </row>
    <row r="5485" ht="15.75" customHeight="1">
      <c r="A5485" s="1" t="str">
        <f>IFERROR(__xludf.DUMMYFUNCTION("""COMPUTED_VALUE"""),"the dig")</f>
        <v>the dig</v>
      </c>
      <c r="B5485" s="1" t="str">
        <f>IF(A5485&lt;&gt;"", VLOOKUP(A5485, imdb_netflix_v5!A$2:H$7370, 2, FALSE), "")</f>
        <v>Movie</v>
      </c>
      <c r="C5485" s="2" t="str">
        <f>IF(A5485&lt;&gt;"", VLOOKUP(A5485, imdb_netflix_v5!A$2:H$7370, 3, FALSE), "")</f>
        <v>Biography, Drama, History</v>
      </c>
      <c r="D5485" s="2">
        <f>IF(A5485&lt;&gt;"", VLOOKUP(A5485, imdb_netflix_v5!A$2:H$7370, 4, FALSE), "")</f>
        <v>7.1</v>
      </c>
      <c r="E5485" s="2">
        <f>IF(A5485&lt;&gt;"", VLOOKUP(A5485, imdb_netflix_v5!A$2:H$7370, 5, FALSE), "")</f>
        <v>2021</v>
      </c>
      <c r="F5485" s="2" t="str">
        <f>IF(A5485&lt;&gt;"", VLOOKUP(A5485, imdb_netflix_v5!A$2:H$7370, 7, FALSE), "")</f>
        <v>NA</v>
      </c>
    </row>
    <row r="5486" ht="15.75" customHeight="1">
      <c r="A5486" s="1" t="str">
        <f>IFERROR(__xludf.DUMMYFUNCTION("""COMPUTED_VALUE"""),"ever after a cinderella story")</f>
        <v>ever after a cinderella story</v>
      </c>
      <c r="B5486" s="1" t="str">
        <f>IF(A5486&lt;&gt;"", VLOOKUP(A5486, imdb_netflix_v5!A$2:H$7370, 2, FALSE), "")</f>
        <v>Movie</v>
      </c>
      <c r="C5486" s="2" t="str">
        <f>IF(A5486&lt;&gt;"", VLOOKUP(A5486, imdb_netflix_v5!A$2:H$7370, 3, FALSE), "")</f>
        <v>Drama, Romance</v>
      </c>
      <c r="D5486" s="2">
        <f>IF(A5486&lt;&gt;"", VLOOKUP(A5486, imdb_netflix_v5!A$2:H$7370, 4, FALSE), "")</f>
        <v>7.1</v>
      </c>
      <c r="E5486" s="2">
        <f>IF(A5486&lt;&gt;"", VLOOKUP(A5486, imdb_netflix_v5!A$2:H$7370, 5, FALSE), "")</f>
        <v>1998</v>
      </c>
      <c r="F5486" s="2" t="str">
        <f>IF(A5486&lt;&gt;"", VLOOKUP(A5486, imdb_netflix_v5!A$2:H$7370, 7, FALSE), "")</f>
        <v>NA</v>
      </c>
    </row>
    <row r="5487" ht="15.75" customHeight="1">
      <c r="A5487" s="1" t="str">
        <f>IFERROR(__xludf.DUMMYFUNCTION("""COMPUTED_VALUE"""),"in the mouth of madness")</f>
        <v>in the mouth of madness</v>
      </c>
      <c r="B5487" s="1" t="str">
        <f>IF(A5487&lt;&gt;"", VLOOKUP(A5487, imdb_netflix_v5!A$2:H$7370, 2, FALSE), "")</f>
        <v>Movie</v>
      </c>
      <c r="C5487" s="2" t="str">
        <f>IF(A5487&lt;&gt;"", VLOOKUP(A5487, imdb_netflix_v5!A$2:H$7370, 3, FALSE), "")</f>
        <v>Drama, Fantasy, Horror</v>
      </c>
      <c r="D5487" s="2">
        <f>IF(A5487&lt;&gt;"", VLOOKUP(A5487, imdb_netflix_v5!A$2:H$7370, 4, FALSE), "")</f>
        <v>7.1</v>
      </c>
      <c r="E5487" s="2">
        <f>IF(A5487&lt;&gt;"", VLOOKUP(A5487, imdb_netflix_v5!A$2:H$7370, 5, FALSE), "")</f>
        <v>1994</v>
      </c>
      <c r="F5487" s="2" t="str">
        <f>IF(A5487&lt;&gt;"", VLOOKUP(A5487, imdb_netflix_v5!A$2:H$7370, 7, FALSE), "")</f>
        <v>NA</v>
      </c>
    </row>
    <row r="5488" ht="15.75" customHeight="1">
      <c r="A5488" s="1">
        <f>IFERROR(__xludf.DUMMYFUNCTION("""COMPUTED_VALUE"""),1984.0)</f>
        <v>1984</v>
      </c>
      <c r="B5488" s="1" t="str">
        <f>IF(A5488&lt;&gt;"", VLOOKUP(A5488, imdb_netflix_v5!A$2:H$7370, 2, FALSE), "")</f>
        <v>Movie</v>
      </c>
      <c r="C5488" s="2" t="str">
        <f>IF(A5488&lt;&gt;"", VLOOKUP(A5488, imdb_netflix_v5!A$2:H$7370, 3, FALSE), "")</f>
        <v>Drama, Sci-Fi</v>
      </c>
      <c r="D5488" s="2">
        <f>IF(A5488&lt;&gt;"", VLOOKUP(A5488, imdb_netflix_v5!A$2:H$7370, 4, FALSE), "")</f>
        <v>7.1</v>
      </c>
      <c r="E5488" s="2">
        <f>IF(A5488&lt;&gt;"", VLOOKUP(A5488, imdb_netflix_v5!A$2:H$7370, 5, FALSE), "")</f>
        <v>1984</v>
      </c>
      <c r="F5488" s="2" t="str">
        <f>IF(A5488&lt;&gt;"", VLOOKUP(A5488, imdb_netflix_v5!A$2:H$7370, 7, FALSE), "")</f>
        <v>NA</v>
      </c>
    </row>
    <row r="5489" ht="15.75" customHeight="1">
      <c r="A5489" s="1" t="str">
        <f>IFERROR(__xludf.DUMMYFUNCTION("""COMPUTED_VALUE"""),"gridiron gang")</f>
        <v>gridiron gang</v>
      </c>
      <c r="B5489" s="1" t="str">
        <f>IF(A5489&lt;&gt;"", VLOOKUP(A5489, imdb_netflix_v5!A$2:H$7370, 2, FALSE), "")</f>
        <v>Movie</v>
      </c>
      <c r="C5489" s="2" t="str">
        <f>IF(A5489&lt;&gt;"", VLOOKUP(A5489, imdb_netflix_v5!A$2:H$7370, 3, FALSE), "")</f>
        <v>Biography, Crime, Drama</v>
      </c>
      <c r="D5489" s="2">
        <f>IF(A5489&lt;&gt;"", VLOOKUP(A5489, imdb_netflix_v5!A$2:H$7370, 4, FALSE), "")</f>
        <v>7.1</v>
      </c>
      <c r="E5489" s="2">
        <f>IF(A5489&lt;&gt;"", VLOOKUP(A5489, imdb_netflix_v5!A$2:H$7370, 5, FALSE), "")</f>
        <v>2006</v>
      </c>
      <c r="F5489" s="2" t="str">
        <f>IF(A5489&lt;&gt;"", VLOOKUP(A5489, imdb_netflix_v5!A$2:H$7370, 7, FALSE), "")</f>
        <v>NA</v>
      </c>
    </row>
    <row r="5490" ht="15.75" customHeight="1">
      <c r="A5490" s="1" t="str">
        <f>IFERROR(__xludf.DUMMYFUNCTION("""COMPUTED_VALUE"""),"blue ruin")</f>
        <v>blue ruin</v>
      </c>
      <c r="B5490" s="1" t="str">
        <f>IF(A5490&lt;&gt;"", VLOOKUP(A5490, imdb_netflix_v5!A$2:H$7370, 2, FALSE), "")</f>
        <v>Movie</v>
      </c>
      <c r="C5490" s="2" t="str">
        <f>IF(A5490&lt;&gt;"", VLOOKUP(A5490, imdb_netflix_v5!A$2:H$7370, 3, FALSE), "")</f>
        <v>Crime, Drama, Thriller</v>
      </c>
      <c r="D5490" s="2">
        <f>IF(A5490&lt;&gt;"", VLOOKUP(A5490, imdb_netflix_v5!A$2:H$7370, 4, FALSE), "")</f>
        <v>7.1</v>
      </c>
      <c r="E5490" s="2">
        <f>IF(A5490&lt;&gt;"", VLOOKUP(A5490, imdb_netflix_v5!A$2:H$7370, 5, FALSE), "")</f>
        <v>2013</v>
      </c>
      <c r="F5490" s="2" t="str">
        <f>IF(A5490&lt;&gt;"", VLOOKUP(A5490, imdb_netflix_v5!A$2:H$7370, 7, FALSE), "")</f>
        <v>NA</v>
      </c>
    </row>
    <row r="5491" ht="15.75" customHeight="1">
      <c r="A5491" s="1" t="str">
        <f>IFERROR(__xludf.DUMMYFUNCTION("""COMPUTED_VALUE"""),"the square")</f>
        <v>the square</v>
      </c>
      <c r="B5491" s="1" t="str">
        <f>IF(A5491&lt;&gt;"", VLOOKUP(A5491, imdb_netflix_v5!A$2:H$7370, 2, FALSE), "")</f>
        <v>Movie</v>
      </c>
      <c r="C5491" s="2" t="str">
        <f>IF(A5491&lt;&gt;"", VLOOKUP(A5491, imdb_netflix_v5!A$2:H$7370, 3, FALSE), "")</f>
        <v>Comedy, Drama</v>
      </c>
      <c r="D5491" s="2">
        <f>IF(A5491&lt;&gt;"", VLOOKUP(A5491, imdb_netflix_v5!A$2:H$7370, 4, FALSE), "")</f>
        <v>7.1</v>
      </c>
      <c r="E5491" s="2">
        <f>IF(A5491&lt;&gt;"", VLOOKUP(A5491, imdb_netflix_v5!A$2:H$7370, 5, FALSE), "")</f>
        <v>2017</v>
      </c>
      <c r="F5491" s="2" t="str">
        <f>IF(A5491&lt;&gt;"", VLOOKUP(A5491, imdb_netflix_v5!A$2:H$7370, 7, FALSE), "")</f>
        <v>NA</v>
      </c>
    </row>
    <row r="5492" ht="15.75" customHeight="1">
      <c r="A5492" s="1" t="str">
        <f>IFERROR(__xludf.DUMMYFUNCTION("""COMPUTED_VALUE"""),"ong-bak the thai warrior")</f>
        <v>ong-bak the thai warrior</v>
      </c>
      <c r="B5492" s="1" t="str">
        <f>IF(A5492&lt;&gt;"", VLOOKUP(A5492, imdb_netflix_v5!A$2:H$7370, 2, FALSE), "")</f>
        <v>Movie</v>
      </c>
      <c r="C5492" s="2" t="str">
        <f>IF(A5492&lt;&gt;"", VLOOKUP(A5492, imdb_netflix_v5!A$2:H$7370, 3, FALSE), "")</f>
        <v>Action, Crime, Thriller</v>
      </c>
      <c r="D5492" s="2">
        <f>IF(A5492&lt;&gt;"", VLOOKUP(A5492, imdb_netflix_v5!A$2:H$7370, 4, FALSE), "")</f>
        <v>7.1</v>
      </c>
      <c r="E5492" s="2">
        <f>IF(A5492&lt;&gt;"", VLOOKUP(A5492, imdb_netflix_v5!A$2:H$7370, 5, FALSE), "")</f>
        <v>2003</v>
      </c>
      <c r="F5492" s="2" t="str">
        <f>IF(A5492&lt;&gt;"", VLOOKUP(A5492, imdb_netflix_v5!A$2:H$7370, 7, FALSE), "")</f>
        <v>NA</v>
      </c>
    </row>
    <row r="5493" ht="15.75" customHeight="1">
      <c r="A5493" s="1" t="str">
        <f>IFERROR(__xludf.DUMMYFUNCTION("""COMPUTED_VALUE"""),"brawl in cell block 99")</f>
        <v>brawl in cell block 99</v>
      </c>
      <c r="B5493" s="1" t="str">
        <f>IF(A5493&lt;&gt;"", VLOOKUP(A5493, imdb_netflix_v5!A$2:H$7370, 2, FALSE), "")</f>
        <v>Movie</v>
      </c>
      <c r="C5493" s="2" t="str">
        <f>IF(A5493&lt;&gt;"", VLOOKUP(A5493, imdb_netflix_v5!A$2:H$7370, 3, FALSE), "")</f>
        <v>Crime, Drama, Thriller</v>
      </c>
      <c r="D5493" s="2">
        <f>IF(A5493&lt;&gt;"", VLOOKUP(A5493, imdb_netflix_v5!A$2:H$7370, 4, FALSE), "")</f>
        <v>7.1</v>
      </c>
      <c r="E5493" s="2">
        <f>IF(A5493&lt;&gt;"", VLOOKUP(A5493, imdb_netflix_v5!A$2:H$7370, 5, FALSE), "")</f>
        <v>2017</v>
      </c>
      <c r="F5493" s="2" t="str">
        <f>IF(A5493&lt;&gt;"", VLOOKUP(A5493, imdb_netflix_v5!A$2:H$7370, 7, FALSE), "")</f>
        <v>NA</v>
      </c>
    </row>
    <row r="5494" ht="15.75" customHeight="1">
      <c r="A5494" s="1" t="str">
        <f>IFERROR(__xludf.DUMMYFUNCTION("""COMPUTED_VALUE"""),"the king of staten island")</f>
        <v>the king of staten island</v>
      </c>
      <c r="B5494" s="1" t="str">
        <f>IF(A5494&lt;&gt;"", VLOOKUP(A5494, imdb_netflix_v5!A$2:H$7370, 2, FALSE), "")</f>
        <v>Movie</v>
      </c>
      <c r="C5494" s="2" t="str">
        <f>IF(A5494&lt;&gt;"", VLOOKUP(A5494, imdb_netflix_v5!A$2:H$7370, 3, FALSE), "")</f>
        <v>Comedy, Drama</v>
      </c>
      <c r="D5494" s="2">
        <f>IF(A5494&lt;&gt;"", VLOOKUP(A5494, imdb_netflix_v5!A$2:H$7370, 4, FALSE), "")</f>
        <v>7.1</v>
      </c>
      <c r="E5494" s="2">
        <f>IF(A5494&lt;&gt;"", VLOOKUP(A5494, imdb_netflix_v5!A$2:H$7370, 5, FALSE), "")</f>
        <v>2020</v>
      </c>
      <c r="F5494" s="2" t="str">
        <f>IF(A5494&lt;&gt;"", VLOOKUP(A5494, imdb_netflix_v5!A$2:H$7370, 7, FALSE), "")</f>
        <v>NA</v>
      </c>
    </row>
    <row r="5495" ht="15.75" customHeight="1">
      <c r="A5495" s="1" t="str">
        <f>IFERROR(__xludf.DUMMYFUNCTION("""COMPUTED_VALUE"""),"dc league of super-pets")</f>
        <v>dc league of super-pets</v>
      </c>
      <c r="B5495" s="1" t="str">
        <f>IF(A5495&lt;&gt;"", VLOOKUP(A5495, imdb_netflix_v5!A$2:H$7370, 2, FALSE), "")</f>
        <v>Movie</v>
      </c>
      <c r="C5495" s="2" t="str">
        <f>IF(A5495&lt;&gt;"", VLOOKUP(A5495, imdb_netflix_v5!A$2:H$7370, 3, FALSE), "")</f>
        <v>Action, Adventure, Animation</v>
      </c>
      <c r="D5495" s="2">
        <f>IF(A5495&lt;&gt;"", VLOOKUP(A5495, imdb_netflix_v5!A$2:H$7370, 4, FALSE), "")</f>
        <v>7.1</v>
      </c>
      <c r="E5495" s="2">
        <f>IF(A5495&lt;&gt;"", VLOOKUP(A5495, imdb_netflix_v5!A$2:H$7370, 5, FALSE), "")</f>
        <v>2022</v>
      </c>
      <c r="F5495" s="2" t="str">
        <f>IF(A5495&lt;&gt;"", VLOOKUP(A5495, imdb_netflix_v5!A$2:H$7370, 7, FALSE), "")</f>
        <v>NA</v>
      </c>
    </row>
    <row r="5496" ht="15.75" customHeight="1">
      <c r="A5496" s="1" t="str">
        <f>IFERROR(__xludf.DUMMYFUNCTION("""COMPUTED_VALUE"""),"whatever works")</f>
        <v>whatever works</v>
      </c>
      <c r="B5496" s="1" t="str">
        <f>IF(A5496&lt;&gt;"", VLOOKUP(A5496, imdb_netflix_v5!A$2:H$7370, 2, FALSE), "")</f>
        <v>Movie</v>
      </c>
      <c r="C5496" s="2" t="str">
        <f>IF(A5496&lt;&gt;"", VLOOKUP(A5496, imdb_netflix_v5!A$2:H$7370, 3, FALSE), "")</f>
        <v>Comedy, Romance</v>
      </c>
      <c r="D5496" s="2">
        <f>IF(A5496&lt;&gt;"", VLOOKUP(A5496, imdb_netflix_v5!A$2:H$7370, 4, FALSE), "")</f>
        <v>7.1</v>
      </c>
      <c r="E5496" s="2">
        <f>IF(A5496&lt;&gt;"", VLOOKUP(A5496, imdb_netflix_v5!A$2:H$7370, 5, FALSE), "")</f>
        <v>2009</v>
      </c>
      <c r="F5496" s="2" t="str">
        <f>IF(A5496&lt;&gt;"", VLOOKUP(A5496, imdb_netflix_v5!A$2:H$7370, 7, FALSE), "")</f>
        <v>NA</v>
      </c>
    </row>
    <row r="5497" ht="15.75" customHeight="1">
      <c r="A5497" s="1" t="str">
        <f>IFERROR(__xludf.DUMMYFUNCTION("""COMPUTED_VALUE"""),"day of the dead")</f>
        <v>day of the dead</v>
      </c>
      <c r="B5497" s="1" t="str">
        <f>IF(A5497&lt;&gt;"", VLOOKUP(A5497, imdb_netflix_v5!A$2:H$7370, 2, FALSE), "")</f>
        <v>Movie</v>
      </c>
      <c r="C5497" s="2" t="str">
        <f>IF(A5497&lt;&gt;"", VLOOKUP(A5497, imdb_netflix_v5!A$2:H$7370, 3, FALSE), "")</f>
        <v>Horror, Thriller</v>
      </c>
      <c r="D5497" s="2">
        <f>IF(A5497&lt;&gt;"", VLOOKUP(A5497, imdb_netflix_v5!A$2:H$7370, 4, FALSE), "")</f>
        <v>7.1</v>
      </c>
      <c r="E5497" s="2">
        <f>IF(A5497&lt;&gt;"", VLOOKUP(A5497, imdb_netflix_v5!A$2:H$7370, 5, FALSE), "")</f>
        <v>1985</v>
      </c>
      <c r="F5497" s="2" t="str">
        <f>IF(A5497&lt;&gt;"", VLOOKUP(A5497, imdb_netflix_v5!A$2:H$7370, 7, FALSE), "")</f>
        <v>NA</v>
      </c>
    </row>
    <row r="5498" ht="15.75" customHeight="1">
      <c r="A5498" s="1" t="str">
        <f>IFERROR(__xludf.DUMMYFUNCTION("""COMPUTED_VALUE"""),"district b13")</f>
        <v>district b13</v>
      </c>
      <c r="B5498" s="1" t="str">
        <f>IF(A5498&lt;&gt;"", VLOOKUP(A5498, imdb_netflix_v5!A$2:H$7370, 2, FALSE), "")</f>
        <v>Movie</v>
      </c>
      <c r="C5498" s="2" t="str">
        <f>IF(A5498&lt;&gt;"", VLOOKUP(A5498, imdb_netflix_v5!A$2:H$7370, 3, FALSE), "")</f>
        <v>Action, Crime, Sci-Fi</v>
      </c>
      <c r="D5498" s="2">
        <f>IF(A5498&lt;&gt;"", VLOOKUP(A5498, imdb_netflix_v5!A$2:H$7370, 4, FALSE), "")</f>
        <v>7.1</v>
      </c>
      <c r="E5498" s="2">
        <f>IF(A5498&lt;&gt;"", VLOOKUP(A5498, imdb_netflix_v5!A$2:H$7370, 5, FALSE), "")</f>
        <v>2004</v>
      </c>
      <c r="F5498" s="2" t="str">
        <f>IF(A5498&lt;&gt;"", VLOOKUP(A5498, imdb_netflix_v5!A$2:H$7370, 7, FALSE), "")</f>
        <v>NA</v>
      </c>
    </row>
    <row r="5499" ht="15.75" customHeight="1">
      <c r="A5499" s="1" t="str">
        <f>IFERROR(__xludf.DUMMYFUNCTION("""COMPUTED_VALUE"""),"the tinder swindler")</f>
        <v>the tinder swindler</v>
      </c>
      <c r="B5499" s="1" t="str">
        <f>IF(A5499&lt;&gt;"", VLOOKUP(A5499, imdb_netflix_v5!A$2:H$7370, 2, FALSE), "")</f>
        <v>Movie</v>
      </c>
      <c r="C5499" s="2" t="str">
        <f>IF(A5499&lt;&gt;"", VLOOKUP(A5499, imdb_netflix_v5!A$2:H$7370, 3, FALSE), "")</f>
        <v>Crime, Documentary</v>
      </c>
      <c r="D5499" s="2">
        <f>IF(A5499&lt;&gt;"", VLOOKUP(A5499, imdb_netflix_v5!A$2:H$7370, 4, FALSE), "")</f>
        <v>7.1</v>
      </c>
      <c r="E5499" s="2">
        <f>IF(A5499&lt;&gt;"", VLOOKUP(A5499, imdb_netflix_v5!A$2:H$7370, 5, FALSE), "")</f>
        <v>2022</v>
      </c>
      <c r="F5499" s="2">
        <f>IF(A5499&lt;&gt;"", VLOOKUP(A5499, imdb_netflix_v5!A$2:H$7370, 7, FALSE), "")</f>
        <v>9510000</v>
      </c>
    </row>
    <row r="5500" ht="15.75" customHeight="1">
      <c r="A5500" s="1" t="str">
        <f>IFERROR(__xludf.DUMMYFUNCTION("""COMPUTED_VALUE"""),"agora")</f>
        <v>agora</v>
      </c>
      <c r="B5500" s="1" t="str">
        <f>IF(A5500&lt;&gt;"", VLOOKUP(A5500, imdb_netflix_v5!A$2:H$7370, 2, FALSE), "")</f>
        <v>Movie</v>
      </c>
      <c r="C5500" s="2" t="str">
        <f>IF(A5500&lt;&gt;"", VLOOKUP(A5500, imdb_netflix_v5!A$2:H$7370, 3, FALSE), "")</f>
        <v>Adventure, Biography, Drama</v>
      </c>
      <c r="D5500" s="2">
        <f>IF(A5500&lt;&gt;"", VLOOKUP(A5500, imdb_netflix_v5!A$2:H$7370, 4, FALSE), "")</f>
        <v>7.1</v>
      </c>
      <c r="E5500" s="2">
        <f>IF(A5500&lt;&gt;"", VLOOKUP(A5500, imdb_netflix_v5!A$2:H$7370, 5, FALSE), "")</f>
        <v>2009</v>
      </c>
      <c r="F5500" s="2" t="str">
        <f>IF(A5500&lt;&gt;"", VLOOKUP(A5500, imdb_netflix_v5!A$2:H$7370, 7, FALSE), "")</f>
        <v>NA</v>
      </c>
    </row>
    <row r="5501" ht="15.75" customHeight="1">
      <c r="A5501" s="1" t="str">
        <f>IFERROR(__xludf.DUMMYFUNCTION("""COMPUTED_VALUE"""),"the dark crystal")</f>
        <v>the dark crystal</v>
      </c>
      <c r="B5501" s="1" t="str">
        <f>IF(A5501&lt;&gt;"", VLOOKUP(A5501, imdb_netflix_v5!A$2:H$7370, 2, FALSE), "")</f>
        <v>Movie</v>
      </c>
      <c r="C5501" s="2" t="str">
        <f>IF(A5501&lt;&gt;"", VLOOKUP(A5501, imdb_netflix_v5!A$2:H$7370, 3, FALSE), "")</f>
        <v>Adventure, Family, Fantasy</v>
      </c>
      <c r="D5501" s="2">
        <f>IF(A5501&lt;&gt;"", VLOOKUP(A5501, imdb_netflix_v5!A$2:H$7370, 4, FALSE), "")</f>
        <v>7.1</v>
      </c>
      <c r="E5501" s="2">
        <f>IF(A5501&lt;&gt;"", VLOOKUP(A5501, imdb_netflix_v5!A$2:H$7370, 5, FALSE), "")</f>
        <v>1982</v>
      </c>
      <c r="F5501" s="2" t="str">
        <f>IF(A5501&lt;&gt;"", VLOOKUP(A5501, imdb_netflix_v5!A$2:H$7370, 7, FALSE), "")</f>
        <v>NA</v>
      </c>
    </row>
    <row r="5502" ht="15.75" customHeight="1">
      <c r="A5502" s="1" t="str">
        <f>IFERROR(__xludf.DUMMYFUNCTION("""COMPUTED_VALUE"""),"god bless america")</f>
        <v>god bless america</v>
      </c>
      <c r="B5502" s="1" t="str">
        <f>IF(A5502&lt;&gt;"", VLOOKUP(A5502, imdb_netflix_v5!A$2:H$7370, 2, FALSE), "")</f>
        <v>Movie</v>
      </c>
      <c r="C5502" s="2" t="str">
        <f>IF(A5502&lt;&gt;"", VLOOKUP(A5502, imdb_netflix_v5!A$2:H$7370, 3, FALSE), "")</f>
        <v>Comedy, Crime, Drama</v>
      </c>
      <c r="D5502" s="2">
        <f>IF(A5502&lt;&gt;"", VLOOKUP(A5502, imdb_netflix_v5!A$2:H$7370, 4, FALSE), "")</f>
        <v>7.1</v>
      </c>
      <c r="E5502" s="2">
        <f>IF(A5502&lt;&gt;"", VLOOKUP(A5502, imdb_netflix_v5!A$2:H$7370, 5, FALSE), "")</f>
        <v>2011</v>
      </c>
      <c r="F5502" s="2" t="str">
        <f>IF(A5502&lt;&gt;"", VLOOKUP(A5502, imdb_netflix_v5!A$2:H$7370, 7, FALSE), "")</f>
        <v>NA</v>
      </c>
    </row>
    <row r="5503" ht="15.75" customHeight="1">
      <c r="A5503" s="1" t="str">
        <f>IFERROR(__xludf.DUMMYFUNCTION("""COMPUTED_VALUE"""),"elle")</f>
        <v>elle</v>
      </c>
      <c r="B5503" s="1" t="str">
        <f>IF(A5503&lt;&gt;"", VLOOKUP(A5503, imdb_netflix_v5!A$2:H$7370, 2, FALSE), "")</f>
        <v>Movie</v>
      </c>
      <c r="C5503" s="2" t="str">
        <f>IF(A5503&lt;&gt;"", VLOOKUP(A5503, imdb_netflix_v5!A$2:H$7370, 3, FALSE), "")</f>
        <v>Crime, Drama, Thriller</v>
      </c>
      <c r="D5503" s="2">
        <f>IF(A5503&lt;&gt;"", VLOOKUP(A5503, imdb_netflix_v5!A$2:H$7370, 4, FALSE), "")</f>
        <v>7.1</v>
      </c>
      <c r="E5503" s="2">
        <f>IF(A5503&lt;&gt;"", VLOOKUP(A5503, imdb_netflix_v5!A$2:H$7370, 5, FALSE), "")</f>
        <v>2016</v>
      </c>
      <c r="F5503" s="2" t="str">
        <f>IF(A5503&lt;&gt;"", VLOOKUP(A5503, imdb_netflix_v5!A$2:H$7370, 7, FALSE), "")</f>
        <v>NA</v>
      </c>
    </row>
    <row r="5504" ht="15.75" customHeight="1">
      <c r="A5504" s="1" t="str">
        <f>IFERROR(__xludf.DUMMYFUNCTION("""COMPUTED_VALUE"""),"timecrimes")</f>
        <v>timecrimes</v>
      </c>
      <c r="B5504" s="1" t="str">
        <f>IF(A5504&lt;&gt;"", VLOOKUP(A5504, imdb_netflix_v5!A$2:H$7370, 2, FALSE), "")</f>
        <v>Movie</v>
      </c>
      <c r="C5504" s="2" t="str">
        <f>IF(A5504&lt;&gt;"", VLOOKUP(A5504, imdb_netflix_v5!A$2:H$7370, 3, FALSE), "")</f>
        <v>Horror, Mystery, Sci-Fi</v>
      </c>
      <c r="D5504" s="2">
        <f>IF(A5504&lt;&gt;"", VLOOKUP(A5504, imdb_netflix_v5!A$2:H$7370, 4, FALSE), "")</f>
        <v>7.1</v>
      </c>
      <c r="E5504" s="2">
        <f>IF(A5504&lt;&gt;"", VLOOKUP(A5504, imdb_netflix_v5!A$2:H$7370, 5, FALSE), "")</f>
        <v>2007</v>
      </c>
      <c r="F5504" s="2" t="str">
        <f>IF(A5504&lt;&gt;"", VLOOKUP(A5504, imdb_netflix_v5!A$2:H$7370, 7, FALSE), "")</f>
        <v>NA</v>
      </c>
    </row>
    <row r="5505" ht="15.75" customHeight="1">
      <c r="A5505" s="1" t="str">
        <f>IFERROR(__xludf.DUMMYFUNCTION("""COMPUTED_VALUE"""),"a tale of two sisters")</f>
        <v>a tale of two sisters</v>
      </c>
      <c r="B5505" s="1" t="str">
        <f>IF(A5505&lt;&gt;"", VLOOKUP(A5505, imdb_netflix_v5!A$2:H$7370, 2, FALSE), "")</f>
        <v>Movie</v>
      </c>
      <c r="C5505" s="2" t="str">
        <f>IF(A5505&lt;&gt;"", VLOOKUP(A5505, imdb_netflix_v5!A$2:H$7370, 3, FALSE), "")</f>
        <v>Drama, Horror, Mystery</v>
      </c>
      <c r="D5505" s="2">
        <f>IF(A5505&lt;&gt;"", VLOOKUP(A5505, imdb_netflix_v5!A$2:H$7370, 4, FALSE), "")</f>
        <v>7.1</v>
      </c>
      <c r="E5505" s="2">
        <f>IF(A5505&lt;&gt;"", VLOOKUP(A5505, imdb_netflix_v5!A$2:H$7370, 5, FALSE), "")</f>
        <v>2003</v>
      </c>
      <c r="F5505" s="2" t="str">
        <f>IF(A5505&lt;&gt;"", VLOOKUP(A5505, imdb_netflix_v5!A$2:H$7370, 7, FALSE), "")</f>
        <v>NA</v>
      </c>
    </row>
    <row r="5506" ht="15.75" customHeight="1">
      <c r="A5506" s="1" t="str">
        <f>IFERROR(__xludf.DUMMYFUNCTION("""COMPUTED_VALUE"""),"arthur christmas")</f>
        <v>arthur christmas</v>
      </c>
      <c r="B5506" s="1" t="str">
        <f>IF(A5506&lt;&gt;"", VLOOKUP(A5506, imdb_netflix_v5!A$2:H$7370, 2, FALSE), "")</f>
        <v>Movie</v>
      </c>
      <c r="C5506" s="2" t="str">
        <f>IF(A5506&lt;&gt;"", VLOOKUP(A5506, imdb_netflix_v5!A$2:H$7370, 3, FALSE), "")</f>
        <v>Adventure, Animation, Comedy</v>
      </c>
      <c r="D5506" s="2">
        <f>IF(A5506&lt;&gt;"", VLOOKUP(A5506, imdb_netflix_v5!A$2:H$7370, 4, FALSE), "")</f>
        <v>7.1</v>
      </c>
      <c r="E5506" s="2">
        <f>IF(A5506&lt;&gt;"", VLOOKUP(A5506, imdb_netflix_v5!A$2:H$7370, 5, FALSE), "")</f>
        <v>2011</v>
      </c>
      <c r="F5506" s="2" t="str">
        <f>IF(A5506&lt;&gt;"", VLOOKUP(A5506, imdb_netflix_v5!A$2:H$7370, 7, FALSE), "")</f>
        <v>NA</v>
      </c>
    </row>
    <row r="5507" ht="15.75" customHeight="1">
      <c r="A5507" s="1" t="str">
        <f>IFERROR(__xludf.DUMMYFUNCTION("""COMPUTED_VALUE"""),"chariots of fire")</f>
        <v>chariots of fire</v>
      </c>
      <c r="B5507" s="1" t="str">
        <f>IF(A5507&lt;&gt;"", VLOOKUP(A5507, imdb_netflix_v5!A$2:H$7370, 2, FALSE), "")</f>
        <v>Movie</v>
      </c>
      <c r="C5507" s="2" t="str">
        <f>IF(A5507&lt;&gt;"", VLOOKUP(A5507, imdb_netflix_v5!A$2:H$7370, 3, FALSE), "")</f>
        <v>Biography, Drama, Sport</v>
      </c>
      <c r="D5507" s="2">
        <f>IF(A5507&lt;&gt;"", VLOOKUP(A5507, imdb_netflix_v5!A$2:H$7370, 4, FALSE), "")</f>
        <v>7.1</v>
      </c>
      <c r="E5507" s="2">
        <f>IF(A5507&lt;&gt;"", VLOOKUP(A5507, imdb_netflix_v5!A$2:H$7370, 5, FALSE), "")</f>
        <v>1981</v>
      </c>
      <c r="F5507" s="2" t="str">
        <f>IF(A5507&lt;&gt;"", VLOOKUP(A5507, imdb_netflix_v5!A$2:H$7370, 7, FALSE), "")</f>
        <v>NA</v>
      </c>
    </row>
    <row r="5508" ht="15.75" customHeight="1">
      <c r="A5508" s="1" t="str">
        <f>IFERROR(__xludf.DUMMYFUNCTION("""COMPUTED_VALUE"""),"the cat returns")</f>
        <v>the cat returns</v>
      </c>
      <c r="B5508" s="1" t="str">
        <f>IF(A5508&lt;&gt;"", VLOOKUP(A5508, imdb_netflix_v5!A$2:H$7370, 2, FALSE), "")</f>
        <v>Movie</v>
      </c>
      <c r="C5508" s="2" t="str">
        <f>IF(A5508&lt;&gt;"", VLOOKUP(A5508, imdb_netflix_v5!A$2:H$7370, 3, FALSE), "")</f>
        <v>Adventure, Animation, Comedy</v>
      </c>
      <c r="D5508" s="2">
        <f>IF(A5508&lt;&gt;"", VLOOKUP(A5508, imdb_netflix_v5!A$2:H$7370, 4, FALSE), "")</f>
        <v>7.1</v>
      </c>
      <c r="E5508" s="2">
        <f>IF(A5508&lt;&gt;"", VLOOKUP(A5508, imdb_netflix_v5!A$2:H$7370, 5, FALSE), "")</f>
        <v>2002</v>
      </c>
      <c r="F5508" s="2" t="str">
        <f>IF(A5508&lt;&gt;"", VLOOKUP(A5508, imdb_netflix_v5!A$2:H$7370, 7, FALSE), "")</f>
        <v>NA</v>
      </c>
    </row>
    <row r="5509" ht="15.75" customHeight="1">
      <c r="A5509" s="1" t="str">
        <f>IFERROR(__xludf.DUMMYFUNCTION("""COMPUTED_VALUE"""),"leave no trace")</f>
        <v>leave no trace</v>
      </c>
      <c r="B5509" s="1" t="str">
        <f>IF(A5509&lt;&gt;"", VLOOKUP(A5509, imdb_netflix_v5!A$2:H$7370, 2, FALSE), "")</f>
        <v>Movie</v>
      </c>
      <c r="C5509" s="2" t="str">
        <f>IF(A5509&lt;&gt;"", VLOOKUP(A5509, imdb_netflix_v5!A$2:H$7370, 3, FALSE), "")</f>
        <v>Adventure, Drama</v>
      </c>
      <c r="D5509" s="2">
        <f>IF(A5509&lt;&gt;"", VLOOKUP(A5509, imdb_netflix_v5!A$2:H$7370, 4, FALSE), "")</f>
        <v>7.1</v>
      </c>
      <c r="E5509" s="2">
        <f>IF(A5509&lt;&gt;"", VLOOKUP(A5509, imdb_netflix_v5!A$2:H$7370, 5, FALSE), "")</f>
        <v>2018</v>
      </c>
      <c r="F5509" s="2" t="str">
        <f>IF(A5509&lt;&gt;"", VLOOKUP(A5509, imdb_netflix_v5!A$2:H$7370, 7, FALSE), "")</f>
        <v>NA</v>
      </c>
    </row>
    <row r="5510" ht="15.75" customHeight="1">
      <c r="A5510" s="1" t="str">
        <f>IFERROR(__xludf.DUMMYFUNCTION("""COMPUTED_VALUE"""),"the white tiger")</f>
        <v>the white tiger</v>
      </c>
      <c r="B5510" s="1" t="str">
        <f>IF(A5510&lt;&gt;"", VLOOKUP(A5510, imdb_netflix_v5!A$2:H$7370, 2, FALSE), "")</f>
        <v>Movie</v>
      </c>
      <c r="C5510" s="2" t="str">
        <f>IF(A5510&lt;&gt;"", VLOOKUP(A5510, imdb_netflix_v5!A$2:H$7370, 3, FALSE), "")</f>
        <v>Crime, Drama</v>
      </c>
      <c r="D5510" s="2">
        <f>IF(A5510&lt;&gt;"", VLOOKUP(A5510, imdb_netflix_v5!A$2:H$7370, 4, FALSE), "")</f>
        <v>7.1</v>
      </c>
      <c r="E5510" s="2">
        <f>IF(A5510&lt;&gt;"", VLOOKUP(A5510, imdb_netflix_v5!A$2:H$7370, 5, FALSE), "")</f>
        <v>2021</v>
      </c>
      <c r="F5510" s="2" t="str">
        <f>IF(A5510&lt;&gt;"", VLOOKUP(A5510, imdb_netflix_v5!A$2:H$7370, 7, FALSE), "")</f>
        <v>NA</v>
      </c>
    </row>
    <row r="5511" ht="15.75" customHeight="1">
      <c r="A5511" s="1" t="str">
        <f>IFERROR(__xludf.DUMMYFUNCTION("""COMPUTED_VALUE"""),"alive")</f>
        <v>alive</v>
      </c>
      <c r="B5511" s="1" t="str">
        <f>IF(A5511&lt;&gt;"", VLOOKUP(A5511, imdb_netflix_v5!A$2:H$7370, 2, FALSE), "")</f>
        <v>Movie</v>
      </c>
      <c r="C5511" s="2" t="str">
        <f>IF(A5511&lt;&gt;"", VLOOKUP(A5511, imdb_netflix_v5!A$2:H$7370, 3, FALSE), "")</f>
        <v>Biography, Drama, Thriller</v>
      </c>
      <c r="D5511" s="2">
        <f>IF(A5511&lt;&gt;"", VLOOKUP(A5511, imdb_netflix_v5!A$2:H$7370, 4, FALSE), "")</f>
        <v>7.1</v>
      </c>
      <c r="E5511" s="2">
        <f>IF(A5511&lt;&gt;"", VLOOKUP(A5511, imdb_netflix_v5!A$2:H$7370, 5, FALSE), "")</f>
        <v>1993</v>
      </c>
      <c r="F5511" s="2" t="str">
        <f>IF(A5511&lt;&gt;"", VLOOKUP(A5511, imdb_netflix_v5!A$2:H$7370, 7, FALSE), "")</f>
        <v>NA</v>
      </c>
    </row>
    <row r="5512" ht="15.75" customHeight="1">
      <c r="A5512" s="1" t="str">
        <f>IFERROR(__xludf.DUMMYFUNCTION("""COMPUTED_VALUE"""),"the jerk")</f>
        <v>the jerk</v>
      </c>
      <c r="B5512" s="1" t="str">
        <f>IF(A5512&lt;&gt;"", VLOOKUP(A5512, imdb_netflix_v5!A$2:H$7370, 2, FALSE), "")</f>
        <v>Movie</v>
      </c>
      <c r="C5512" s="2" t="str">
        <f>IF(A5512&lt;&gt;"", VLOOKUP(A5512, imdb_netflix_v5!A$2:H$7370, 3, FALSE), "")</f>
        <v>Comedy</v>
      </c>
      <c r="D5512" s="2">
        <f>IF(A5512&lt;&gt;"", VLOOKUP(A5512, imdb_netflix_v5!A$2:H$7370, 4, FALSE), "")</f>
        <v>7.1</v>
      </c>
      <c r="E5512" s="2">
        <f>IF(A5512&lt;&gt;"", VLOOKUP(A5512, imdb_netflix_v5!A$2:H$7370, 5, FALSE), "")</f>
        <v>1979</v>
      </c>
      <c r="F5512" s="2" t="str">
        <f>IF(A5512&lt;&gt;"", VLOOKUP(A5512, imdb_netflix_v5!A$2:H$7370, 7, FALSE), "")</f>
        <v>NA</v>
      </c>
    </row>
    <row r="5513" ht="15.75" customHeight="1">
      <c r="A5513" s="1" t="str">
        <f>IFERROR(__xludf.DUMMYFUNCTION("""COMPUTED_VALUE"""),"dont look now")</f>
        <v>dont look now</v>
      </c>
      <c r="B5513" s="1" t="str">
        <f>IF(A5513&lt;&gt;"", VLOOKUP(A5513, imdb_netflix_v5!A$2:H$7370, 2, FALSE), "")</f>
        <v>Movie</v>
      </c>
      <c r="C5513" s="2" t="str">
        <f>IF(A5513&lt;&gt;"", VLOOKUP(A5513, imdb_netflix_v5!A$2:H$7370, 3, FALSE), "")</f>
        <v>Drama, Horror, Mystery</v>
      </c>
      <c r="D5513" s="2">
        <f>IF(A5513&lt;&gt;"", VLOOKUP(A5513, imdb_netflix_v5!A$2:H$7370, 4, FALSE), "")</f>
        <v>7.1</v>
      </c>
      <c r="E5513" s="2">
        <f>IF(A5513&lt;&gt;"", VLOOKUP(A5513, imdb_netflix_v5!A$2:H$7370, 5, FALSE), "")</f>
        <v>1973</v>
      </c>
      <c r="F5513" s="2" t="str">
        <f>IF(A5513&lt;&gt;"", VLOOKUP(A5513, imdb_netflix_v5!A$2:H$7370, 7, FALSE), "")</f>
        <v>NA</v>
      </c>
    </row>
    <row r="5514" ht="15.75" customHeight="1">
      <c r="A5514" s="1" t="str">
        <f>IFERROR(__xludf.DUMMYFUNCTION("""COMPUTED_VALUE"""),"everybodys fine")</f>
        <v>everybodys fine</v>
      </c>
      <c r="B5514" s="1" t="str">
        <f>IF(A5514&lt;&gt;"", VLOOKUP(A5514, imdb_netflix_v5!A$2:H$7370, 2, FALSE), "")</f>
        <v>Movie</v>
      </c>
      <c r="C5514" s="2" t="str">
        <f>IF(A5514&lt;&gt;"", VLOOKUP(A5514, imdb_netflix_v5!A$2:H$7370, 3, FALSE), "")</f>
        <v>Adventure, Drama</v>
      </c>
      <c r="D5514" s="2">
        <f>IF(A5514&lt;&gt;"", VLOOKUP(A5514, imdb_netflix_v5!A$2:H$7370, 4, FALSE), "")</f>
        <v>7.1</v>
      </c>
      <c r="E5514" s="2">
        <f>IF(A5514&lt;&gt;"", VLOOKUP(A5514, imdb_netflix_v5!A$2:H$7370, 5, FALSE), "")</f>
        <v>2009</v>
      </c>
      <c r="F5514" s="2" t="str">
        <f>IF(A5514&lt;&gt;"", VLOOKUP(A5514, imdb_netflix_v5!A$2:H$7370, 7, FALSE), "")</f>
        <v>NA</v>
      </c>
    </row>
    <row r="5515" ht="15.75" customHeight="1">
      <c r="A5515" s="1" t="str">
        <f>IFERROR(__xludf.DUMMYFUNCTION("""COMPUTED_VALUE"""),"the shannara chronicles")</f>
        <v>the shannara chronicles</v>
      </c>
      <c r="B5515" s="1" t="str">
        <f>IF(A5515&lt;&gt;"", VLOOKUP(A5515, imdb_netflix_v5!A$2:H$7370, 2, FALSE), "")</f>
        <v>TV Show</v>
      </c>
      <c r="C5515" s="2" t="str">
        <f>IF(A5515&lt;&gt;"", VLOOKUP(A5515, imdb_netflix_v5!A$2:H$7370, 3, FALSE), "")</f>
        <v>Adventure, Drama, Fantasy</v>
      </c>
      <c r="D5515" s="2">
        <f>IF(A5515&lt;&gt;"", VLOOKUP(A5515, imdb_netflix_v5!A$2:H$7370, 4, FALSE), "")</f>
        <v>7.1</v>
      </c>
      <c r="E5515" s="2">
        <f>IF(A5515&lt;&gt;"", VLOOKUP(A5515, imdb_netflix_v5!A$2:H$7370, 5, FALSE), "")</f>
        <v>2016</v>
      </c>
      <c r="F5515" s="2" t="str">
        <f>IF(A5515&lt;&gt;"", VLOOKUP(A5515, imdb_netflix_v5!A$2:H$7370, 7, FALSE), "")</f>
        <v>NA</v>
      </c>
    </row>
    <row r="5516" ht="15.75" customHeight="1">
      <c r="A5516" s="1" t="str">
        <f>IFERROR(__xludf.DUMMYFUNCTION("""COMPUTED_VALUE"""),"an officer and a gentleman")</f>
        <v>an officer and a gentleman</v>
      </c>
      <c r="B5516" s="1" t="str">
        <f>IF(A5516&lt;&gt;"", VLOOKUP(A5516, imdb_netflix_v5!A$2:H$7370, 2, FALSE), "")</f>
        <v>Movie</v>
      </c>
      <c r="C5516" s="2" t="str">
        <f>IF(A5516&lt;&gt;"", VLOOKUP(A5516, imdb_netflix_v5!A$2:H$7370, 3, FALSE), "")</f>
        <v>Drama, Romance</v>
      </c>
      <c r="D5516" s="2">
        <f>IF(A5516&lt;&gt;"", VLOOKUP(A5516, imdb_netflix_v5!A$2:H$7370, 4, FALSE), "")</f>
        <v>7.1</v>
      </c>
      <c r="E5516" s="2">
        <f>IF(A5516&lt;&gt;"", VLOOKUP(A5516, imdb_netflix_v5!A$2:H$7370, 5, FALSE), "")</f>
        <v>1982</v>
      </c>
      <c r="F5516" s="2" t="str">
        <f>IF(A5516&lt;&gt;"", VLOOKUP(A5516, imdb_netflix_v5!A$2:H$7370, 7, FALSE), "")</f>
        <v>NA</v>
      </c>
    </row>
    <row r="5517" ht="15.75" customHeight="1">
      <c r="A5517" s="1" t="str">
        <f>IFERROR(__xludf.DUMMYFUNCTION("""COMPUTED_VALUE"""),"the flight attendant")</f>
        <v>the flight attendant</v>
      </c>
      <c r="B5517" s="1" t="str">
        <f>IF(A5517&lt;&gt;"", VLOOKUP(A5517, imdb_netflix_v5!A$2:H$7370, 2, FALSE), "")</f>
        <v>TV Show</v>
      </c>
      <c r="C5517" s="2" t="str">
        <f>IF(A5517&lt;&gt;"", VLOOKUP(A5517, imdb_netflix_v5!A$2:H$7370, 3, FALSE), "")</f>
        <v>Comedy, Drama, Mystery</v>
      </c>
      <c r="D5517" s="2">
        <f>IF(A5517&lt;&gt;"", VLOOKUP(A5517, imdb_netflix_v5!A$2:H$7370, 4, FALSE), "")</f>
        <v>7.1</v>
      </c>
      <c r="E5517" s="2">
        <f>IF(A5517&lt;&gt;"", VLOOKUP(A5517, imdb_netflix_v5!A$2:H$7370, 5, FALSE), "")</f>
        <v>2020</v>
      </c>
      <c r="F5517" s="2" t="str">
        <f>IF(A5517&lt;&gt;"", VLOOKUP(A5517, imdb_netflix_v5!A$2:H$7370, 7, FALSE), "")</f>
        <v>NA</v>
      </c>
    </row>
    <row r="5518" ht="15.75" customHeight="1">
      <c r="A5518" s="1" t="str">
        <f>IFERROR(__xludf.DUMMYFUNCTION("""COMPUTED_VALUE"""),"first reformed")</f>
        <v>first reformed</v>
      </c>
      <c r="B5518" s="1" t="str">
        <f>IF(A5518&lt;&gt;"", VLOOKUP(A5518, imdb_netflix_v5!A$2:H$7370, 2, FALSE), "")</f>
        <v>Movie</v>
      </c>
      <c r="C5518" s="2" t="str">
        <f>IF(A5518&lt;&gt;"", VLOOKUP(A5518, imdb_netflix_v5!A$2:H$7370, 3, FALSE), "")</f>
        <v>Drama, Mystery, Thriller</v>
      </c>
      <c r="D5518" s="2">
        <f>IF(A5518&lt;&gt;"", VLOOKUP(A5518, imdb_netflix_v5!A$2:H$7370, 4, FALSE), "")</f>
        <v>7.1</v>
      </c>
      <c r="E5518" s="2">
        <f>IF(A5518&lt;&gt;"", VLOOKUP(A5518, imdb_netflix_v5!A$2:H$7370, 5, FALSE), "")</f>
        <v>2017</v>
      </c>
      <c r="F5518" s="2" t="str">
        <f>IF(A5518&lt;&gt;"", VLOOKUP(A5518, imdb_netflix_v5!A$2:H$7370, 7, FALSE), "")</f>
        <v>NA</v>
      </c>
    </row>
    <row r="5519" ht="15.75" customHeight="1">
      <c r="A5519" s="1" t="str">
        <f>IFERROR(__xludf.DUMMYFUNCTION("""COMPUTED_VALUE"""),"sneakers")</f>
        <v>sneakers</v>
      </c>
      <c r="B5519" s="1" t="str">
        <f>IF(A5519&lt;&gt;"", VLOOKUP(A5519, imdb_netflix_v5!A$2:H$7370, 2, FALSE), "")</f>
        <v>Movie</v>
      </c>
      <c r="C5519" s="2" t="str">
        <f>IF(A5519&lt;&gt;"", VLOOKUP(A5519, imdb_netflix_v5!A$2:H$7370, 3, FALSE), "")</f>
        <v>Comedy, Crime, Drama</v>
      </c>
      <c r="D5519" s="2">
        <f>IF(A5519&lt;&gt;"", VLOOKUP(A5519, imdb_netflix_v5!A$2:H$7370, 4, FALSE), "")</f>
        <v>7.1</v>
      </c>
      <c r="E5519" s="2">
        <f>IF(A5519&lt;&gt;"", VLOOKUP(A5519, imdb_netflix_v5!A$2:H$7370, 5, FALSE), "")</f>
        <v>1992</v>
      </c>
      <c r="F5519" s="2" t="str">
        <f>IF(A5519&lt;&gt;"", VLOOKUP(A5519, imdb_netflix_v5!A$2:H$7370, 7, FALSE), "")</f>
        <v>NA</v>
      </c>
    </row>
    <row r="5520" ht="15.75" customHeight="1">
      <c r="A5520" s="1" t="str">
        <f>IFERROR(__xludf.DUMMYFUNCTION("""COMPUTED_VALUE"""),"benny &amp; joon")</f>
        <v>benny &amp; joon</v>
      </c>
      <c r="B5520" s="1" t="str">
        <f>IF(A5520&lt;&gt;"", VLOOKUP(A5520, imdb_netflix_v5!A$2:H$7370, 2, FALSE), "")</f>
        <v>Movie</v>
      </c>
      <c r="C5520" s="2" t="str">
        <f>IF(A5520&lt;&gt;"", VLOOKUP(A5520, imdb_netflix_v5!A$2:H$7370, 3, FALSE), "")</f>
        <v>Comedy, Drama, Romance</v>
      </c>
      <c r="D5520" s="2">
        <f>IF(A5520&lt;&gt;"", VLOOKUP(A5520, imdb_netflix_v5!A$2:H$7370, 4, FALSE), "")</f>
        <v>7.1</v>
      </c>
      <c r="E5520" s="2">
        <f>IF(A5520&lt;&gt;"", VLOOKUP(A5520, imdb_netflix_v5!A$2:H$7370, 5, FALSE), "")</f>
        <v>1993</v>
      </c>
      <c r="F5520" s="2" t="str">
        <f>IF(A5520&lt;&gt;"", VLOOKUP(A5520, imdb_netflix_v5!A$2:H$7370, 7, FALSE), "")</f>
        <v>NA</v>
      </c>
    </row>
    <row r="5521" ht="15.75" customHeight="1">
      <c r="A5521" s="1" t="str">
        <f>IFERROR(__xludf.DUMMYFUNCTION("""COMPUTED_VALUE"""),"don 2")</f>
        <v>don 2</v>
      </c>
      <c r="B5521" s="1" t="str">
        <f>IF(A5521&lt;&gt;"", VLOOKUP(A5521, imdb_netflix_v5!A$2:H$7370, 2, FALSE), "")</f>
        <v>Movie</v>
      </c>
      <c r="C5521" s="2" t="str">
        <f>IF(A5521&lt;&gt;"", VLOOKUP(A5521, imdb_netflix_v5!A$2:H$7370, 3, FALSE), "")</f>
        <v>Action, Crime, Thriller</v>
      </c>
      <c r="D5521" s="2">
        <f>IF(A5521&lt;&gt;"", VLOOKUP(A5521, imdb_netflix_v5!A$2:H$7370, 4, FALSE), "")</f>
        <v>7.1</v>
      </c>
      <c r="E5521" s="2">
        <f>IF(A5521&lt;&gt;"", VLOOKUP(A5521, imdb_netflix_v5!A$2:H$7370, 5, FALSE), "")</f>
        <v>2011</v>
      </c>
      <c r="F5521" s="2" t="str">
        <f>IF(A5521&lt;&gt;"", VLOOKUP(A5521, imdb_netflix_v5!A$2:H$7370, 7, FALSE), "")</f>
        <v>NA</v>
      </c>
    </row>
    <row r="5522" ht="15.75" customHeight="1">
      <c r="A5522" s="1" t="str">
        <f>IFERROR(__xludf.DUMMYFUNCTION("""COMPUTED_VALUE"""),"lords of dogtown")</f>
        <v>lords of dogtown</v>
      </c>
      <c r="B5522" s="1" t="str">
        <f>IF(A5522&lt;&gt;"", VLOOKUP(A5522, imdb_netflix_v5!A$2:H$7370, 2, FALSE), "")</f>
        <v>Movie</v>
      </c>
      <c r="C5522" s="2" t="str">
        <f>IF(A5522&lt;&gt;"", VLOOKUP(A5522, imdb_netflix_v5!A$2:H$7370, 3, FALSE), "")</f>
        <v>Biography, Drama, Sport</v>
      </c>
      <c r="D5522" s="2">
        <f>IF(A5522&lt;&gt;"", VLOOKUP(A5522, imdb_netflix_v5!A$2:H$7370, 4, FALSE), "")</f>
        <v>7.1</v>
      </c>
      <c r="E5522" s="2">
        <f>IF(A5522&lt;&gt;"", VLOOKUP(A5522, imdb_netflix_v5!A$2:H$7370, 5, FALSE), "")</f>
        <v>2005</v>
      </c>
      <c r="F5522" s="2" t="str">
        <f>IF(A5522&lt;&gt;"", VLOOKUP(A5522, imdb_netflix_v5!A$2:H$7370, 7, FALSE), "")</f>
        <v>NA</v>
      </c>
    </row>
    <row r="5523" ht="15.75" customHeight="1">
      <c r="A5523" s="1" t="str">
        <f>IFERROR(__xludf.DUMMYFUNCTION("""COMPUTED_VALUE"""),"final fantasy vii advent children")</f>
        <v>final fantasy vii advent children</v>
      </c>
      <c r="B5523" s="1" t="str">
        <f>IF(A5523&lt;&gt;"", VLOOKUP(A5523, imdb_netflix_v5!A$2:H$7370, 2, FALSE), "")</f>
        <v>Movie</v>
      </c>
      <c r="C5523" s="2" t="str">
        <f>IF(A5523&lt;&gt;"", VLOOKUP(A5523, imdb_netflix_v5!A$2:H$7370, 3, FALSE), "")</f>
        <v>Action, Adventure, Animation</v>
      </c>
      <c r="D5523" s="2">
        <f>IF(A5523&lt;&gt;"", VLOOKUP(A5523, imdb_netflix_v5!A$2:H$7370, 4, FALSE), "")</f>
        <v>7.1</v>
      </c>
      <c r="E5523" s="2">
        <f>IF(A5523&lt;&gt;"", VLOOKUP(A5523, imdb_netflix_v5!A$2:H$7370, 5, FALSE), "")</f>
        <v>2005</v>
      </c>
      <c r="F5523" s="2" t="str">
        <f>IF(A5523&lt;&gt;"", VLOOKUP(A5523, imdb_netflix_v5!A$2:H$7370, 7, FALSE), "")</f>
        <v>NA</v>
      </c>
    </row>
    <row r="5524" ht="15.75" customHeight="1">
      <c r="A5524" s="1" t="str">
        <f>IFERROR(__xludf.DUMMYFUNCTION("""COMPUTED_VALUE"""),"the adventures of baron munchausen")</f>
        <v>the adventures of baron munchausen</v>
      </c>
      <c r="B5524" s="1" t="str">
        <f>IF(A5524&lt;&gt;"", VLOOKUP(A5524, imdb_netflix_v5!A$2:H$7370, 2, FALSE), "")</f>
        <v>Movie</v>
      </c>
      <c r="C5524" s="2" t="str">
        <f>IF(A5524&lt;&gt;"", VLOOKUP(A5524, imdb_netflix_v5!A$2:H$7370, 3, FALSE), "")</f>
        <v>Adventure, Comedy, Fantasy</v>
      </c>
      <c r="D5524" s="2">
        <f>IF(A5524&lt;&gt;"", VLOOKUP(A5524, imdb_netflix_v5!A$2:H$7370, 4, FALSE), "")</f>
        <v>7.1</v>
      </c>
      <c r="E5524" s="2">
        <f>IF(A5524&lt;&gt;"", VLOOKUP(A5524, imdb_netflix_v5!A$2:H$7370, 5, FALSE), "")</f>
        <v>1988</v>
      </c>
      <c r="F5524" s="2" t="str">
        <f>IF(A5524&lt;&gt;"", VLOOKUP(A5524, imdb_netflix_v5!A$2:H$7370, 7, FALSE), "")</f>
        <v>NA</v>
      </c>
    </row>
    <row r="5525" ht="15.75" customHeight="1">
      <c r="A5525" s="1" t="str">
        <f>IFERROR(__xludf.DUMMYFUNCTION("""COMPUTED_VALUE"""),"can you ever forgive me?")</f>
        <v>can you ever forgive me?</v>
      </c>
      <c r="B5525" s="1" t="str">
        <f>IF(A5525&lt;&gt;"", VLOOKUP(A5525, imdb_netflix_v5!A$2:H$7370, 2, FALSE), "")</f>
        <v>Movie</v>
      </c>
      <c r="C5525" s="2" t="str">
        <f>IF(A5525&lt;&gt;"", VLOOKUP(A5525, imdb_netflix_v5!A$2:H$7370, 3, FALSE), "")</f>
        <v>Biography, Comedy, Crime</v>
      </c>
      <c r="D5525" s="2">
        <f>IF(A5525&lt;&gt;"", VLOOKUP(A5525, imdb_netflix_v5!A$2:H$7370, 4, FALSE), "")</f>
        <v>7.1</v>
      </c>
      <c r="E5525" s="2">
        <f>IF(A5525&lt;&gt;"", VLOOKUP(A5525, imdb_netflix_v5!A$2:H$7370, 5, FALSE), "")</f>
        <v>2018</v>
      </c>
      <c r="F5525" s="2" t="str">
        <f>IF(A5525&lt;&gt;"", VLOOKUP(A5525, imdb_netflix_v5!A$2:H$7370, 7, FALSE), "")</f>
        <v>NA</v>
      </c>
    </row>
    <row r="5526" ht="15.75" customHeight="1">
      <c r="A5526" s="1" t="str">
        <f>IFERROR(__xludf.DUMMYFUNCTION("""COMPUTED_VALUE"""),"marighella")</f>
        <v>marighella</v>
      </c>
      <c r="B5526" s="1" t="str">
        <f>IF(A5526&lt;&gt;"", VLOOKUP(A5526, imdb_netflix_v5!A$2:H$7370, 2, FALSE), "")</f>
        <v>Movie</v>
      </c>
      <c r="C5526" s="2" t="str">
        <f>IF(A5526&lt;&gt;"", VLOOKUP(A5526, imdb_netflix_v5!A$2:H$7370, 3, FALSE), "")</f>
        <v>Action, Drama, History</v>
      </c>
      <c r="D5526" s="2">
        <f>IF(A5526&lt;&gt;"", VLOOKUP(A5526, imdb_netflix_v5!A$2:H$7370, 4, FALSE), "")</f>
        <v>7.1</v>
      </c>
      <c r="E5526" s="2">
        <f>IF(A5526&lt;&gt;"", VLOOKUP(A5526, imdb_netflix_v5!A$2:H$7370, 5, FALSE), "")</f>
        <v>2019</v>
      </c>
      <c r="F5526" s="2" t="str">
        <f>IF(A5526&lt;&gt;"", VLOOKUP(A5526, imdb_netflix_v5!A$2:H$7370, 7, FALSE), "")</f>
        <v>NA</v>
      </c>
    </row>
    <row r="5527" ht="15.75" customHeight="1">
      <c r="A5527" s="1" t="str">
        <f>IFERROR(__xludf.DUMMYFUNCTION("""COMPUTED_VALUE"""),"hard eight")</f>
        <v>hard eight</v>
      </c>
      <c r="B5527" s="1" t="str">
        <f>IF(A5527&lt;&gt;"", VLOOKUP(A5527, imdb_netflix_v5!A$2:H$7370, 2, FALSE), "")</f>
        <v>Movie</v>
      </c>
      <c r="C5527" s="2" t="str">
        <f>IF(A5527&lt;&gt;"", VLOOKUP(A5527, imdb_netflix_v5!A$2:H$7370, 3, FALSE), "")</f>
        <v>Crime, Drama</v>
      </c>
      <c r="D5527" s="2">
        <f>IF(A5527&lt;&gt;"", VLOOKUP(A5527, imdb_netflix_v5!A$2:H$7370, 4, FALSE), "")</f>
        <v>7.1</v>
      </c>
      <c r="E5527" s="2">
        <f>IF(A5527&lt;&gt;"", VLOOKUP(A5527, imdb_netflix_v5!A$2:H$7370, 5, FALSE), "")</f>
        <v>1996</v>
      </c>
      <c r="F5527" s="2" t="str">
        <f>IF(A5527&lt;&gt;"", VLOOKUP(A5527, imdb_netflix_v5!A$2:H$7370, 7, FALSE), "")</f>
        <v>NA</v>
      </c>
    </row>
    <row r="5528" ht="15.75" customHeight="1">
      <c r="A5528" s="1" t="str">
        <f>IFERROR(__xludf.DUMMYFUNCTION("""COMPUTED_VALUE"""),"the great mouse detective")</f>
        <v>the great mouse detective</v>
      </c>
      <c r="B5528" s="1" t="str">
        <f>IF(A5528&lt;&gt;"", VLOOKUP(A5528, imdb_netflix_v5!A$2:H$7370, 2, FALSE), "")</f>
        <v>Movie</v>
      </c>
      <c r="C5528" s="2" t="str">
        <f>IF(A5528&lt;&gt;"", VLOOKUP(A5528, imdb_netflix_v5!A$2:H$7370, 3, FALSE), "")</f>
        <v>Adventure, Animation, Family</v>
      </c>
      <c r="D5528" s="2">
        <f>IF(A5528&lt;&gt;"", VLOOKUP(A5528, imdb_netflix_v5!A$2:H$7370, 4, FALSE), "")</f>
        <v>7.1</v>
      </c>
      <c r="E5528" s="2">
        <f>IF(A5528&lt;&gt;"", VLOOKUP(A5528, imdb_netflix_v5!A$2:H$7370, 5, FALSE), "")</f>
        <v>1986</v>
      </c>
      <c r="F5528" s="2" t="str">
        <f>IF(A5528&lt;&gt;"", VLOOKUP(A5528, imdb_netflix_v5!A$2:H$7370, 7, FALSE), "")</f>
        <v>NA</v>
      </c>
    </row>
    <row r="5529" ht="15.75" customHeight="1">
      <c r="A5529" s="1" t="str">
        <f>IFERROR(__xludf.DUMMYFUNCTION("""COMPUTED_VALUE"""),"win win")</f>
        <v>win win</v>
      </c>
      <c r="B5529" s="1" t="str">
        <f>IF(A5529&lt;&gt;"", VLOOKUP(A5529, imdb_netflix_v5!A$2:H$7370, 2, FALSE), "")</f>
        <v>Movie</v>
      </c>
      <c r="C5529" s="2" t="str">
        <f>IF(A5529&lt;&gt;"", VLOOKUP(A5529, imdb_netflix_v5!A$2:H$7370, 3, FALSE), "")</f>
        <v>Comedy, Drama, Sport</v>
      </c>
      <c r="D5529" s="2">
        <f>IF(A5529&lt;&gt;"", VLOOKUP(A5529, imdb_netflix_v5!A$2:H$7370, 4, FALSE), "")</f>
        <v>7.1</v>
      </c>
      <c r="E5529" s="2">
        <f>IF(A5529&lt;&gt;"", VLOOKUP(A5529, imdb_netflix_v5!A$2:H$7370, 5, FALSE), "")</f>
        <v>2011</v>
      </c>
      <c r="F5529" s="2" t="str">
        <f>IF(A5529&lt;&gt;"", VLOOKUP(A5529, imdb_netflix_v5!A$2:H$7370, 7, FALSE), "")</f>
        <v>NA</v>
      </c>
    </row>
    <row r="5530" ht="15.75" customHeight="1">
      <c r="A5530" s="1" t="str">
        <f>IFERROR(__xludf.DUMMYFUNCTION("""COMPUTED_VALUE"""),"marnie")</f>
        <v>marnie</v>
      </c>
      <c r="B5530" s="1" t="str">
        <f>IF(A5530&lt;&gt;"", VLOOKUP(A5530, imdb_netflix_v5!A$2:H$7370, 2, FALSE), "")</f>
        <v>Movie</v>
      </c>
      <c r="C5530" s="2" t="str">
        <f>IF(A5530&lt;&gt;"", VLOOKUP(A5530, imdb_netflix_v5!A$2:H$7370, 3, FALSE), "")</f>
        <v>Crime, Drama, Mystery</v>
      </c>
      <c r="D5530" s="2">
        <f>IF(A5530&lt;&gt;"", VLOOKUP(A5530, imdb_netflix_v5!A$2:H$7370, 4, FALSE), "")</f>
        <v>7.1</v>
      </c>
      <c r="E5530" s="2">
        <f>IF(A5530&lt;&gt;"", VLOOKUP(A5530, imdb_netflix_v5!A$2:H$7370, 5, FALSE), "")</f>
        <v>1964</v>
      </c>
      <c r="F5530" s="2" t="str">
        <f>IF(A5530&lt;&gt;"", VLOOKUP(A5530, imdb_netflix_v5!A$2:H$7370, 7, FALSE), "")</f>
        <v>NA</v>
      </c>
    </row>
    <row r="5531" ht="15.75" customHeight="1">
      <c r="A5531" s="1" t="str">
        <f>IFERROR(__xludf.DUMMYFUNCTION("""COMPUTED_VALUE"""),"far from the madding crowd")</f>
        <v>far from the madding crowd</v>
      </c>
      <c r="B5531" s="1" t="str">
        <f>IF(A5531&lt;&gt;"", VLOOKUP(A5531, imdb_netflix_v5!A$2:H$7370, 2, FALSE), "")</f>
        <v>Movie</v>
      </c>
      <c r="C5531" s="2" t="str">
        <f>IF(A5531&lt;&gt;"", VLOOKUP(A5531, imdb_netflix_v5!A$2:H$7370, 3, FALSE), "")</f>
        <v>Drama, Romance</v>
      </c>
      <c r="D5531" s="2">
        <f>IF(A5531&lt;&gt;"", VLOOKUP(A5531, imdb_netflix_v5!A$2:H$7370, 4, FALSE), "")</f>
        <v>7.1</v>
      </c>
      <c r="E5531" s="2">
        <f>IF(A5531&lt;&gt;"", VLOOKUP(A5531, imdb_netflix_v5!A$2:H$7370, 5, FALSE), "")</f>
        <v>2015</v>
      </c>
      <c r="F5531" s="2" t="str">
        <f>IF(A5531&lt;&gt;"", VLOOKUP(A5531, imdb_netflix_v5!A$2:H$7370, 7, FALSE), "")</f>
        <v>NA</v>
      </c>
    </row>
    <row r="5532" ht="15.75" customHeight="1">
      <c r="A5532" s="1" t="str">
        <f>IFERROR(__xludf.DUMMYFUNCTION("""COMPUTED_VALUE"""),"sultan")</f>
        <v>sultan</v>
      </c>
      <c r="B5532" s="1" t="str">
        <f>IF(A5532&lt;&gt;"", VLOOKUP(A5532, imdb_netflix_v5!A$2:H$7370, 2, FALSE), "")</f>
        <v>Movie</v>
      </c>
      <c r="C5532" s="2" t="str">
        <f>IF(A5532&lt;&gt;"", VLOOKUP(A5532, imdb_netflix_v5!A$2:H$7370, 3, FALSE), "")</f>
        <v>Action, Drama, Romance</v>
      </c>
      <c r="D5532" s="2">
        <f>IF(A5532&lt;&gt;"", VLOOKUP(A5532, imdb_netflix_v5!A$2:H$7370, 4, FALSE), "")</f>
        <v>7.1</v>
      </c>
      <c r="E5532" s="2">
        <f>IF(A5532&lt;&gt;"", VLOOKUP(A5532, imdb_netflix_v5!A$2:H$7370, 5, FALSE), "")</f>
        <v>2016</v>
      </c>
      <c r="F5532" s="2" t="str">
        <f>IF(A5532&lt;&gt;"", VLOOKUP(A5532, imdb_netflix_v5!A$2:H$7370, 7, FALSE), "")</f>
        <v>NA</v>
      </c>
    </row>
    <row r="5533" ht="15.75" customHeight="1">
      <c r="A5533" s="1" t="str">
        <f>IFERROR(__xludf.DUMMYFUNCTION("""COMPUTED_VALUE"""),"if beale street could talk")</f>
        <v>if beale street could talk</v>
      </c>
      <c r="B5533" s="1" t="str">
        <f>IF(A5533&lt;&gt;"", VLOOKUP(A5533, imdb_netflix_v5!A$2:H$7370, 2, FALSE), "")</f>
        <v>Movie</v>
      </c>
      <c r="C5533" s="2" t="str">
        <f>IF(A5533&lt;&gt;"", VLOOKUP(A5533, imdb_netflix_v5!A$2:H$7370, 3, FALSE), "")</f>
        <v>Drama, Romance</v>
      </c>
      <c r="D5533" s="2">
        <f>IF(A5533&lt;&gt;"", VLOOKUP(A5533, imdb_netflix_v5!A$2:H$7370, 4, FALSE), "")</f>
        <v>7.1</v>
      </c>
      <c r="E5533" s="2">
        <f>IF(A5533&lt;&gt;"", VLOOKUP(A5533, imdb_netflix_v5!A$2:H$7370, 5, FALSE), "")</f>
        <v>2018</v>
      </c>
      <c r="F5533" s="2" t="str">
        <f>IF(A5533&lt;&gt;"", VLOOKUP(A5533, imdb_netflix_v5!A$2:H$7370, 7, FALSE), "")</f>
        <v>NA</v>
      </c>
    </row>
    <row r="5534" ht="15.75" customHeight="1">
      <c r="A5534" s="1" t="str">
        <f>IFERROR(__xludf.DUMMYFUNCTION("""COMPUTED_VALUE"""),"kon-tiki")</f>
        <v>kon-tiki</v>
      </c>
      <c r="B5534" s="1" t="str">
        <f>IF(A5534&lt;&gt;"", VLOOKUP(A5534, imdb_netflix_v5!A$2:H$7370, 2, FALSE), "")</f>
        <v>Movie</v>
      </c>
      <c r="C5534" s="2" t="str">
        <f>IF(A5534&lt;&gt;"", VLOOKUP(A5534, imdb_netflix_v5!A$2:H$7370, 3, FALSE), "")</f>
        <v>Adventure, Biography, Drama</v>
      </c>
      <c r="D5534" s="2">
        <f>IF(A5534&lt;&gt;"", VLOOKUP(A5534, imdb_netflix_v5!A$2:H$7370, 4, FALSE), "")</f>
        <v>7.1</v>
      </c>
      <c r="E5534" s="2">
        <f>IF(A5534&lt;&gt;"", VLOOKUP(A5534, imdb_netflix_v5!A$2:H$7370, 5, FALSE), "")</f>
        <v>2012</v>
      </c>
      <c r="F5534" s="2" t="str">
        <f>IF(A5534&lt;&gt;"", VLOOKUP(A5534, imdb_netflix_v5!A$2:H$7370, 7, FALSE), "")</f>
        <v>NA</v>
      </c>
    </row>
    <row r="5535" ht="15.75" customHeight="1">
      <c r="A5535" s="1" t="str">
        <f>IFERROR(__xludf.DUMMYFUNCTION("""COMPUTED_VALUE"""),"thirst")</f>
        <v>thirst</v>
      </c>
      <c r="B5535" s="1" t="str">
        <f>IF(A5535&lt;&gt;"", VLOOKUP(A5535, imdb_netflix_v5!A$2:H$7370, 2, FALSE), "")</f>
        <v>Movie</v>
      </c>
      <c r="C5535" s="2" t="str">
        <f>IF(A5535&lt;&gt;"", VLOOKUP(A5535, imdb_netflix_v5!A$2:H$7370, 3, FALSE), "")</f>
        <v>Drama, Fantasy, Horror</v>
      </c>
      <c r="D5535" s="2">
        <f>IF(A5535&lt;&gt;"", VLOOKUP(A5535, imdb_netflix_v5!A$2:H$7370, 4, FALSE), "")</f>
        <v>7.1</v>
      </c>
      <c r="E5535" s="2">
        <f>IF(A5535&lt;&gt;"", VLOOKUP(A5535, imdb_netflix_v5!A$2:H$7370, 5, FALSE), "")</f>
        <v>2009</v>
      </c>
      <c r="F5535" s="2" t="str">
        <f>IF(A5535&lt;&gt;"", VLOOKUP(A5535, imdb_netflix_v5!A$2:H$7370, 7, FALSE), "")</f>
        <v>NA</v>
      </c>
    </row>
    <row r="5536" ht="15.75" customHeight="1">
      <c r="A5536" s="1" t="str">
        <f>IFERROR(__xludf.DUMMYFUNCTION("""COMPUTED_VALUE"""),"kinsey")</f>
        <v>kinsey</v>
      </c>
      <c r="B5536" s="1" t="str">
        <f>IF(A5536&lt;&gt;"", VLOOKUP(A5536, imdb_netflix_v5!A$2:H$7370, 2, FALSE), "")</f>
        <v>Movie</v>
      </c>
      <c r="C5536" s="2" t="str">
        <f>IF(A5536&lt;&gt;"", VLOOKUP(A5536, imdb_netflix_v5!A$2:H$7370, 3, FALSE), "")</f>
        <v>Biography, Drama, Romance</v>
      </c>
      <c r="D5536" s="2">
        <f>IF(A5536&lt;&gt;"", VLOOKUP(A5536, imdb_netflix_v5!A$2:H$7370, 4, FALSE), "")</f>
        <v>7.1</v>
      </c>
      <c r="E5536" s="2">
        <f>IF(A5536&lt;&gt;"", VLOOKUP(A5536, imdb_netflix_v5!A$2:H$7370, 5, FALSE), "")</f>
        <v>2004</v>
      </c>
      <c r="F5536" s="2" t="str">
        <f>IF(A5536&lt;&gt;"", VLOOKUP(A5536, imdb_netflix_v5!A$2:H$7370, 7, FALSE), "")</f>
        <v>NA</v>
      </c>
    </row>
    <row r="5537" ht="15.75" customHeight="1">
      <c r="A5537" s="1" t="str">
        <f>IFERROR(__xludf.DUMMYFUNCTION("""COMPUTED_VALUE"""),"dressed to kill")</f>
        <v>dressed to kill</v>
      </c>
      <c r="B5537" s="1" t="str">
        <f>IF(A5537&lt;&gt;"", VLOOKUP(A5537, imdb_netflix_v5!A$2:H$7370, 2, FALSE), "")</f>
        <v>Movie</v>
      </c>
      <c r="C5537" s="2" t="str">
        <f>IF(A5537&lt;&gt;"", VLOOKUP(A5537, imdb_netflix_v5!A$2:H$7370, 3, FALSE), "")</f>
        <v>Crime, Drama, Mystery</v>
      </c>
      <c r="D5537" s="2">
        <f>IF(A5537&lt;&gt;"", VLOOKUP(A5537, imdb_netflix_v5!A$2:H$7370, 4, FALSE), "")</f>
        <v>7.1</v>
      </c>
      <c r="E5537" s="2">
        <f>IF(A5537&lt;&gt;"", VLOOKUP(A5537, imdb_netflix_v5!A$2:H$7370, 5, FALSE), "")</f>
        <v>1980</v>
      </c>
      <c r="F5537" s="2" t="str">
        <f>IF(A5537&lt;&gt;"", VLOOKUP(A5537, imdb_netflix_v5!A$2:H$7370, 7, FALSE), "")</f>
        <v>NA</v>
      </c>
    </row>
    <row r="5538" ht="15.75" customHeight="1">
      <c r="A5538" s="1" t="str">
        <f>IFERROR(__xludf.DUMMYFUNCTION("""COMPUTED_VALUE"""),"the nanny")</f>
        <v>the nanny</v>
      </c>
      <c r="B5538" s="1" t="str">
        <f>IF(A5538&lt;&gt;"", VLOOKUP(A5538, imdb_netflix_v5!A$2:H$7370, 2, FALSE), "")</f>
        <v>TV Show</v>
      </c>
      <c r="C5538" s="2" t="str">
        <f>IF(A5538&lt;&gt;"", VLOOKUP(A5538, imdb_netflix_v5!A$2:H$7370, 3, FALSE), "")</f>
        <v>Comedy, Family, Romance</v>
      </c>
      <c r="D5538" s="2">
        <f>IF(A5538&lt;&gt;"", VLOOKUP(A5538, imdb_netflix_v5!A$2:H$7370, 4, FALSE), "")</f>
        <v>7.1</v>
      </c>
      <c r="E5538" s="2">
        <f>IF(A5538&lt;&gt;"", VLOOKUP(A5538, imdb_netflix_v5!A$2:H$7370, 5, FALSE), "")</f>
        <v>1993</v>
      </c>
      <c r="F5538" s="2" t="str">
        <f>IF(A5538&lt;&gt;"", VLOOKUP(A5538, imdb_netflix_v5!A$2:H$7370, 7, FALSE), "")</f>
        <v>NA</v>
      </c>
    </row>
    <row r="5539" ht="15.75" customHeight="1">
      <c r="A5539" s="1">
        <f>IFERROR(__xludf.DUMMYFUNCTION("""COMPUTED_VALUE"""),0.468055556)</f>
        <v>0.468055556</v>
      </c>
      <c r="B5539" s="1" t="str">
        <f>IF(A5539&lt;&gt;"", VLOOKUP(A5539, imdb_netflix_v5!A$2:H$7370, 2, FALSE), "")</f>
        <v>Movie</v>
      </c>
      <c r="C5539" s="2" t="str">
        <f>IF(A5539&lt;&gt;"", VLOOKUP(A5539, imdb_netflix_v5!A$2:H$7370, 3, FALSE), "")</f>
        <v>Comedy, Crime, Drama</v>
      </c>
      <c r="D5539" s="2">
        <f>IF(A5539&lt;&gt;"", VLOOKUP(A5539, imdb_netflix_v5!A$2:H$7370, 4, FALSE), "")</f>
        <v>7.1</v>
      </c>
      <c r="E5539" s="2">
        <f>IF(A5539&lt;&gt;"", VLOOKUP(A5539, imdb_netflix_v5!A$2:H$7370, 5, FALSE), "")</f>
        <v>2003</v>
      </c>
      <c r="F5539" s="2" t="str">
        <f>IF(A5539&lt;&gt;"", VLOOKUP(A5539, imdb_netflix_v5!A$2:H$7370, 7, FALSE), "")</f>
        <v>NA</v>
      </c>
    </row>
    <row r="5540" ht="15.75" customHeight="1">
      <c r="A5540" s="1" t="str">
        <f>IFERROR(__xludf.DUMMYFUNCTION("""COMPUTED_VALUE"""),"black christmas")</f>
        <v>black christmas</v>
      </c>
      <c r="B5540" s="1" t="str">
        <f>IF(A5540&lt;&gt;"", VLOOKUP(A5540, imdb_netflix_v5!A$2:H$7370, 2, FALSE), "")</f>
        <v>Movie</v>
      </c>
      <c r="C5540" s="2" t="str">
        <f>IF(A5540&lt;&gt;"", VLOOKUP(A5540, imdb_netflix_v5!A$2:H$7370, 3, FALSE), "")</f>
        <v>Horror, Mystery, Thriller</v>
      </c>
      <c r="D5540" s="2">
        <f>IF(A5540&lt;&gt;"", VLOOKUP(A5540, imdb_netflix_v5!A$2:H$7370, 4, FALSE), "")</f>
        <v>7.1</v>
      </c>
      <c r="E5540" s="2">
        <f>IF(A5540&lt;&gt;"", VLOOKUP(A5540, imdb_netflix_v5!A$2:H$7370, 5, FALSE), "")</f>
        <v>1974</v>
      </c>
      <c r="F5540" s="2" t="str">
        <f>IF(A5540&lt;&gt;"", VLOOKUP(A5540, imdb_netflix_v5!A$2:H$7370, 7, FALSE), "")</f>
        <v>NA</v>
      </c>
    </row>
    <row r="5541" ht="15.75" customHeight="1">
      <c r="A5541" s="1" t="str">
        <f>IFERROR(__xludf.DUMMYFUNCTION("""COMPUTED_VALUE"""),"better off dead")</f>
        <v>better off dead</v>
      </c>
      <c r="B5541" s="1" t="str">
        <f>IF(A5541&lt;&gt;"", VLOOKUP(A5541, imdb_netflix_v5!A$2:H$7370, 2, FALSE), "")</f>
        <v>Movie</v>
      </c>
      <c r="C5541" s="2" t="str">
        <f>IF(A5541&lt;&gt;"", VLOOKUP(A5541, imdb_netflix_v5!A$2:H$7370, 3, FALSE), "")</f>
        <v>Comedy, Romance</v>
      </c>
      <c r="D5541" s="2">
        <f>IF(A5541&lt;&gt;"", VLOOKUP(A5541, imdb_netflix_v5!A$2:H$7370, 4, FALSE), "")</f>
        <v>7.1</v>
      </c>
      <c r="E5541" s="2">
        <f>IF(A5541&lt;&gt;"", VLOOKUP(A5541, imdb_netflix_v5!A$2:H$7370, 5, FALSE), "")</f>
        <v>1985</v>
      </c>
      <c r="F5541" s="2" t="str">
        <f>IF(A5541&lt;&gt;"", VLOOKUP(A5541, imdb_netflix_v5!A$2:H$7370, 7, FALSE), "")</f>
        <v>NA</v>
      </c>
    </row>
    <row r="5542" ht="15.75" customHeight="1">
      <c r="A5542" s="1" t="str">
        <f>IFERROR(__xludf.DUMMYFUNCTION("""COMPUTED_VALUE"""),"the poseidon adventure")</f>
        <v>the poseidon adventure</v>
      </c>
      <c r="B5542" s="1" t="str">
        <f>IF(A5542&lt;&gt;"", VLOOKUP(A5542, imdb_netflix_v5!A$2:H$7370, 2, FALSE), "")</f>
        <v>Movie</v>
      </c>
      <c r="C5542" s="2" t="str">
        <f>IF(A5542&lt;&gt;"", VLOOKUP(A5542, imdb_netflix_v5!A$2:H$7370, 3, FALSE), "")</f>
        <v>Action, Adventure, Drama</v>
      </c>
      <c r="D5542" s="2">
        <f>IF(A5542&lt;&gt;"", VLOOKUP(A5542, imdb_netflix_v5!A$2:H$7370, 4, FALSE), "")</f>
        <v>7.1</v>
      </c>
      <c r="E5542" s="2">
        <f>IF(A5542&lt;&gt;"", VLOOKUP(A5542, imdb_netflix_v5!A$2:H$7370, 5, FALSE), "")</f>
        <v>1972</v>
      </c>
      <c r="F5542" s="2" t="str">
        <f>IF(A5542&lt;&gt;"", VLOOKUP(A5542, imdb_netflix_v5!A$2:H$7370, 7, FALSE), "")</f>
        <v>NA</v>
      </c>
    </row>
    <row r="5543" ht="15.75" customHeight="1">
      <c r="A5543" s="1" t="str">
        <f>IFERROR(__xludf.DUMMYFUNCTION("""COMPUTED_VALUE"""),"balto")</f>
        <v>balto</v>
      </c>
      <c r="B5543" s="1" t="str">
        <f>IF(A5543&lt;&gt;"", VLOOKUP(A5543, imdb_netflix_v5!A$2:H$7370, 2, FALSE), "")</f>
        <v>Movie</v>
      </c>
      <c r="C5543" s="2" t="str">
        <f>IF(A5543&lt;&gt;"", VLOOKUP(A5543, imdb_netflix_v5!A$2:H$7370, 3, FALSE), "")</f>
        <v>Adventure, Animation, Drama</v>
      </c>
      <c r="D5543" s="2">
        <f>IF(A5543&lt;&gt;"", VLOOKUP(A5543, imdb_netflix_v5!A$2:H$7370, 4, FALSE), "")</f>
        <v>7.1</v>
      </c>
      <c r="E5543" s="2">
        <f>IF(A5543&lt;&gt;"", VLOOKUP(A5543, imdb_netflix_v5!A$2:H$7370, 5, FALSE), "")</f>
        <v>1995</v>
      </c>
      <c r="F5543" s="2" t="str">
        <f>IF(A5543&lt;&gt;"", VLOOKUP(A5543, imdb_netflix_v5!A$2:H$7370, 7, FALSE), "")</f>
        <v>NA</v>
      </c>
    </row>
    <row r="5544" ht="15.75" customHeight="1">
      <c r="A5544" s="1" t="str">
        <f>IFERROR(__xludf.DUMMYFUNCTION("""COMPUTED_VALUE"""),"casualties of war")</f>
        <v>casualties of war</v>
      </c>
      <c r="B5544" s="1" t="str">
        <f>IF(A5544&lt;&gt;"", VLOOKUP(A5544, imdb_netflix_v5!A$2:H$7370, 2, FALSE), "")</f>
        <v>Movie</v>
      </c>
      <c r="C5544" s="2" t="str">
        <f>IF(A5544&lt;&gt;"", VLOOKUP(A5544, imdb_netflix_v5!A$2:H$7370, 3, FALSE), "")</f>
        <v>Action, Crime, Drama</v>
      </c>
      <c r="D5544" s="2">
        <f>IF(A5544&lt;&gt;"", VLOOKUP(A5544, imdb_netflix_v5!A$2:H$7370, 4, FALSE), "")</f>
        <v>7.1</v>
      </c>
      <c r="E5544" s="2">
        <f>IF(A5544&lt;&gt;"", VLOOKUP(A5544, imdb_netflix_v5!A$2:H$7370, 5, FALSE), "")</f>
        <v>1989</v>
      </c>
      <c r="F5544" s="2" t="str">
        <f>IF(A5544&lt;&gt;"", VLOOKUP(A5544, imdb_netflix_v5!A$2:H$7370, 7, FALSE), "")</f>
        <v>NA</v>
      </c>
    </row>
    <row r="5545" ht="15.75" customHeight="1">
      <c r="A5545" s="1" t="str">
        <f>IFERROR(__xludf.DUMMYFUNCTION("""COMPUTED_VALUE"""),"no way out")</f>
        <v>no way out</v>
      </c>
      <c r="B5545" s="1" t="str">
        <f>IF(A5545&lt;&gt;"", VLOOKUP(A5545, imdb_netflix_v5!A$2:H$7370, 2, FALSE), "")</f>
        <v>Movie</v>
      </c>
      <c r="C5545" s="2" t="str">
        <f>IF(A5545&lt;&gt;"", VLOOKUP(A5545, imdb_netflix_v5!A$2:H$7370, 3, FALSE), "")</f>
        <v>Action, Crime, Drama</v>
      </c>
      <c r="D5545" s="2">
        <f>IF(A5545&lt;&gt;"", VLOOKUP(A5545, imdb_netflix_v5!A$2:H$7370, 4, FALSE), "")</f>
        <v>7.1</v>
      </c>
      <c r="E5545" s="2">
        <f>IF(A5545&lt;&gt;"", VLOOKUP(A5545, imdb_netflix_v5!A$2:H$7370, 5, FALSE), "")</f>
        <v>1987</v>
      </c>
      <c r="F5545" s="2" t="str">
        <f>IF(A5545&lt;&gt;"", VLOOKUP(A5545, imdb_netflix_v5!A$2:H$7370, 7, FALSE), "")</f>
        <v>NA</v>
      </c>
    </row>
    <row r="5546" ht="15.75" customHeight="1">
      <c r="A5546" s="1" t="str">
        <f>IFERROR(__xludf.DUMMYFUNCTION("""COMPUTED_VALUE"""),"che part one")</f>
        <v>che part one</v>
      </c>
      <c r="B5546" s="1" t="str">
        <f>IF(A5546&lt;&gt;"", VLOOKUP(A5546, imdb_netflix_v5!A$2:H$7370, 2, FALSE), "")</f>
        <v>Movie</v>
      </c>
      <c r="C5546" s="2" t="str">
        <f>IF(A5546&lt;&gt;"", VLOOKUP(A5546, imdb_netflix_v5!A$2:H$7370, 3, FALSE), "")</f>
        <v>Biography, Drama, History</v>
      </c>
      <c r="D5546" s="2">
        <f>IF(A5546&lt;&gt;"", VLOOKUP(A5546, imdb_netflix_v5!A$2:H$7370, 4, FALSE), "")</f>
        <v>7.1</v>
      </c>
      <c r="E5546" s="2">
        <f>IF(A5546&lt;&gt;"", VLOOKUP(A5546, imdb_netflix_v5!A$2:H$7370, 5, FALSE), "")</f>
        <v>2008</v>
      </c>
      <c r="F5546" s="2" t="str">
        <f>IF(A5546&lt;&gt;"", VLOOKUP(A5546, imdb_netflix_v5!A$2:H$7370, 7, FALSE), "")</f>
        <v>NA</v>
      </c>
    </row>
    <row r="5547" ht="15.75" customHeight="1">
      <c r="A5547" s="1" t="str">
        <f>IFERROR(__xludf.DUMMYFUNCTION("""COMPUTED_VALUE"""),"lovecraft country")</f>
        <v>lovecraft country</v>
      </c>
      <c r="B5547" s="1" t="str">
        <f>IF(A5547&lt;&gt;"", VLOOKUP(A5547, imdb_netflix_v5!A$2:H$7370, 2, FALSE), "")</f>
        <v>TV Show</v>
      </c>
      <c r="C5547" s="2" t="str">
        <f>IF(A5547&lt;&gt;"", VLOOKUP(A5547, imdb_netflix_v5!A$2:H$7370, 3, FALSE), "")</f>
        <v>Drama, Fantasy, Horror</v>
      </c>
      <c r="D5547" s="2">
        <f>IF(A5547&lt;&gt;"", VLOOKUP(A5547, imdb_netflix_v5!A$2:H$7370, 4, FALSE), "")</f>
        <v>7.1</v>
      </c>
      <c r="E5547" s="2">
        <f>IF(A5547&lt;&gt;"", VLOOKUP(A5547, imdb_netflix_v5!A$2:H$7370, 5, FALSE), "")</f>
        <v>2020</v>
      </c>
      <c r="F5547" s="2" t="str">
        <f>IF(A5547&lt;&gt;"", VLOOKUP(A5547, imdb_netflix_v5!A$2:H$7370, 7, FALSE), "")</f>
        <v>NA</v>
      </c>
    </row>
    <row r="5548" ht="15.75" customHeight="1">
      <c r="A5548" s="1" t="str">
        <f>IFERROR(__xludf.DUMMYFUNCTION("""COMPUTED_VALUE"""),"scream queens")</f>
        <v>scream queens</v>
      </c>
      <c r="B5548" s="1" t="str">
        <f>IF(A5548&lt;&gt;"", VLOOKUP(A5548, imdb_netflix_v5!A$2:H$7370, 2, FALSE), "")</f>
        <v>TV Show</v>
      </c>
      <c r="C5548" s="2" t="str">
        <f>IF(A5548&lt;&gt;"", VLOOKUP(A5548, imdb_netflix_v5!A$2:H$7370, 3, FALSE), "")</f>
        <v>Comedy, Horror, Mystery</v>
      </c>
      <c r="D5548" s="2">
        <f>IF(A5548&lt;&gt;"", VLOOKUP(A5548, imdb_netflix_v5!A$2:H$7370, 4, FALSE), "")</f>
        <v>7.1</v>
      </c>
      <c r="E5548" s="2">
        <f>IF(A5548&lt;&gt;"", VLOOKUP(A5548, imdb_netflix_v5!A$2:H$7370, 5, FALSE), "")</f>
        <v>2015</v>
      </c>
      <c r="F5548" s="2" t="str">
        <f>IF(A5548&lt;&gt;"", VLOOKUP(A5548, imdb_netflix_v5!A$2:H$7370, 7, FALSE), "")</f>
        <v>NA</v>
      </c>
    </row>
    <row r="5549" ht="15.75" customHeight="1">
      <c r="A5549" s="1" t="str">
        <f>IFERROR(__xludf.DUMMYFUNCTION("""COMPUTED_VALUE"""),"the call")</f>
        <v>the call</v>
      </c>
      <c r="B5549" s="1" t="str">
        <f>IF(A5549&lt;&gt;"", VLOOKUP(A5549, imdb_netflix_v5!A$2:H$7370, 2, FALSE), "")</f>
        <v>Movie</v>
      </c>
      <c r="C5549" s="2" t="str">
        <f>IF(A5549&lt;&gt;"", VLOOKUP(A5549, imdb_netflix_v5!A$2:H$7370, 3, FALSE), "")</f>
        <v>Crime, Mystery, Sci-Fi</v>
      </c>
      <c r="D5549" s="2">
        <f>IF(A5549&lt;&gt;"", VLOOKUP(A5549, imdb_netflix_v5!A$2:H$7370, 4, FALSE), "")</f>
        <v>7.1</v>
      </c>
      <c r="E5549" s="2">
        <f>IF(A5549&lt;&gt;"", VLOOKUP(A5549, imdb_netflix_v5!A$2:H$7370, 5, FALSE), "")</f>
        <v>2020</v>
      </c>
      <c r="F5549" s="2">
        <f>IF(A5549&lt;&gt;"", VLOOKUP(A5549, imdb_netflix_v5!A$2:H$7370, 7, FALSE), "")</f>
        <v>7710000</v>
      </c>
    </row>
    <row r="5550" ht="15.75" customHeight="1">
      <c r="A5550" s="1" t="str">
        <f>IFERROR(__xludf.DUMMYFUNCTION("""COMPUTED_VALUE"""),"welcome to the sticks")</f>
        <v>welcome to the sticks</v>
      </c>
      <c r="B5550" s="1" t="str">
        <f>IF(A5550&lt;&gt;"", VLOOKUP(A5550, imdb_netflix_v5!A$2:H$7370, 2, FALSE), "")</f>
        <v>Movie</v>
      </c>
      <c r="C5550" s="2" t="str">
        <f>IF(A5550&lt;&gt;"", VLOOKUP(A5550, imdb_netflix_v5!A$2:H$7370, 3, FALSE), "")</f>
        <v>Comedy, Romance</v>
      </c>
      <c r="D5550" s="2">
        <f>IF(A5550&lt;&gt;"", VLOOKUP(A5550, imdb_netflix_v5!A$2:H$7370, 4, FALSE), "")</f>
        <v>7.1</v>
      </c>
      <c r="E5550" s="2">
        <f>IF(A5550&lt;&gt;"", VLOOKUP(A5550, imdb_netflix_v5!A$2:H$7370, 5, FALSE), "")</f>
        <v>2008</v>
      </c>
      <c r="F5550" s="2" t="str">
        <f>IF(A5550&lt;&gt;"", VLOOKUP(A5550, imdb_netflix_v5!A$2:H$7370, 7, FALSE), "")</f>
        <v>NA</v>
      </c>
    </row>
    <row r="5551" ht="15.75" customHeight="1">
      <c r="A5551" s="1" t="str">
        <f>IFERROR(__xludf.DUMMYFUNCTION("""COMPUTED_VALUE"""),"sleeper")</f>
        <v>sleeper</v>
      </c>
      <c r="B5551" s="1" t="str">
        <f>IF(A5551&lt;&gt;"", VLOOKUP(A5551, imdb_netflix_v5!A$2:H$7370, 2, FALSE), "")</f>
        <v>Movie</v>
      </c>
      <c r="C5551" s="2" t="str">
        <f>IF(A5551&lt;&gt;"", VLOOKUP(A5551, imdb_netflix_v5!A$2:H$7370, 3, FALSE), "")</f>
        <v>Comedy, Sci-Fi</v>
      </c>
      <c r="D5551" s="2">
        <f>IF(A5551&lt;&gt;"", VLOOKUP(A5551, imdb_netflix_v5!A$2:H$7370, 4, FALSE), "")</f>
        <v>7.1</v>
      </c>
      <c r="E5551" s="2">
        <f>IF(A5551&lt;&gt;"", VLOOKUP(A5551, imdb_netflix_v5!A$2:H$7370, 5, FALSE), "")</f>
        <v>1973</v>
      </c>
      <c r="F5551" s="2" t="str">
        <f>IF(A5551&lt;&gt;"", VLOOKUP(A5551, imdb_netflix_v5!A$2:H$7370, 7, FALSE), "")</f>
        <v>NA</v>
      </c>
    </row>
    <row r="5552" ht="15.75" customHeight="1">
      <c r="A5552" s="1" t="str">
        <f>IFERROR(__xludf.DUMMYFUNCTION("""COMPUTED_VALUE"""),"the goat life")</f>
        <v>the goat life</v>
      </c>
      <c r="B5552" s="1" t="str">
        <f>IF(A5552&lt;&gt;"", VLOOKUP(A5552, imdb_netflix_v5!A$2:H$7370, 2, FALSE), "")</f>
        <v>Movie</v>
      </c>
      <c r="C5552" s="2" t="str">
        <f>IF(A5552&lt;&gt;"", VLOOKUP(A5552, imdb_netflix_v5!A$2:H$7370, 3, FALSE), "")</f>
        <v>Adventure, Drama</v>
      </c>
      <c r="D5552" s="2">
        <f>IF(A5552&lt;&gt;"", VLOOKUP(A5552, imdb_netflix_v5!A$2:H$7370, 4, FALSE), "")</f>
        <v>7.1</v>
      </c>
      <c r="E5552" s="2">
        <f>IF(A5552&lt;&gt;"", VLOOKUP(A5552, imdb_netflix_v5!A$2:H$7370, 5, FALSE), "")</f>
        <v>2024</v>
      </c>
      <c r="F5552" s="2" t="str">
        <f>IF(A5552&lt;&gt;"", VLOOKUP(A5552, imdb_netflix_v5!A$2:H$7370, 7, FALSE), "")</f>
        <v>NA</v>
      </c>
    </row>
    <row r="5553" ht="15.75" customHeight="1">
      <c r="A5553" s="1" t="str">
        <f>IFERROR(__xludf.DUMMYFUNCTION("""COMPUTED_VALUE"""),"gentlemen prefer blondes")</f>
        <v>gentlemen prefer blondes</v>
      </c>
      <c r="B5553" s="1" t="str">
        <f>IF(A5553&lt;&gt;"", VLOOKUP(A5553, imdb_netflix_v5!A$2:H$7370, 2, FALSE), "")</f>
        <v>Movie</v>
      </c>
      <c r="C5553" s="2" t="str">
        <f>IF(A5553&lt;&gt;"", VLOOKUP(A5553, imdb_netflix_v5!A$2:H$7370, 3, FALSE), "")</f>
        <v>Comedy, Musical, Romance</v>
      </c>
      <c r="D5553" s="2">
        <f>IF(A5553&lt;&gt;"", VLOOKUP(A5553, imdb_netflix_v5!A$2:H$7370, 4, FALSE), "")</f>
        <v>7.1</v>
      </c>
      <c r="E5553" s="2">
        <f>IF(A5553&lt;&gt;"", VLOOKUP(A5553, imdb_netflix_v5!A$2:H$7370, 5, FALSE), "")</f>
        <v>1953</v>
      </c>
      <c r="F5553" s="2" t="str">
        <f>IF(A5553&lt;&gt;"", VLOOKUP(A5553, imdb_netflix_v5!A$2:H$7370, 7, FALSE), "")</f>
        <v>NA</v>
      </c>
    </row>
    <row r="5554" ht="15.75" customHeight="1">
      <c r="A5554" s="1" t="str">
        <f>IFERROR(__xludf.DUMMYFUNCTION("""COMPUTED_VALUE"""),"catfish")</f>
        <v>catfish</v>
      </c>
      <c r="B5554" s="1" t="str">
        <f>IF(A5554&lt;&gt;"", VLOOKUP(A5554, imdb_netflix_v5!A$2:H$7370, 2, FALSE), "")</f>
        <v>Movie</v>
      </c>
      <c r="C5554" s="2" t="str">
        <f>IF(A5554&lt;&gt;"", VLOOKUP(A5554, imdb_netflix_v5!A$2:H$7370, 3, FALSE), "")</f>
        <v>Documentary, Drama, Mystery</v>
      </c>
      <c r="D5554" s="2">
        <f>IF(A5554&lt;&gt;"", VLOOKUP(A5554, imdb_netflix_v5!A$2:H$7370, 4, FALSE), "")</f>
        <v>7.1</v>
      </c>
      <c r="E5554" s="2">
        <f>IF(A5554&lt;&gt;"", VLOOKUP(A5554, imdb_netflix_v5!A$2:H$7370, 5, FALSE), "")</f>
        <v>2010</v>
      </c>
      <c r="F5554" s="2" t="str">
        <f>IF(A5554&lt;&gt;"", VLOOKUP(A5554, imdb_netflix_v5!A$2:H$7370, 7, FALSE), "")</f>
        <v>NA</v>
      </c>
    </row>
    <row r="5555" ht="15.75" customHeight="1">
      <c r="A5555" s="1" t="str">
        <f>IFERROR(__xludf.DUMMYFUNCTION("""COMPUTED_VALUE"""),"narc")</f>
        <v>narc</v>
      </c>
      <c r="B5555" s="1" t="str">
        <f>IF(A5555&lt;&gt;"", VLOOKUP(A5555, imdb_netflix_v5!A$2:H$7370, 2, FALSE), "")</f>
        <v>Movie</v>
      </c>
      <c r="C5555" s="2" t="str">
        <f>IF(A5555&lt;&gt;"", VLOOKUP(A5555, imdb_netflix_v5!A$2:H$7370, 3, FALSE), "")</f>
        <v>Crime, Drama, Mystery</v>
      </c>
      <c r="D5555" s="2">
        <f>IF(A5555&lt;&gt;"", VLOOKUP(A5555, imdb_netflix_v5!A$2:H$7370, 4, FALSE), "")</f>
        <v>7.1</v>
      </c>
      <c r="E5555" s="2">
        <f>IF(A5555&lt;&gt;"", VLOOKUP(A5555, imdb_netflix_v5!A$2:H$7370, 5, FALSE), "")</f>
        <v>2002</v>
      </c>
      <c r="F5555" s="2" t="str">
        <f>IF(A5555&lt;&gt;"", VLOOKUP(A5555, imdb_netflix_v5!A$2:H$7370, 7, FALSE), "")</f>
        <v>NA</v>
      </c>
    </row>
    <row r="5556" ht="15.75" customHeight="1">
      <c r="A5556" s="1" t="str">
        <f>IFERROR(__xludf.DUMMYFUNCTION("""COMPUTED_VALUE"""),"the seven year itch")</f>
        <v>the seven year itch</v>
      </c>
      <c r="B5556" s="1" t="str">
        <f>IF(A5556&lt;&gt;"", VLOOKUP(A5556, imdb_netflix_v5!A$2:H$7370, 2, FALSE), "")</f>
        <v>Movie</v>
      </c>
      <c r="C5556" s="2" t="str">
        <f>IF(A5556&lt;&gt;"", VLOOKUP(A5556, imdb_netflix_v5!A$2:H$7370, 3, FALSE), "")</f>
        <v>Comedy, Romance</v>
      </c>
      <c r="D5556" s="2">
        <f>IF(A5556&lt;&gt;"", VLOOKUP(A5556, imdb_netflix_v5!A$2:H$7370, 4, FALSE), "")</f>
        <v>7.1</v>
      </c>
      <c r="E5556" s="2">
        <f>IF(A5556&lt;&gt;"", VLOOKUP(A5556, imdb_netflix_v5!A$2:H$7370, 5, FALSE), "")</f>
        <v>1955</v>
      </c>
      <c r="F5556" s="2" t="str">
        <f>IF(A5556&lt;&gt;"", VLOOKUP(A5556, imdb_netflix_v5!A$2:H$7370, 7, FALSE), "")</f>
        <v>NA</v>
      </c>
    </row>
    <row r="5557" ht="15.75" customHeight="1">
      <c r="A5557" s="1" t="str">
        <f>IFERROR(__xludf.DUMMYFUNCTION("""COMPUTED_VALUE"""),"outer range")</f>
        <v>outer range</v>
      </c>
      <c r="B5557" s="1" t="str">
        <f>IF(A5557&lt;&gt;"", VLOOKUP(A5557, imdb_netflix_v5!A$2:H$7370, 2, FALSE), "")</f>
        <v>TV Show</v>
      </c>
      <c r="C5557" s="2" t="str">
        <f>IF(A5557&lt;&gt;"", VLOOKUP(A5557, imdb_netflix_v5!A$2:H$7370, 3, FALSE), "")</f>
        <v>Drama, Mystery, Thriller</v>
      </c>
      <c r="D5557" s="2">
        <f>IF(A5557&lt;&gt;"", VLOOKUP(A5557, imdb_netflix_v5!A$2:H$7370, 4, FALSE), "")</f>
        <v>7.1</v>
      </c>
      <c r="E5557" s="2">
        <f>IF(A5557&lt;&gt;"", VLOOKUP(A5557, imdb_netflix_v5!A$2:H$7370, 5, FALSE), "")</f>
        <v>2022</v>
      </c>
      <c r="F5557" s="2" t="str">
        <f>IF(A5557&lt;&gt;"", VLOOKUP(A5557, imdb_netflix_v5!A$2:H$7370, 7, FALSE), "")</f>
        <v>NA</v>
      </c>
    </row>
    <row r="5558" ht="15.75" customHeight="1">
      <c r="A5558" s="1" t="str">
        <f>IFERROR(__xludf.DUMMYFUNCTION("""COMPUTED_VALUE"""),"the big chill")</f>
        <v>the big chill</v>
      </c>
      <c r="B5558" s="1" t="str">
        <f>IF(A5558&lt;&gt;"", VLOOKUP(A5558, imdb_netflix_v5!A$2:H$7370, 2, FALSE), "")</f>
        <v>Movie</v>
      </c>
      <c r="C5558" s="2" t="str">
        <f>IF(A5558&lt;&gt;"", VLOOKUP(A5558, imdb_netflix_v5!A$2:H$7370, 3, FALSE), "")</f>
        <v>Comedy, Drama</v>
      </c>
      <c r="D5558" s="2">
        <f>IF(A5558&lt;&gt;"", VLOOKUP(A5558, imdb_netflix_v5!A$2:H$7370, 4, FALSE), "")</f>
        <v>7.1</v>
      </c>
      <c r="E5558" s="2">
        <f>IF(A5558&lt;&gt;"", VLOOKUP(A5558, imdb_netflix_v5!A$2:H$7370, 5, FALSE), "")</f>
        <v>1983</v>
      </c>
      <c r="F5558" s="2" t="str">
        <f>IF(A5558&lt;&gt;"", VLOOKUP(A5558, imdb_netflix_v5!A$2:H$7370, 7, FALSE), "")</f>
        <v>NA</v>
      </c>
    </row>
    <row r="5559" ht="15.75" customHeight="1">
      <c r="A5559" s="1" t="str">
        <f>IFERROR(__xludf.DUMMYFUNCTION("""COMPUTED_VALUE"""),"the railway man")</f>
        <v>the railway man</v>
      </c>
      <c r="B5559" s="1" t="str">
        <f>IF(A5559&lt;&gt;"", VLOOKUP(A5559, imdb_netflix_v5!A$2:H$7370, 2, FALSE), "")</f>
        <v>Movie</v>
      </c>
      <c r="C5559" s="2" t="str">
        <f>IF(A5559&lt;&gt;"", VLOOKUP(A5559, imdb_netflix_v5!A$2:H$7370, 3, FALSE), "")</f>
        <v>Biography, Drama, Romance</v>
      </c>
      <c r="D5559" s="2">
        <f>IF(A5559&lt;&gt;"", VLOOKUP(A5559, imdb_netflix_v5!A$2:H$7370, 4, FALSE), "")</f>
        <v>7.1</v>
      </c>
      <c r="E5559" s="2">
        <f>IF(A5559&lt;&gt;"", VLOOKUP(A5559, imdb_netflix_v5!A$2:H$7370, 5, FALSE), "")</f>
        <v>2013</v>
      </c>
      <c r="F5559" s="2" t="str">
        <f>IF(A5559&lt;&gt;"", VLOOKUP(A5559, imdb_netflix_v5!A$2:H$7370, 7, FALSE), "")</f>
        <v>NA</v>
      </c>
    </row>
    <row r="5560" ht="15.75" customHeight="1">
      <c r="A5560" s="1" t="str">
        <f>IFERROR(__xludf.DUMMYFUNCTION("""COMPUTED_VALUE"""),"chopper")</f>
        <v>chopper</v>
      </c>
      <c r="B5560" s="1" t="str">
        <f>IF(A5560&lt;&gt;"", VLOOKUP(A5560, imdb_netflix_v5!A$2:H$7370, 2, FALSE), "")</f>
        <v>Movie</v>
      </c>
      <c r="C5560" s="2" t="str">
        <f>IF(A5560&lt;&gt;"", VLOOKUP(A5560, imdb_netflix_v5!A$2:H$7370, 3, FALSE), "")</f>
        <v>Biography, Crime, Drama</v>
      </c>
      <c r="D5560" s="2">
        <f>IF(A5560&lt;&gt;"", VLOOKUP(A5560, imdb_netflix_v5!A$2:H$7370, 4, FALSE), "")</f>
        <v>7.1</v>
      </c>
      <c r="E5560" s="2">
        <f>IF(A5560&lt;&gt;"", VLOOKUP(A5560, imdb_netflix_v5!A$2:H$7370, 5, FALSE), "")</f>
        <v>2000</v>
      </c>
      <c r="F5560" s="2" t="str">
        <f>IF(A5560&lt;&gt;"", VLOOKUP(A5560, imdb_netflix_v5!A$2:H$7370, 7, FALSE), "")</f>
        <v>NA</v>
      </c>
    </row>
    <row r="5561" ht="15.75" customHeight="1">
      <c r="A5561" s="1" t="str">
        <f>IFERROR(__xludf.DUMMYFUNCTION("""COMPUTED_VALUE"""),"race")</f>
        <v>race</v>
      </c>
      <c r="B5561" s="1" t="str">
        <f>IF(A5561&lt;&gt;"", VLOOKUP(A5561, imdb_netflix_v5!A$2:H$7370, 2, FALSE), "")</f>
        <v>Movie</v>
      </c>
      <c r="C5561" s="2" t="str">
        <f>IF(A5561&lt;&gt;"", VLOOKUP(A5561, imdb_netflix_v5!A$2:H$7370, 3, FALSE), "")</f>
        <v>Biography, Drama, Sport</v>
      </c>
      <c r="D5561" s="2">
        <f>IF(A5561&lt;&gt;"", VLOOKUP(A5561, imdb_netflix_v5!A$2:H$7370, 4, FALSE), "")</f>
        <v>7.1</v>
      </c>
      <c r="E5561" s="2">
        <f>IF(A5561&lt;&gt;"", VLOOKUP(A5561, imdb_netflix_v5!A$2:H$7370, 5, FALSE), "")</f>
        <v>2016</v>
      </c>
      <c r="F5561" s="2" t="str">
        <f>IF(A5561&lt;&gt;"", VLOOKUP(A5561, imdb_netflix_v5!A$2:H$7370, 7, FALSE), "")</f>
        <v>NA</v>
      </c>
    </row>
    <row r="5562" ht="15.75" customHeight="1">
      <c r="A5562" s="1" t="str">
        <f>IFERROR(__xludf.DUMMYFUNCTION("""COMPUTED_VALUE"""),"fantasia 2000")</f>
        <v>fantasia 2000</v>
      </c>
      <c r="B5562" s="1" t="str">
        <f>IF(A5562&lt;&gt;"", VLOOKUP(A5562, imdb_netflix_v5!A$2:H$7370, 2, FALSE), "")</f>
        <v>Movie</v>
      </c>
      <c r="C5562" s="2" t="str">
        <f>IF(A5562&lt;&gt;"", VLOOKUP(A5562, imdb_netflix_v5!A$2:H$7370, 3, FALSE), "")</f>
        <v>Animation, Family, Fantasy</v>
      </c>
      <c r="D5562" s="2">
        <f>IF(A5562&lt;&gt;"", VLOOKUP(A5562, imdb_netflix_v5!A$2:H$7370, 4, FALSE), "")</f>
        <v>7.1</v>
      </c>
      <c r="E5562" s="2">
        <f>IF(A5562&lt;&gt;"", VLOOKUP(A5562, imdb_netflix_v5!A$2:H$7370, 5, FALSE), "")</f>
        <v>1999</v>
      </c>
      <c r="F5562" s="2" t="str">
        <f>IF(A5562&lt;&gt;"", VLOOKUP(A5562, imdb_netflix_v5!A$2:H$7370, 7, FALSE), "")</f>
        <v>NA</v>
      </c>
    </row>
    <row r="5563" ht="15.75" customHeight="1">
      <c r="A5563" s="1" t="str">
        <f>IFERROR(__xludf.DUMMYFUNCTION("""COMPUTED_VALUE"""),"heretic")</f>
        <v>heretic</v>
      </c>
      <c r="B5563" s="1" t="str">
        <f>IF(A5563&lt;&gt;"", VLOOKUP(A5563, imdb_netflix_v5!A$2:H$7370, 2, FALSE), "")</f>
        <v>Movie</v>
      </c>
      <c r="C5563" s="2" t="str">
        <f>IF(A5563&lt;&gt;"", VLOOKUP(A5563, imdb_netflix_v5!A$2:H$7370, 3, FALSE), "")</f>
        <v>Horror, Thriller</v>
      </c>
      <c r="D5563" s="2">
        <f>IF(A5563&lt;&gt;"", VLOOKUP(A5563, imdb_netflix_v5!A$2:H$7370, 4, FALSE), "")</f>
        <v>7.1</v>
      </c>
      <c r="E5563" s="2">
        <f>IF(A5563&lt;&gt;"", VLOOKUP(A5563, imdb_netflix_v5!A$2:H$7370, 5, FALSE), "")</f>
        <v>2024</v>
      </c>
      <c r="F5563" s="2" t="str">
        <f>IF(A5563&lt;&gt;"", VLOOKUP(A5563, imdb_netflix_v5!A$2:H$7370, 7, FALSE), "")</f>
        <v>NA</v>
      </c>
    </row>
    <row r="5564" ht="15.75" customHeight="1">
      <c r="A5564" s="1" t="str">
        <f>IFERROR(__xludf.DUMMYFUNCTION("""COMPUTED_VALUE"""),"rons gone wrong")</f>
        <v>rons gone wrong</v>
      </c>
      <c r="B5564" s="1" t="str">
        <f>IF(A5564&lt;&gt;"", VLOOKUP(A5564, imdb_netflix_v5!A$2:H$7370, 2, FALSE), "")</f>
        <v>Movie</v>
      </c>
      <c r="C5564" s="2" t="str">
        <f>IF(A5564&lt;&gt;"", VLOOKUP(A5564, imdb_netflix_v5!A$2:H$7370, 3, FALSE), "")</f>
        <v>Adventure, Animation, Comedy</v>
      </c>
      <c r="D5564" s="2">
        <f>IF(A5564&lt;&gt;"", VLOOKUP(A5564, imdb_netflix_v5!A$2:H$7370, 4, FALSE), "")</f>
        <v>7.1</v>
      </c>
      <c r="E5564" s="2">
        <f>IF(A5564&lt;&gt;"", VLOOKUP(A5564, imdb_netflix_v5!A$2:H$7370, 5, FALSE), "")</f>
        <v>2021</v>
      </c>
      <c r="F5564" s="2" t="str">
        <f>IF(A5564&lt;&gt;"", VLOOKUP(A5564, imdb_netflix_v5!A$2:H$7370, 7, FALSE), "")</f>
        <v>NA</v>
      </c>
    </row>
    <row r="5565" ht="15.75" customHeight="1">
      <c r="A5565" s="1" t="str">
        <f>IFERROR(__xludf.DUMMYFUNCTION("""COMPUTED_VALUE"""),"the believer")</f>
        <v>the believer</v>
      </c>
      <c r="B5565" s="1" t="str">
        <f>IF(A5565&lt;&gt;"", VLOOKUP(A5565, imdb_netflix_v5!A$2:H$7370, 2, FALSE), "")</f>
        <v>Movie</v>
      </c>
      <c r="C5565" s="2" t="str">
        <f>IF(A5565&lt;&gt;"", VLOOKUP(A5565, imdb_netflix_v5!A$2:H$7370, 3, FALSE), "")</f>
        <v>Drama</v>
      </c>
      <c r="D5565" s="2">
        <f>IF(A5565&lt;&gt;"", VLOOKUP(A5565, imdb_netflix_v5!A$2:H$7370, 4, FALSE), "")</f>
        <v>7.1</v>
      </c>
      <c r="E5565" s="2">
        <f>IF(A5565&lt;&gt;"", VLOOKUP(A5565, imdb_netflix_v5!A$2:H$7370, 5, FALSE), "")</f>
        <v>2001</v>
      </c>
      <c r="F5565" s="2" t="str">
        <f>IF(A5565&lt;&gt;"", VLOOKUP(A5565, imdb_netflix_v5!A$2:H$7370, 7, FALSE), "")</f>
        <v>NA</v>
      </c>
    </row>
    <row r="5566" ht="15.75" customHeight="1">
      <c r="A5566" s="1" t="str">
        <f>IFERROR(__xludf.DUMMYFUNCTION("""COMPUTED_VALUE"""),"the changeling")</f>
        <v>the changeling</v>
      </c>
      <c r="B5566" s="1" t="str">
        <f>IF(A5566&lt;&gt;"", VLOOKUP(A5566, imdb_netflix_v5!A$2:H$7370, 2, FALSE), "")</f>
        <v>Movie</v>
      </c>
      <c r="C5566" s="2" t="str">
        <f>IF(A5566&lt;&gt;"", VLOOKUP(A5566, imdb_netflix_v5!A$2:H$7370, 3, FALSE), "")</f>
        <v>Horror, Mystery</v>
      </c>
      <c r="D5566" s="2">
        <f>IF(A5566&lt;&gt;"", VLOOKUP(A5566, imdb_netflix_v5!A$2:H$7370, 4, FALSE), "")</f>
        <v>7.1</v>
      </c>
      <c r="E5566" s="2">
        <f>IF(A5566&lt;&gt;"", VLOOKUP(A5566, imdb_netflix_v5!A$2:H$7370, 5, FALSE), "")</f>
        <v>1980</v>
      </c>
      <c r="F5566" s="2" t="str">
        <f>IF(A5566&lt;&gt;"", VLOOKUP(A5566, imdb_netflix_v5!A$2:H$7370, 7, FALSE), "")</f>
        <v>NA</v>
      </c>
    </row>
    <row r="5567" ht="15.75" customHeight="1">
      <c r="A5567" s="1" t="str">
        <f>IFERROR(__xludf.DUMMYFUNCTION("""COMPUTED_VALUE"""),"bedknobs and broomsticks")</f>
        <v>bedknobs and broomsticks</v>
      </c>
      <c r="B5567" s="1" t="str">
        <f>IF(A5567&lt;&gt;"", VLOOKUP(A5567, imdb_netflix_v5!A$2:H$7370, 2, FALSE), "")</f>
        <v>Movie</v>
      </c>
      <c r="C5567" s="2" t="str">
        <f>IF(A5567&lt;&gt;"", VLOOKUP(A5567, imdb_netflix_v5!A$2:H$7370, 3, FALSE), "")</f>
        <v>Adventure, Animation, Comedy</v>
      </c>
      <c r="D5567" s="2">
        <f>IF(A5567&lt;&gt;"", VLOOKUP(A5567, imdb_netflix_v5!A$2:H$7370, 4, FALSE), "")</f>
        <v>7.1</v>
      </c>
      <c r="E5567" s="2">
        <f>IF(A5567&lt;&gt;"", VLOOKUP(A5567, imdb_netflix_v5!A$2:H$7370, 5, FALSE), "")</f>
        <v>1971</v>
      </c>
      <c r="F5567" s="2" t="str">
        <f>IF(A5567&lt;&gt;"", VLOOKUP(A5567, imdb_netflix_v5!A$2:H$7370, 7, FALSE), "")</f>
        <v>NA</v>
      </c>
    </row>
    <row r="5568" ht="15.75" customHeight="1">
      <c r="A5568" s="1" t="str">
        <f>IFERROR(__xludf.DUMMYFUNCTION("""COMPUTED_VALUE"""),"main hoon na")</f>
        <v>main hoon na</v>
      </c>
      <c r="B5568" s="1" t="str">
        <f>IF(A5568&lt;&gt;"", VLOOKUP(A5568, imdb_netflix_v5!A$2:H$7370, 2, FALSE), "")</f>
        <v>Movie</v>
      </c>
      <c r="C5568" s="2" t="str">
        <f>IF(A5568&lt;&gt;"", VLOOKUP(A5568, imdb_netflix_v5!A$2:H$7370, 3, FALSE), "")</f>
        <v>Action, Comedy, Drama</v>
      </c>
      <c r="D5568" s="2">
        <f>IF(A5568&lt;&gt;"", VLOOKUP(A5568, imdb_netflix_v5!A$2:H$7370, 4, FALSE), "")</f>
        <v>7.1</v>
      </c>
      <c r="E5568" s="2">
        <f>IF(A5568&lt;&gt;"", VLOOKUP(A5568, imdb_netflix_v5!A$2:H$7370, 5, FALSE), "")</f>
        <v>2004</v>
      </c>
      <c r="F5568" s="2" t="str">
        <f>IF(A5568&lt;&gt;"", VLOOKUP(A5568, imdb_netflix_v5!A$2:H$7370, 7, FALSE), "")</f>
        <v>NA</v>
      </c>
    </row>
    <row r="5569" ht="15.75" customHeight="1">
      <c r="A5569" s="1" t="str">
        <f>IFERROR(__xludf.DUMMYFUNCTION("""COMPUTED_VALUE"""),"nyad")</f>
        <v>nyad</v>
      </c>
      <c r="B5569" s="1" t="str">
        <f>IF(A5569&lt;&gt;"", VLOOKUP(A5569, imdb_netflix_v5!A$2:H$7370, 2, FALSE), "")</f>
        <v>Movie</v>
      </c>
      <c r="C5569" s="2" t="str">
        <f>IF(A5569&lt;&gt;"", VLOOKUP(A5569, imdb_netflix_v5!A$2:H$7370, 3, FALSE), "")</f>
        <v>Biography, Drama, Sport</v>
      </c>
      <c r="D5569" s="2">
        <f>IF(A5569&lt;&gt;"", VLOOKUP(A5569, imdb_netflix_v5!A$2:H$7370, 4, FALSE), "")</f>
        <v>7.1</v>
      </c>
      <c r="E5569" s="2">
        <f>IF(A5569&lt;&gt;"", VLOOKUP(A5569, imdb_netflix_v5!A$2:H$7370, 5, FALSE), "")</f>
        <v>2023</v>
      </c>
      <c r="F5569" s="2">
        <f>IF(A5569&lt;&gt;"", VLOOKUP(A5569, imdb_netflix_v5!A$2:H$7370, 7, FALSE), "")</f>
        <v>11700000</v>
      </c>
    </row>
    <row r="5570" ht="15.75" customHeight="1">
      <c r="A5570" s="1" t="str">
        <f>IFERROR(__xludf.DUMMYFUNCTION("""COMPUTED_VALUE"""),"the tragedy of macbeth")</f>
        <v>the tragedy of macbeth</v>
      </c>
      <c r="B5570" s="1" t="str">
        <f>IF(A5570&lt;&gt;"", VLOOKUP(A5570, imdb_netflix_v5!A$2:H$7370, 2, FALSE), "")</f>
        <v>Movie</v>
      </c>
      <c r="C5570" s="2" t="str">
        <f>IF(A5570&lt;&gt;"", VLOOKUP(A5570, imdb_netflix_v5!A$2:H$7370, 3, FALSE), "")</f>
        <v>Drama, Mystery, Thriller</v>
      </c>
      <c r="D5570" s="2">
        <f>IF(A5570&lt;&gt;"", VLOOKUP(A5570, imdb_netflix_v5!A$2:H$7370, 4, FALSE), "")</f>
        <v>7.1</v>
      </c>
      <c r="E5570" s="2">
        <f>IF(A5570&lt;&gt;"", VLOOKUP(A5570, imdb_netflix_v5!A$2:H$7370, 5, FALSE), "")</f>
        <v>2021</v>
      </c>
      <c r="F5570" s="2" t="str">
        <f>IF(A5570&lt;&gt;"", VLOOKUP(A5570, imdb_netflix_v5!A$2:H$7370, 7, FALSE), "")</f>
        <v>NA</v>
      </c>
    </row>
    <row r="5571" ht="15.75" customHeight="1">
      <c r="A5571" s="1" t="str">
        <f>IFERROR(__xludf.DUMMYFUNCTION("""COMPUTED_VALUE"""),"the accused")</f>
        <v>the accused</v>
      </c>
      <c r="B5571" s="1" t="str">
        <f>IF(A5571&lt;&gt;"", VLOOKUP(A5571, imdb_netflix_v5!A$2:H$7370, 2, FALSE), "")</f>
        <v>Movie</v>
      </c>
      <c r="C5571" s="2" t="str">
        <f>IF(A5571&lt;&gt;"", VLOOKUP(A5571, imdb_netflix_v5!A$2:H$7370, 3, FALSE), "")</f>
        <v>Crime, Drama</v>
      </c>
      <c r="D5571" s="2">
        <f>IF(A5571&lt;&gt;"", VLOOKUP(A5571, imdb_netflix_v5!A$2:H$7370, 4, FALSE), "")</f>
        <v>7.1</v>
      </c>
      <c r="E5571" s="2">
        <f>IF(A5571&lt;&gt;"", VLOOKUP(A5571, imdb_netflix_v5!A$2:H$7370, 5, FALSE), "")</f>
        <v>1988</v>
      </c>
      <c r="F5571" s="2" t="str">
        <f>IF(A5571&lt;&gt;"", VLOOKUP(A5571, imdb_netflix_v5!A$2:H$7370, 7, FALSE), "")</f>
        <v>NA</v>
      </c>
    </row>
    <row r="5572" ht="15.75" customHeight="1">
      <c r="A5572" s="1" t="str">
        <f>IFERROR(__xludf.DUMMYFUNCTION("""COMPUTED_VALUE"""),"nothing but the truth")</f>
        <v>nothing but the truth</v>
      </c>
      <c r="B5572" s="1" t="str">
        <f>IF(A5572&lt;&gt;"", VLOOKUP(A5572, imdb_netflix_v5!A$2:H$7370, 2, FALSE), "")</f>
        <v>Movie</v>
      </c>
      <c r="C5572" s="2" t="str">
        <f>IF(A5572&lt;&gt;"", VLOOKUP(A5572, imdb_netflix_v5!A$2:H$7370, 3, FALSE), "")</f>
        <v>Crime, Drama, Mystery</v>
      </c>
      <c r="D5572" s="2">
        <f>IF(A5572&lt;&gt;"", VLOOKUP(A5572, imdb_netflix_v5!A$2:H$7370, 4, FALSE), "")</f>
        <v>7.1</v>
      </c>
      <c r="E5572" s="2">
        <f>IF(A5572&lt;&gt;"", VLOOKUP(A5572, imdb_netflix_v5!A$2:H$7370, 5, FALSE), "")</f>
        <v>2008</v>
      </c>
      <c r="F5572" s="2" t="str">
        <f>IF(A5572&lt;&gt;"", VLOOKUP(A5572, imdb_netflix_v5!A$2:H$7370, 7, FALSE), "")</f>
        <v>NA</v>
      </c>
    </row>
    <row r="5573" ht="15.75" customHeight="1">
      <c r="A5573" s="1" t="str">
        <f>IFERROR(__xludf.DUMMYFUNCTION("""COMPUTED_VALUE"""),"on the basis of sex")</f>
        <v>on the basis of sex</v>
      </c>
      <c r="B5573" s="1" t="str">
        <f>IF(A5573&lt;&gt;"", VLOOKUP(A5573, imdb_netflix_v5!A$2:H$7370, 2, FALSE), "")</f>
        <v>Movie</v>
      </c>
      <c r="C5573" s="2" t="str">
        <f>IF(A5573&lt;&gt;"", VLOOKUP(A5573, imdb_netflix_v5!A$2:H$7370, 3, FALSE), "")</f>
        <v>Biography, Drama, History</v>
      </c>
      <c r="D5573" s="2">
        <f>IF(A5573&lt;&gt;"", VLOOKUP(A5573, imdb_netflix_v5!A$2:H$7370, 4, FALSE), "")</f>
        <v>7.1</v>
      </c>
      <c r="E5573" s="2">
        <f>IF(A5573&lt;&gt;"", VLOOKUP(A5573, imdb_netflix_v5!A$2:H$7370, 5, FALSE), "")</f>
        <v>2018</v>
      </c>
      <c r="F5573" s="2" t="str">
        <f>IF(A5573&lt;&gt;"", VLOOKUP(A5573, imdb_netflix_v5!A$2:H$7370, 7, FALSE), "")</f>
        <v>NA</v>
      </c>
    </row>
    <row r="5574" ht="15.75" customHeight="1">
      <c r="A5574" s="1" t="str">
        <f>IFERROR(__xludf.DUMMYFUNCTION("""COMPUTED_VALUE"""),"nowhere boy")</f>
        <v>nowhere boy</v>
      </c>
      <c r="B5574" s="1" t="str">
        <f>IF(A5574&lt;&gt;"", VLOOKUP(A5574, imdb_netflix_v5!A$2:H$7370, 2, FALSE), "")</f>
        <v>Movie</v>
      </c>
      <c r="C5574" s="2" t="str">
        <f>IF(A5574&lt;&gt;"", VLOOKUP(A5574, imdb_netflix_v5!A$2:H$7370, 3, FALSE), "")</f>
        <v>Biography, Drama, Music</v>
      </c>
      <c r="D5574" s="2">
        <f>IF(A5574&lt;&gt;"", VLOOKUP(A5574, imdb_netflix_v5!A$2:H$7370, 4, FALSE), "")</f>
        <v>7.1</v>
      </c>
      <c r="E5574" s="2">
        <f>IF(A5574&lt;&gt;"", VLOOKUP(A5574, imdb_netflix_v5!A$2:H$7370, 5, FALSE), "")</f>
        <v>2009</v>
      </c>
      <c r="F5574" s="2" t="str">
        <f>IF(A5574&lt;&gt;"", VLOOKUP(A5574, imdb_netflix_v5!A$2:H$7370, 7, FALSE), "")</f>
        <v>NA</v>
      </c>
    </row>
    <row r="5575" ht="15.75" customHeight="1">
      <c r="A5575" s="1" t="str">
        <f>IFERROR(__xludf.DUMMYFUNCTION("""COMPUTED_VALUE"""),"the stand")</f>
        <v>the stand</v>
      </c>
      <c r="B5575" s="1" t="str">
        <f>IF(A5575&lt;&gt;"", VLOOKUP(A5575, imdb_netflix_v5!A$2:H$7370, 2, FALSE), "")</f>
        <v>TV Show</v>
      </c>
      <c r="C5575" s="2" t="str">
        <f>IF(A5575&lt;&gt;"", VLOOKUP(A5575, imdb_netflix_v5!A$2:H$7370, 3, FALSE), "")</f>
        <v>Adventure, Drama, Fantasy</v>
      </c>
      <c r="D5575" s="2">
        <f>IF(A5575&lt;&gt;"", VLOOKUP(A5575, imdb_netflix_v5!A$2:H$7370, 4, FALSE), "")</f>
        <v>7.1</v>
      </c>
      <c r="E5575" s="2">
        <f>IF(A5575&lt;&gt;"", VLOOKUP(A5575, imdb_netflix_v5!A$2:H$7370, 5, FALSE), "")</f>
        <v>1994</v>
      </c>
      <c r="F5575" s="2" t="str">
        <f>IF(A5575&lt;&gt;"", VLOOKUP(A5575, imdb_netflix_v5!A$2:H$7370, 7, FALSE), "")</f>
        <v>NA</v>
      </c>
    </row>
    <row r="5576" ht="15.75" customHeight="1">
      <c r="A5576" s="1" t="str">
        <f>IFERROR(__xludf.DUMMYFUNCTION("""COMPUTED_VALUE"""),"the glass castle")</f>
        <v>the glass castle</v>
      </c>
      <c r="B5576" s="1" t="str">
        <f>IF(A5576&lt;&gt;"", VLOOKUP(A5576, imdb_netflix_v5!A$2:H$7370, 2, FALSE), "")</f>
        <v>Movie</v>
      </c>
      <c r="C5576" s="2" t="str">
        <f>IF(A5576&lt;&gt;"", VLOOKUP(A5576, imdb_netflix_v5!A$2:H$7370, 3, FALSE), "")</f>
        <v>Biography, Drama</v>
      </c>
      <c r="D5576" s="2">
        <f>IF(A5576&lt;&gt;"", VLOOKUP(A5576, imdb_netflix_v5!A$2:H$7370, 4, FALSE), "")</f>
        <v>7.1</v>
      </c>
      <c r="E5576" s="2">
        <f>IF(A5576&lt;&gt;"", VLOOKUP(A5576, imdb_netflix_v5!A$2:H$7370, 5, FALSE), "")</f>
        <v>2017</v>
      </c>
      <c r="F5576" s="2" t="str">
        <f>IF(A5576&lt;&gt;"", VLOOKUP(A5576, imdb_netflix_v5!A$2:H$7370, 7, FALSE), "")</f>
        <v>NA</v>
      </c>
    </row>
    <row r="5577" ht="15.75" customHeight="1">
      <c r="A5577" s="1" t="str">
        <f>IFERROR(__xludf.DUMMYFUNCTION("""COMPUTED_VALUE"""),"99 homes")</f>
        <v>99 homes</v>
      </c>
      <c r="B5577" s="1" t="str">
        <f>IF(A5577&lt;&gt;"", VLOOKUP(A5577, imdb_netflix_v5!A$2:H$7370, 2, FALSE), "")</f>
        <v>Movie</v>
      </c>
      <c r="C5577" s="2" t="str">
        <f>IF(A5577&lt;&gt;"", VLOOKUP(A5577, imdb_netflix_v5!A$2:H$7370, 3, FALSE), "")</f>
        <v>Crime, Drama</v>
      </c>
      <c r="D5577" s="2">
        <f>IF(A5577&lt;&gt;"", VLOOKUP(A5577, imdb_netflix_v5!A$2:H$7370, 4, FALSE), "")</f>
        <v>7.1</v>
      </c>
      <c r="E5577" s="2">
        <f>IF(A5577&lt;&gt;"", VLOOKUP(A5577, imdb_netflix_v5!A$2:H$7370, 5, FALSE), "")</f>
        <v>2014</v>
      </c>
      <c r="F5577" s="2" t="str">
        <f>IF(A5577&lt;&gt;"", VLOOKUP(A5577, imdb_netflix_v5!A$2:H$7370, 7, FALSE), "")</f>
        <v>NA</v>
      </c>
    </row>
    <row r="5578" ht="15.75" customHeight="1">
      <c r="A5578" s="1" t="str">
        <f>IFERROR(__xludf.DUMMYFUNCTION("""COMPUTED_VALUE"""),"the savages")</f>
        <v>the savages</v>
      </c>
      <c r="B5578" s="1" t="str">
        <f>IF(A5578&lt;&gt;"", VLOOKUP(A5578, imdb_netflix_v5!A$2:H$7370, 2, FALSE), "")</f>
        <v>Movie</v>
      </c>
      <c r="C5578" s="2" t="str">
        <f>IF(A5578&lt;&gt;"", VLOOKUP(A5578, imdb_netflix_v5!A$2:H$7370, 3, FALSE), "")</f>
        <v>Comedy, Drama</v>
      </c>
      <c r="D5578" s="2">
        <f>IF(A5578&lt;&gt;"", VLOOKUP(A5578, imdb_netflix_v5!A$2:H$7370, 4, FALSE), "")</f>
        <v>7.1</v>
      </c>
      <c r="E5578" s="2">
        <f>IF(A5578&lt;&gt;"", VLOOKUP(A5578, imdb_netflix_v5!A$2:H$7370, 5, FALSE), "")</f>
        <v>2007</v>
      </c>
      <c r="F5578" s="2" t="str">
        <f>IF(A5578&lt;&gt;"", VLOOKUP(A5578, imdb_netflix_v5!A$2:H$7370, 7, FALSE), "")</f>
        <v>NA</v>
      </c>
    </row>
    <row r="5579" ht="15.75" customHeight="1">
      <c r="A5579" s="1" t="str">
        <f>IFERROR(__xludf.DUMMYFUNCTION("""COMPUTED_VALUE"""),"rumble fish")</f>
        <v>rumble fish</v>
      </c>
      <c r="B5579" s="1" t="str">
        <f>IF(A5579&lt;&gt;"", VLOOKUP(A5579, imdb_netflix_v5!A$2:H$7370, 2, FALSE), "")</f>
        <v>Movie</v>
      </c>
      <c r="C5579" s="2" t="str">
        <f>IF(A5579&lt;&gt;"", VLOOKUP(A5579, imdb_netflix_v5!A$2:H$7370, 3, FALSE), "")</f>
        <v>Crime, Drama, Romance</v>
      </c>
      <c r="D5579" s="2">
        <f>IF(A5579&lt;&gt;"", VLOOKUP(A5579, imdb_netflix_v5!A$2:H$7370, 4, FALSE), "")</f>
        <v>7.1</v>
      </c>
      <c r="E5579" s="2">
        <f>IF(A5579&lt;&gt;"", VLOOKUP(A5579, imdb_netflix_v5!A$2:H$7370, 5, FALSE), "")</f>
        <v>1983</v>
      </c>
      <c r="F5579" s="2" t="str">
        <f>IF(A5579&lt;&gt;"", VLOOKUP(A5579, imdb_netflix_v5!A$2:H$7370, 7, FALSE), "")</f>
        <v>NA</v>
      </c>
    </row>
    <row r="5580" ht="15.75" customHeight="1">
      <c r="A5580" s="1" t="str">
        <f>IFERROR(__xludf.DUMMYFUNCTION("""COMPUTED_VALUE"""),"jailer")</f>
        <v>jailer</v>
      </c>
      <c r="B5580" s="1" t="str">
        <f>IF(A5580&lt;&gt;"", VLOOKUP(A5580, imdb_netflix_v5!A$2:H$7370, 2, FALSE), "")</f>
        <v>Movie</v>
      </c>
      <c r="C5580" s="2" t="str">
        <f>IF(A5580&lt;&gt;"", VLOOKUP(A5580, imdb_netflix_v5!A$2:H$7370, 3, FALSE), "")</f>
        <v>Action, Comedy, Crime</v>
      </c>
      <c r="D5580" s="2">
        <f>IF(A5580&lt;&gt;"", VLOOKUP(A5580, imdb_netflix_v5!A$2:H$7370, 4, FALSE), "")</f>
        <v>7.1</v>
      </c>
      <c r="E5580" s="2">
        <f>IF(A5580&lt;&gt;"", VLOOKUP(A5580, imdb_netflix_v5!A$2:H$7370, 5, FALSE), "")</f>
        <v>2023</v>
      </c>
      <c r="F5580" s="2" t="str">
        <f>IF(A5580&lt;&gt;"", VLOOKUP(A5580, imdb_netflix_v5!A$2:H$7370, 7, FALSE), "")</f>
        <v>NA</v>
      </c>
    </row>
    <row r="5581" ht="15.75" customHeight="1">
      <c r="A5581" s="1" t="str">
        <f>IFERROR(__xludf.DUMMYFUNCTION("""COMPUTED_VALUE"""),"the society")</f>
        <v>the society</v>
      </c>
      <c r="B5581" s="1" t="str">
        <f>IF(A5581&lt;&gt;"", VLOOKUP(A5581, imdb_netflix_v5!A$2:H$7370, 2, FALSE), "")</f>
        <v>TV Show</v>
      </c>
      <c r="C5581" s="2" t="str">
        <f>IF(A5581&lt;&gt;"", VLOOKUP(A5581, imdb_netflix_v5!A$2:H$7370, 3, FALSE), "")</f>
        <v>Drama, Mystery, Sci-Fi</v>
      </c>
      <c r="D5581" s="2">
        <f>IF(A5581&lt;&gt;"", VLOOKUP(A5581, imdb_netflix_v5!A$2:H$7370, 4, FALSE), "")</f>
        <v>7.1</v>
      </c>
      <c r="E5581" s="2">
        <f>IF(A5581&lt;&gt;"", VLOOKUP(A5581, imdb_netflix_v5!A$2:H$7370, 5, FALSE), "")</f>
        <v>2019</v>
      </c>
      <c r="F5581" s="2" t="str">
        <f>IF(A5581&lt;&gt;"", VLOOKUP(A5581, imdb_netflix_v5!A$2:H$7370, 7, FALSE), "")</f>
        <v>NA</v>
      </c>
    </row>
    <row r="5582" ht="15.75" customHeight="1">
      <c r="A5582" s="1" t="str">
        <f>IFERROR(__xludf.DUMMYFUNCTION("""COMPUTED_VALUE"""),"shattered glass")</f>
        <v>shattered glass</v>
      </c>
      <c r="B5582" s="1" t="str">
        <f>IF(A5582&lt;&gt;"", VLOOKUP(A5582, imdb_netflix_v5!A$2:H$7370, 2, FALSE), "")</f>
        <v>Movie</v>
      </c>
      <c r="C5582" s="2" t="str">
        <f>IF(A5582&lt;&gt;"", VLOOKUP(A5582, imdb_netflix_v5!A$2:H$7370, 3, FALSE), "")</f>
        <v>Drama, History</v>
      </c>
      <c r="D5582" s="2">
        <f>IF(A5582&lt;&gt;"", VLOOKUP(A5582, imdb_netflix_v5!A$2:H$7370, 4, FALSE), "")</f>
        <v>7.1</v>
      </c>
      <c r="E5582" s="2">
        <f>IF(A5582&lt;&gt;"", VLOOKUP(A5582, imdb_netflix_v5!A$2:H$7370, 5, FALSE), "")</f>
        <v>2003</v>
      </c>
      <c r="F5582" s="2" t="str">
        <f>IF(A5582&lt;&gt;"", VLOOKUP(A5582, imdb_netflix_v5!A$2:H$7370, 7, FALSE), "")</f>
        <v>NA</v>
      </c>
    </row>
    <row r="5583" ht="15.75" customHeight="1">
      <c r="A5583" s="1" t="str">
        <f>IFERROR(__xludf.DUMMYFUNCTION("""COMPUTED_VALUE"""),"the forgotten battle")</f>
        <v>the forgotten battle</v>
      </c>
      <c r="B5583" s="1" t="str">
        <f>IF(A5583&lt;&gt;"", VLOOKUP(A5583, imdb_netflix_v5!A$2:H$7370, 2, FALSE), "")</f>
        <v>Movie</v>
      </c>
      <c r="C5583" s="2" t="str">
        <f>IF(A5583&lt;&gt;"", VLOOKUP(A5583, imdb_netflix_v5!A$2:H$7370, 3, FALSE), "")</f>
        <v>Action, Adventure, War</v>
      </c>
      <c r="D5583" s="2">
        <f>IF(A5583&lt;&gt;"", VLOOKUP(A5583, imdb_netflix_v5!A$2:H$7370, 4, FALSE), "")</f>
        <v>7.1</v>
      </c>
      <c r="E5583" s="2">
        <f>IF(A5583&lt;&gt;"", VLOOKUP(A5583, imdb_netflix_v5!A$2:H$7370, 5, FALSE), "")</f>
        <v>2020</v>
      </c>
      <c r="F5583" s="2">
        <f>IF(A5583&lt;&gt;"", VLOOKUP(A5583, imdb_netflix_v5!A$2:H$7370, 7, FALSE), "")</f>
        <v>1940000</v>
      </c>
    </row>
    <row r="5584" ht="15.75" customHeight="1">
      <c r="A5584" s="1" t="str">
        <f>IFERROR(__xludf.DUMMYFUNCTION("""COMPUTED_VALUE"""),"saved by the bell")</f>
        <v>saved by the bell</v>
      </c>
      <c r="B5584" s="1" t="str">
        <f>IF(A5584&lt;&gt;"", VLOOKUP(A5584, imdb_netflix_v5!A$2:H$7370, 2, FALSE), "")</f>
        <v>TV Show</v>
      </c>
      <c r="C5584" s="2" t="str">
        <f>IF(A5584&lt;&gt;"", VLOOKUP(A5584, imdb_netflix_v5!A$2:H$7370, 3, FALSE), "")</f>
        <v>Comedy, Family, Romance</v>
      </c>
      <c r="D5584" s="2">
        <f>IF(A5584&lt;&gt;"", VLOOKUP(A5584, imdb_netflix_v5!A$2:H$7370, 4, FALSE), "")</f>
        <v>7.1</v>
      </c>
      <c r="E5584" s="2">
        <f>IF(A5584&lt;&gt;"", VLOOKUP(A5584, imdb_netflix_v5!A$2:H$7370, 5, FALSE), "")</f>
        <v>1989</v>
      </c>
      <c r="F5584" s="2" t="str">
        <f>IF(A5584&lt;&gt;"", VLOOKUP(A5584, imdb_netflix_v5!A$2:H$7370, 7, FALSE), "")</f>
        <v>NA</v>
      </c>
    </row>
    <row r="5585" ht="15.75" customHeight="1">
      <c r="A5585" s="1" t="str">
        <f>IFERROR(__xludf.DUMMYFUNCTION("""COMPUTED_VALUE"""),"the burial")</f>
        <v>the burial</v>
      </c>
      <c r="B5585" s="1" t="str">
        <f>IF(A5585&lt;&gt;"", VLOOKUP(A5585, imdb_netflix_v5!A$2:H$7370, 2, FALSE), "")</f>
        <v>Movie</v>
      </c>
      <c r="C5585" s="2" t="str">
        <f>IF(A5585&lt;&gt;"", VLOOKUP(A5585, imdb_netflix_v5!A$2:H$7370, 3, FALSE), "")</f>
        <v>Drama</v>
      </c>
      <c r="D5585" s="2">
        <f>IF(A5585&lt;&gt;"", VLOOKUP(A5585, imdb_netflix_v5!A$2:H$7370, 4, FALSE), "")</f>
        <v>7.1</v>
      </c>
      <c r="E5585" s="2">
        <f>IF(A5585&lt;&gt;"", VLOOKUP(A5585, imdb_netflix_v5!A$2:H$7370, 5, FALSE), "")</f>
        <v>2023</v>
      </c>
      <c r="F5585" s="2" t="str">
        <f>IF(A5585&lt;&gt;"", VLOOKUP(A5585, imdb_netflix_v5!A$2:H$7370, 7, FALSE), "")</f>
        <v>NA</v>
      </c>
    </row>
    <row r="5586" ht="15.75" customHeight="1">
      <c r="A5586" s="1" t="str">
        <f>IFERROR(__xludf.DUMMYFUNCTION("""COMPUTED_VALUE"""),"padmaavat")</f>
        <v>padmaavat</v>
      </c>
      <c r="B5586" s="1" t="str">
        <f>IF(A5586&lt;&gt;"", VLOOKUP(A5586, imdb_netflix_v5!A$2:H$7370, 2, FALSE), "")</f>
        <v>Movie</v>
      </c>
      <c r="C5586" s="2" t="str">
        <f>IF(A5586&lt;&gt;"", VLOOKUP(A5586, imdb_netflix_v5!A$2:H$7370, 3, FALSE), "")</f>
        <v>Drama, History, Romance</v>
      </c>
      <c r="D5586" s="2">
        <f>IF(A5586&lt;&gt;"", VLOOKUP(A5586, imdb_netflix_v5!A$2:H$7370, 4, FALSE), "")</f>
        <v>7.1</v>
      </c>
      <c r="E5586" s="2">
        <f>IF(A5586&lt;&gt;"", VLOOKUP(A5586, imdb_netflix_v5!A$2:H$7370, 5, FALSE), "")</f>
        <v>2018</v>
      </c>
      <c r="F5586" s="2" t="str">
        <f>IF(A5586&lt;&gt;"", VLOOKUP(A5586, imdb_netflix_v5!A$2:H$7370, 7, FALSE), "")</f>
        <v>NA</v>
      </c>
    </row>
    <row r="5587" ht="15.75" customHeight="1">
      <c r="A5587" s="1" t="str">
        <f>IFERROR(__xludf.DUMMYFUNCTION("""COMPUTED_VALUE"""),"tangerine")</f>
        <v>tangerine</v>
      </c>
      <c r="B5587" s="1" t="str">
        <f>IF(A5587&lt;&gt;"", VLOOKUP(A5587, imdb_netflix_v5!A$2:H$7370, 2, FALSE), "")</f>
        <v>Movie</v>
      </c>
      <c r="C5587" s="2" t="str">
        <f>IF(A5587&lt;&gt;"", VLOOKUP(A5587, imdb_netflix_v5!A$2:H$7370, 3, FALSE), "")</f>
        <v>Comedy, Crime, Drama</v>
      </c>
      <c r="D5587" s="2">
        <f>IF(A5587&lt;&gt;"", VLOOKUP(A5587, imdb_netflix_v5!A$2:H$7370, 4, FALSE), "")</f>
        <v>7.1</v>
      </c>
      <c r="E5587" s="2">
        <f>IF(A5587&lt;&gt;"", VLOOKUP(A5587, imdb_netflix_v5!A$2:H$7370, 5, FALSE), "")</f>
        <v>2015</v>
      </c>
      <c r="F5587" s="2" t="str">
        <f>IF(A5587&lt;&gt;"", VLOOKUP(A5587, imdb_netflix_v5!A$2:H$7370, 7, FALSE), "")</f>
        <v>NA</v>
      </c>
    </row>
    <row r="5588" ht="15.75" customHeight="1">
      <c r="A5588" s="1" t="str">
        <f>IFERROR(__xludf.DUMMYFUNCTION("""COMPUTED_VALUE"""),"vettaiyan")</f>
        <v>vettaiyan</v>
      </c>
      <c r="B5588" s="1" t="str">
        <f>IF(A5588&lt;&gt;"", VLOOKUP(A5588, imdb_netflix_v5!A$2:H$7370, 2, FALSE), "")</f>
        <v>Movie</v>
      </c>
      <c r="C5588" s="2" t="str">
        <f>IF(A5588&lt;&gt;"", VLOOKUP(A5588, imdb_netflix_v5!A$2:H$7370, 3, FALSE), "")</f>
        <v>Action, Crime, Drama</v>
      </c>
      <c r="D5588" s="2">
        <f>IF(A5588&lt;&gt;"", VLOOKUP(A5588, imdb_netflix_v5!A$2:H$7370, 4, FALSE), "")</f>
        <v>7.1</v>
      </c>
      <c r="E5588" s="2">
        <f>IF(A5588&lt;&gt;"", VLOOKUP(A5588, imdb_netflix_v5!A$2:H$7370, 5, FALSE), "")</f>
        <v>2024</v>
      </c>
      <c r="F5588" s="2" t="str">
        <f>IF(A5588&lt;&gt;"", VLOOKUP(A5588, imdb_netflix_v5!A$2:H$7370, 7, FALSE), "")</f>
        <v>NA</v>
      </c>
    </row>
    <row r="5589" ht="15.75" customHeight="1">
      <c r="A5589" s="1" t="str">
        <f>IFERROR(__xludf.DUMMYFUNCTION("""COMPUTED_VALUE"""),"an american in paris")</f>
        <v>an american in paris</v>
      </c>
      <c r="B5589" s="1" t="str">
        <f>IF(A5589&lt;&gt;"", VLOOKUP(A5589, imdb_netflix_v5!A$2:H$7370, 2, FALSE), "")</f>
        <v>Movie</v>
      </c>
      <c r="C5589" s="2" t="str">
        <f>IF(A5589&lt;&gt;"", VLOOKUP(A5589, imdb_netflix_v5!A$2:H$7370, 3, FALSE), "")</f>
        <v>Drama, Musical, Romance</v>
      </c>
      <c r="D5589" s="2">
        <f>IF(A5589&lt;&gt;"", VLOOKUP(A5589, imdb_netflix_v5!A$2:H$7370, 4, FALSE), "")</f>
        <v>7.1</v>
      </c>
      <c r="E5589" s="2">
        <f>IF(A5589&lt;&gt;"", VLOOKUP(A5589, imdb_netflix_v5!A$2:H$7370, 5, FALSE), "")</f>
        <v>1951</v>
      </c>
      <c r="F5589" s="2" t="str">
        <f>IF(A5589&lt;&gt;"", VLOOKUP(A5589, imdb_netflix_v5!A$2:H$7370, 7, FALSE), "")</f>
        <v>NA</v>
      </c>
    </row>
    <row r="5590" ht="15.75" customHeight="1">
      <c r="A5590" s="1" t="str">
        <f>IFERROR(__xludf.DUMMYFUNCTION("""COMPUTED_VALUE"""),"parallel mothers")</f>
        <v>parallel mothers</v>
      </c>
      <c r="B5590" s="1" t="str">
        <f>IF(A5590&lt;&gt;"", VLOOKUP(A5590, imdb_netflix_v5!A$2:H$7370, 2, FALSE), "")</f>
        <v>Movie</v>
      </c>
      <c r="C5590" s="2" t="str">
        <f>IF(A5590&lt;&gt;"", VLOOKUP(A5590, imdb_netflix_v5!A$2:H$7370, 3, FALSE), "")</f>
        <v>Drama</v>
      </c>
      <c r="D5590" s="2">
        <f>IF(A5590&lt;&gt;"", VLOOKUP(A5590, imdb_netflix_v5!A$2:H$7370, 4, FALSE), "")</f>
        <v>7.1</v>
      </c>
      <c r="E5590" s="2">
        <f>IF(A5590&lt;&gt;"", VLOOKUP(A5590, imdb_netflix_v5!A$2:H$7370, 5, FALSE), "")</f>
        <v>2021</v>
      </c>
      <c r="F5590" s="2">
        <f>IF(A5590&lt;&gt;"", VLOOKUP(A5590, imdb_netflix_v5!A$2:H$7370, 7, FALSE), "")</f>
        <v>4820000</v>
      </c>
    </row>
    <row r="5591" ht="15.75" customHeight="1">
      <c r="A5591" s="1" t="str">
        <f>IFERROR(__xludf.DUMMYFUNCTION("""COMPUTED_VALUE"""),"the messenger")</f>
        <v>the messenger</v>
      </c>
      <c r="B5591" s="1" t="str">
        <f>IF(A5591&lt;&gt;"", VLOOKUP(A5591, imdb_netflix_v5!A$2:H$7370, 2, FALSE), "")</f>
        <v>Movie</v>
      </c>
      <c r="C5591" s="2" t="str">
        <f>IF(A5591&lt;&gt;"", VLOOKUP(A5591, imdb_netflix_v5!A$2:H$7370, 3, FALSE), "")</f>
        <v>Drama, Romance, War</v>
      </c>
      <c r="D5591" s="2">
        <f>IF(A5591&lt;&gt;"", VLOOKUP(A5591, imdb_netflix_v5!A$2:H$7370, 4, FALSE), "")</f>
        <v>7.1</v>
      </c>
      <c r="E5591" s="2">
        <f>IF(A5591&lt;&gt;"", VLOOKUP(A5591, imdb_netflix_v5!A$2:H$7370, 5, FALSE), "")</f>
        <v>2009</v>
      </c>
      <c r="F5591" s="2" t="str">
        <f>IF(A5591&lt;&gt;"", VLOOKUP(A5591, imdb_netflix_v5!A$2:H$7370, 7, FALSE), "")</f>
        <v>NA</v>
      </c>
    </row>
    <row r="5592" ht="15.75" customHeight="1">
      <c r="A5592" s="1" t="str">
        <f>IFERROR(__xludf.DUMMYFUNCTION("""COMPUTED_VALUE"""),"red rocket")</f>
        <v>red rocket</v>
      </c>
      <c r="B5592" s="1" t="str">
        <f>IF(A5592&lt;&gt;"", VLOOKUP(A5592, imdb_netflix_v5!A$2:H$7370, 2, FALSE), "")</f>
        <v>Movie</v>
      </c>
      <c r="C5592" s="2" t="str">
        <f>IF(A5592&lt;&gt;"", VLOOKUP(A5592, imdb_netflix_v5!A$2:H$7370, 3, FALSE), "")</f>
        <v>Comedy, Drama</v>
      </c>
      <c r="D5592" s="2">
        <f>IF(A5592&lt;&gt;"", VLOOKUP(A5592, imdb_netflix_v5!A$2:H$7370, 4, FALSE), "")</f>
        <v>7.1</v>
      </c>
      <c r="E5592" s="2">
        <f>IF(A5592&lt;&gt;"", VLOOKUP(A5592, imdb_netflix_v5!A$2:H$7370, 5, FALSE), "")</f>
        <v>2021</v>
      </c>
      <c r="F5592" s="2" t="str">
        <f>IF(A5592&lt;&gt;"", VLOOKUP(A5592, imdb_netflix_v5!A$2:H$7370, 7, FALSE), "")</f>
        <v>NA</v>
      </c>
    </row>
    <row r="5593" ht="15.75" customHeight="1">
      <c r="A5593" s="1" t="str">
        <f>IFERROR(__xludf.DUMMYFUNCTION("""COMPUTED_VALUE"""),"in the fade")</f>
        <v>in the fade</v>
      </c>
      <c r="B5593" s="1" t="str">
        <f>IF(A5593&lt;&gt;"", VLOOKUP(A5593, imdb_netflix_v5!A$2:H$7370, 2, FALSE), "")</f>
        <v>Movie</v>
      </c>
      <c r="C5593" s="2" t="str">
        <f>IF(A5593&lt;&gt;"", VLOOKUP(A5593, imdb_netflix_v5!A$2:H$7370, 3, FALSE), "")</f>
        <v>Crime, Drama, Thriller</v>
      </c>
      <c r="D5593" s="2">
        <f>IF(A5593&lt;&gt;"", VLOOKUP(A5593, imdb_netflix_v5!A$2:H$7370, 4, FALSE), "")</f>
        <v>7.1</v>
      </c>
      <c r="E5593" s="2">
        <f>IF(A5593&lt;&gt;"", VLOOKUP(A5593, imdb_netflix_v5!A$2:H$7370, 5, FALSE), "")</f>
        <v>2017</v>
      </c>
      <c r="F5593" s="2" t="str">
        <f>IF(A5593&lt;&gt;"", VLOOKUP(A5593, imdb_netflix_v5!A$2:H$7370, 7, FALSE), "")</f>
        <v>NA</v>
      </c>
    </row>
    <row r="5594" ht="15.75" customHeight="1">
      <c r="A5594" s="1" t="str">
        <f>IFERROR(__xludf.DUMMYFUNCTION("""COMPUTED_VALUE"""),"living with yourself")</f>
        <v>living with yourself</v>
      </c>
      <c r="B5594" s="1" t="str">
        <f>IF(A5594&lt;&gt;"", VLOOKUP(A5594, imdb_netflix_v5!A$2:H$7370, 2, FALSE), "")</f>
        <v>TV Show</v>
      </c>
      <c r="C5594" s="2" t="str">
        <f>IF(A5594&lt;&gt;"", VLOOKUP(A5594, imdb_netflix_v5!A$2:H$7370, 3, FALSE), "")</f>
        <v>Comedy, Drama, Sci-Fi</v>
      </c>
      <c r="D5594" s="2">
        <f>IF(A5594&lt;&gt;"", VLOOKUP(A5594, imdb_netflix_v5!A$2:H$7370, 4, FALSE), "")</f>
        <v>7.1</v>
      </c>
      <c r="E5594" s="2">
        <f>IF(A5594&lt;&gt;"", VLOOKUP(A5594, imdb_netflix_v5!A$2:H$7370, 5, FALSE), "")</f>
        <v>2019</v>
      </c>
      <c r="F5594" s="2" t="str">
        <f>IF(A5594&lt;&gt;"", VLOOKUP(A5594, imdb_netflix_v5!A$2:H$7370, 7, FALSE), "")</f>
        <v>NA</v>
      </c>
    </row>
    <row r="5595" ht="15.75" customHeight="1">
      <c r="A5595" s="1" t="str">
        <f>IFERROR(__xludf.DUMMYFUNCTION("""COMPUTED_VALUE"""),"the whistleblower")</f>
        <v>the whistleblower</v>
      </c>
      <c r="B5595" s="1" t="str">
        <f>IF(A5595&lt;&gt;"", VLOOKUP(A5595, imdb_netflix_v5!A$2:H$7370, 2, FALSE), "")</f>
        <v>Movie</v>
      </c>
      <c r="C5595" s="2" t="str">
        <f>IF(A5595&lt;&gt;"", VLOOKUP(A5595, imdb_netflix_v5!A$2:H$7370, 3, FALSE), "")</f>
        <v>Biography, Crime, Drama</v>
      </c>
      <c r="D5595" s="2">
        <f>IF(A5595&lt;&gt;"", VLOOKUP(A5595, imdb_netflix_v5!A$2:H$7370, 4, FALSE), "")</f>
        <v>7.1</v>
      </c>
      <c r="E5595" s="2">
        <f>IF(A5595&lt;&gt;"", VLOOKUP(A5595, imdb_netflix_v5!A$2:H$7370, 5, FALSE), "")</f>
        <v>2010</v>
      </c>
      <c r="F5595" s="2" t="str">
        <f>IF(A5595&lt;&gt;"", VLOOKUP(A5595, imdb_netflix_v5!A$2:H$7370, 7, FALSE), "")</f>
        <v>NA</v>
      </c>
    </row>
    <row r="5596" ht="15.75" customHeight="1">
      <c r="A5596" s="1" t="str">
        <f>IFERROR(__xludf.DUMMYFUNCTION("""COMPUTED_VALUE"""),"shiva baby")</f>
        <v>shiva baby</v>
      </c>
      <c r="B5596" s="1" t="str">
        <f>IF(A5596&lt;&gt;"", VLOOKUP(A5596, imdb_netflix_v5!A$2:H$7370, 2, FALSE), "")</f>
        <v>Movie</v>
      </c>
      <c r="C5596" s="2" t="str">
        <f>IF(A5596&lt;&gt;"", VLOOKUP(A5596, imdb_netflix_v5!A$2:H$7370, 3, FALSE), "")</f>
        <v>Comedy, Drama</v>
      </c>
      <c r="D5596" s="2">
        <f>IF(A5596&lt;&gt;"", VLOOKUP(A5596, imdb_netflix_v5!A$2:H$7370, 4, FALSE), "")</f>
        <v>7.1</v>
      </c>
      <c r="E5596" s="2">
        <f>IF(A5596&lt;&gt;"", VLOOKUP(A5596, imdb_netflix_v5!A$2:H$7370, 5, FALSE), "")</f>
        <v>2020</v>
      </c>
      <c r="F5596" s="2" t="str">
        <f>IF(A5596&lt;&gt;"", VLOOKUP(A5596, imdb_netflix_v5!A$2:H$7370, 7, FALSE), "")</f>
        <v>NA</v>
      </c>
    </row>
    <row r="5597" ht="15.75" customHeight="1">
      <c r="A5597" s="1" t="str">
        <f>IFERROR(__xludf.DUMMYFUNCTION("""COMPUTED_VALUE"""),"adam")</f>
        <v>adam</v>
      </c>
      <c r="B5597" s="1" t="str">
        <f>IF(A5597&lt;&gt;"", VLOOKUP(A5597, imdb_netflix_v5!A$2:H$7370, 2, FALSE), "")</f>
        <v>Movie</v>
      </c>
      <c r="C5597" s="2" t="str">
        <f>IF(A5597&lt;&gt;"", VLOOKUP(A5597, imdb_netflix_v5!A$2:H$7370, 3, FALSE), "")</f>
        <v>Comedy, Drama, Romance</v>
      </c>
      <c r="D5597" s="2">
        <f>IF(A5597&lt;&gt;"", VLOOKUP(A5597, imdb_netflix_v5!A$2:H$7370, 4, FALSE), "")</f>
        <v>7.1</v>
      </c>
      <c r="E5597" s="2">
        <f>IF(A5597&lt;&gt;"", VLOOKUP(A5597, imdb_netflix_v5!A$2:H$7370, 5, FALSE), "")</f>
        <v>2009</v>
      </c>
      <c r="F5597" s="2" t="str">
        <f>IF(A5597&lt;&gt;"", VLOOKUP(A5597, imdb_netflix_v5!A$2:H$7370, 7, FALSE), "")</f>
        <v>NA</v>
      </c>
    </row>
    <row r="5598" ht="15.75" customHeight="1">
      <c r="A5598" s="1" t="str">
        <f>IFERROR(__xludf.DUMMYFUNCTION("""COMPUTED_VALUE"""),"the woodsman")</f>
        <v>the woodsman</v>
      </c>
      <c r="B5598" s="1" t="str">
        <f>IF(A5598&lt;&gt;"", VLOOKUP(A5598, imdb_netflix_v5!A$2:H$7370, 2, FALSE), "")</f>
        <v>Movie</v>
      </c>
      <c r="C5598" s="2" t="str">
        <f>IF(A5598&lt;&gt;"", VLOOKUP(A5598, imdb_netflix_v5!A$2:H$7370, 3, FALSE), "")</f>
        <v>Drama</v>
      </c>
      <c r="D5598" s="2">
        <f>IF(A5598&lt;&gt;"", VLOOKUP(A5598, imdb_netflix_v5!A$2:H$7370, 4, FALSE), "")</f>
        <v>7.1</v>
      </c>
      <c r="E5598" s="2">
        <f>IF(A5598&lt;&gt;"", VLOOKUP(A5598, imdb_netflix_v5!A$2:H$7370, 5, FALSE), "")</f>
        <v>2004</v>
      </c>
      <c r="F5598" s="2" t="str">
        <f>IF(A5598&lt;&gt;"", VLOOKUP(A5598, imdb_netflix_v5!A$2:H$7370, 7, FALSE), "")</f>
        <v>NA</v>
      </c>
    </row>
    <row r="5599" ht="15.75" customHeight="1">
      <c r="A5599" s="1" t="str">
        <f>IFERROR(__xludf.DUMMYFUNCTION("""COMPUTED_VALUE"""),"the brand new testament")</f>
        <v>the brand new testament</v>
      </c>
      <c r="B5599" s="1" t="str">
        <f>IF(A5599&lt;&gt;"", VLOOKUP(A5599, imdb_netflix_v5!A$2:H$7370, 2, FALSE), "")</f>
        <v>Movie</v>
      </c>
      <c r="C5599" s="2" t="str">
        <f>IF(A5599&lt;&gt;"", VLOOKUP(A5599, imdb_netflix_v5!A$2:H$7370, 3, FALSE), "")</f>
        <v>Comedy, Drama, Fantasy</v>
      </c>
      <c r="D5599" s="2">
        <f>IF(A5599&lt;&gt;"", VLOOKUP(A5599, imdb_netflix_v5!A$2:H$7370, 4, FALSE), "")</f>
        <v>7.1</v>
      </c>
      <c r="E5599" s="2">
        <f>IF(A5599&lt;&gt;"", VLOOKUP(A5599, imdb_netflix_v5!A$2:H$7370, 5, FALSE), "")</f>
        <v>2015</v>
      </c>
      <c r="F5599" s="2" t="str">
        <f>IF(A5599&lt;&gt;"", VLOOKUP(A5599, imdb_netflix_v5!A$2:H$7370, 7, FALSE), "")</f>
        <v>NA</v>
      </c>
    </row>
    <row r="5600" ht="15.75" customHeight="1">
      <c r="A5600" s="1" t="str">
        <f>IFERROR(__xludf.DUMMYFUNCTION("""COMPUTED_VALUE"""),"fanaa")</f>
        <v>fanaa</v>
      </c>
      <c r="B5600" s="1" t="str">
        <f>IF(A5600&lt;&gt;"", VLOOKUP(A5600, imdb_netflix_v5!A$2:H$7370, 2, FALSE), "")</f>
        <v>Movie</v>
      </c>
      <c r="C5600" s="2" t="str">
        <f>IF(A5600&lt;&gt;"", VLOOKUP(A5600, imdb_netflix_v5!A$2:H$7370, 3, FALSE), "")</f>
        <v>Action, Drama, Romance</v>
      </c>
      <c r="D5600" s="2">
        <f>IF(A5600&lt;&gt;"", VLOOKUP(A5600, imdb_netflix_v5!A$2:H$7370, 4, FALSE), "")</f>
        <v>7.1</v>
      </c>
      <c r="E5600" s="2">
        <f>IF(A5600&lt;&gt;"", VLOOKUP(A5600, imdb_netflix_v5!A$2:H$7370, 5, FALSE), "")</f>
        <v>2006</v>
      </c>
      <c r="F5600" s="2" t="str">
        <f>IF(A5600&lt;&gt;"", VLOOKUP(A5600, imdb_netflix_v5!A$2:H$7370, 7, FALSE), "")</f>
        <v>NA</v>
      </c>
    </row>
    <row r="5601" ht="15.75" customHeight="1">
      <c r="A5601" s="1" t="str">
        <f>IFERROR(__xludf.DUMMYFUNCTION("""COMPUTED_VALUE"""),"45 years")</f>
        <v>45 years</v>
      </c>
      <c r="B5601" s="1" t="str">
        <f>IF(A5601&lt;&gt;"", VLOOKUP(A5601, imdb_netflix_v5!A$2:H$7370, 2, FALSE), "")</f>
        <v>Movie</v>
      </c>
      <c r="C5601" s="2" t="str">
        <f>IF(A5601&lt;&gt;"", VLOOKUP(A5601, imdb_netflix_v5!A$2:H$7370, 3, FALSE), "")</f>
        <v>Drama, Romance</v>
      </c>
      <c r="D5601" s="2">
        <f>IF(A5601&lt;&gt;"", VLOOKUP(A5601, imdb_netflix_v5!A$2:H$7370, 4, FALSE), "")</f>
        <v>7.1</v>
      </c>
      <c r="E5601" s="2">
        <f>IF(A5601&lt;&gt;"", VLOOKUP(A5601, imdb_netflix_v5!A$2:H$7370, 5, FALSE), "")</f>
        <v>2015</v>
      </c>
      <c r="F5601" s="2" t="str">
        <f>IF(A5601&lt;&gt;"", VLOOKUP(A5601, imdb_netflix_v5!A$2:H$7370, 7, FALSE), "")</f>
        <v>NA</v>
      </c>
    </row>
    <row r="5602" ht="15.75" customHeight="1">
      <c r="A5602" s="1" t="str">
        <f>IFERROR(__xludf.DUMMYFUNCTION("""COMPUTED_VALUE"""),"queen &amp; slim")</f>
        <v>queen &amp; slim</v>
      </c>
      <c r="B5602" s="1" t="str">
        <f>IF(A5602&lt;&gt;"", VLOOKUP(A5602, imdb_netflix_v5!A$2:H$7370, 2, FALSE), "")</f>
        <v>Movie</v>
      </c>
      <c r="C5602" s="2" t="str">
        <f>IF(A5602&lt;&gt;"", VLOOKUP(A5602, imdb_netflix_v5!A$2:H$7370, 3, FALSE), "")</f>
        <v>Crime, Drama, Romance</v>
      </c>
      <c r="D5602" s="2">
        <f>IF(A5602&lt;&gt;"", VLOOKUP(A5602, imdb_netflix_v5!A$2:H$7370, 4, FALSE), "")</f>
        <v>7.1</v>
      </c>
      <c r="E5602" s="2">
        <f>IF(A5602&lt;&gt;"", VLOOKUP(A5602, imdb_netflix_v5!A$2:H$7370, 5, FALSE), "")</f>
        <v>2019</v>
      </c>
      <c r="F5602" s="2" t="str">
        <f>IF(A5602&lt;&gt;"", VLOOKUP(A5602, imdb_netflix_v5!A$2:H$7370, 7, FALSE), "")</f>
        <v>NA</v>
      </c>
    </row>
    <row r="5603" ht="15.75" customHeight="1">
      <c r="A5603" s="1" t="str">
        <f>IFERROR(__xludf.DUMMYFUNCTION("""COMPUTED_VALUE"""),"beautiful girls")</f>
        <v>beautiful girls</v>
      </c>
      <c r="B5603" s="1" t="str">
        <f>IF(A5603&lt;&gt;"", VLOOKUP(A5603, imdb_netflix_v5!A$2:H$7370, 2, FALSE), "")</f>
        <v>Movie</v>
      </c>
      <c r="C5603" s="2" t="str">
        <f>IF(A5603&lt;&gt;"", VLOOKUP(A5603, imdb_netflix_v5!A$2:H$7370, 3, FALSE), "")</f>
        <v>Comedy, Drama, Romance</v>
      </c>
      <c r="D5603" s="2">
        <f>IF(A5603&lt;&gt;"", VLOOKUP(A5603, imdb_netflix_v5!A$2:H$7370, 4, FALSE), "")</f>
        <v>7.1</v>
      </c>
      <c r="E5603" s="2">
        <f>IF(A5603&lt;&gt;"", VLOOKUP(A5603, imdb_netflix_v5!A$2:H$7370, 5, FALSE), "")</f>
        <v>1996</v>
      </c>
      <c r="F5603" s="2" t="str">
        <f>IF(A5603&lt;&gt;"", VLOOKUP(A5603, imdb_netflix_v5!A$2:H$7370, 7, FALSE), "")</f>
        <v>NA</v>
      </c>
    </row>
    <row r="5604" ht="15.75" customHeight="1">
      <c r="A5604" s="1" t="str">
        <f>IFERROR(__xludf.DUMMYFUNCTION("""COMPUTED_VALUE"""),"chasing mavericks")</f>
        <v>chasing mavericks</v>
      </c>
      <c r="B5604" s="1" t="str">
        <f>IF(A5604&lt;&gt;"", VLOOKUP(A5604, imdb_netflix_v5!A$2:H$7370, 2, FALSE), "")</f>
        <v>Movie</v>
      </c>
      <c r="C5604" s="2" t="str">
        <f>IF(A5604&lt;&gt;"", VLOOKUP(A5604, imdb_netflix_v5!A$2:H$7370, 3, FALSE), "")</f>
        <v>Biography, Drama, Sport</v>
      </c>
      <c r="D5604" s="2">
        <f>IF(A5604&lt;&gt;"", VLOOKUP(A5604, imdb_netflix_v5!A$2:H$7370, 4, FALSE), "")</f>
        <v>7.1</v>
      </c>
      <c r="E5604" s="2">
        <f>IF(A5604&lt;&gt;"", VLOOKUP(A5604, imdb_netflix_v5!A$2:H$7370, 5, FALSE), "")</f>
        <v>2012</v>
      </c>
      <c r="F5604" s="2" t="str">
        <f>IF(A5604&lt;&gt;"", VLOOKUP(A5604, imdb_netflix_v5!A$2:H$7370, 7, FALSE), "")</f>
        <v>NA</v>
      </c>
    </row>
    <row r="5605" ht="15.75" customHeight="1">
      <c r="A5605" s="1" t="str">
        <f>IFERROR(__xludf.DUMMYFUNCTION("""COMPUTED_VALUE"""),"one night in miami...")</f>
        <v>one night in miami...</v>
      </c>
      <c r="B5605" s="1" t="str">
        <f>IF(A5605&lt;&gt;"", VLOOKUP(A5605, imdb_netflix_v5!A$2:H$7370, 2, FALSE), "")</f>
        <v>Movie</v>
      </c>
      <c r="C5605" s="2" t="str">
        <f>IF(A5605&lt;&gt;"", VLOOKUP(A5605, imdb_netflix_v5!A$2:H$7370, 3, FALSE), "")</f>
        <v>Drama</v>
      </c>
      <c r="D5605" s="2">
        <f>IF(A5605&lt;&gt;"", VLOOKUP(A5605, imdb_netflix_v5!A$2:H$7370, 4, FALSE), "")</f>
        <v>7.1</v>
      </c>
      <c r="E5605" s="2">
        <f>IF(A5605&lt;&gt;"", VLOOKUP(A5605, imdb_netflix_v5!A$2:H$7370, 5, FALSE), "")</f>
        <v>2020</v>
      </c>
      <c r="F5605" s="2" t="str">
        <f>IF(A5605&lt;&gt;"", VLOOKUP(A5605, imdb_netflix_v5!A$2:H$7370, 7, FALSE), "")</f>
        <v>NA</v>
      </c>
    </row>
    <row r="5606" ht="15.75" customHeight="1">
      <c r="A5606" s="1" t="str">
        <f>IFERROR(__xludf.DUMMYFUNCTION("""COMPUTED_VALUE"""),"white oleander")</f>
        <v>white oleander</v>
      </c>
      <c r="B5606" s="1" t="str">
        <f>IF(A5606&lt;&gt;"", VLOOKUP(A5606, imdb_netflix_v5!A$2:H$7370, 2, FALSE), "")</f>
        <v>Movie</v>
      </c>
      <c r="C5606" s="2" t="str">
        <f>IF(A5606&lt;&gt;"", VLOOKUP(A5606, imdb_netflix_v5!A$2:H$7370, 3, FALSE), "")</f>
        <v>Drama</v>
      </c>
      <c r="D5606" s="2">
        <f>IF(A5606&lt;&gt;"", VLOOKUP(A5606, imdb_netflix_v5!A$2:H$7370, 4, FALSE), "")</f>
        <v>7.1</v>
      </c>
      <c r="E5606" s="2">
        <f>IF(A5606&lt;&gt;"", VLOOKUP(A5606, imdb_netflix_v5!A$2:H$7370, 5, FALSE), "")</f>
        <v>2002</v>
      </c>
      <c r="F5606" s="2" t="str">
        <f>IF(A5606&lt;&gt;"", VLOOKUP(A5606, imdb_netflix_v5!A$2:H$7370, 7, FALSE), "")</f>
        <v>NA</v>
      </c>
    </row>
    <row r="5607" ht="15.75" customHeight="1">
      <c r="A5607" s="1" t="str">
        <f>IFERROR(__xludf.DUMMYFUNCTION("""COMPUTED_VALUE"""),"the thing from another world")</f>
        <v>the thing from another world</v>
      </c>
      <c r="B5607" s="1" t="str">
        <f>IF(A5607&lt;&gt;"", VLOOKUP(A5607, imdb_netflix_v5!A$2:H$7370, 2, FALSE), "")</f>
        <v>Movie</v>
      </c>
      <c r="C5607" s="2" t="str">
        <f>IF(A5607&lt;&gt;"", VLOOKUP(A5607, imdb_netflix_v5!A$2:H$7370, 3, FALSE), "")</f>
        <v>Horror, Sci-Fi</v>
      </c>
      <c r="D5607" s="2">
        <f>IF(A5607&lt;&gt;"", VLOOKUP(A5607, imdb_netflix_v5!A$2:H$7370, 4, FALSE), "")</f>
        <v>7.1</v>
      </c>
      <c r="E5607" s="2">
        <f>IF(A5607&lt;&gt;"", VLOOKUP(A5607, imdb_netflix_v5!A$2:H$7370, 5, FALSE), "")</f>
        <v>1951</v>
      </c>
      <c r="F5607" s="2" t="str">
        <f>IF(A5607&lt;&gt;"", VLOOKUP(A5607, imdb_netflix_v5!A$2:H$7370, 7, FALSE), "")</f>
        <v>NA</v>
      </c>
    </row>
    <row r="5608" ht="15.75" customHeight="1">
      <c r="A5608" s="1" t="str">
        <f>IFERROR(__xludf.DUMMYFUNCTION("""COMPUTED_VALUE"""),"michael collins")</f>
        <v>michael collins</v>
      </c>
      <c r="B5608" s="1" t="str">
        <f>IF(A5608&lt;&gt;"", VLOOKUP(A5608, imdb_netflix_v5!A$2:H$7370, 2, FALSE), "")</f>
        <v>Movie</v>
      </c>
      <c r="C5608" s="2" t="str">
        <f>IF(A5608&lt;&gt;"", VLOOKUP(A5608, imdb_netflix_v5!A$2:H$7370, 3, FALSE), "")</f>
        <v>Biography, Drama, History</v>
      </c>
      <c r="D5608" s="2">
        <f>IF(A5608&lt;&gt;"", VLOOKUP(A5608, imdb_netflix_v5!A$2:H$7370, 4, FALSE), "")</f>
        <v>7.1</v>
      </c>
      <c r="E5608" s="2">
        <f>IF(A5608&lt;&gt;"", VLOOKUP(A5608, imdb_netflix_v5!A$2:H$7370, 5, FALSE), "")</f>
        <v>1996</v>
      </c>
      <c r="F5608" s="2" t="str">
        <f>IF(A5608&lt;&gt;"", VLOOKUP(A5608, imdb_netflix_v5!A$2:H$7370, 7, FALSE), "")</f>
        <v>NA</v>
      </c>
    </row>
    <row r="5609" ht="15.75" customHeight="1">
      <c r="A5609" s="1" t="str">
        <f>IFERROR(__xludf.DUMMYFUNCTION("""COMPUTED_VALUE"""),"julieta")</f>
        <v>julieta</v>
      </c>
      <c r="B5609" s="1" t="str">
        <f>IF(A5609&lt;&gt;"", VLOOKUP(A5609, imdb_netflix_v5!A$2:H$7370, 2, FALSE), "")</f>
        <v>Movie</v>
      </c>
      <c r="C5609" s="2" t="str">
        <f>IF(A5609&lt;&gt;"", VLOOKUP(A5609, imdb_netflix_v5!A$2:H$7370, 3, FALSE), "")</f>
        <v>Drama, Mystery, Romance</v>
      </c>
      <c r="D5609" s="2">
        <f>IF(A5609&lt;&gt;"", VLOOKUP(A5609, imdb_netflix_v5!A$2:H$7370, 4, FALSE), "")</f>
        <v>7.1</v>
      </c>
      <c r="E5609" s="2">
        <f>IF(A5609&lt;&gt;"", VLOOKUP(A5609, imdb_netflix_v5!A$2:H$7370, 5, FALSE), "")</f>
        <v>2016</v>
      </c>
      <c r="F5609" s="2" t="str">
        <f>IF(A5609&lt;&gt;"", VLOOKUP(A5609, imdb_netflix_v5!A$2:H$7370, 7, FALSE), "")</f>
        <v>NA</v>
      </c>
    </row>
    <row r="5610" ht="15.75" customHeight="1">
      <c r="A5610" s="1" t="str">
        <f>IFERROR(__xludf.DUMMYFUNCTION("""COMPUTED_VALUE"""),"aashiqui 2")</f>
        <v>aashiqui 2</v>
      </c>
      <c r="B5610" s="1" t="str">
        <f>IF(A5610&lt;&gt;"", VLOOKUP(A5610, imdb_netflix_v5!A$2:H$7370, 2, FALSE), "")</f>
        <v>Movie</v>
      </c>
      <c r="C5610" s="2" t="str">
        <f>IF(A5610&lt;&gt;"", VLOOKUP(A5610, imdb_netflix_v5!A$2:H$7370, 3, FALSE), "")</f>
        <v>Drama, Music, Musical</v>
      </c>
      <c r="D5610" s="2">
        <f>IF(A5610&lt;&gt;"", VLOOKUP(A5610, imdb_netflix_v5!A$2:H$7370, 4, FALSE), "")</f>
        <v>7.1</v>
      </c>
      <c r="E5610" s="2">
        <f>IF(A5610&lt;&gt;"", VLOOKUP(A5610, imdb_netflix_v5!A$2:H$7370, 5, FALSE), "")</f>
        <v>2013</v>
      </c>
      <c r="F5610" s="2" t="str">
        <f>IF(A5610&lt;&gt;"", VLOOKUP(A5610, imdb_netflix_v5!A$2:H$7370, 7, FALSE), "")</f>
        <v>NA</v>
      </c>
    </row>
    <row r="5611" ht="15.75" customHeight="1">
      <c r="A5611" s="1" t="str">
        <f>IFERROR(__xludf.DUMMYFUNCTION("""COMPUTED_VALUE"""),"mean creek")</f>
        <v>mean creek</v>
      </c>
      <c r="B5611" s="1" t="str">
        <f>IF(A5611&lt;&gt;"", VLOOKUP(A5611, imdb_netflix_v5!A$2:H$7370, 2, FALSE), "")</f>
        <v>Movie</v>
      </c>
      <c r="C5611" s="2" t="str">
        <f>IF(A5611&lt;&gt;"", VLOOKUP(A5611, imdb_netflix_v5!A$2:H$7370, 3, FALSE), "")</f>
        <v>Crime, Drama</v>
      </c>
      <c r="D5611" s="2">
        <f>IF(A5611&lt;&gt;"", VLOOKUP(A5611, imdb_netflix_v5!A$2:H$7370, 4, FALSE), "")</f>
        <v>7.1</v>
      </c>
      <c r="E5611" s="2">
        <f>IF(A5611&lt;&gt;"", VLOOKUP(A5611, imdb_netflix_v5!A$2:H$7370, 5, FALSE), "")</f>
        <v>2004</v>
      </c>
      <c r="F5611" s="2" t="str">
        <f>IF(A5611&lt;&gt;"", VLOOKUP(A5611, imdb_netflix_v5!A$2:H$7370, 7, FALSE), "")</f>
        <v>NA</v>
      </c>
    </row>
    <row r="5612" ht="15.75" customHeight="1">
      <c r="A5612" s="1" t="str">
        <f>IFERROR(__xludf.DUMMYFUNCTION("""COMPUTED_VALUE"""),"strange darling")</f>
        <v>strange darling</v>
      </c>
      <c r="B5612" s="1" t="str">
        <f>IF(A5612&lt;&gt;"", VLOOKUP(A5612, imdb_netflix_v5!A$2:H$7370, 2, FALSE), "")</f>
        <v>Movie</v>
      </c>
      <c r="C5612" s="2" t="str">
        <f>IF(A5612&lt;&gt;"", VLOOKUP(A5612, imdb_netflix_v5!A$2:H$7370, 3, FALSE), "")</f>
        <v>Horror, Thriller</v>
      </c>
      <c r="D5612" s="2">
        <f>IF(A5612&lt;&gt;"", VLOOKUP(A5612, imdb_netflix_v5!A$2:H$7370, 4, FALSE), "")</f>
        <v>7.1</v>
      </c>
      <c r="E5612" s="2">
        <f>IF(A5612&lt;&gt;"", VLOOKUP(A5612, imdb_netflix_v5!A$2:H$7370, 5, FALSE), "")</f>
        <v>2023</v>
      </c>
      <c r="F5612" s="2" t="str">
        <f>IF(A5612&lt;&gt;"", VLOOKUP(A5612, imdb_netflix_v5!A$2:H$7370, 7, FALSE), "")</f>
        <v>NA</v>
      </c>
    </row>
    <row r="5613" ht="15.75" customHeight="1">
      <c r="A5613" s="1" t="str">
        <f>IFERROR(__xludf.DUMMYFUNCTION("""COMPUTED_VALUE"""),"nixon")</f>
        <v>nixon</v>
      </c>
      <c r="B5613" s="1" t="str">
        <f>IF(A5613&lt;&gt;"", VLOOKUP(A5613, imdb_netflix_v5!A$2:H$7370, 2, FALSE), "")</f>
        <v>Movie</v>
      </c>
      <c r="C5613" s="2" t="str">
        <f>IF(A5613&lt;&gt;"", VLOOKUP(A5613, imdb_netflix_v5!A$2:H$7370, 3, FALSE), "")</f>
        <v>Biography, Drama, History</v>
      </c>
      <c r="D5613" s="2">
        <f>IF(A5613&lt;&gt;"", VLOOKUP(A5613, imdb_netflix_v5!A$2:H$7370, 4, FALSE), "")</f>
        <v>7.1</v>
      </c>
      <c r="E5613" s="2">
        <f>IF(A5613&lt;&gt;"", VLOOKUP(A5613, imdb_netflix_v5!A$2:H$7370, 5, FALSE), "")</f>
        <v>1995</v>
      </c>
      <c r="F5613" s="2" t="str">
        <f>IF(A5613&lt;&gt;"", VLOOKUP(A5613, imdb_netflix_v5!A$2:H$7370, 7, FALSE), "")</f>
        <v>NA</v>
      </c>
    </row>
    <row r="5614" ht="15.75" customHeight="1">
      <c r="A5614" s="1" t="str">
        <f>IFERROR(__xludf.DUMMYFUNCTION("""COMPUTED_VALUE"""),"the pink panther strikes again")</f>
        <v>the pink panther strikes again</v>
      </c>
      <c r="B5614" s="1" t="str">
        <f>IF(A5614&lt;&gt;"", VLOOKUP(A5614, imdb_netflix_v5!A$2:H$7370, 2, FALSE), "")</f>
        <v>Movie</v>
      </c>
      <c r="C5614" s="2" t="str">
        <f>IF(A5614&lt;&gt;"", VLOOKUP(A5614, imdb_netflix_v5!A$2:H$7370, 3, FALSE), "")</f>
        <v>Comedy, Crime</v>
      </c>
      <c r="D5614" s="2">
        <f>IF(A5614&lt;&gt;"", VLOOKUP(A5614, imdb_netflix_v5!A$2:H$7370, 4, FALSE), "")</f>
        <v>7.1</v>
      </c>
      <c r="E5614" s="2">
        <f>IF(A5614&lt;&gt;"", VLOOKUP(A5614, imdb_netflix_v5!A$2:H$7370, 5, FALSE), "")</f>
        <v>1976</v>
      </c>
      <c r="F5614" s="2" t="str">
        <f>IF(A5614&lt;&gt;"", VLOOKUP(A5614, imdb_netflix_v5!A$2:H$7370, 7, FALSE), "")</f>
        <v>NA</v>
      </c>
    </row>
    <row r="5615" ht="15.75" customHeight="1">
      <c r="A5615" s="1" t="str">
        <f>IFERROR(__xludf.DUMMYFUNCTION("""COMPUTED_VALUE"""),"mrs. harris goes to paris")</f>
        <v>mrs. harris goes to paris</v>
      </c>
      <c r="B5615" s="1" t="str">
        <f>IF(A5615&lt;&gt;"", VLOOKUP(A5615, imdb_netflix_v5!A$2:H$7370, 2, FALSE), "")</f>
        <v>Movie</v>
      </c>
      <c r="C5615" s="2" t="str">
        <f>IF(A5615&lt;&gt;"", VLOOKUP(A5615, imdb_netflix_v5!A$2:H$7370, 3, FALSE), "")</f>
        <v>Comedy, Drama</v>
      </c>
      <c r="D5615" s="2">
        <f>IF(A5615&lt;&gt;"", VLOOKUP(A5615, imdb_netflix_v5!A$2:H$7370, 4, FALSE), "")</f>
        <v>7.1</v>
      </c>
      <c r="E5615" s="2">
        <f>IF(A5615&lt;&gt;"", VLOOKUP(A5615, imdb_netflix_v5!A$2:H$7370, 5, FALSE), "")</f>
        <v>2022</v>
      </c>
      <c r="F5615" s="2" t="str">
        <f>IF(A5615&lt;&gt;"", VLOOKUP(A5615, imdb_netflix_v5!A$2:H$7370, 7, FALSE), "")</f>
        <v>NA</v>
      </c>
    </row>
    <row r="5616" ht="15.75" customHeight="1">
      <c r="A5616" s="1" t="str">
        <f>IFERROR(__xludf.DUMMYFUNCTION("""COMPUTED_VALUE"""),"tracks")</f>
        <v>tracks</v>
      </c>
      <c r="B5616" s="1" t="str">
        <f>IF(A5616&lt;&gt;"", VLOOKUP(A5616, imdb_netflix_v5!A$2:H$7370, 2, FALSE), "")</f>
        <v>Movie</v>
      </c>
      <c r="C5616" s="2" t="str">
        <f>IF(A5616&lt;&gt;"", VLOOKUP(A5616, imdb_netflix_v5!A$2:H$7370, 3, FALSE), "")</f>
        <v>Adventure, Biography, Drama</v>
      </c>
      <c r="D5616" s="2">
        <f>IF(A5616&lt;&gt;"", VLOOKUP(A5616, imdb_netflix_v5!A$2:H$7370, 4, FALSE), "")</f>
        <v>7.1</v>
      </c>
      <c r="E5616" s="2">
        <f>IF(A5616&lt;&gt;"", VLOOKUP(A5616, imdb_netflix_v5!A$2:H$7370, 5, FALSE), "")</f>
        <v>2013</v>
      </c>
      <c r="F5616" s="2" t="str">
        <f>IF(A5616&lt;&gt;"", VLOOKUP(A5616, imdb_netflix_v5!A$2:H$7370, 7, FALSE), "")</f>
        <v>NA</v>
      </c>
    </row>
    <row r="5617" ht="15.75" customHeight="1">
      <c r="A5617" s="1" t="str">
        <f>IFERROR(__xludf.DUMMYFUNCTION("""COMPUTED_VALUE"""),"the tourist")</f>
        <v>the tourist</v>
      </c>
      <c r="B5617" s="1" t="str">
        <f>IF(A5617&lt;&gt;"", VLOOKUP(A5617, imdb_netflix_v5!A$2:H$7370, 2, FALSE), "")</f>
        <v>TV Show</v>
      </c>
      <c r="C5617" s="2" t="str">
        <f>IF(A5617&lt;&gt;"", VLOOKUP(A5617, imdb_netflix_v5!A$2:H$7370, 3, FALSE), "")</f>
        <v>Action, Drama, Mystery</v>
      </c>
      <c r="D5617" s="2">
        <f>IF(A5617&lt;&gt;"", VLOOKUP(A5617, imdb_netflix_v5!A$2:H$7370, 4, FALSE), "")</f>
        <v>7.1</v>
      </c>
      <c r="E5617" s="2">
        <f>IF(A5617&lt;&gt;"", VLOOKUP(A5617, imdb_netflix_v5!A$2:H$7370, 5, FALSE), "")</f>
        <v>2022</v>
      </c>
      <c r="F5617" s="2" t="str">
        <f>IF(A5617&lt;&gt;"", VLOOKUP(A5617, imdb_netflix_v5!A$2:H$7370, 7, FALSE), "")</f>
        <v>NA</v>
      </c>
    </row>
    <row r="5618" ht="15.75" customHeight="1">
      <c r="A5618" s="1" t="str">
        <f>IFERROR(__xludf.DUMMYFUNCTION("""COMPUTED_VALUE"""),"medium")</f>
        <v>medium</v>
      </c>
      <c r="B5618" s="1" t="str">
        <f>IF(A5618&lt;&gt;"", VLOOKUP(A5618, imdb_netflix_v5!A$2:H$7370, 2, FALSE), "")</f>
        <v>TV Show</v>
      </c>
      <c r="C5618" s="2" t="str">
        <f>IF(A5618&lt;&gt;"", VLOOKUP(A5618, imdb_netflix_v5!A$2:H$7370, 3, FALSE), "")</f>
        <v>Crime, Drama, Fantasy</v>
      </c>
      <c r="D5618" s="2">
        <f>IF(A5618&lt;&gt;"", VLOOKUP(A5618, imdb_netflix_v5!A$2:H$7370, 4, FALSE), "")</f>
        <v>7.1</v>
      </c>
      <c r="E5618" s="2">
        <f>IF(A5618&lt;&gt;"", VLOOKUP(A5618, imdb_netflix_v5!A$2:H$7370, 5, FALSE), "")</f>
        <v>2005</v>
      </c>
      <c r="F5618" s="2" t="str">
        <f>IF(A5618&lt;&gt;"", VLOOKUP(A5618, imdb_netflix_v5!A$2:H$7370, 7, FALSE), "")</f>
        <v>NA</v>
      </c>
    </row>
    <row r="5619" ht="15.75" customHeight="1">
      <c r="A5619" s="1" t="str">
        <f>IFERROR(__xludf.DUMMYFUNCTION("""COMPUTED_VALUE"""),"micmacs")</f>
        <v>micmacs</v>
      </c>
      <c r="B5619" s="1" t="str">
        <f>IF(A5619&lt;&gt;"", VLOOKUP(A5619, imdb_netflix_v5!A$2:H$7370, 2, FALSE), "")</f>
        <v>Movie</v>
      </c>
      <c r="C5619" s="2" t="str">
        <f>IF(A5619&lt;&gt;"", VLOOKUP(A5619, imdb_netflix_v5!A$2:H$7370, 3, FALSE), "")</f>
        <v>Action, Comedy, Crime</v>
      </c>
      <c r="D5619" s="2">
        <f>IF(A5619&lt;&gt;"", VLOOKUP(A5619, imdb_netflix_v5!A$2:H$7370, 4, FALSE), "")</f>
        <v>7.1</v>
      </c>
      <c r="E5619" s="2">
        <f>IF(A5619&lt;&gt;"", VLOOKUP(A5619, imdb_netflix_v5!A$2:H$7370, 5, FALSE), "")</f>
        <v>2009</v>
      </c>
      <c r="F5619" s="2" t="str">
        <f>IF(A5619&lt;&gt;"", VLOOKUP(A5619, imdb_netflix_v5!A$2:H$7370, 7, FALSE), "")</f>
        <v>NA</v>
      </c>
    </row>
    <row r="5620" ht="15.75" customHeight="1">
      <c r="A5620" s="1" t="str">
        <f>IFERROR(__xludf.DUMMYFUNCTION("""COMPUTED_VALUE"""),"mosul")</f>
        <v>mosul</v>
      </c>
      <c r="B5620" s="1" t="str">
        <f>IF(A5620&lt;&gt;"", VLOOKUP(A5620, imdb_netflix_v5!A$2:H$7370, 2, FALSE), "")</f>
        <v>Movie</v>
      </c>
      <c r="C5620" s="2" t="str">
        <f>IF(A5620&lt;&gt;"", VLOOKUP(A5620, imdb_netflix_v5!A$2:H$7370, 3, FALSE), "")</f>
        <v>Action, Drama, Thriller</v>
      </c>
      <c r="D5620" s="2">
        <f>IF(A5620&lt;&gt;"", VLOOKUP(A5620, imdb_netflix_v5!A$2:H$7370, 4, FALSE), "")</f>
        <v>7.1</v>
      </c>
      <c r="E5620" s="2">
        <f>IF(A5620&lt;&gt;"", VLOOKUP(A5620, imdb_netflix_v5!A$2:H$7370, 5, FALSE), "")</f>
        <v>2019</v>
      </c>
      <c r="F5620" s="2" t="str">
        <f>IF(A5620&lt;&gt;"", VLOOKUP(A5620, imdb_netflix_v5!A$2:H$7370, 7, FALSE), "")</f>
        <v>NA</v>
      </c>
    </row>
    <row r="5621" ht="15.75" customHeight="1">
      <c r="A5621" s="1" t="str">
        <f>IFERROR(__xludf.DUMMYFUNCTION("""COMPUTED_VALUE"""),"ruby &amp; quentin")</f>
        <v>ruby &amp; quentin</v>
      </c>
      <c r="B5621" s="1" t="str">
        <f>IF(A5621&lt;&gt;"", VLOOKUP(A5621, imdb_netflix_v5!A$2:H$7370, 2, FALSE), "")</f>
        <v>Movie</v>
      </c>
      <c r="C5621" s="2" t="str">
        <f>IF(A5621&lt;&gt;"", VLOOKUP(A5621, imdb_netflix_v5!A$2:H$7370, 3, FALSE), "")</f>
        <v>Comedy, Crime</v>
      </c>
      <c r="D5621" s="2">
        <f>IF(A5621&lt;&gt;"", VLOOKUP(A5621, imdb_netflix_v5!A$2:H$7370, 4, FALSE), "")</f>
        <v>7.1</v>
      </c>
      <c r="E5621" s="2">
        <f>IF(A5621&lt;&gt;"", VLOOKUP(A5621, imdb_netflix_v5!A$2:H$7370, 5, FALSE), "")</f>
        <v>2003</v>
      </c>
      <c r="F5621" s="2" t="str">
        <f>IF(A5621&lt;&gt;"", VLOOKUP(A5621, imdb_netflix_v5!A$2:H$7370, 7, FALSE), "")</f>
        <v>NA</v>
      </c>
    </row>
    <row r="5622" ht="15.75" customHeight="1">
      <c r="A5622" s="1" t="str">
        <f>IFERROR(__xludf.DUMMYFUNCTION("""COMPUTED_VALUE"""),"klute")</f>
        <v>klute</v>
      </c>
      <c r="B5622" s="1" t="str">
        <f>IF(A5622&lt;&gt;"", VLOOKUP(A5622, imdb_netflix_v5!A$2:H$7370, 2, FALSE), "")</f>
        <v>Movie</v>
      </c>
      <c r="C5622" s="2" t="str">
        <f>IF(A5622&lt;&gt;"", VLOOKUP(A5622, imdb_netflix_v5!A$2:H$7370, 3, FALSE), "")</f>
        <v>Crime, Mystery, Thriller</v>
      </c>
      <c r="D5622" s="2">
        <f>IF(A5622&lt;&gt;"", VLOOKUP(A5622, imdb_netflix_v5!A$2:H$7370, 4, FALSE), "")</f>
        <v>7.1</v>
      </c>
      <c r="E5622" s="2">
        <f>IF(A5622&lt;&gt;"", VLOOKUP(A5622, imdb_netflix_v5!A$2:H$7370, 5, FALSE), "")</f>
        <v>1971</v>
      </c>
      <c r="F5622" s="2" t="str">
        <f>IF(A5622&lt;&gt;"", VLOOKUP(A5622, imdb_netflix_v5!A$2:H$7370, 7, FALSE), "")</f>
        <v>NA</v>
      </c>
    </row>
    <row r="5623" ht="15.75" customHeight="1">
      <c r="A5623" s="1" t="str">
        <f>IFERROR(__xludf.DUMMYFUNCTION("""COMPUTED_VALUE"""),"enthiran")</f>
        <v>enthiran</v>
      </c>
      <c r="B5623" s="1" t="str">
        <f>IF(A5623&lt;&gt;"", VLOOKUP(A5623, imdb_netflix_v5!A$2:H$7370, 2, FALSE), "")</f>
        <v>Movie</v>
      </c>
      <c r="C5623" s="2" t="str">
        <f>IF(A5623&lt;&gt;"", VLOOKUP(A5623, imdb_netflix_v5!A$2:H$7370, 3, FALSE), "")</f>
        <v>Action, Sci-Fi, Thriller</v>
      </c>
      <c r="D5623" s="2">
        <f>IF(A5623&lt;&gt;"", VLOOKUP(A5623, imdb_netflix_v5!A$2:H$7370, 4, FALSE), "")</f>
        <v>7.1</v>
      </c>
      <c r="E5623" s="2">
        <f>IF(A5623&lt;&gt;"", VLOOKUP(A5623, imdb_netflix_v5!A$2:H$7370, 5, FALSE), "")</f>
        <v>2010</v>
      </c>
      <c r="F5623" s="2" t="str">
        <f>IF(A5623&lt;&gt;"", VLOOKUP(A5623, imdb_netflix_v5!A$2:H$7370, 7, FALSE), "")</f>
        <v>NA</v>
      </c>
    </row>
    <row r="5624" ht="15.75" customHeight="1">
      <c r="A5624" s="1" t="str">
        <f>IFERROR(__xludf.DUMMYFUNCTION("""COMPUTED_VALUE"""),"a brilliant young mind")</f>
        <v>a brilliant young mind</v>
      </c>
      <c r="B5624" s="1" t="str">
        <f>IF(A5624&lt;&gt;"", VLOOKUP(A5624, imdb_netflix_v5!A$2:H$7370, 2, FALSE), "")</f>
        <v>Movie</v>
      </c>
      <c r="C5624" s="2" t="str">
        <f>IF(A5624&lt;&gt;"", VLOOKUP(A5624, imdb_netflix_v5!A$2:H$7370, 3, FALSE), "")</f>
        <v>Drama, Romance</v>
      </c>
      <c r="D5624" s="2">
        <f>IF(A5624&lt;&gt;"", VLOOKUP(A5624, imdb_netflix_v5!A$2:H$7370, 4, FALSE), "")</f>
        <v>7.1</v>
      </c>
      <c r="E5624" s="2">
        <f>IF(A5624&lt;&gt;"", VLOOKUP(A5624, imdb_netflix_v5!A$2:H$7370, 5, FALSE), "")</f>
        <v>2014</v>
      </c>
      <c r="F5624" s="2" t="str">
        <f>IF(A5624&lt;&gt;"", VLOOKUP(A5624, imdb_netflix_v5!A$2:H$7370, 7, FALSE), "")</f>
        <v>NA</v>
      </c>
    </row>
    <row r="5625" ht="15.75" customHeight="1">
      <c r="A5625" s="1" t="str">
        <f>IFERROR(__xludf.DUMMYFUNCTION("""COMPUTED_VALUE"""),"dragon ball z battle of gods")</f>
        <v>dragon ball z battle of gods</v>
      </c>
      <c r="B5625" s="1" t="str">
        <f>IF(A5625&lt;&gt;"", VLOOKUP(A5625, imdb_netflix_v5!A$2:H$7370, 2, FALSE), "")</f>
        <v>Movie</v>
      </c>
      <c r="C5625" s="2" t="str">
        <f>IF(A5625&lt;&gt;"", VLOOKUP(A5625, imdb_netflix_v5!A$2:H$7370, 3, FALSE), "")</f>
        <v>Action, Adventure, Animation</v>
      </c>
      <c r="D5625" s="2">
        <f>IF(A5625&lt;&gt;"", VLOOKUP(A5625, imdb_netflix_v5!A$2:H$7370, 4, FALSE), "")</f>
        <v>7.1</v>
      </c>
      <c r="E5625" s="2">
        <f>IF(A5625&lt;&gt;"", VLOOKUP(A5625, imdb_netflix_v5!A$2:H$7370, 5, FALSE), "")</f>
        <v>2013</v>
      </c>
      <c r="F5625" s="2" t="str">
        <f>IF(A5625&lt;&gt;"", VLOOKUP(A5625, imdb_netflix_v5!A$2:H$7370, 7, FALSE), "")</f>
        <v>NA</v>
      </c>
    </row>
    <row r="5626" ht="15.75" customHeight="1">
      <c r="A5626" s="1" t="str">
        <f>IFERROR(__xludf.DUMMYFUNCTION("""COMPUTED_VALUE"""),"goodbye christopher robin")</f>
        <v>goodbye christopher robin</v>
      </c>
      <c r="B5626" s="1" t="str">
        <f>IF(A5626&lt;&gt;"", VLOOKUP(A5626, imdb_netflix_v5!A$2:H$7370, 2, FALSE), "")</f>
        <v>Movie</v>
      </c>
      <c r="C5626" s="2" t="str">
        <f>IF(A5626&lt;&gt;"", VLOOKUP(A5626, imdb_netflix_v5!A$2:H$7370, 3, FALSE), "")</f>
        <v>Biography, Drama, Family</v>
      </c>
      <c r="D5626" s="2">
        <f>IF(A5626&lt;&gt;"", VLOOKUP(A5626, imdb_netflix_v5!A$2:H$7370, 4, FALSE), "")</f>
        <v>7.1</v>
      </c>
      <c r="E5626" s="2">
        <f>IF(A5626&lt;&gt;"", VLOOKUP(A5626, imdb_netflix_v5!A$2:H$7370, 5, FALSE), "")</f>
        <v>2017</v>
      </c>
      <c r="F5626" s="2" t="str">
        <f>IF(A5626&lt;&gt;"", VLOOKUP(A5626, imdb_netflix_v5!A$2:H$7370, 7, FALSE), "")</f>
        <v>NA</v>
      </c>
    </row>
    <row r="5627" ht="15.75" customHeight="1">
      <c r="A5627" s="1" t="str">
        <f>IFERROR(__xludf.DUMMYFUNCTION("""COMPUTED_VALUE"""),"jeffrey epstein filthy rich")</f>
        <v>jeffrey epstein filthy rich</v>
      </c>
      <c r="B5627" s="1" t="str">
        <f>IF(A5627&lt;&gt;"", VLOOKUP(A5627, imdb_netflix_v5!A$2:H$7370, 2, FALSE), "")</f>
        <v>TV Show</v>
      </c>
      <c r="C5627" s="2" t="str">
        <f>IF(A5627&lt;&gt;"", VLOOKUP(A5627, imdb_netflix_v5!A$2:H$7370, 3, FALSE), "")</f>
        <v>Crime, Documentary</v>
      </c>
      <c r="D5627" s="2">
        <f>IF(A5627&lt;&gt;"", VLOOKUP(A5627, imdb_netflix_v5!A$2:H$7370, 4, FALSE), "")</f>
        <v>7.1</v>
      </c>
      <c r="E5627" s="2">
        <f>IF(A5627&lt;&gt;"", VLOOKUP(A5627, imdb_netflix_v5!A$2:H$7370, 5, FALSE), "")</f>
        <v>2020</v>
      </c>
      <c r="F5627" s="2" t="str">
        <f>IF(A5627&lt;&gt;"", VLOOKUP(A5627, imdb_netflix_v5!A$2:H$7370, 7, FALSE), "")</f>
        <v>NA</v>
      </c>
    </row>
    <row r="5628" ht="15.75" customHeight="1">
      <c r="A5628" s="1" t="str">
        <f>IFERROR(__xludf.DUMMYFUNCTION("""COMPUTED_VALUE"""),"things we lost in the fire")</f>
        <v>things we lost in the fire</v>
      </c>
      <c r="B5628" s="1" t="str">
        <f>IF(A5628&lt;&gt;"", VLOOKUP(A5628, imdb_netflix_v5!A$2:H$7370, 2, FALSE), "")</f>
        <v>Movie</v>
      </c>
      <c r="C5628" s="2" t="str">
        <f>IF(A5628&lt;&gt;"", VLOOKUP(A5628, imdb_netflix_v5!A$2:H$7370, 3, FALSE), "")</f>
        <v>Drama</v>
      </c>
      <c r="D5628" s="2">
        <f>IF(A5628&lt;&gt;"", VLOOKUP(A5628, imdb_netflix_v5!A$2:H$7370, 4, FALSE), "")</f>
        <v>7.1</v>
      </c>
      <c r="E5628" s="2">
        <f>IF(A5628&lt;&gt;"", VLOOKUP(A5628, imdb_netflix_v5!A$2:H$7370, 5, FALSE), "")</f>
        <v>2007</v>
      </c>
      <c r="F5628" s="2" t="str">
        <f>IF(A5628&lt;&gt;"", VLOOKUP(A5628, imdb_netflix_v5!A$2:H$7370, 7, FALSE), "")</f>
        <v>NA</v>
      </c>
    </row>
    <row r="5629" ht="15.75" customHeight="1">
      <c r="A5629" s="1" t="str">
        <f>IFERROR(__xludf.DUMMYFUNCTION("""COMPUTED_VALUE"""),"kaabil")</f>
        <v>kaabil</v>
      </c>
      <c r="B5629" s="1" t="str">
        <f>IF(A5629&lt;&gt;"", VLOOKUP(A5629, imdb_netflix_v5!A$2:H$7370, 2, FALSE), "")</f>
        <v>Movie</v>
      </c>
      <c r="C5629" s="2" t="str">
        <f>IF(A5629&lt;&gt;"", VLOOKUP(A5629, imdb_netflix_v5!A$2:H$7370, 3, FALSE), "")</f>
        <v>Action, Crime, Drama</v>
      </c>
      <c r="D5629" s="2">
        <f>IF(A5629&lt;&gt;"", VLOOKUP(A5629, imdb_netflix_v5!A$2:H$7370, 4, FALSE), "")</f>
        <v>7.1</v>
      </c>
      <c r="E5629" s="2">
        <f>IF(A5629&lt;&gt;"", VLOOKUP(A5629, imdb_netflix_v5!A$2:H$7370, 5, FALSE), "")</f>
        <v>2017</v>
      </c>
      <c r="F5629" s="2" t="str">
        <f>IF(A5629&lt;&gt;"", VLOOKUP(A5629, imdb_netflix_v5!A$2:H$7370, 7, FALSE), "")</f>
        <v>NA</v>
      </c>
    </row>
    <row r="5630" ht="15.75" customHeight="1">
      <c r="A5630" s="1" t="str">
        <f>IFERROR(__xludf.DUMMYFUNCTION("""COMPUTED_VALUE"""),"in order of disappearance")</f>
        <v>in order of disappearance</v>
      </c>
      <c r="B5630" s="1" t="str">
        <f>IF(A5630&lt;&gt;"", VLOOKUP(A5630, imdb_netflix_v5!A$2:H$7370, 2, FALSE), "")</f>
        <v>Movie</v>
      </c>
      <c r="C5630" s="2" t="str">
        <f>IF(A5630&lt;&gt;"", VLOOKUP(A5630, imdb_netflix_v5!A$2:H$7370, 3, FALSE), "")</f>
        <v>Action, Crime, Drama</v>
      </c>
      <c r="D5630" s="2">
        <f>IF(A5630&lt;&gt;"", VLOOKUP(A5630, imdb_netflix_v5!A$2:H$7370, 4, FALSE), "")</f>
        <v>7.1</v>
      </c>
      <c r="E5630" s="2">
        <f>IF(A5630&lt;&gt;"", VLOOKUP(A5630, imdb_netflix_v5!A$2:H$7370, 5, FALSE), "")</f>
        <v>2014</v>
      </c>
      <c r="F5630" s="2" t="str">
        <f>IF(A5630&lt;&gt;"", VLOOKUP(A5630, imdb_netflix_v5!A$2:H$7370, 7, FALSE), "")</f>
        <v>NA</v>
      </c>
    </row>
    <row r="5631" ht="15.75" customHeight="1">
      <c r="A5631" s="1" t="str">
        <f>IFERROR(__xludf.DUMMYFUNCTION("""COMPUTED_VALUE"""),"the world according to garp")</f>
        <v>the world according to garp</v>
      </c>
      <c r="B5631" s="1" t="str">
        <f>IF(A5631&lt;&gt;"", VLOOKUP(A5631, imdb_netflix_v5!A$2:H$7370, 2, FALSE), "")</f>
        <v>Movie</v>
      </c>
      <c r="C5631" s="2" t="str">
        <f>IF(A5631&lt;&gt;"", VLOOKUP(A5631, imdb_netflix_v5!A$2:H$7370, 3, FALSE), "")</f>
        <v>Comedy, Drama</v>
      </c>
      <c r="D5631" s="2">
        <f>IF(A5631&lt;&gt;"", VLOOKUP(A5631, imdb_netflix_v5!A$2:H$7370, 4, FALSE), "")</f>
        <v>7.1</v>
      </c>
      <c r="E5631" s="2">
        <f>IF(A5631&lt;&gt;"", VLOOKUP(A5631, imdb_netflix_v5!A$2:H$7370, 5, FALSE), "")</f>
        <v>1982</v>
      </c>
      <c r="F5631" s="2" t="str">
        <f>IF(A5631&lt;&gt;"", VLOOKUP(A5631, imdb_netflix_v5!A$2:H$7370, 7, FALSE), "")</f>
        <v>NA</v>
      </c>
    </row>
    <row r="5632" ht="15.75" customHeight="1">
      <c r="A5632" s="1" t="str">
        <f>IFERROR(__xludf.DUMMYFUNCTION("""COMPUTED_VALUE"""),"mandela long walk to freedom")</f>
        <v>mandela long walk to freedom</v>
      </c>
      <c r="B5632" s="1" t="str">
        <f>IF(A5632&lt;&gt;"", VLOOKUP(A5632, imdb_netflix_v5!A$2:H$7370, 2, FALSE), "")</f>
        <v>Movie</v>
      </c>
      <c r="C5632" s="2" t="str">
        <f>IF(A5632&lt;&gt;"", VLOOKUP(A5632, imdb_netflix_v5!A$2:H$7370, 3, FALSE), "")</f>
        <v>Biography, Drama, History</v>
      </c>
      <c r="D5632" s="2">
        <f>IF(A5632&lt;&gt;"", VLOOKUP(A5632, imdb_netflix_v5!A$2:H$7370, 4, FALSE), "")</f>
        <v>7.1</v>
      </c>
      <c r="E5632" s="2">
        <f>IF(A5632&lt;&gt;"", VLOOKUP(A5632, imdb_netflix_v5!A$2:H$7370, 5, FALSE), "")</f>
        <v>2013</v>
      </c>
      <c r="F5632" s="2" t="str">
        <f>IF(A5632&lt;&gt;"", VLOOKUP(A5632, imdb_netflix_v5!A$2:H$7370, 7, FALSE), "")</f>
        <v>NA</v>
      </c>
    </row>
    <row r="5633" ht="15.75" customHeight="1">
      <c r="A5633" s="1" t="str">
        <f>IFERROR(__xludf.DUMMYFUNCTION("""COMPUTED_VALUE"""),"miracles from heaven")</f>
        <v>miracles from heaven</v>
      </c>
      <c r="B5633" s="1" t="str">
        <f>IF(A5633&lt;&gt;"", VLOOKUP(A5633, imdb_netflix_v5!A$2:H$7370, 2, FALSE), "")</f>
        <v>Movie</v>
      </c>
      <c r="C5633" s="2" t="str">
        <f>IF(A5633&lt;&gt;"", VLOOKUP(A5633, imdb_netflix_v5!A$2:H$7370, 3, FALSE), "")</f>
        <v>Biography, Drama, Family</v>
      </c>
      <c r="D5633" s="2">
        <f>IF(A5633&lt;&gt;"", VLOOKUP(A5633, imdb_netflix_v5!A$2:H$7370, 4, FALSE), "")</f>
        <v>7.1</v>
      </c>
      <c r="E5633" s="2">
        <f>IF(A5633&lt;&gt;"", VLOOKUP(A5633, imdb_netflix_v5!A$2:H$7370, 5, FALSE), "")</f>
        <v>2016</v>
      </c>
      <c r="F5633" s="2" t="str">
        <f>IF(A5633&lt;&gt;"", VLOOKUP(A5633, imdb_netflix_v5!A$2:H$7370, 7, FALSE), "")</f>
        <v>NA</v>
      </c>
    </row>
    <row r="5634" ht="15.75" customHeight="1">
      <c r="A5634" s="1" t="str">
        <f>IFERROR(__xludf.DUMMYFUNCTION("""COMPUTED_VALUE"""),"winnie the pooh")</f>
        <v>winnie the pooh</v>
      </c>
      <c r="B5634" s="1" t="str">
        <f>IF(A5634&lt;&gt;"", VLOOKUP(A5634, imdb_netflix_v5!A$2:H$7370, 2, FALSE), "")</f>
        <v>Movie</v>
      </c>
      <c r="C5634" s="2" t="str">
        <f>IF(A5634&lt;&gt;"", VLOOKUP(A5634, imdb_netflix_v5!A$2:H$7370, 3, FALSE), "")</f>
        <v>Adventure, Animation, Comedy</v>
      </c>
      <c r="D5634" s="2">
        <f>IF(A5634&lt;&gt;"", VLOOKUP(A5634, imdb_netflix_v5!A$2:H$7370, 4, FALSE), "")</f>
        <v>7.1</v>
      </c>
      <c r="E5634" s="2">
        <f>IF(A5634&lt;&gt;"", VLOOKUP(A5634, imdb_netflix_v5!A$2:H$7370, 5, FALSE), "")</f>
        <v>2011</v>
      </c>
      <c r="F5634" s="2" t="str">
        <f>IF(A5634&lt;&gt;"", VLOOKUP(A5634, imdb_netflix_v5!A$2:H$7370, 7, FALSE), "")</f>
        <v>NA</v>
      </c>
    </row>
    <row r="5635" ht="15.75" customHeight="1">
      <c r="A5635" s="1" t="str">
        <f>IFERROR(__xludf.DUMMYFUNCTION("""COMPUTED_VALUE"""),"megan leavey")</f>
        <v>megan leavey</v>
      </c>
      <c r="B5635" s="1" t="str">
        <f>IF(A5635&lt;&gt;"", VLOOKUP(A5635, imdb_netflix_v5!A$2:H$7370, 2, FALSE), "")</f>
        <v>Movie</v>
      </c>
      <c r="C5635" s="2" t="str">
        <f>IF(A5635&lt;&gt;"", VLOOKUP(A5635, imdb_netflix_v5!A$2:H$7370, 3, FALSE), "")</f>
        <v>Action, Biography, Drama</v>
      </c>
      <c r="D5635" s="2">
        <f>IF(A5635&lt;&gt;"", VLOOKUP(A5635, imdb_netflix_v5!A$2:H$7370, 4, FALSE), "")</f>
        <v>7.1</v>
      </c>
      <c r="E5635" s="2">
        <f>IF(A5635&lt;&gt;"", VLOOKUP(A5635, imdb_netflix_v5!A$2:H$7370, 5, FALSE), "")</f>
        <v>2017</v>
      </c>
      <c r="F5635" s="2" t="str">
        <f>IF(A5635&lt;&gt;"", VLOOKUP(A5635, imdb_netflix_v5!A$2:H$7370, 7, FALSE), "")</f>
        <v>NA</v>
      </c>
    </row>
    <row r="5636" ht="15.75" customHeight="1">
      <c r="A5636" s="1" t="str">
        <f>IFERROR(__xludf.DUMMYFUNCTION("""COMPUTED_VALUE"""),"koi... mil gaya")</f>
        <v>koi... mil gaya</v>
      </c>
      <c r="B5636" s="1" t="str">
        <f>IF(A5636&lt;&gt;"", VLOOKUP(A5636, imdb_netflix_v5!A$2:H$7370, 2, FALSE), "")</f>
        <v>Movie</v>
      </c>
      <c r="C5636" s="2" t="str">
        <f>IF(A5636&lt;&gt;"", VLOOKUP(A5636, imdb_netflix_v5!A$2:H$7370, 3, FALSE), "")</f>
        <v>Action, Drama, Fantasy</v>
      </c>
      <c r="D5636" s="2">
        <f>IF(A5636&lt;&gt;"", VLOOKUP(A5636, imdb_netflix_v5!A$2:H$7370, 4, FALSE), "")</f>
        <v>7.1</v>
      </c>
      <c r="E5636" s="2">
        <f>IF(A5636&lt;&gt;"", VLOOKUP(A5636, imdb_netflix_v5!A$2:H$7370, 5, FALSE), "")</f>
        <v>2003</v>
      </c>
      <c r="F5636" s="2" t="str">
        <f>IF(A5636&lt;&gt;"", VLOOKUP(A5636, imdb_netflix_v5!A$2:H$7370, 7, FALSE), "")</f>
        <v>NA</v>
      </c>
    </row>
    <row r="5637" ht="15.75" customHeight="1">
      <c r="A5637" s="1" t="str">
        <f>IFERROR(__xludf.DUMMYFUNCTION("""COMPUTED_VALUE"""),"saboteur")</f>
        <v>saboteur</v>
      </c>
      <c r="B5637" s="1" t="str">
        <f>IF(A5637&lt;&gt;"", VLOOKUP(A5637, imdb_netflix_v5!A$2:H$7370, 2, FALSE), "")</f>
        <v>Movie</v>
      </c>
      <c r="C5637" s="2" t="str">
        <f>IF(A5637&lt;&gt;"", VLOOKUP(A5637, imdb_netflix_v5!A$2:H$7370, 3, FALSE), "")</f>
        <v>Thriller, War</v>
      </c>
      <c r="D5637" s="2">
        <f>IF(A5637&lt;&gt;"", VLOOKUP(A5637, imdb_netflix_v5!A$2:H$7370, 4, FALSE), "")</f>
        <v>7.1</v>
      </c>
      <c r="E5637" s="2">
        <f>IF(A5637&lt;&gt;"", VLOOKUP(A5637, imdb_netflix_v5!A$2:H$7370, 5, FALSE), "")</f>
        <v>1942</v>
      </c>
      <c r="F5637" s="2" t="str">
        <f>IF(A5637&lt;&gt;"", VLOOKUP(A5637, imdb_netflix_v5!A$2:H$7370, 7, FALSE), "")</f>
        <v>NA</v>
      </c>
    </row>
    <row r="5638" ht="15.75" customHeight="1">
      <c r="A5638" s="1" t="str">
        <f>IFERROR(__xludf.DUMMYFUNCTION("""COMPUTED_VALUE"""),"a murder at the end of the world")</f>
        <v>a murder at the end of the world</v>
      </c>
      <c r="B5638" s="1" t="str">
        <f>IF(A5638&lt;&gt;"", VLOOKUP(A5638, imdb_netflix_v5!A$2:H$7370, 2, FALSE), "")</f>
        <v>TV Show</v>
      </c>
      <c r="C5638" s="2" t="str">
        <f>IF(A5638&lt;&gt;"", VLOOKUP(A5638, imdb_netflix_v5!A$2:H$7370, 3, FALSE), "")</f>
        <v>Drama, Mystery, Thriller</v>
      </c>
      <c r="D5638" s="2">
        <f>IF(A5638&lt;&gt;"", VLOOKUP(A5638, imdb_netflix_v5!A$2:H$7370, 4, FALSE), "")</f>
        <v>7.1</v>
      </c>
      <c r="E5638" s="2">
        <f>IF(A5638&lt;&gt;"", VLOOKUP(A5638, imdb_netflix_v5!A$2:H$7370, 5, FALSE), "")</f>
        <v>2023</v>
      </c>
      <c r="F5638" s="2" t="str">
        <f>IF(A5638&lt;&gt;"", VLOOKUP(A5638, imdb_netflix_v5!A$2:H$7370, 7, FALSE), "")</f>
        <v>NA</v>
      </c>
    </row>
    <row r="5639" ht="15.75" customHeight="1">
      <c r="A5639" s="1" t="str">
        <f>IFERROR(__xludf.DUMMYFUNCTION("""COMPUTED_VALUE"""),"human traffic")</f>
        <v>human traffic</v>
      </c>
      <c r="B5639" s="1" t="str">
        <f>IF(A5639&lt;&gt;"", VLOOKUP(A5639, imdb_netflix_v5!A$2:H$7370, 2, FALSE), "")</f>
        <v>Movie</v>
      </c>
      <c r="C5639" s="2" t="str">
        <f>IF(A5639&lt;&gt;"", VLOOKUP(A5639, imdb_netflix_v5!A$2:H$7370, 3, FALSE), "")</f>
        <v>Comedy, Music</v>
      </c>
      <c r="D5639" s="2">
        <f>IF(A5639&lt;&gt;"", VLOOKUP(A5639, imdb_netflix_v5!A$2:H$7370, 4, FALSE), "")</f>
        <v>7.1</v>
      </c>
      <c r="E5639" s="2">
        <f>IF(A5639&lt;&gt;"", VLOOKUP(A5639, imdb_netflix_v5!A$2:H$7370, 5, FALSE), "")</f>
        <v>1999</v>
      </c>
      <c r="F5639" s="2" t="str">
        <f>IF(A5639&lt;&gt;"", VLOOKUP(A5639, imdb_netflix_v5!A$2:H$7370, 7, FALSE), "")</f>
        <v>NA</v>
      </c>
    </row>
    <row r="5640" ht="15.75" customHeight="1">
      <c r="A5640" s="1" t="str">
        <f>IFERROR(__xludf.DUMMYFUNCTION("""COMPUTED_VALUE"""),"a love song for bobby long")</f>
        <v>a love song for bobby long</v>
      </c>
      <c r="B5640" s="1" t="str">
        <f>IF(A5640&lt;&gt;"", VLOOKUP(A5640, imdb_netflix_v5!A$2:H$7370, 2, FALSE), "")</f>
        <v>Movie</v>
      </c>
      <c r="C5640" s="2" t="str">
        <f>IF(A5640&lt;&gt;"", VLOOKUP(A5640, imdb_netflix_v5!A$2:H$7370, 3, FALSE), "")</f>
        <v>Drama</v>
      </c>
      <c r="D5640" s="2">
        <f>IF(A5640&lt;&gt;"", VLOOKUP(A5640, imdb_netflix_v5!A$2:H$7370, 4, FALSE), "")</f>
        <v>7.1</v>
      </c>
      <c r="E5640" s="2">
        <f>IF(A5640&lt;&gt;"", VLOOKUP(A5640, imdb_netflix_v5!A$2:H$7370, 5, FALSE), "")</f>
        <v>2004</v>
      </c>
      <c r="F5640" s="2" t="str">
        <f>IF(A5640&lt;&gt;"", VLOOKUP(A5640, imdb_netflix_v5!A$2:H$7370, 7, FALSE), "")</f>
        <v>NA</v>
      </c>
    </row>
    <row r="5641" ht="15.75" customHeight="1">
      <c r="A5641" s="1" t="str">
        <f>IFERROR(__xludf.DUMMYFUNCTION("""COMPUTED_VALUE"""),"little white lies")</f>
        <v>little white lies</v>
      </c>
      <c r="B5641" s="1" t="str">
        <f>IF(A5641&lt;&gt;"", VLOOKUP(A5641, imdb_netflix_v5!A$2:H$7370, 2, FALSE), "")</f>
        <v>Movie</v>
      </c>
      <c r="C5641" s="2" t="str">
        <f>IF(A5641&lt;&gt;"", VLOOKUP(A5641, imdb_netflix_v5!A$2:H$7370, 3, FALSE), "")</f>
        <v>Comedy, Drama</v>
      </c>
      <c r="D5641" s="2">
        <f>IF(A5641&lt;&gt;"", VLOOKUP(A5641, imdb_netflix_v5!A$2:H$7370, 4, FALSE), "")</f>
        <v>7.1</v>
      </c>
      <c r="E5641" s="2">
        <f>IF(A5641&lt;&gt;"", VLOOKUP(A5641, imdb_netflix_v5!A$2:H$7370, 5, FALSE), "")</f>
        <v>2010</v>
      </c>
      <c r="F5641" s="2" t="str">
        <f>IF(A5641&lt;&gt;"", VLOOKUP(A5641, imdb_netflix_v5!A$2:H$7370, 7, FALSE), "")</f>
        <v>NA</v>
      </c>
    </row>
    <row r="5642" ht="15.75" customHeight="1">
      <c r="A5642" s="1" t="str">
        <f>IFERROR(__xludf.DUMMYFUNCTION("""COMPUTED_VALUE"""),"department q the absent one")</f>
        <v>department q the absent one</v>
      </c>
      <c r="B5642" s="1" t="str">
        <f>IF(A5642&lt;&gt;"", VLOOKUP(A5642, imdb_netflix_v5!A$2:H$7370, 2, FALSE), "")</f>
        <v>Movie</v>
      </c>
      <c r="C5642" s="2" t="str">
        <f>IF(A5642&lt;&gt;"", VLOOKUP(A5642, imdb_netflix_v5!A$2:H$7370, 3, FALSE), "")</f>
        <v>Crime, Drama, Mystery</v>
      </c>
      <c r="D5642" s="2">
        <f>IF(A5642&lt;&gt;"", VLOOKUP(A5642, imdb_netflix_v5!A$2:H$7370, 4, FALSE), "")</f>
        <v>7.1</v>
      </c>
      <c r="E5642" s="2">
        <f>IF(A5642&lt;&gt;"", VLOOKUP(A5642, imdb_netflix_v5!A$2:H$7370, 5, FALSE), "")</f>
        <v>2014</v>
      </c>
      <c r="F5642" s="2" t="str">
        <f>IF(A5642&lt;&gt;"", VLOOKUP(A5642, imdb_netflix_v5!A$2:H$7370, 7, FALSE), "")</f>
        <v>NA</v>
      </c>
    </row>
    <row r="5643" ht="15.75" customHeight="1">
      <c r="A5643" s="1" t="str">
        <f>IFERROR(__xludf.DUMMYFUNCTION("""COMPUTED_VALUE"""),"frozen river")</f>
        <v>frozen river</v>
      </c>
      <c r="B5643" s="1" t="str">
        <f>IF(A5643&lt;&gt;"", VLOOKUP(A5643, imdb_netflix_v5!A$2:H$7370, 2, FALSE), "")</f>
        <v>Movie</v>
      </c>
      <c r="C5643" s="2" t="str">
        <f>IF(A5643&lt;&gt;"", VLOOKUP(A5643, imdb_netflix_v5!A$2:H$7370, 3, FALSE), "")</f>
        <v>Crime, Drama</v>
      </c>
      <c r="D5643" s="2">
        <f>IF(A5643&lt;&gt;"", VLOOKUP(A5643, imdb_netflix_v5!A$2:H$7370, 4, FALSE), "")</f>
        <v>7.1</v>
      </c>
      <c r="E5643" s="2">
        <f>IF(A5643&lt;&gt;"", VLOOKUP(A5643, imdb_netflix_v5!A$2:H$7370, 5, FALSE), "")</f>
        <v>2008</v>
      </c>
      <c r="F5643" s="2" t="str">
        <f>IF(A5643&lt;&gt;"", VLOOKUP(A5643, imdb_netflix_v5!A$2:H$7370, 7, FALSE), "")</f>
        <v>NA</v>
      </c>
    </row>
    <row r="5644" ht="15.75" customHeight="1">
      <c r="A5644" s="1" t="str">
        <f>IFERROR(__xludf.DUMMYFUNCTION("""COMPUTED_VALUE"""),"welcome")</f>
        <v>welcome</v>
      </c>
      <c r="B5644" s="1" t="str">
        <f>IF(A5644&lt;&gt;"", VLOOKUP(A5644, imdb_netflix_v5!A$2:H$7370, 2, FALSE), "")</f>
        <v>Movie</v>
      </c>
      <c r="C5644" s="2" t="str">
        <f>IF(A5644&lt;&gt;"", VLOOKUP(A5644, imdb_netflix_v5!A$2:H$7370, 3, FALSE), "")</f>
        <v>Comedy, Crime, Drama</v>
      </c>
      <c r="D5644" s="2">
        <f>IF(A5644&lt;&gt;"", VLOOKUP(A5644, imdb_netflix_v5!A$2:H$7370, 4, FALSE), "")</f>
        <v>7.1</v>
      </c>
      <c r="E5644" s="2">
        <f>IF(A5644&lt;&gt;"", VLOOKUP(A5644, imdb_netflix_v5!A$2:H$7370, 5, FALSE), "")</f>
        <v>2007</v>
      </c>
      <c r="F5644" s="2" t="str">
        <f>IF(A5644&lt;&gt;"", VLOOKUP(A5644, imdb_netflix_v5!A$2:H$7370, 7, FALSE), "")</f>
        <v>NA</v>
      </c>
    </row>
    <row r="5645" ht="15.75" customHeight="1">
      <c r="A5645" s="1" t="str">
        <f>IFERROR(__xludf.DUMMYFUNCTION("""COMPUTED_VALUE"""),"before night falls")</f>
        <v>before night falls</v>
      </c>
      <c r="B5645" s="1" t="str">
        <f>IF(A5645&lt;&gt;"", VLOOKUP(A5645, imdb_netflix_v5!A$2:H$7370, 2, FALSE), "")</f>
        <v>Movie</v>
      </c>
      <c r="C5645" s="2" t="str">
        <f>IF(A5645&lt;&gt;"", VLOOKUP(A5645, imdb_netflix_v5!A$2:H$7370, 3, FALSE), "")</f>
        <v>Biography, Drama, Romance</v>
      </c>
      <c r="D5645" s="2">
        <f>IF(A5645&lt;&gt;"", VLOOKUP(A5645, imdb_netflix_v5!A$2:H$7370, 4, FALSE), "")</f>
        <v>7.1</v>
      </c>
      <c r="E5645" s="2">
        <f>IF(A5645&lt;&gt;"", VLOOKUP(A5645, imdb_netflix_v5!A$2:H$7370, 5, FALSE), "")</f>
        <v>2000</v>
      </c>
      <c r="F5645" s="2" t="str">
        <f>IF(A5645&lt;&gt;"", VLOOKUP(A5645, imdb_netflix_v5!A$2:H$7370, 7, FALSE), "")</f>
        <v>NA</v>
      </c>
    </row>
    <row r="5646" ht="15.75" customHeight="1">
      <c r="A5646" s="1" t="str">
        <f>IFERROR(__xludf.DUMMYFUNCTION("""COMPUTED_VALUE"""),"caprica")</f>
        <v>caprica</v>
      </c>
      <c r="B5646" s="1" t="str">
        <f>IF(A5646&lt;&gt;"", VLOOKUP(A5646, imdb_netflix_v5!A$2:H$7370, 2, FALSE), "")</f>
        <v>TV Show</v>
      </c>
      <c r="C5646" s="2" t="str">
        <f>IF(A5646&lt;&gt;"", VLOOKUP(A5646, imdb_netflix_v5!A$2:H$7370, 3, FALSE), "")</f>
        <v>Action, Drama, Sci-Fi</v>
      </c>
      <c r="D5646" s="2">
        <f>IF(A5646&lt;&gt;"", VLOOKUP(A5646, imdb_netflix_v5!A$2:H$7370, 4, FALSE), "")</f>
        <v>7.1</v>
      </c>
      <c r="E5646" s="2">
        <f>IF(A5646&lt;&gt;"", VLOOKUP(A5646, imdb_netflix_v5!A$2:H$7370, 5, FALSE), "")</f>
        <v>2009</v>
      </c>
      <c r="F5646" s="2" t="str">
        <f>IF(A5646&lt;&gt;"", VLOOKUP(A5646, imdb_netflix_v5!A$2:H$7370, 7, FALSE), "")</f>
        <v>NA</v>
      </c>
    </row>
    <row r="5647" ht="15.75" customHeight="1">
      <c r="A5647" s="1" t="str">
        <f>IFERROR(__xludf.DUMMYFUNCTION("""COMPUTED_VALUE"""),"the apprentice")</f>
        <v>the apprentice</v>
      </c>
      <c r="B5647" s="1" t="str">
        <f>IF(A5647&lt;&gt;"", VLOOKUP(A5647, imdb_netflix_v5!A$2:H$7370, 2, FALSE), "")</f>
        <v>Movie</v>
      </c>
      <c r="C5647" s="2" t="str">
        <f>IF(A5647&lt;&gt;"", VLOOKUP(A5647, imdb_netflix_v5!A$2:H$7370, 3, FALSE), "")</f>
        <v>Biography, Drama, History</v>
      </c>
      <c r="D5647" s="2">
        <f>IF(A5647&lt;&gt;"", VLOOKUP(A5647, imdb_netflix_v5!A$2:H$7370, 4, FALSE), "")</f>
        <v>7.1</v>
      </c>
      <c r="E5647" s="2">
        <f>IF(A5647&lt;&gt;"", VLOOKUP(A5647, imdb_netflix_v5!A$2:H$7370, 5, FALSE), "")</f>
        <v>2024</v>
      </c>
      <c r="F5647" s="2" t="str">
        <f>IF(A5647&lt;&gt;"", VLOOKUP(A5647, imdb_netflix_v5!A$2:H$7370, 7, FALSE), "")</f>
        <v>NA</v>
      </c>
    </row>
    <row r="5648" ht="15.75" customHeight="1">
      <c r="A5648" s="1" t="str">
        <f>IFERROR(__xludf.DUMMYFUNCTION("""COMPUTED_VALUE"""),"salem")</f>
        <v>salem</v>
      </c>
      <c r="B5648" s="1" t="str">
        <f>IF(A5648&lt;&gt;"", VLOOKUP(A5648, imdb_netflix_v5!A$2:H$7370, 2, FALSE), "")</f>
        <v>TV Show</v>
      </c>
      <c r="C5648" s="2" t="str">
        <f>IF(A5648&lt;&gt;"", VLOOKUP(A5648, imdb_netflix_v5!A$2:H$7370, 3, FALSE), "")</f>
        <v>Drama, Fantasy, Horror</v>
      </c>
      <c r="D5648" s="2">
        <f>IF(A5648&lt;&gt;"", VLOOKUP(A5648, imdb_netflix_v5!A$2:H$7370, 4, FALSE), "")</f>
        <v>7.1</v>
      </c>
      <c r="E5648" s="2">
        <f>IF(A5648&lt;&gt;"", VLOOKUP(A5648, imdb_netflix_v5!A$2:H$7370, 5, FALSE), "")</f>
        <v>2014</v>
      </c>
      <c r="F5648" s="2" t="str">
        <f>IF(A5648&lt;&gt;"", VLOOKUP(A5648, imdb_netflix_v5!A$2:H$7370, 7, FALSE), "")</f>
        <v>NA</v>
      </c>
    </row>
    <row r="5649" ht="15.75" customHeight="1">
      <c r="A5649" s="1" t="str">
        <f>IFERROR(__xludf.DUMMYFUNCTION("""COMPUTED_VALUE"""),"the walking dead dead city")</f>
        <v>the walking dead dead city</v>
      </c>
      <c r="B5649" s="1" t="str">
        <f>IF(A5649&lt;&gt;"", VLOOKUP(A5649, imdb_netflix_v5!A$2:H$7370, 2, FALSE), "")</f>
        <v>TV Show</v>
      </c>
      <c r="C5649" s="2" t="str">
        <f>IF(A5649&lt;&gt;"", VLOOKUP(A5649, imdb_netflix_v5!A$2:H$7370, 3, FALSE), "")</f>
        <v>Adventure, Drama, Horror</v>
      </c>
      <c r="D5649" s="2">
        <f>IF(A5649&lt;&gt;"", VLOOKUP(A5649, imdb_netflix_v5!A$2:H$7370, 4, FALSE), "")</f>
        <v>7.1</v>
      </c>
      <c r="E5649" s="2">
        <f>IF(A5649&lt;&gt;"", VLOOKUP(A5649, imdb_netflix_v5!A$2:H$7370, 5, FALSE), "")</f>
        <v>2023</v>
      </c>
      <c r="F5649" s="2" t="str">
        <f>IF(A5649&lt;&gt;"", VLOOKUP(A5649, imdb_netflix_v5!A$2:H$7370, 7, FALSE), "")</f>
        <v>NA</v>
      </c>
    </row>
    <row r="5650" ht="15.75" customHeight="1">
      <c r="A5650" s="1" t="str">
        <f>IFERROR(__xludf.DUMMYFUNCTION("""COMPUTED_VALUE"""),"a good person")</f>
        <v>a good person</v>
      </c>
      <c r="B5650" s="1" t="str">
        <f>IF(A5650&lt;&gt;"", VLOOKUP(A5650, imdb_netflix_v5!A$2:H$7370, 2, FALSE), "")</f>
        <v>Movie</v>
      </c>
      <c r="C5650" s="2" t="str">
        <f>IF(A5650&lt;&gt;"", VLOOKUP(A5650, imdb_netflix_v5!A$2:H$7370, 3, FALSE), "")</f>
        <v>Drama</v>
      </c>
      <c r="D5650" s="2">
        <f>IF(A5650&lt;&gt;"", VLOOKUP(A5650, imdb_netflix_v5!A$2:H$7370, 4, FALSE), "")</f>
        <v>7.1</v>
      </c>
      <c r="E5650" s="2">
        <f>IF(A5650&lt;&gt;"", VLOOKUP(A5650, imdb_netflix_v5!A$2:H$7370, 5, FALSE), "")</f>
        <v>2023</v>
      </c>
      <c r="F5650" s="2" t="str">
        <f>IF(A5650&lt;&gt;"", VLOOKUP(A5650, imdb_netflix_v5!A$2:H$7370, 7, FALSE), "")</f>
        <v>NA</v>
      </c>
    </row>
    <row r="5651" ht="15.75" customHeight="1">
      <c r="A5651" s="1" t="str">
        <f>IFERROR(__xludf.DUMMYFUNCTION("""COMPUTED_VALUE"""),"good luck charlie")</f>
        <v>good luck charlie</v>
      </c>
      <c r="B5651" s="1" t="str">
        <f>IF(A5651&lt;&gt;"", VLOOKUP(A5651, imdb_netflix_v5!A$2:H$7370, 2, FALSE), "")</f>
        <v>TV Show</v>
      </c>
      <c r="C5651" s="2" t="str">
        <f>IF(A5651&lt;&gt;"", VLOOKUP(A5651, imdb_netflix_v5!A$2:H$7370, 3, FALSE), "")</f>
        <v>Comedy, Drama, Family</v>
      </c>
      <c r="D5651" s="2">
        <f>IF(A5651&lt;&gt;"", VLOOKUP(A5651, imdb_netflix_v5!A$2:H$7370, 4, FALSE), "")</f>
        <v>7.1</v>
      </c>
      <c r="E5651" s="2">
        <f>IF(A5651&lt;&gt;"", VLOOKUP(A5651, imdb_netflix_v5!A$2:H$7370, 5, FALSE), "")</f>
        <v>2010</v>
      </c>
      <c r="F5651" s="2" t="str">
        <f>IF(A5651&lt;&gt;"", VLOOKUP(A5651, imdb_netflix_v5!A$2:H$7370, 7, FALSE), "")</f>
        <v>NA</v>
      </c>
    </row>
    <row r="5652" ht="15.75" customHeight="1">
      <c r="A5652" s="1" t="str">
        <f>IFERROR(__xludf.DUMMYFUNCTION("""COMPUTED_VALUE"""),"american underdog")</f>
        <v>american underdog</v>
      </c>
      <c r="B5652" s="1" t="str">
        <f>IF(A5652&lt;&gt;"", VLOOKUP(A5652, imdb_netflix_v5!A$2:H$7370, 2, FALSE), "")</f>
        <v>Movie</v>
      </c>
      <c r="C5652" s="2" t="str">
        <f>IF(A5652&lt;&gt;"", VLOOKUP(A5652, imdb_netflix_v5!A$2:H$7370, 3, FALSE), "")</f>
        <v>Biography, Drama, Romance</v>
      </c>
      <c r="D5652" s="2">
        <f>IF(A5652&lt;&gt;"", VLOOKUP(A5652, imdb_netflix_v5!A$2:H$7370, 4, FALSE), "")</f>
        <v>7.1</v>
      </c>
      <c r="E5652" s="2">
        <f>IF(A5652&lt;&gt;"", VLOOKUP(A5652, imdb_netflix_v5!A$2:H$7370, 5, FALSE), "")</f>
        <v>2021</v>
      </c>
      <c r="F5652" s="2" t="str">
        <f>IF(A5652&lt;&gt;"", VLOOKUP(A5652, imdb_netflix_v5!A$2:H$7370, 7, FALSE), "")</f>
        <v>NA</v>
      </c>
    </row>
    <row r="5653" ht="15.75" customHeight="1">
      <c r="A5653" s="1" t="str">
        <f>IFERROR(__xludf.DUMMYFUNCTION("""COMPUTED_VALUE"""),"the bird with the crystal plumage")</f>
        <v>the bird with the crystal plumage</v>
      </c>
      <c r="B5653" s="1" t="str">
        <f>IF(A5653&lt;&gt;"", VLOOKUP(A5653, imdb_netflix_v5!A$2:H$7370, 2, FALSE), "")</f>
        <v>Movie</v>
      </c>
      <c r="C5653" s="2" t="str">
        <f>IF(A5653&lt;&gt;"", VLOOKUP(A5653, imdb_netflix_v5!A$2:H$7370, 3, FALSE), "")</f>
        <v>Horror, Mystery, Thriller</v>
      </c>
      <c r="D5653" s="2">
        <f>IF(A5653&lt;&gt;"", VLOOKUP(A5653, imdb_netflix_v5!A$2:H$7370, 4, FALSE), "")</f>
        <v>7.1</v>
      </c>
      <c r="E5653" s="2">
        <f>IF(A5653&lt;&gt;"", VLOOKUP(A5653, imdb_netflix_v5!A$2:H$7370, 5, FALSE), "")</f>
        <v>1970</v>
      </c>
      <c r="F5653" s="2" t="str">
        <f>IF(A5653&lt;&gt;"", VLOOKUP(A5653, imdb_netflix_v5!A$2:H$7370, 7, FALSE), "")</f>
        <v>NA</v>
      </c>
    </row>
    <row r="5654" ht="15.75" customHeight="1">
      <c r="A5654" s="1" t="str">
        <f>IFERROR(__xludf.DUMMYFUNCTION("""COMPUTED_VALUE"""),"sonu ke titu ki sweety")</f>
        <v>sonu ke titu ki sweety</v>
      </c>
      <c r="B5654" s="1" t="str">
        <f>IF(A5654&lt;&gt;"", VLOOKUP(A5654, imdb_netflix_v5!A$2:H$7370, 2, FALSE), "")</f>
        <v>Movie</v>
      </c>
      <c r="C5654" s="2" t="str">
        <f>IF(A5654&lt;&gt;"", VLOOKUP(A5654, imdb_netflix_v5!A$2:H$7370, 3, FALSE), "")</f>
        <v>Comedy, Romance</v>
      </c>
      <c r="D5654" s="2">
        <f>IF(A5654&lt;&gt;"", VLOOKUP(A5654, imdb_netflix_v5!A$2:H$7370, 4, FALSE), "")</f>
        <v>7.1</v>
      </c>
      <c r="E5654" s="2">
        <f>IF(A5654&lt;&gt;"", VLOOKUP(A5654, imdb_netflix_v5!A$2:H$7370, 5, FALSE), "")</f>
        <v>2018</v>
      </c>
      <c r="F5654" s="2" t="str">
        <f>IF(A5654&lt;&gt;"", VLOOKUP(A5654, imdb_netflix_v5!A$2:H$7370, 7, FALSE), "")</f>
        <v>NA</v>
      </c>
    </row>
    <row r="5655" ht="15.75" customHeight="1">
      <c r="A5655" s="1" t="str">
        <f>IFERROR(__xludf.DUMMYFUNCTION("""COMPUTED_VALUE"""),"the vaccine war")</f>
        <v>the vaccine war</v>
      </c>
      <c r="B5655" s="1" t="str">
        <f>IF(A5655&lt;&gt;"", VLOOKUP(A5655, imdb_netflix_v5!A$2:H$7370, 2, FALSE), "")</f>
        <v>Movie</v>
      </c>
      <c r="C5655" s="2" t="str">
        <f>IF(A5655&lt;&gt;"", VLOOKUP(A5655, imdb_netflix_v5!A$2:H$7370, 3, FALSE), "")</f>
        <v>Drama, Thriller</v>
      </c>
      <c r="D5655" s="2">
        <f>IF(A5655&lt;&gt;"", VLOOKUP(A5655, imdb_netflix_v5!A$2:H$7370, 4, FALSE), "")</f>
        <v>7.1</v>
      </c>
      <c r="E5655" s="2">
        <f>IF(A5655&lt;&gt;"", VLOOKUP(A5655, imdb_netflix_v5!A$2:H$7370, 5, FALSE), "")</f>
        <v>2023</v>
      </c>
      <c r="F5655" s="2" t="str">
        <f>IF(A5655&lt;&gt;"", VLOOKUP(A5655, imdb_netflix_v5!A$2:H$7370, 7, FALSE), "")</f>
        <v>NA</v>
      </c>
    </row>
    <row r="5656" ht="15.75" customHeight="1">
      <c r="A5656" s="1" t="str">
        <f>IFERROR(__xludf.DUMMYFUNCTION("""COMPUTED_VALUE"""),"gods crooked lines")</f>
        <v>gods crooked lines</v>
      </c>
      <c r="B5656" s="1" t="str">
        <f>IF(A5656&lt;&gt;"", VLOOKUP(A5656, imdb_netflix_v5!A$2:H$7370, 2, FALSE), "")</f>
        <v>Movie</v>
      </c>
      <c r="C5656" s="2" t="str">
        <f>IF(A5656&lt;&gt;"", VLOOKUP(A5656, imdb_netflix_v5!A$2:H$7370, 3, FALSE), "")</f>
        <v>Drama, Mystery, Thriller</v>
      </c>
      <c r="D5656" s="2">
        <f>IF(A5656&lt;&gt;"", VLOOKUP(A5656, imdb_netflix_v5!A$2:H$7370, 4, FALSE), "")</f>
        <v>7.1</v>
      </c>
      <c r="E5656" s="2">
        <f>IF(A5656&lt;&gt;"", VLOOKUP(A5656, imdb_netflix_v5!A$2:H$7370, 5, FALSE), "")</f>
        <v>2022</v>
      </c>
      <c r="F5656" s="2">
        <f>IF(A5656&lt;&gt;"", VLOOKUP(A5656, imdb_netflix_v5!A$2:H$7370, 7, FALSE), "")</f>
        <v>3450000</v>
      </c>
    </row>
    <row r="5657" ht="15.75" customHeight="1">
      <c r="A5657" s="1" t="str">
        <f>IFERROR(__xludf.DUMMYFUNCTION("""COMPUTED_VALUE"""),"fbi")</f>
        <v>fbi</v>
      </c>
      <c r="B5657" s="1" t="str">
        <f>IF(A5657&lt;&gt;"", VLOOKUP(A5657, imdb_netflix_v5!A$2:H$7370, 2, FALSE), "")</f>
        <v>TV Show</v>
      </c>
      <c r="C5657" s="2" t="str">
        <f>IF(A5657&lt;&gt;"", VLOOKUP(A5657, imdb_netflix_v5!A$2:H$7370, 3, FALSE), "")</f>
        <v>Action, Crime, Drama</v>
      </c>
      <c r="D5657" s="2">
        <f>IF(A5657&lt;&gt;"", VLOOKUP(A5657, imdb_netflix_v5!A$2:H$7370, 4, FALSE), "")</f>
        <v>7.1</v>
      </c>
      <c r="E5657" s="2">
        <f>IF(A5657&lt;&gt;"", VLOOKUP(A5657, imdb_netflix_v5!A$2:H$7370, 5, FALSE), "")</f>
        <v>2018</v>
      </c>
      <c r="F5657" s="2" t="str">
        <f>IF(A5657&lt;&gt;"", VLOOKUP(A5657, imdb_netflix_v5!A$2:H$7370, 7, FALSE), "")</f>
        <v>NA</v>
      </c>
    </row>
    <row r="5658" ht="15.75" customHeight="1">
      <c r="A5658" s="1" t="str">
        <f>IFERROR(__xludf.DUMMYFUNCTION("""COMPUTED_VALUE"""),"frontier")</f>
        <v>frontier</v>
      </c>
      <c r="B5658" s="1" t="str">
        <f>IF(A5658&lt;&gt;"", VLOOKUP(A5658, imdb_netflix_v5!A$2:H$7370, 2, FALSE), "")</f>
        <v>TV Show</v>
      </c>
      <c r="C5658" s="2" t="str">
        <f>IF(A5658&lt;&gt;"", VLOOKUP(A5658, imdb_netflix_v5!A$2:H$7370, 3, FALSE), "")</f>
        <v>Adventure, Drama, History</v>
      </c>
      <c r="D5658" s="2">
        <f>IF(A5658&lt;&gt;"", VLOOKUP(A5658, imdb_netflix_v5!A$2:H$7370, 4, FALSE), "")</f>
        <v>7.1</v>
      </c>
      <c r="E5658" s="2">
        <f>IF(A5658&lt;&gt;"", VLOOKUP(A5658, imdb_netflix_v5!A$2:H$7370, 5, FALSE), "")</f>
        <v>2016</v>
      </c>
      <c r="F5658" s="2" t="str">
        <f>IF(A5658&lt;&gt;"", VLOOKUP(A5658, imdb_netflix_v5!A$2:H$7370, 7, FALSE), "")</f>
        <v>NA</v>
      </c>
    </row>
    <row r="5659" ht="15.75" customHeight="1">
      <c r="A5659" s="1" t="str">
        <f>IFERROR(__xludf.DUMMYFUNCTION("""COMPUTED_VALUE"""),"dragon ball z resurrection f")</f>
        <v>dragon ball z resurrection f</v>
      </c>
      <c r="B5659" s="1" t="str">
        <f>IF(A5659&lt;&gt;"", VLOOKUP(A5659, imdb_netflix_v5!A$2:H$7370, 2, FALSE), "")</f>
        <v>Movie</v>
      </c>
      <c r="C5659" s="2" t="str">
        <f>IF(A5659&lt;&gt;"", VLOOKUP(A5659, imdb_netflix_v5!A$2:H$7370, 3, FALSE), "")</f>
        <v>Action, Adventure, Animation</v>
      </c>
      <c r="D5659" s="2">
        <f>IF(A5659&lt;&gt;"", VLOOKUP(A5659, imdb_netflix_v5!A$2:H$7370, 4, FALSE), "")</f>
        <v>7.1</v>
      </c>
      <c r="E5659" s="2">
        <f>IF(A5659&lt;&gt;"", VLOOKUP(A5659, imdb_netflix_v5!A$2:H$7370, 5, FALSE), "")</f>
        <v>2015</v>
      </c>
      <c r="F5659" s="2" t="str">
        <f>IF(A5659&lt;&gt;"", VLOOKUP(A5659, imdb_netflix_v5!A$2:H$7370, 7, FALSE), "")</f>
        <v>NA</v>
      </c>
    </row>
    <row r="5660" ht="15.75" customHeight="1">
      <c r="A5660" s="1" t="str">
        <f>IFERROR(__xludf.DUMMYFUNCTION("""COMPUTED_VALUE"""),"how the west was won")</f>
        <v>how the west was won</v>
      </c>
      <c r="B5660" s="1" t="str">
        <f>IF(A5660&lt;&gt;"", VLOOKUP(A5660, imdb_netflix_v5!A$2:H$7370, 2, FALSE), "")</f>
        <v>Movie</v>
      </c>
      <c r="C5660" s="2" t="str">
        <f>IF(A5660&lt;&gt;"", VLOOKUP(A5660, imdb_netflix_v5!A$2:H$7370, 3, FALSE), "")</f>
        <v>Adventure, War, Western</v>
      </c>
      <c r="D5660" s="2">
        <f>IF(A5660&lt;&gt;"", VLOOKUP(A5660, imdb_netflix_v5!A$2:H$7370, 4, FALSE), "")</f>
        <v>7.1</v>
      </c>
      <c r="E5660" s="2">
        <f>IF(A5660&lt;&gt;"", VLOOKUP(A5660, imdb_netflix_v5!A$2:H$7370, 5, FALSE), "")</f>
        <v>1962</v>
      </c>
      <c r="F5660" s="2" t="str">
        <f>IF(A5660&lt;&gt;"", VLOOKUP(A5660, imdb_netflix_v5!A$2:H$7370, 7, FALSE), "")</f>
        <v>NA</v>
      </c>
    </row>
    <row r="5661" ht="15.75" customHeight="1">
      <c r="A5661" s="1" t="str">
        <f>IFERROR(__xludf.DUMMYFUNCTION("""COMPUTED_VALUE"""),"station 19")</f>
        <v>station 19</v>
      </c>
      <c r="B5661" s="1" t="str">
        <f>IF(A5661&lt;&gt;"", VLOOKUP(A5661, imdb_netflix_v5!A$2:H$7370, 2, FALSE), "")</f>
        <v>TV Show</v>
      </c>
      <c r="C5661" s="2" t="str">
        <f>IF(A5661&lt;&gt;"", VLOOKUP(A5661, imdb_netflix_v5!A$2:H$7370, 3, FALSE), "")</f>
        <v>Action, Drama, Romance</v>
      </c>
      <c r="D5661" s="2">
        <f>IF(A5661&lt;&gt;"", VLOOKUP(A5661, imdb_netflix_v5!A$2:H$7370, 4, FALSE), "")</f>
        <v>7.1</v>
      </c>
      <c r="E5661" s="2">
        <f>IF(A5661&lt;&gt;"", VLOOKUP(A5661, imdb_netflix_v5!A$2:H$7370, 5, FALSE), "")</f>
        <v>2018</v>
      </c>
      <c r="F5661" s="2" t="str">
        <f>IF(A5661&lt;&gt;"", VLOOKUP(A5661, imdb_netflix_v5!A$2:H$7370, 7, FALSE), "")</f>
        <v>NA</v>
      </c>
    </row>
    <row r="5662" ht="15.75" customHeight="1">
      <c r="A5662" s="1" t="str">
        <f>IFERROR(__xludf.DUMMYFUNCTION("""COMPUTED_VALUE"""),"sector 36")</f>
        <v>sector 36</v>
      </c>
      <c r="B5662" s="1" t="str">
        <f>IF(A5662&lt;&gt;"", VLOOKUP(A5662, imdb_netflix_v5!A$2:H$7370, 2, FALSE), "")</f>
        <v>Movie</v>
      </c>
      <c r="C5662" s="2" t="str">
        <f>IF(A5662&lt;&gt;"", VLOOKUP(A5662, imdb_netflix_v5!A$2:H$7370, 3, FALSE), "")</f>
        <v>Crime, Thriller</v>
      </c>
      <c r="D5662" s="2">
        <f>IF(A5662&lt;&gt;"", VLOOKUP(A5662, imdb_netflix_v5!A$2:H$7370, 4, FALSE), "")</f>
        <v>7.1</v>
      </c>
      <c r="E5662" s="2">
        <f>IF(A5662&lt;&gt;"", VLOOKUP(A5662, imdb_netflix_v5!A$2:H$7370, 5, FALSE), "")</f>
        <v>2024</v>
      </c>
      <c r="F5662" s="2" t="str">
        <f>IF(A5662&lt;&gt;"", VLOOKUP(A5662, imdb_netflix_v5!A$2:H$7370, 7, FALSE), "")</f>
        <v>NA</v>
      </c>
    </row>
    <row r="5663" ht="15.75" customHeight="1">
      <c r="A5663" s="1" t="str">
        <f>IFERROR(__xludf.DUMMYFUNCTION("""COMPUTED_VALUE"""),"the year of living dangerously")</f>
        <v>the year of living dangerously</v>
      </c>
      <c r="B5663" s="1" t="str">
        <f>IF(A5663&lt;&gt;"", VLOOKUP(A5663, imdb_netflix_v5!A$2:H$7370, 2, FALSE), "")</f>
        <v>Movie</v>
      </c>
      <c r="C5663" s="2" t="str">
        <f>IF(A5663&lt;&gt;"", VLOOKUP(A5663, imdb_netflix_v5!A$2:H$7370, 3, FALSE), "")</f>
        <v>Drama, Romance, War</v>
      </c>
      <c r="D5663" s="2">
        <f>IF(A5663&lt;&gt;"", VLOOKUP(A5663, imdb_netflix_v5!A$2:H$7370, 4, FALSE), "")</f>
        <v>7.1</v>
      </c>
      <c r="E5663" s="2">
        <f>IF(A5663&lt;&gt;"", VLOOKUP(A5663, imdb_netflix_v5!A$2:H$7370, 5, FALSE), "")</f>
        <v>1982</v>
      </c>
      <c r="F5663" s="2" t="str">
        <f>IF(A5663&lt;&gt;"", VLOOKUP(A5663, imdb_netflix_v5!A$2:H$7370, 7, FALSE), "")</f>
        <v>NA</v>
      </c>
    </row>
    <row r="5664" ht="15.75" customHeight="1">
      <c r="A5664" s="1" t="str">
        <f>IFERROR(__xludf.DUMMYFUNCTION("""COMPUTED_VALUE"""),"namastey london")</f>
        <v>namastey london</v>
      </c>
      <c r="B5664" s="1" t="str">
        <f>IF(A5664&lt;&gt;"", VLOOKUP(A5664, imdb_netflix_v5!A$2:H$7370, 2, FALSE), "")</f>
        <v>Movie</v>
      </c>
      <c r="C5664" s="2" t="str">
        <f>IF(A5664&lt;&gt;"", VLOOKUP(A5664, imdb_netflix_v5!A$2:H$7370, 3, FALSE), "")</f>
        <v>Comedy, Drama, Romance</v>
      </c>
      <c r="D5664" s="2">
        <f>IF(A5664&lt;&gt;"", VLOOKUP(A5664, imdb_netflix_v5!A$2:H$7370, 4, FALSE), "")</f>
        <v>7.1</v>
      </c>
      <c r="E5664" s="2">
        <f>IF(A5664&lt;&gt;"", VLOOKUP(A5664, imdb_netflix_v5!A$2:H$7370, 5, FALSE), "")</f>
        <v>2007</v>
      </c>
      <c r="F5664" s="2" t="str">
        <f>IF(A5664&lt;&gt;"", VLOOKUP(A5664, imdb_netflix_v5!A$2:H$7370, 7, FALSE), "")</f>
        <v>NA</v>
      </c>
    </row>
    <row r="5665" ht="15.75" customHeight="1">
      <c r="A5665" s="1" t="str">
        <f>IFERROR(__xludf.DUMMYFUNCTION("""COMPUTED_VALUE"""),"police story 2")</f>
        <v>police story 2</v>
      </c>
      <c r="B5665" s="1" t="str">
        <f>IF(A5665&lt;&gt;"", VLOOKUP(A5665, imdb_netflix_v5!A$2:H$7370, 2, FALSE), "")</f>
        <v>Movie</v>
      </c>
      <c r="C5665" s="2" t="str">
        <f>IF(A5665&lt;&gt;"", VLOOKUP(A5665, imdb_netflix_v5!A$2:H$7370, 3, FALSE), "")</f>
        <v>Action, Comedy, Crime</v>
      </c>
      <c r="D5665" s="2">
        <f>IF(A5665&lt;&gt;"", VLOOKUP(A5665, imdb_netflix_v5!A$2:H$7370, 4, FALSE), "")</f>
        <v>7.1</v>
      </c>
      <c r="E5665" s="2">
        <f>IF(A5665&lt;&gt;"", VLOOKUP(A5665, imdb_netflix_v5!A$2:H$7370, 5, FALSE), "")</f>
        <v>1988</v>
      </c>
      <c r="F5665" s="2" t="str">
        <f>IF(A5665&lt;&gt;"", VLOOKUP(A5665, imdb_netflix_v5!A$2:H$7370, 7, FALSE), "")</f>
        <v>NA</v>
      </c>
    </row>
    <row r="5666" ht="15.75" customHeight="1">
      <c r="A5666" s="1" t="str">
        <f>IFERROR(__xludf.DUMMYFUNCTION("""COMPUTED_VALUE"""),"bull")</f>
        <v>bull</v>
      </c>
      <c r="B5666" s="1" t="str">
        <f>IF(A5666&lt;&gt;"", VLOOKUP(A5666, imdb_netflix_v5!A$2:H$7370, 2, FALSE), "")</f>
        <v>TV Show</v>
      </c>
      <c r="C5666" s="2" t="str">
        <f>IF(A5666&lt;&gt;"", VLOOKUP(A5666, imdb_netflix_v5!A$2:H$7370, 3, FALSE), "")</f>
        <v>Comedy, Crime, Drama</v>
      </c>
      <c r="D5666" s="2">
        <f>IF(A5666&lt;&gt;"", VLOOKUP(A5666, imdb_netflix_v5!A$2:H$7370, 4, FALSE), "")</f>
        <v>7.1</v>
      </c>
      <c r="E5666" s="2">
        <f>IF(A5666&lt;&gt;"", VLOOKUP(A5666, imdb_netflix_v5!A$2:H$7370, 5, FALSE), "")</f>
        <v>2016</v>
      </c>
      <c r="F5666" s="2" t="str">
        <f>IF(A5666&lt;&gt;"", VLOOKUP(A5666, imdb_netflix_v5!A$2:H$7370, 7, FALSE), "")</f>
        <v>NA</v>
      </c>
    </row>
    <row r="5667" ht="15.75" customHeight="1">
      <c r="A5667" s="1" t="str">
        <f>IFERROR(__xludf.DUMMYFUNCTION("""COMPUTED_VALUE"""),"trash")</f>
        <v>trash</v>
      </c>
      <c r="B5667" s="1" t="str">
        <f>IF(A5667&lt;&gt;"", VLOOKUP(A5667, imdb_netflix_v5!A$2:H$7370, 2, FALSE), "")</f>
        <v>Movie</v>
      </c>
      <c r="C5667" s="2" t="str">
        <f>IF(A5667&lt;&gt;"", VLOOKUP(A5667, imdb_netflix_v5!A$2:H$7370, 3, FALSE), "")</f>
        <v>Adventure, Crime, Drama</v>
      </c>
      <c r="D5667" s="2">
        <f>IF(A5667&lt;&gt;"", VLOOKUP(A5667, imdb_netflix_v5!A$2:H$7370, 4, FALSE), "")</f>
        <v>7.1</v>
      </c>
      <c r="E5667" s="2">
        <f>IF(A5667&lt;&gt;"", VLOOKUP(A5667, imdb_netflix_v5!A$2:H$7370, 5, FALSE), "")</f>
        <v>2014</v>
      </c>
      <c r="F5667" s="2" t="str">
        <f>IF(A5667&lt;&gt;"", VLOOKUP(A5667, imdb_netflix_v5!A$2:H$7370, 7, FALSE), "")</f>
        <v>NA</v>
      </c>
    </row>
    <row r="5668" ht="15.75" customHeight="1">
      <c r="A5668" s="1" t="str">
        <f>IFERROR(__xludf.DUMMYFUNCTION("""COMPUTED_VALUE"""),"silkwood")</f>
        <v>silkwood</v>
      </c>
      <c r="B5668" s="1" t="str">
        <f>IF(A5668&lt;&gt;"", VLOOKUP(A5668, imdb_netflix_v5!A$2:H$7370, 2, FALSE), "")</f>
        <v>Movie</v>
      </c>
      <c r="C5668" s="2" t="str">
        <f>IF(A5668&lt;&gt;"", VLOOKUP(A5668, imdb_netflix_v5!A$2:H$7370, 3, FALSE), "")</f>
        <v>Biography, Drama, History</v>
      </c>
      <c r="D5668" s="2">
        <f>IF(A5668&lt;&gt;"", VLOOKUP(A5668, imdb_netflix_v5!A$2:H$7370, 4, FALSE), "")</f>
        <v>7.1</v>
      </c>
      <c r="E5668" s="2">
        <f>IF(A5668&lt;&gt;"", VLOOKUP(A5668, imdb_netflix_v5!A$2:H$7370, 5, FALSE), "")</f>
        <v>1983</v>
      </c>
      <c r="F5668" s="2" t="str">
        <f>IF(A5668&lt;&gt;"", VLOOKUP(A5668, imdb_netflix_v5!A$2:H$7370, 7, FALSE), "")</f>
        <v>NA</v>
      </c>
    </row>
    <row r="5669" ht="15.75" customHeight="1">
      <c r="A5669" s="1" t="str">
        <f>IFERROR(__xludf.DUMMYFUNCTION("""COMPUTED_VALUE"""),"southern comfort")</f>
        <v>southern comfort</v>
      </c>
      <c r="B5669" s="1" t="str">
        <f>IF(A5669&lt;&gt;"", VLOOKUP(A5669, imdb_netflix_v5!A$2:H$7370, 2, FALSE), "")</f>
        <v>Movie</v>
      </c>
      <c r="C5669" s="2" t="str">
        <f>IF(A5669&lt;&gt;"", VLOOKUP(A5669, imdb_netflix_v5!A$2:H$7370, 3, FALSE), "")</f>
        <v>Action, Thriller</v>
      </c>
      <c r="D5669" s="2">
        <f>IF(A5669&lt;&gt;"", VLOOKUP(A5669, imdb_netflix_v5!A$2:H$7370, 4, FALSE), "")</f>
        <v>7.1</v>
      </c>
      <c r="E5669" s="2">
        <f>IF(A5669&lt;&gt;"", VLOOKUP(A5669, imdb_netflix_v5!A$2:H$7370, 5, FALSE), "")</f>
        <v>1981</v>
      </c>
      <c r="F5669" s="2" t="str">
        <f>IF(A5669&lt;&gt;"", VLOOKUP(A5669, imdb_netflix_v5!A$2:H$7370, 7, FALSE), "")</f>
        <v>NA</v>
      </c>
    </row>
    <row r="5670" ht="15.75" customHeight="1">
      <c r="A5670" s="1" t="str">
        <f>IFERROR(__xludf.DUMMYFUNCTION("""COMPUTED_VALUE"""),"first cow")</f>
        <v>first cow</v>
      </c>
      <c r="B5670" s="1" t="str">
        <f>IF(A5670&lt;&gt;"", VLOOKUP(A5670, imdb_netflix_v5!A$2:H$7370, 2, FALSE), "")</f>
        <v>Movie</v>
      </c>
      <c r="C5670" s="2" t="str">
        <f>IF(A5670&lt;&gt;"", VLOOKUP(A5670, imdb_netflix_v5!A$2:H$7370, 3, FALSE), "")</f>
        <v>Drama, Western</v>
      </c>
      <c r="D5670" s="2">
        <f>IF(A5670&lt;&gt;"", VLOOKUP(A5670, imdb_netflix_v5!A$2:H$7370, 4, FALSE), "")</f>
        <v>7.1</v>
      </c>
      <c r="E5670" s="2">
        <f>IF(A5670&lt;&gt;"", VLOOKUP(A5670, imdb_netflix_v5!A$2:H$7370, 5, FALSE), "")</f>
        <v>2019</v>
      </c>
      <c r="F5670" s="2" t="str">
        <f>IF(A5670&lt;&gt;"", VLOOKUP(A5670, imdb_netflix_v5!A$2:H$7370, 7, FALSE), "")</f>
        <v>NA</v>
      </c>
    </row>
    <row r="5671" ht="15.75" customHeight="1">
      <c r="A5671" s="1" t="str">
        <f>IFERROR(__xludf.DUMMYFUNCTION("""COMPUTED_VALUE"""),"into the white")</f>
        <v>into the white</v>
      </c>
      <c r="B5671" s="1" t="str">
        <f>IF(A5671&lt;&gt;"", VLOOKUP(A5671, imdb_netflix_v5!A$2:H$7370, 2, FALSE), "")</f>
        <v>Movie</v>
      </c>
      <c r="C5671" s="2" t="str">
        <f>IF(A5671&lt;&gt;"", VLOOKUP(A5671, imdb_netflix_v5!A$2:H$7370, 3, FALSE), "")</f>
        <v>Action, Biography, Drama</v>
      </c>
      <c r="D5671" s="2">
        <f>IF(A5671&lt;&gt;"", VLOOKUP(A5671, imdb_netflix_v5!A$2:H$7370, 4, FALSE), "")</f>
        <v>7.1</v>
      </c>
      <c r="E5671" s="2">
        <f>IF(A5671&lt;&gt;"", VLOOKUP(A5671, imdb_netflix_v5!A$2:H$7370, 5, FALSE), "")</f>
        <v>2012</v>
      </c>
      <c r="F5671" s="2" t="str">
        <f>IF(A5671&lt;&gt;"", VLOOKUP(A5671, imdb_netflix_v5!A$2:H$7370, 7, FALSE), "")</f>
        <v>NA</v>
      </c>
    </row>
    <row r="5672" ht="15.75" customHeight="1">
      <c r="A5672" s="1" t="str">
        <f>IFERROR(__xludf.DUMMYFUNCTION("""COMPUTED_VALUE"""),"the parallax view")</f>
        <v>the parallax view</v>
      </c>
      <c r="B5672" s="1" t="str">
        <f>IF(A5672&lt;&gt;"", VLOOKUP(A5672, imdb_netflix_v5!A$2:H$7370, 2, FALSE), "")</f>
        <v>Movie</v>
      </c>
      <c r="C5672" s="2" t="str">
        <f>IF(A5672&lt;&gt;"", VLOOKUP(A5672, imdb_netflix_v5!A$2:H$7370, 3, FALSE), "")</f>
        <v>Drama, Mystery, Thriller</v>
      </c>
      <c r="D5672" s="2">
        <f>IF(A5672&lt;&gt;"", VLOOKUP(A5672, imdb_netflix_v5!A$2:H$7370, 4, FALSE), "")</f>
        <v>7.1</v>
      </c>
      <c r="E5672" s="2">
        <f>IF(A5672&lt;&gt;"", VLOOKUP(A5672, imdb_netflix_v5!A$2:H$7370, 5, FALSE), "")</f>
        <v>1974</v>
      </c>
      <c r="F5672" s="2" t="str">
        <f>IF(A5672&lt;&gt;"", VLOOKUP(A5672, imdb_netflix_v5!A$2:H$7370, 7, FALSE), "")</f>
        <v>NA</v>
      </c>
    </row>
    <row r="5673" ht="15.75" customHeight="1">
      <c r="A5673" s="1" t="str">
        <f>IFERROR(__xludf.DUMMYFUNCTION("""COMPUTED_VALUE"""),"juror #2")</f>
        <v>juror #2</v>
      </c>
      <c r="B5673" s="1" t="str">
        <f>IF(A5673&lt;&gt;"", VLOOKUP(A5673, imdb_netflix_v5!A$2:H$7370, 2, FALSE), "")</f>
        <v>Movie</v>
      </c>
      <c r="C5673" s="2" t="str">
        <f>IF(A5673&lt;&gt;"", VLOOKUP(A5673, imdb_netflix_v5!A$2:H$7370, 3, FALSE), "")</f>
        <v>Crime, Drama, Mystery</v>
      </c>
      <c r="D5673" s="2">
        <f>IF(A5673&lt;&gt;"", VLOOKUP(A5673, imdb_netflix_v5!A$2:H$7370, 4, FALSE), "")</f>
        <v>7.1</v>
      </c>
      <c r="E5673" s="2">
        <f>IF(A5673&lt;&gt;"", VLOOKUP(A5673, imdb_netflix_v5!A$2:H$7370, 5, FALSE), "")</f>
        <v>2024</v>
      </c>
      <c r="F5673" s="2" t="str">
        <f>IF(A5673&lt;&gt;"", VLOOKUP(A5673, imdb_netflix_v5!A$2:H$7370, 7, FALSE), "")</f>
        <v>NA</v>
      </c>
    </row>
    <row r="5674" ht="15.75" customHeight="1">
      <c r="A5674" s="1" t="str">
        <f>IFERROR(__xludf.DUMMYFUNCTION("""COMPUTED_VALUE"""),"barfly")</f>
        <v>barfly</v>
      </c>
      <c r="B5674" s="1" t="str">
        <f>IF(A5674&lt;&gt;"", VLOOKUP(A5674, imdb_netflix_v5!A$2:H$7370, 2, FALSE), "")</f>
        <v>Movie</v>
      </c>
      <c r="C5674" s="2" t="str">
        <f>IF(A5674&lt;&gt;"", VLOOKUP(A5674, imdb_netflix_v5!A$2:H$7370, 3, FALSE), "")</f>
        <v>Comedy, Drama, Romance</v>
      </c>
      <c r="D5674" s="2">
        <f>IF(A5674&lt;&gt;"", VLOOKUP(A5674, imdb_netflix_v5!A$2:H$7370, 4, FALSE), "")</f>
        <v>7.1</v>
      </c>
      <c r="E5674" s="2">
        <f>IF(A5674&lt;&gt;"", VLOOKUP(A5674, imdb_netflix_v5!A$2:H$7370, 5, FALSE), "")</f>
        <v>1987</v>
      </c>
      <c r="F5674" s="2" t="str">
        <f>IF(A5674&lt;&gt;"", VLOOKUP(A5674, imdb_netflix_v5!A$2:H$7370, 7, FALSE), "")</f>
        <v>NA</v>
      </c>
    </row>
    <row r="5675" ht="15.75" customHeight="1">
      <c r="A5675" s="1" t="str">
        <f>IFERROR(__xludf.DUMMYFUNCTION("""COMPUTED_VALUE"""),"the longest yard")</f>
        <v>the longest yard</v>
      </c>
      <c r="B5675" s="1" t="str">
        <f>IF(A5675&lt;&gt;"", VLOOKUP(A5675, imdb_netflix_v5!A$2:H$7370, 2, FALSE), "")</f>
        <v>Movie</v>
      </c>
      <c r="C5675" s="2" t="str">
        <f>IF(A5675&lt;&gt;"", VLOOKUP(A5675, imdb_netflix_v5!A$2:H$7370, 3, FALSE), "")</f>
        <v>Comedy, Crime, Drama</v>
      </c>
      <c r="D5675" s="2">
        <f>IF(A5675&lt;&gt;"", VLOOKUP(A5675, imdb_netflix_v5!A$2:H$7370, 4, FALSE), "")</f>
        <v>7.1</v>
      </c>
      <c r="E5675" s="2">
        <f>IF(A5675&lt;&gt;"", VLOOKUP(A5675, imdb_netflix_v5!A$2:H$7370, 5, FALSE), "")</f>
        <v>1974</v>
      </c>
      <c r="F5675" s="2">
        <f>IF(A5675&lt;&gt;"", VLOOKUP(A5675, imdb_netflix_v5!A$2:H$7370, 7, FALSE), "")</f>
        <v>9960000</v>
      </c>
    </row>
    <row r="5676" ht="15.75" customHeight="1">
      <c r="A5676" s="1" t="str">
        <f>IFERROR(__xludf.DUMMYFUNCTION("""COMPUTED_VALUE"""),"9th company")</f>
        <v>9th company</v>
      </c>
      <c r="B5676" s="1" t="str">
        <f>IF(A5676&lt;&gt;"", VLOOKUP(A5676, imdb_netflix_v5!A$2:H$7370, 2, FALSE), "")</f>
        <v>Movie</v>
      </c>
      <c r="C5676" s="2" t="str">
        <f>IF(A5676&lt;&gt;"", VLOOKUP(A5676, imdb_netflix_v5!A$2:H$7370, 3, FALSE), "")</f>
        <v>Action, Drama, History</v>
      </c>
      <c r="D5676" s="2">
        <f>IF(A5676&lt;&gt;"", VLOOKUP(A5676, imdb_netflix_v5!A$2:H$7370, 4, FALSE), "")</f>
        <v>7.1</v>
      </c>
      <c r="E5676" s="2">
        <f>IF(A5676&lt;&gt;"", VLOOKUP(A5676, imdb_netflix_v5!A$2:H$7370, 5, FALSE), "")</f>
        <v>2005</v>
      </c>
      <c r="F5676" s="2" t="str">
        <f>IF(A5676&lt;&gt;"", VLOOKUP(A5676, imdb_netflix_v5!A$2:H$7370, 7, FALSE), "")</f>
        <v>NA</v>
      </c>
    </row>
    <row r="5677" ht="15.75" customHeight="1">
      <c r="A5677" s="1" t="str">
        <f>IFERROR(__xludf.DUMMYFUNCTION("""COMPUTED_VALUE"""),"drawn together")</f>
        <v>drawn together</v>
      </c>
      <c r="B5677" s="1" t="str">
        <f>IF(A5677&lt;&gt;"", VLOOKUP(A5677, imdb_netflix_v5!A$2:H$7370, 2, FALSE), "")</f>
        <v>TV Show</v>
      </c>
      <c r="C5677" s="2" t="str">
        <f>IF(A5677&lt;&gt;"", VLOOKUP(A5677, imdb_netflix_v5!A$2:H$7370, 3, FALSE), "")</f>
        <v>Animation, Comedy</v>
      </c>
      <c r="D5677" s="2">
        <f>IF(A5677&lt;&gt;"", VLOOKUP(A5677, imdb_netflix_v5!A$2:H$7370, 4, FALSE), "")</f>
        <v>7.1</v>
      </c>
      <c r="E5677" s="2">
        <f>IF(A5677&lt;&gt;"", VLOOKUP(A5677, imdb_netflix_v5!A$2:H$7370, 5, FALSE), "")</f>
        <v>2004</v>
      </c>
      <c r="F5677" s="2" t="str">
        <f>IF(A5677&lt;&gt;"", VLOOKUP(A5677, imdb_netflix_v5!A$2:H$7370, 7, FALSE), "")</f>
        <v>NA</v>
      </c>
    </row>
    <row r="5678" ht="15.75" customHeight="1">
      <c r="A5678" s="1" t="str">
        <f>IFERROR(__xludf.DUMMYFUNCTION("""COMPUTED_VALUE"""),"khuda haafiz")</f>
        <v>khuda haafiz</v>
      </c>
      <c r="B5678" s="1" t="str">
        <f>IF(A5678&lt;&gt;"", VLOOKUP(A5678, imdb_netflix_v5!A$2:H$7370, 2, FALSE), "")</f>
        <v>Movie</v>
      </c>
      <c r="C5678" s="2" t="str">
        <f>IF(A5678&lt;&gt;"", VLOOKUP(A5678, imdb_netflix_v5!A$2:H$7370, 3, FALSE), "")</f>
        <v>Action, Drama, Thriller</v>
      </c>
      <c r="D5678" s="2">
        <f>IF(A5678&lt;&gt;"", VLOOKUP(A5678, imdb_netflix_v5!A$2:H$7370, 4, FALSE), "")</f>
        <v>7.1</v>
      </c>
      <c r="E5678" s="2">
        <f>IF(A5678&lt;&gt;"", VLOOKUP(A5678, imdb_netflix_v5!A$2:H$7370, 5, FALSE), "")</f>
        <v>2020</v>
      </c>
      <c r="F5678" s="2" t="str">
        <f>IF(A5678&lt;&gt;"", VLOOKUP(A5678, imdb_netflix_v5!A$2:H$7370, 7, FALSE), "")</f>
        <v>NA</v>
      </c>
    </row>
    <row r="5679" ht="15.75" customHeight="1">
      <c r="A5679" s="1" t="str">
        <f>IFERROR(__xludf.DUMMYFUNCTION("""COMPUTED_VALUE"""),"kinky boots")</f>
        <v>kinky boots</v>
      </c>
      <c r="B5679" s="1" t="str">
        <f>IF(A5679&lt;&gt;"", VLOOKUP(A5679, imdb_netflix_v5!A$2:H$7370, 2, FALSE), "")</f>
        <v>Movie</v>
      </c>
      <c r="C5679" s="2" t="str">
        <f>IF(A5679&lt;&gt;"", VLOOKUP(A5679, imdb_netflix_v5!A$2:H$7370, 3, FALSE), "")</f>
        <v>Comedy, Drama, Music</v>
      </c>
      <c r="D5679" s="2">
        <f>IF(A5679&lt;&gt;"", VLOOKUP(A5679, imdb_netflix_v5!A$2:H$7370, 4, FALSE), "")</f>
        <v>7.1</v>
      </c>
      <c r="E5679" s="2">
        <f>IF(A5679&lt;&gt;"", VLOOKUP(A5679, imdb_netflix_v5!A$2:H$7370, 5, FALSE), "")</f>
        <v>2005</v>
      </c>
      <c r="F5679" s="2" t="str">
        <f>IF(A5679&lt;&gt;"", VLOOKUP(A5679, imdb_netflix_v5!A$2:H$7370, 7, FALSE), "")</f>
        <v>NA</v>
      </c>
    </row>
    <row r="5680" ht="15.75" customHeight="1">
      <c r="A5680" s="1" t="str">
        <f>IFERROR(__xludf.DUMMYFUNCTION("""COMPUTED_VALUE"""),"the big red one")</f>
        <v>the big red one</v>
      </c>
      <c r="B5680" s="1" t="str">
        <f>IF(A5680&lt;&gt;"", VLOOKUP(A5680, imdb_netflix_v5!A$2:H$7370, 2, FALSE), "")</f>
        <v>Movie</v>
      </c>
      <c r="C5680" s="2" t="str">
        <f>IF(A5680&lt;&gt;"", VLOOKUP(A5680, imdb_netflix_v5!A$2:H$7370, 3, FALSE), "")</f>
        <v>Drama, War</v>
      </c>
      <c r="D5680" s="2">
        <f>IF(A5680&lt;&gt;"", VLOOKUP(A5680, imdb_netflix_v5!A$2:H$7370, 4, FALSE), "")</f>
        <v>7.1</v>
      </c>
      <c r="E5680" s="2">
        <f>IF(A5680&lt;&gt;"", VLOOKUP(A5680, imdb_netflix_v5!A$2:H$7370, 5, FALSE), "")</f>
        <v>1980</v>
      </c>
      <c r="F5680" s="2" t="str">
        <f>IF(A5680&lt;&gt;"", VLOOKUP(A5680, imdb_netflix_v5!A$2:H$7370, 7, FALSE), "")</f>
        <v>NA</v>
      </c>
    </row>
    <row r="5681" ht="15.75" customHeight="1">
      <c r="A5681" s="1" t="str">
        <f>IFERROR(__xludf.DUMMYFUNCTION("""COMPUTED_VALUE"""),"titus")</f>
        <v>titus</v>
      </c>
      <c r="B5681" s="1" t="str">
        <f>IF(A5681&lt;&gt;"", VLOOKUP(A5681, imdb_netflix_v5!A$2:H$7370, 2, FALSE), "")</f>
        <v>Movie</v>
      </c>
      <c r="C5681" s="2" t="str">
        <f>IF(A5681&lt;&gt;"", VLOOKUP(A5681, imdb_netflix_v5!A$2:H$7370, 3, FALSE), "")</f>
        <v>Drama, History, Thriller</v>
      </c>
      <c r="D5681" s="2">
        <f>IF(A5681&lt;&gt;"", VLOOKUP(A5681, imdb_netflix_v5!A$2:H$7370, 4, FALSE), "")</f>
        <v>7.1</v>
      </c>
      <c r="E5681" s="2">
        <f>IF(A5681&lt;&gt;"", VLOOKUP(A5681, imdb_netflix_v5!A$2:H$7370, 5, FALSE), "")</f>
        <v>1999</v>
      </c>
      <c r="F5681" s="2" t="str">
        <f>IF(A5681&lt;&gt;"", VLOOKUP(A5681, imdb_netflix_v5!A$2:H$7370, 7, FALSE), "")</f>
        <v>NA</v>
      </c>
    </row>
    <row r="5682" ht="15.75" customHeight="1">
      <c r="A5682" s="1" t="str">
        <f>IFERROR(__xludf.DUMMYFUNCTION("""COMPUTED_VALUE"""),"5 to 7")</f>
        <v>5 to 7</v>
      </c>
      <c r="B5682" s="1" t="str">
        <f>IF(A5682&lt;&gt;"", VLOOKUP(A5682, imdb_netflix_v5!A$2:H$7370, 2, FALSE), "")</f>
        <v>Movie</v>
      </c>
      <c r="C5682" s="2" t="str">
        <f>IF(A5682&lt;&gt;"", VLOOKUP(A5682, imdb_netflix_v5!A$2:H$7370, 3, FALSE), "")</f>
        <v>Comedy, Drama, Romance</v>
      </c>
      <c r="D5682" s="2">
        <f>IF(A5682&lt;&gt;"", VLOOKUP(A5682, imdb_netflix_v5!A$2:H$7370, 4, FALSE), "")</f>
        <v>7.1</v>
      </c>
      <c r="E5682" s="2">
        <f>IF(A5682&lt;&gt;"", VLOOKUP(A5682, imdb_netflix_v5!A$2:H$7370, 5, FALSE), "")</f>
        <v>2014</v>
      </c>
      <c r="F5682" s="2" t="str">
        <f>IF(A5682&lt;&gt;"", VLOOKUP(A5682, imdb_netflix_v5!A$2:H$7370, 7, FALSE), "")</f>
        <v>NA</v>
      </c>
    </row>
    <row r="5683" ht="15.75" customHeight="1">
      <c r="A5683" s="1" t="str">
        <f>IFERROR(__xludf.DUMMYFUNCTION("""COMPUTED_VALUE"""),"pele birth of a legend")</f>
        <v>pele birth of a legend</v>
      </c>
      <c r="B5683" s="1" t="str">
        <f>IF(A5683&lt;&gt;"", VLOOKUP(A5683, imdb_netflix_v5!A$2:H$7370, 2, FALSE), "")</f>
        <v>Movie</v>
      </c>
      <c r="C5683" s="2" t="str">
        <f>IF(A5683&lt;&gt;"", VLOOKUP(A5683, imdb_netflix_v5!A$2:H$7370, 3, FALSE), "")</f>
        <v>Biography, Drama, Sport</v>
      </c>
      <c r="D5683" s="2">
        <f>IF(A5683&lt;&gt;"", VLOOKUP(A5683, imdb_netflix_v5!A$2:H$7370, 4, FALSE), "")</f>
        <v>7.1</v>
      </c>
      <c r="E5683" s="2">
        <f>IF(A5683&lt;&gt;"", VLOOKUP(A5683, imdb_netflix_v5!A$2:H$7370, 5, FALSE), "")</f>
        <v>2016</v>
      </c>
      <c r="F5683" s="2" t="str">
        <f>IF(A5683&lt;&gt;"", VLOOKUP(A5683, imdb_netflix_v5!A$2:H$7370, 7, FALSE), "")</f>
        <v>NA</v>
      </c>
    </row>
    <row r="5684" ht="15.75" customHeight="1">
      <c r="A5684" s="1" t="str">
        <f>IFERROR(__xludf.DUMMYFUNCTION("""COMPUTED_VALUE"""),"help!")</f>
        <v>help!</v>
      </c>
      <c r="B5684" s="1" t="str">
        <f>IF(A5684&lt;&gt;"", VLOOKUP(A5684, imdb_netflix_v5!A$2:H$7370, 2, FALSE), "")</f>
        <v>Movie</v>
      </c>
      <c r="C5684" s="2" t="str">
        <f>IF(A5684&lt;&gt;"", VLOOKUP(A5684, imdb_netflix_v5!A$2:H$7370, 3, FALSE), "")</f>
        <v>Adventure, Comedy, Musical</v>
      </c>
      <c r="D5684" s="2">
        <f>IF(A5684&lt;&gt;"", VLOOKUP(A5684, imdb_netflix_v5!A$2:H$7370, 4, FALSE), "")</f>
        <v>7.1</v>
      </c>
      <c r="E5684" s="2">
        <f>IF(A5684&lt;&gt;"", VLOOKUP(A5684, imdb_netflix_v5!A$2:H$7370, 5, FALSE), "")</f>
        <v>1965</v>
      </c>
      <c r="F5684" s="2" t="str">
        <f>IF(A5684&lt;&gt;"", VLOOKUP(A5684, imdb_netflix_v5!A$2:H$7370, 7, FALSE), "")</f>
        <v>NA</v>
      </c>
    </row>
    <row r="5685" ht="15.75" customHeight="1">
      <c r="A5685" s="1" t="str">
        <f>IFERROR(__xludf.DUMMYFUNCTION("""COMPUTED_VALUE"""),"venus in fur")</f>
        <v>venus in fur</v>
      </c>
      <c r="B5685" s="1" t="str">
        <f>IF(A5685&lt;&gt;"", VLOOKUP(A5685, imdb_netflix_v5!A$2:H$7370, 2, FALSE), "")</f>
        <v>Movie</v>
      </c>
      <c r="C5685" s="2" t="str">
        <f>IF(A5685&lt;&gt;"", VLOOKUP(A5685, imdb_netflix_v5!A$2:H$7370, 3, FALSE), "")</f>
        <v>Drama</v>
      </c>
      <c r="D5685" s="2">
        <f>IF(A5685&lt;&gt;"", VLOOKUP(A5685, imdb_netflix_v5!A$2:H$7370, 4, FALSE), "")</f>
        <v>7.1</v>
      </c>
      <c r="E5685" s="2">
        <f>IF(A5685&lt;&gt;"", VLOOKUP(A5685, imdb_netflix_v5!A$2:H$7370, 5, FALSE), "")</f>
        <v>2013</v>
      </c>
      <c r="F5685" s="2" t="str">
        <f>IF(A5685&lt;&gt;"", VLOOKUP(A5685, imdb_netflix_v5!A$2:H$7370, 7, FALSE), "")</f>
        <v>NA</v>
      </c>
    </row>
    <row r="5686" ht="15.75" customHeight="1">
      <c r="A5686" s="1" t="str">
        <f>IFERROR(__xludf.DUMMYFUNCTION("""COMPUTED_VALUE"""),"stargirl")</f>
        <v>stargirl</v>
      </c>
      <c r="B5686" s="1" t="str">
        <f>IF(A5686&lt;&gt;"", VLOOKUP(A5686, imdb_netflix_v5!A$2:H$7370, 2, FALSE), "")</f>
        <v>TV Show</v>
      </c>
      <c r="C5686" s="2" t="str">
        <f>IF(A5686&lt;&gt;"", VLOOKUP(A5686, imdb_netflix_v5!A$2:H$7370, 3, FALSE), "")</f>
        <v>Action, Adventure, Crime</v>
      </c>
      <c r="D5686" s="2">
        <f>IF(A5686&lt;&gt;"", VLOOKUP(A5686, imdb_netflix_v5!A$2:H$7370, 4, FALSE), "")</f>
        <v>7.1</v>
      </c>
      <c r="E5686" s="2">
        <f>IF(A5686&lt;&gt;"", VLOOKUP(A5686, imdb_netflix_v5!A$2:H$7370, 5, FALSE), "")</f>
        <v>2020</v>
      </c>
      <c r="F5686" s="2" t="str">
        <f>IF(A5686&lt;&gt;"", VLOOKUP(A5686, imdb_netflix_v5!A$2:H$7370, 7, FALSE), "")</f>
        <v>NA</v>
      </c>
    </row>
    <row r="5687" ht="15.75" customHeight="1">
      <c r="A5687" s="1" t="str">
        <f>IFERROR(__xludf.DUMMYFUNCTION("""COMPUTED_VALUE"""),"99 francs")</f>
        <v>99 francs</v>
      </c>
      <c r="B5687" s="1" t="str">
        <f>IF(A5687&lt;&gt;"", VLOOKUP(A5687, imdb_netflix_v5!A$2:H$7370, 2, FALSE), "")</f>
        <v>Movie</v>
      </c>
      <c r="C5687" s="2" t="str">
        <f>IF(A5687&lt;&gt;"", VLOOKUP(A5687, imdb_netflix_v5!A$2:H$7370, 3, FALSE), "")</f>
        <v>Comedy, Drama</v>
      </c>
      <c r="D5687" s="2">
        <f>IF(A5687&lt;&gt;"", VLOOKUP(A5687, imdb_netflix_v5!A$2:H$7370, 4, FALSE), "")</f>
        <v>7.1</v>
      </c>
      <c r="E5687" s="2">
        <f>IF(A5687&lt;&gt;"", VLOOKUP(A5687, imdb_netflix_v5!A$2:H$7370, 5, FALSE), "")</f>
        <v>2007</v>
      </c>
      <c r="F5687" s="2" t="str">
        <f>IF(A5687&lt;&gt;"", VLOOKUP(A5687, imdb_netflix_v5!A$2:H$7370, 7, FALSE), "")</f>
        <v>NA</v>
      </c>
    </row>
    <row r="5688" ht="15.75" customHeight="1">
      <c r="A5688" s="1" t="str">
        <f>IFERROR(__xludf.DUMMYFUNCTION("""COMPUTED_VALUE"""),"the panic in needle park")</f>
        <v>the panic in needle park</v>
      </c>
      <c r="B5688" s="1" t="str">
        <f>IF(A5688&lt;&gt;"", VLOOKUP(A5688, imdb_netflix_v5!A$2:H$7370, 2, FALSE), "")</f>
        <v>Movie</v>
      </c>
      <c r="C5688" s="2" t="str">
        <f>IF(A5688&lt;&gt;"", VLOOKUP(A5688, imdb_netflix_v5!A$2:H$7370, 3, FALSE), "")</f>
        <v>Drama</v>
      </c>
      <c r="D5688" s="2">
        <f>IF(A5688&lt;&gt;"", VLOOKUP(A5688, imdb_netflix_v5!A$2:H$7370, 4, FALSE), "")</f>
        <v>7.1</v>
      </c>
      <c r="E5688" s="2">
        <f>IF(A5688&lt;&gt;"", VLOOKUP(A5688, imdb_netflix_v5!A$2:H$7370, 5, FALSE), "")</f>
        <v>1971</v>
      </c>
      <c r="F5688" s="2" t="str">
        <f>IF(A5688&lt;&gt;"", VLOOKUP(A5688, imdb_netflix_v5!A$2:H$7370, 7, FALSE), "")</f>
        <v>NA</v>
      </c>
    </row>
    <row r="5689" ht="15.75" customHeight="1">
      <c r="A5689" s="1" t="str">
        <f>IFERROR(__xludf.DUMMYFUNCTION("""COMPUTED_VALUE"""),"the three musketeers")</f>
        <v>the three musketeers</v>
      </c>
      <c r="B5689" s="1" t="str">
        <f>IF(A5689&lt;&gt;"", VLOOKUP(A5689, imdb_netflix_v5!A$2:H$7370, 2, FALSE), "")</f>
        <v>Movie</v>
      </c>
      <c r="C5689" s="2" t="str">
        <f>IF(A5689&lt;&gt;"", VLOOKUP(A5689, imdb_netflix_v5!A$2:H$7370, 3, FALSE), "")</f>
        <v>Action, Adventure, Romance</v>
      </c>
      <c r="D5689" s="2">
        <f>IF(A5689&lt;&gt;"", VLOOKUP(A5689, imdb_netflix_v5!A$2:H$7370, 4, FALSE), "")</f>
        <v>7.1</v>
      </c>
      <c r="E5689" s="2">
        <f>IF(A5689&lt;&gt;"", VLOOKUP(A5689, imdb_netflix_v5!A$2:H$7370, 5, FALSE), "")</f>
        <v>1973</v>
      </c>
      <c r="F5689" s="2" t="str">
        <f>IF(A5689&lt;&gt;"", VLOOKUP(A5689, imdb_netflix_v5!A$2:H$7370, 7, FALSE), "")</f>
        <v>NA</v>
      </c>
    </row>
    <row r="5690" ht="15.75" customHeight="1">
      <c r="A5690" s="1" t="str">
        <f>IFERROR(__xludf.DUMMYFUNCTION("""COMPUTED_VALUE"""),"thursday")</f>
        <v>thursday</v>
      </c>
      <c r="B5690" s="1" t="str">
        <f>IF(A5690&lt;&gt;"", VLOOKUP(A5690, imdb_netflix_v5!A$2:H$7370, 2, FALSE), "")</f>
        <v>Movie</v>
      </c>
      <c r="C5690" s="2" t="str">
        <f>IF(A5690&lt;&gt;"", VLOOKUP(A5690, imdb_netflix_v5!A$2:H$7370, 3, FALSE), "")</f>
        <v>Action, Comedy, Crime</v>
      </c>
      <c r="D5690" s="2">
        <f>IF(A5690&lt;&gt;"", VLOOKUP(A5690, imdb_netflix_v5!A$2:H$7370, 4, FALSE), "")</f>
        <v>7.1</v>
      </c>
      <c r="E5690" s="2">
        <f>IF(A5690&lt;&gt;"", VLOOKUP(A5690, imdb_netflix_v5!A$2:H$7370, 5, FALSE), "")</f>
        <v>1998</v>
      </c>
      <c r="F5690" s="2" t="str">
        <f>IF(A5690&lt;&gt;"", VLOOKUP(A5690, imdb_netflix_v5!A$2:H$7370, 7, FALSE), "")</f>
        <v>NA</v>
      </c>
    </row>
    <row r="5691" ht="15.75" customHeight="1">
      <c r="A5691" s="1" t="str">
        <f>IFERROR(__xludf.DUMMYFUNCTION("""COMPUTED_VALUE"""),"body of proof")</f>
        <v>body of proof</v>
      </c>
      <c r="B5691" s="1" t="str">
        <f>IF(A5691&lt;&gt;"", VLOOKUP(A5691, imdb_netflix_v5!A$2:H$7370, 2, FALSE), "")</f>
        <v>TV Show</v>
      </c>
      <c r="C5691" s="2" t="str">
        <f>IF(A5691&lt;&gt;"", VLOOKUP(A5691, imdb_netflix_v5!A$2:H$7370, 3, FALSE), "")</f>
        <v>Comedy, Crime, Drama</v>
      </c>
      <c r="D5691" s="2">
        <f>IF(A5691&lt;&gt;"", VLOOKUP(A5691, imdb_netflix_v5!A$2:H$7370, 4, FALSE), "")</f>
        <v>7.1</v>
      </c>
      <c r="E5691" s="2">
        <f>IF(A5691&lt;&gt;"", VLOOKUP(A5691, imdb_netflix_v5!A$2:H$7370, 5, FALSE), "")</f>
        <v>2011</v>
      </c>
      <c r="F5691" s="2" t="str">
        <f>IF(A5691&lt;&gt;"", VLOOKUP(A5691, imdb_netflix_v5!A$2:H$7370, 7, FALSE), "")</f>
        <v>NA</v>
      </c>
    </row>
    <row r="5692" ht="15.75" customHeight="1">
      <c r="A5692" s="1" t="str">
        <f>IFERROR(__xludf.DUMMYFUNCTION("""COMPUTED_VALUE"""),"wazir")</f>
        <v>wazir</v>
      </c>
      <c r="B5692" s="1" t="str">
        <f>IF(A5692&lt;&gt;"", VLOOKUP(A5692, imdb_netflix_v5!A$2:H$7370, 2, FALSE), "")</f>
        <v>Movie</v>
      </c>
      <c r="C5692" s="2" t="str">
        <f>IF(A5692&lt;&gt;"", VLOOKUP(A5692, imdb_netflix_v5!A$2:H$7370, 3, FALSE), "")</f>
        <v>Crime, Drama, Mystery</v>
      </c>
      <c r="D5692" s="2">
        <f>IF(A5692&lt;&gt;"", VLOOKUP(A5692, imdb_netflix_v5!A$2:H$7370, 4, FALSE), "")</f>
        <v>7.1</v>
      </c>
      <c r="E5692" s="2">
        <f>IF(A5692&lt;&gt;"", VLOOKUP(A5692, imdb_netflix_v5!A$2:H$7370, 5, FALSE), "")</f>
        <v>2016</v>
      </c>
      <c r="F5692" s="2" t="str">
        <f>IF(A5692&lt;&gt;"", VLOOKUP(A5692, imdb_netflix_v5!A$2:H$7370, 7, FALSE), "")</f>
        <v>NA</v>
      </c>
    </row>
    <row r="5693" ht="15.75" customHeight="1">
      <c r="A5693" s="1" t="str">
        <f>IFERROR(__xludf.DUMMYFUNCTION("""COMPUTED_VALUE"""),"the driver")</f>
        <v>the driver</v>
      </c>
      <c r="B5693" s="1" t="str">
        <f>IF(A5693&lt;&gt;"", VLOOKUP(A5693, imdb_netflix_v5!A$2:H$7370, 2, FALSE), "")</f>
        <v>Movie</v>
      </c>
      <c r="C5693" s="2" t="str">
        <f>IF(A5693&lt;&gt;"", VLOOKUP(A5693, imdb_netflix_v5!A$2:H$7370, 3, FALSE), "")</f>
        <v>Action, Crime, Thriller</v>
      </c>
      <c r="D5693" s="2">
        <f>IF(A5693&lt;&gt;"", VLOOKUP(A5693, imdb_netflix_v5!A$2:H$7370, 4, FALSE), "")</f>
        <v>7.1</v>
      </c>
      <c r="E5693" s="2">
        <f>IF(A5693&lt;&gt;"", VLOOKUP(A5693, imdb_netflix_v5!A$2:H$7370, 5, FALSE), "")</f>
        <v>1978</v>
      </c>
      <c r="F5693" s="2" t="str">
        <f>IF(A5693&lt;&gt;"", VLOOKUP(A5693, imdb_netflix_v5!A$2:H$7370, 7, FALSE), "")</f>
        <v>NA</v>
      </c>
    </row>
    <row r="5694" ht="15.75" customHeight="1">
      <c r="A5694" s="1" t="str">
        <f>IFERROR(__xludf.DUMMYFUNCTION("""COMPUTED_VALUE"""),"wendy and lucy")</f>
        <v>wendy and lucy</v>
      </c>
      <c r="B5694" s="1" t="str">
        <f>IF(A5694&lt;&gt;"", VLOOKUP(A5694, imdb_netflix_v5!A$2:H$7370, 2, FALSE), "")</f>
        <v>Movie</v>
      </c>
      <c r="C5694" s="2" t="str">
        <f>IF(A5694&lt;&gt;"", VLOOKUP(A5694, imdb_netflix_v5!A$2:H$7370, 3, FALSE), "")</f>
        <v>Drama</v>
      </c>
      <c r="D5694" s="2">
        <f>IF(A5694&lt;&gt;"", VLOOKUP(A5694, imdb_netflix_v5!A$2:H$7370, 4, FALSE), "")</f>
        <v>7.1</v>
      </c>
      <c r="E5694" s="2">
        <f>IF(A5694&lt;&gt;"", VLOOKUP(A5694, imdb_netflix_v5!A$2:H$7370, 5, FALSE), "")</f>
        <v>2008</v>
      </c>
      <c r="F5694" s="2" t="str">
        <f>IF(A5694&lt;&gt;"", VLOOKUP(A5694, imdb_netflix_v5!A$2:H$7370, 7, FALSE), "")</f>
        <v>NA</v>
      </c>
    </row>
    <row r="5695" ht="15.75" customHeight="1">
      <c r="A5695" s="1" t="str">
        <f>IFERROR(__xludf.DUMMYFUNCTION("""COMPUTED_VALUE"""),"brand new cherry flavor")</f>
        <v>brand new cherry flavor</v>
      </c>
      <c r="B5695" s="1" t="str">
        <f>IF(A5695&lt;&gt;"", VLOOKUP(A5695, imdb_netflix_v5!A$2:H$7370, 2, FALSE), "")</f>
        <v>TV Show</v>
      </c>
      <c r="C5695" s="2" t="str">
        <f>IF(A5695&lt;&gt;"", VLOOKUP(A5695, imdb_netflix_v5!A$2:H$7370, 3, FALSE), "")</f>
        <v>Drama, Horror, Mystery</v>
      </c>
      <c r="D5695" s="2">
        <f>IF(A5695&lt;&gt;"", VLOOKUP(A5695, imdb_netflix_v5!A$2:H$7370, 4, FALSE), "")</f>
        <v>7.1</v>
      </c>
      <c r="E5695" s="2">
        <f>IF(A5695&lt;&gt;"", VLOOKUP(A5695, imdb_netflix_v5!A$2:H$7370, 5, FALSE), "")</f>
        <v>2021</v>
      </c>
      <c r="F5695" s="2">
        <f>IF(A5695&lt;&gt;"", VLOOKUP(A5695, imdb_netflix_v5!A$2:H$7370, 7, FALSE), "")</f>
        <v>11140000</v>
      </c>
    </row>
    <row r="5696" ht="15.75" customHeight="1">
      <c r="A5696" s="1" t="str">
        <f>IFERROR(__xludf.DUMMYFUNCTION("""COMPUTED_VALUE"""),"dangerous beauty")</f>
        <v>dangerous beauty</v>
      </c>
      <c r="B5696" s="1" t="str">
        <f>IF(A5696&lt;&gt;"", VLOOKUP(A5696, imdb_netflix_v5!A$2:H$7370, 2, FALSE), "")</f>
        <v>Movie</v>
      </c>
      <c r="C5696" s="2" t="str">
        <f>IF(A5696&lt;&gt;"", VLOOKUP(A5696, imdb_netflix_v5!A$2:H$7370, 3, FALSE), "")</f>
        <v>Biography, Drama, Romance</v>
      </c>
      <c r="D5696" s="2">
        <f>IF(A5696&lt;&gt;"", VLOOKUP(A5696, imdb_netflix_v5!A$2:H$7370, 4, FALSE), "")</f>
        <v>7.1</v>
      </c>
      <c r="E5696" s="2">
        <f>IF(A5696&lt;&gt;"", VLOOKUP(A5696, imdb_netflix_v5!A$2:H$7370, 5, FALSE), "")</f>
        <v>1998</v>
      </c>
      <c r="F5696" s="2" t="str">
        <f>IF(A5696&lt;&gt;"", VLOOKUP(A5696, imdb_netflix_v5!A$2:H$7370, 7, FALSE), "")</f>
        <v>NA</v>
      </c>
    </row>
    <row r="5697" ht="15.75" customHeight="1">
      <c r="A5697" s="1" t="str">
        <f>IFERROR(__xludf.DUMMYFUNCTION("""COMPUTED_VALUE"""),"brubaker")</f>
        <v>brubaker</v>
      </c>
      <c r="B5697" s="1" t="str">
        <f>IF(A5697&lt;&gt;"", VLOOKUP(A5697, imdb_netflix_v5!A$2:H$7370, 2, FALSE), "")</f>
        <v>Movie</v>
      </c>
      <c r="C5697" s="2" t="str">
        <f>IF(A5697&lt;&gt;"", VLOOKUP(A5697, imdb_netflix_v5!A$2:H$7370, 3, FALSE), "")</f>
        <v>Crime, Drama</v>
      </c>
      <c r="D5697" s="2">
        <f>IF(A5697&lt;&gt;"", VLOOKUP(A5697, imdb_netflix_v5!A$2:H$7370, 4, FALSE), "")</f>
        <v>7.1</v>
      </c>
      <c r="E5697" s="2">
        <f>IF(A5697&lt;&gt;"", VLOOKUP(A5697, imdb_netflix_v5!A$2:H$7370, 5, FALSE), "")</f>
        <v>1980</v>
      </c>
      <c r="F5697" s="2" t="str">
        <f>IF(A5697&lt;&gt;"", VLOOKUP(A5697, imdb_netflix_v5!A$2:H$7370, 7, FALSE), "")</f>
        <v>NA</v>
      </c>
    </row>
    <row r="5698" ht="15.75" customHeight="1">
      <c r="A5698" s="1" t="str">
        <f>IFERROR(__xludf.DUMMYFUNCTION("""COMPUTED_VALUE"""),"guys and dolls")</f>
        <v>guys and dolls</v>
      </c>
      <c r="B5698" s="1" t="str">
        <f>IF(A5698&lt;&gt;"", VLOOKUP(A5698, imdb_netflix_v5!A$2:H$7370, 2, FALSE), "")</f>
        <v>Movie</v>
      </c>
      <c r="C5698" s="2" t="str">
        <f>IF(A5698&lt;&gt;"", VLOOKUP(A5698, imdb_netflix_v5!A$2:H$7370, 3, FALSE), "")</f>
        <v>Comedy, Crime, Musical</v>
      </c>
      <c r="D5698" s="2">
        <f>IF(A5698&lt;&gt;"", VLOOKUP(A5698, imdb_netflix_v5!A$2:H$7370, 4, FALSE), "")</f>
        <v>7.1</v>
      </c>
      <c r="E5698" s="2">
        <f>IF(A5698&lt;&gt;"", VLOOKUP(A5698, imdb_netflix_v5!A$2:H$7370, 5, FALSE), "")</f>
        <v>1955</v>
      </c>
      <c r="F5698" s="2" t="str">
        <f>IF(A5698&lt;&gt;"", VLOOKUP(A5698, imdb_netflix_v5!A$2:H$7370, 7, FALSE), "")</f>
        <v>NA</v>
      </c>
    </row>
    <row r="5699" ht="15.75" customHeight="1">
      <c r="A5699" s="1" t="str">
        <f>IFERROR(__xludf.DUMMYFUNCTION("""COMPUTED_VALUE"""),"the sons of katie elder")</f>
        <v>the sons of katie elder</v>
      </c>
      <c r="B5699" s="1" t="str">
        <f>IF(A5699&lt;&gt;"", VLOOKUP(A5699, imdb_netflix_v5!A$2:H$7370, 2, FALSE), "")</f>
        <v>Movie</v>
      </c>
      <c r="C5699" s="2" t="str">
        <f>IF(A5699&lt;&gt;"", VLOOKUP(A5699, imdb_netflix_v5!A$2:H$7370, 3, FALSE), "")</f>
        <v>Drama, Western</v>
      </c>
      <c r="D5699" s="2">
        <f>IF(A5699&lt;&gt;"", VLOOKUP(A5699, imdb_netflix_v5!A$2:H$7370, 4, FALSE), "")</f>
        <v>7.1</v>
      </c>
      <c r="E5699" s="2">
        <f>IF(A5699&lt;&gt;"", VLOOKUP(A5699, imdb_netflix_v5!A$2:H$7370, 5, FALSE), "")</f>
        <v>1965</v>
      </c>
      <c r="F5699" s="2" t="str">
        <f>IF(A5699&lt;&gt;"", VLOOKUP(A5699, imdb_netflix_v5!A$2:H$7370, 7, FALSE), "")</f>
        <v>NA</v>
      </c>
    </row>
    <row r="5700" ht="15.75" customHeight="1">
      <c r="A5700" s="1" t="str">
        <f>IFERROR(__xludf.DUMMYFUNCTION("""COMPUTED_VALUE"""),"he loves me, he loves me not")</f>
        <v>he loves me, he loves me not</v>
      </c>
      <c r="B5700" s="1" t="str">
        <f>IF(A5700&lt;&gt;"", VLOOKUP(A5700, imdb_netflix_v5!A$2:H$7370, 2, FALSE), "")</f>
        <v>Movie</v>
      </c>
      <c r="C5700" s="2" t="str">
        <f>IF(A5700&lt;&gt;"", VLOOKUP(A5700, imdb_netflix_v5!A$2:H$7370, 3, FALSE), "")</f>
        <v>Romance, Thriller</v>
      </c>
      <c r="D5700" s="2">
        <f>IF(A5700&lt;&gt;"", VLOOKUP(A5700, imdb_netflix_v5!A$2:H$7370, 4, FALSE), "")</f>
        <v>7.1</v>
      </c>
      <c r="E5700" s="2">
        <f>IF(A5700&lt;&gt;"", VLOOKUP(A5700, imdb_netflix_v5!A$2:H$7370, 5, FALSE), "")</f>
        <v>2002</v>
      </c>
      <c r="F5700" s="2" t="str">
        <f>IF(A5700&lt;&gt;"", VLOOKUP(A5700, imdb_netflix_v5!A$2:H$7370, 7, FALSE), "")</f>
        <v>NA</v>
      </c>
    </row>
    <row r="5701" ht="15.75" customHeight="1">
      <c r="A5701" s="1" t="str">
        <f>IFERROR(__xludf.DUMMYFUNCTION("""COMPUTED_VALUE"""),"miracle workers")</f>
        <v>miracle workers</v>
      </c>
      <c r="B5701" s="1" t="str">
        <f>IF(A5701&lt;&gt;"", VLOOKUP(A5701, imdb_netflix_v5!A$2:H$7370, 2, FALSE), "")</f>
        <v>TV Show</v>
      </c>
      <c r="C5701" s="2" t="str">
        <f>IF(A5701&lt;&gt;"", VLOOKUP(A5701, imdb_netflix_v5!A$2:H$7370, 3, FALSE), "")</f>
        <v>Comedy, Drama, Fantasy</v>
      </c>
      <c r="D5701" s="2">
        <f>IF(A5701&lt;&gt;"", VLOOKUP(A5701, imdb_netflix_v5!A$2:H$7370, 4, FALSE), "")</f>
        <v>7.1</v>
      </c>
      <c r="E5701" s="2">
        <f>IF(A5701&lt;&gt;"", VLOOKUP(A5701, imdb_netflix_v5!A$2:H$7370, 5, FALSE), "")</f>
        <v>2019</v>
      </c>
      <c r="F5701" s="2" t="str">
        <f>IF(A5701&lt;&gt;"", VLOOKUP(A5701, imdb_netflix_v5!A$2:H$7370, 7, FALSE), "")</f>
        <v>NA</v>
      </c>
    </row>
    <row r="5702" ht="15.75" customHeight="1">
      <c r="A5702" s="1" t="str">
        <f>IFERROR(__xludf.DUMMYFUNCTION("""COMPUTED_VALUE"""),"ascension")</f>
        <v>ascension</v>
      </c>
      <c r="B5702" s="1" t="str">
        <f>IF(A5702&lt;&gt;"", VLOOKUP(A5702, imdb_netflix_v5!A$2:H$7370, 2, FALSE), "")</f>
        <v>TV Show</v>
      </c>
      <c r="C5702" s="2" t="str">
        <f>IF(A5702&lt;&gt;"", VLOOKUP(A5702, imdb_netflix_v5!A$2:H$7370, 3, FALSE), "")</f>
        <v>Drama, Sci-Fi</v>
      </c>
      <c r="D5702" s="2">
        <f>IF(A5702&lt;&gt;"", VLOOKUP(A5702, imdb_netflix_v5!A$2:H$7370, 4, FALSE), "")</f>
        <v>7.1</v>
      </c>
      <c r="E5702" s="2">
        <f>IF(A5702&lt;&gt;"", VLOOKUP(A5702, imdb_netflix_v5!A$2:H$7370, 5, FALSE), "")</f>
        <v>2014</v>
      </c>
      <c r="F5702" s="2" t="str">
        <f>IF(A5702&lt;&gt;"", VLOOKUP(A5702, imdb_netflix_v5!A$2:H$7370, 7, FALSE), "")</f>
        <v>NA</v>
      </c>
    </row>
    <row r="5703" ht="15.75" customHeight="1">
      <c r="A5703" s="1" t="str">
        <f>IFERROR(__xludf.DUMMYFUNCTION("""COMPUTED_VALUE"""),"like water for chocolate")</f>
        <v>like water for chocolate</v>
      </c>
      <c r="B5703" s="1" t="str">
        <f>IF(A5703&lt;&gt;"", VLOOKUP(A5703, imdb_netflix_v5!A$2:H$7370, 2, FALSE), "")</f>
        <v>Movie</v>
      </c>
      <c r="C5703" s="2" t="str">
        <f>IF(A5703&lt;&gt;"", VLOOKUP(A5703, imdb_netflix_v5!A$2:H$7370, 3, FALSE), "")</f>
        <v>Drama, Romance</v>
      </c>
      <c r="D5703" s="2">
        <f>IF(A5703&lt;&gt;"", VLOOKUP(A5703, imdb_netflix_v5!A$2:H$7370, 4, FALSE), "")</f>
        <v>7.1</v>
      </c>
      <c r="E5703" s="2">
        <f>IF(A5703&lt;&gt;"", VLOOKUP(A5703, imdb_netflix_v5!A$2:H$7370, 5, FALSE), "")</f>
        <v>1992</v>
      </c>
      <c r="F5703" s="2" t="str">
        <f>IF(A5703&lt;&gt;"", VLOOKUP(A5703, imdb_netflix_v5!A$2:H$7370, 7, FALSE), "")</f>
        <v>NA</v>
      </c>
    </row>
    <row r="5704" ht="15.75" customHeight="1">
      <c r="A5704" s="1" t="str">
        <f>IFERROR(__xludf.DUMMYFUNCTION("""COMPUTED_VALUE"""),"bennys video")</f>
        <v>bennys video</v>
      </c>
      <c r="B5704" s="1" t="str">
        <f>IF(A5704&lt;&gt;"", VLOOKUP(A5704, imdb_netflix_v5!A$2:H$7370, 2, FALSE), "")</f>
        <v>Movie</v>
      </c>
      <c r="C5704" s="2" t="str">
        <f>IF(A5704&lt;&gt;"", VLOOKUP(A5704, imdb_netflix_v5!A$2:H$7370, 3, FALSE), "")</f>
        <v>Crime, Drama</v>
      </c>
      <c r="D5704" s="2">
        <f>IF(A5704&lt;&gt;"", VLOOKUP(A5704, imdb_netflix_v5!A$2:H$7370, 4, FALSE), "")</f>
        <v>7.1</v>
      </c>
      <c r="E5704" s="2">
        <f>IF(A5704&lt;&gt;"", VLOOKUP(A5704, imdb_netflix_v5!A$2:H$7370, 5, FALSE), "")</f>
        <v>1992</v>
      </c>
      <c r="F5704" s="2" t="str">
        <f>IF(A5704&lt;&gt;"", VLOOKUP(A5704, imdb_netflix_v5!A$2:H$7370, 7, FALSE), "")</f>
        <v>NA</v>
      </c>
    </row>
    <row r="5705" ht="15.75" customHeight="1">
      <c r="A5705" s="1" t="str">
        <f>IFERROR(__xludf.DUMMYFUNCTION("""COMPUTED_VALUE"""),"orlando")</f>
        <v>orlando</v>
      </c>
      <c r="B5705" s="1" t="str">
        <f>IF(A5705&lt;&gt;"", VLOOKUP(A5705, imdb_netflix_v5!A$2:H$7370, 2, FALSE), "")</f>
        <v>Movie</v>
      </c>
      <c r="C5705" s="2" t="str">
        <f>IF(A5705&lt;&gt;"", VLOOKUP(A5705, imdb_netflix_v5!A$2:H$7370, 3, FALSE), "")</f>
        <v>Biography, Drama, Fantasy</v>
      </c>
      <c r="D5705" s="2">
        <f>IF(A5705&lt;&gt;"", VLOOKUP(A5705, imdb_netflix_v5!A$2:H$7370, 4, FALSE), "")</f>
        <v>7.1</v>
      </c>
      <c r="E5705" s="2">
        <f>IF(A5705&lt;&gt;"", VLOOKUP(A5705, imdb_netflix_v5!A$2:H$7370, 5, FALSE), "")</f>
        <v>1992</v>
      </c>
      <c r="F5705" s="2" t="str">
        <f>IF(A5705&lt;&gt;"", VLOOKUP(A5705, imdb_netflix_v5!A$2:H$7370, 7, FALSE), "")</f>
        <v>NA</v>
      </c>
    </row>
    <row r="5706" ht="15.75" customHeight="1">
      <c r="A5706" s="1" t="str">
        <f>IFERROR(__xludf.DUMMYFUNCTION("""COMPUTED_VALUE"""),"the tonight show starring jimmy fallon")</f>
        <v>the tonight show starring jimmy fallon</v>
      </c>
      <c r="B5706" s="1" t="str">
        <f>IF(A5706&lt;&gt;"", VLOOKUP(A5706, imdb_netflix_v5!A$2:H$7370, 2, FALSE), "")</f>
        <v>TV Show</v>
      </c>
      <c r="C5706" s="2" t="str">
        <f>IF(A5706&lt;&gt;"", VLOOKUP(A5706, imdb_netflix_v5!A$2:H$7370, 3, FALSE), "")</f>
        <v>Comedy, Music, Talk-Show</v>
      </c>
      <c r="D5706" s="2">
        <f>IF(A5706&lt;&gt;"", VLOOKUP(A5706, imdb_netflix_v5!A$2:H$7370, 4, FALSE), "")</f>
        <v>7.1</v>
      </c>
      <c r="E5706" s="2">
        <f>IF(A5706&lt;&gt;"", VLOOKUP(A5706, imdb_netflix_v5!A$2:H$7370, 5, FALSE), "")</f>
        <v>2014</v>
      </c>
      <c r="F5706" s="2" t="str">
        <f>IF(A5706&lt;&gt;"", VLOOKUP(A5706, imdb_netflix_v5!A$2:H$7370, 7, FALSE), "")</f>
        <v>NA</v>
      </c>
    </row>
    <row r="5707" ht="15.75" customHeight="1">
      <c r="A5707" s="1" t="str">
        <f>IFERROR(__xludf.DUMMYFUNCTION("""COMPUTED_VALUE"""),"raajneeti")</f>
        <v>raajneeti</v>
      </c>
      <c r="B5707" s="1" t="str">
        <f>IF(A5707&lt;&gt;"", VLOOKUP(A5707, imdb_netflix_v5!A$2:H$7370, 2, FALSE), "")</f>
        <v>Movie</v>
      </c>
      <c r="C5707" s="2" t="str">
        <f>IF(A5707&lt;&gt;"", VLOOKUP(A5707, imdb_netflix_v5!A$2:H$7370, 3, FALSE), "")</f>
        <v>Drama, Thriller</v>
      </c>
      <c r="D5707" s="2">
        <f>IF(A5707&lt;&gt;"", VLOOKUP(A5707, imdb_netflix_v5!A$2:H$7370, 4, FALSE), "")</f>
        <v>7.1</v>
      </c>
      <c r="E5707" s="2">
        <f>IF(A5707&lt;&gt;"", VLOOKUP(A5707, imdb_netflix_v5!A$2:H$7370, 5, FALSE), "")</f>
        <v>2010</v>
      </c>
      <c r="F5707" s="2" t="str">
        <f>IF(A5707&lt;&gt;"", VLOOKUP(A5707, imdb_netflix_v5!A$2:H$7370, 7, FALSE), "")</f>
        <v>NA</v>
      </c>
    </row>
    <row r="5708" ht="15.75" customHeight="1">
      <c r="A5708" s="1" t="str">
        <f>IFERROR(__xludf.DUMMYFUNCTION("""COMPUTED_VALUE"""),"the witch part 1 - the subversion")</f>
        <v>the witch part 1 - the subversion</v>
      </c>
      <c r="B5708" s="1" t="str">
        <f>IF(A5708&lt;&gt;"", VLOOKUP(A5708, imdb_netflix_v5!A$2:H$7370, 2, FALSE), "")</f>
        <v>Movie</v>
      </c>
      <c r="C5708" s="2" t="str">
        <f>IF(A5708&lt;&gt;"", VLOOKUP(A5708, imdb_netflix_v5!A$2:H$7370, 3, FALSE), "")</f>
        <v>Action, Mystery, Sci-Fi</v>
      </c>
      <c r="D5708" s="2">
        <f>IF(A5708&lt;&gt;"", VLOOKUP(A5708, imdb_netflix_v5!A$2:H$7370, 4, FALSE), "")</f>
        <v>7.1</v>
      </c>
      <c r="E5708" s="2">
        <f>IF(A5708&lt;&gt;"", VLOOKUP(A5708, imdb_netflix_v5!A$2:H$7370, 5, FALSE), "")</f>
        <v>2018</v>
      </c>
      <c r="F5708" s="2" t="str">
        <f>IF(A5708&lt;&gt;"", VLOOKUP(A5708, imdb_netflix_v5!A$2:H$7370, 7, FALSE), "")</f>
        <v>NA</v>
      </c>
    </row>
    <row r="5709" ht="15.75" customHeight="1">
      <c r="A5709" s="1" t="str">
        <f>IFERROR(__xludf.DUMMYFUNCTION("""COMPUTED_VALUE"""),"mission raniganj")</f>
        <v>mission raniganj</v>
      </c>
      <c r="B5709" s="1" t="str">
        <f>IF(A5709&lt;&gt;"", VLOOKUP(A5709, imdb_netflix_v5!A$2:H$7370, 2, FALSE), "")</f>
        <v>Movie</v>
      </c>
      <c r="C5709" s="2" t="str">
        <f>IF(A5709&lt;&gt;"", VLOOKUP(A5709, imdb_netflix_v5!A$2:H$7370, 3, FALSE), "")</f>
        <v>Action, Biography, Drama</v>
      </c>
      <c r="D5709" s="2">
        <f>IF(A5709&lt;&gt;"", VLOOKUP(A5709, imdb_netflix_v5!A$2:H$7370, 4, FALSE), "")</f>
        <v>7.1</v>
      </c>
      <c r="E5709" s="2">
        <f>IF(A5709&lt;&gt;"", VLOOKUP(A5709, imdb_netflix_v5!A$2:H$7370, 5, FALSE), "")</f>
        <v>2023</v>
      </c>
      <c r="F5709" s="2" t="str">
        <f>IF(A5709&lt;&gt;"", VLOOKUP(A5709, imdb_netflix_v5!A$2:H$7370, 7, FALSE), "")</f>
        <v>NA</v>
      </c>
    </row>
    <row r="5710" ht="15.75" customHeight="1">
      <c r="A5710" s="1" t="str">
        <f>IFERROR(__xludf.DUMMYFUNCTION("""COMPUTED_VALUE"""),"triumph of the will")</f>
        <v>triumph of the will</v>
      </c>
      <c r="B5710" s="1" t="str">
        <f>IF(A5710&lt;&gt;"", VLOOKUP(A5710, imdb_netflix_v5!A$2:H$7370, 2, FALSE), "")</f>
        <v>Movie</v>
      </c>
      <c r="C5710" s="2" t="str">
        <f>IF(A5710&lt;&gt;"", VLOOKUP(A5710, imdb_netflix_v5!A$2:H$7370, 3, FALSE), "")</f>
        <v>Documentary, History</v>
      </c>
      <c r="D5710" s="2">
        <f>IF(A5710&lt;&gt;"", VLOOKUP(A5710, imdb_netflix_v5!A$2:H$7370, 4, FALSE), "")</f>
        <v>7.1</v>
      </c>
      <c r="E5710" s="2">
        <f>IF(A5710&lt;&gt;"", VLOOKUP(A5710, imdb_netflix_v5!A$2:H$7370, 5, FALSE), "")</f>
        <v>1935</v>
      </c>
      <c r="F5710" s="2" t="str">
        <f>IF(A5710&lt;&gt;"", VLOOKUP(A5710, imdb_netflix_v5!A$2:H$7370, 7, FALSE), "")</f>
        <v>NA</v>
      </c>
    </row>
    <row r="5711" ht="15.75" customHeight="1">
      <c r="A5711" s="1" t="str">
        <f>IFERROR(__xludf.DUMMYFUNCTION("""COMPUTED_VALUE"""),"swiss family robinson")</f>
        <v>swiss family robinson</v>
      </c>
      <c r="B5711" s="1" t="str">
        <f>IF(A5711&lt;&gt;"", VLOOKUP(A5711, imdb_netflix_v5!A$2:H$7370, 2, FALSE), "")</f>
        <v>Movie</v>
      </c>
      <c r="C5711" s="2" t="str">
        <f>IF(A5711&lt;&gt;"", VLOOKUP(A5711, imdb_netflix_v5!A$2:H$7370, 3, FALSE), "")</f>
        <v>Adventure, Family</v>
      </c>
      <c r="D5711" s="2">
        <f>IF(A5711&lt;&gt;"", VLOOKUP(A5711, imdb_netflix_v5!A$2:H$7370, 4, FALSE), "")</f>
        <v>7.1</v>
      </c>
      <c r="E5711" s="2">
        <f>IF(A5711&lt;&gt;"", VLOOKUP(A5711, imdb_netflix_v5!A$2:H$7370, 5, FALSE), "")</f>
        <v>1960</v>
      </c>
      <c r="F5711" s="2" t="str">
        <f>IF(A5711&lt;&gt;"", VLOOKUP(A5711, imdb_netflix_v5!A$2:H$7370, 7, FALSE), "")</f>
        <v>NA</v>
      </c>
    </row>
    <row r="5712" ht="15.75" customHeight="1">
      <c r="A5712" s="1" t="str">
        <f>IFERROR(__xludf.DUMMYFUNCTION("""COMPUTED_VALUE"""),"sick of myself")</f>
        <v>sick of myself</v>
      </c>
      <c r="B5712" s="1" t="str">
        <f>IF(A5712&lt;&gt;"", VLOOKUP(A5712, imdb_netflix_v5!A$2:H$7370, 2, FALSE), "")</f>
        <v>Movie</v>
      </c>
      <c r="C5712" s="2" t="str">
        <f>IF(A5712&lt;&gt;"", VLOOKUP(A5712, imdb_netflix_v5!A$2:H$7370, 3, FALSE), "")</f>
        <v>Comedy, Drama, Horror</v>
      </c>
      <c r="D5712" s="2">
        <f>IF(A5712&lt;&gt;"", VLOOKUP(A5712, imdb_netflix_v5!A$2:H$7370, 4, FALSE), "")</f>
        <v>7.1</v>
      </c>
      <c r="E5712" s="2">
        <f>IF(A5712&lt;&gt;"", VLOOKUP(A5712, imdb_netflix_v5!A$2:H$7370, 5, FALSE), "")</f>
        <v>2022</v>
      </c>
      <c r="F5712" s="2" t="str">
        <f>IF(A5712&lt;&gt;"", VLOOKUP(A5712, imdb_netflix_v5!A$2:H$7370, 7, FALSE), "")</f>
        <v>NA</v>
      </c>
    </row>
    <row r="5713" ht="15.75" customHeight="1">
      <c r="A5713" s="1" t="str">
        <f>IFERROR(__xludf.DUMMYFUNCTION("""COMPUTED_VALUE"""),"36th precinct")</f>
        <v>36th precinct</v>
      </c>
      <c r="B5713" s="1" t="str">
        <f>IF(A5713&lt;&gt;"", VLOOKUP(A5713, imdb_netflix_v5!A$2:H$7370, 2, FALSE), "")</f>
        <v>Movie</v>
      </c>
      <c r="C5713" s="2" t="str">
        <f>IF(A5713&lt;&gt;"", VLOOKUP(A5713, imdb_netflix_v5!A$2:H$7370, 3, FALSE), "")</f>
        <v>Action, Crime, Drama</v>
      </c>
      <c r="D5713" s="2">
        <f>IF(A5713&lt;&gt;"", VLOOKUP(A5713, imdb_netflix_v5!A$2:H$7370, 4, FALSE), "")</f>
        <v>7.1</v>
      </c>
      <c r="E5713" s="2">
        <f>IF(A5713&lt;&gt;"", VLOOKUP(A5713, imdb_netflix_v5!A$2:H$7370, 5, FALSE), "")</f>
        <v>2004</v>
      </c>
      <c r="F5713" s="2" t="str">
        <f>IF(A5713&lt;&gt;"", VLOOKUP(A5713, imdb_netflix_v5!A$2:H$7370, 7, FALSE), "")</f>
        <v>NA</v>
      </c>
    </row>
    <row r="5714" ht="15.75" customHeight="1">
      <c r="A5714" s="1" t="str">
        <f>IFERROR(__xludf.DUMMYFUNCTION("""COMPUTED_VALUE"""),"timbuktu")</f>
        <v>timbuktu</v>
      </c>
      <c r="B5714" s="1" t="str">
        <f>IF(A5714&lt;&gt;"", VLOOKUP(A5714, imdb_netflix_v5!A$2:H$7370, 2, FALSE), "")</f>
        <v>Movie</v>
      </c>
      <c r="C5714" s="2" t="str">
        <f>IF(A5714&lt;&gt;"", VLOOKUP(A5714, imdb_netflix_v5!A$2:H$7370, 3, FALSE), "")</f>
        <v>Drama, War</v>
      </c>
      <c r="D5714" s="2">
        <f>IF(A5714&lt;&gt;"", VLOOKUP(A5714, imdb_netflix_v5!A$2:H$7370, 4, FALSE), "")</f>
        <v>7.1</v>
      </c>
      <c r="E5714" s="2">
        <f>IF(A5714&lt;&gt;"", VLOOKUP(A5714, imdb_netflix_v5!A$2:H$7370, 5, FALSE), "")</f>
        <v>2014</v>
      </c>
      <c r="F5714" s="2" t="str">
        <f>IF(A5714&lt;&gt;"", VLOOKUP(A5714, imdb_netflix_v5!A$2:H$7370, 7, FALSE), "")</f>
        <v>NA</v>
      </c>
    </row>
    <row r="5715" ht="15.75" customHeight="1">
      <c r="A5715" s="1" t="str">
        <f>IFERROR(__xludf.DUMMYFUNCTION("""COMPUTED_VALUE"""),"black sunday")</f>
        <v>black sunday</v>
      </c>
      <c r="B5715" s="1" t="str">
        <f>IF(A5715&lt;&gt;"", VLOOKUP(A5715, imdb_netflix_v5!A$2:H$7370, 2, FALSE), "")</f>
        <v>Movie</v>
      </c>
      <c r="C5715" s="2" t="str">
        <f>IF(A5715&lt;&gt;"", VLOOKUP(A5715, imdb_netflix_v5!A$2:H$7370, 3, FALSE), "")</f>
        <v>Horror</v>
      </c>
      <c r="D5715" s="2">
        <f>IF(A5715&lt;&gt;"", VLOOKUP(A5715, imdb_netflix_v5!A$2:H$7370, 4, FALSE), "")</f>
        <v>7.1</v>
      </c>
      <c r="E5715" s="2">
        <f>IF(A5715&lt;&gt;"", VLOOKUP(A5715, imdb_netflix_v5!A$2:H$7370, 5, FALSE), "")</f>
        <v>1960</v>
      </c>
      <c r="F5715" s="2" t="str">
        <f>IF(A5715&lt;&gt;"", VLOOKUP(A5715, imdb_netflix_v5!A$2:H$7370, 7, FALSE), "")</f>
        <v>NA</v>
      </c>
    </row>
    <row r="5716" ht="15.75" customHeight="1">
      <c r="A5716" s="1" t="str">
        <f>IFERROR(__xludf.DUMMYFUNCTION("""COMPUTED_VALUE"""),"night moves")</f>
        <v>night moves</v>
      </c>
      <c r="B5716" s="1" t="str">
        <f>IF(A5716&lt;&gt;"", VLOOKUP(A5716, imdb_netflix_v5!A$2:H$7370, 2, FALSE), "")</f>
        <v>Movie</v>
      </c>
      <c r="C5716" s="2" t="str">
        <f>IF(A5716&lt;&gt;"", VLOOKUP(A5716, imdb_netflix_v5!A$2:H$7370, 3, FALSE), "")</f>
        <v>Crime, Drama, Mystery</v>
      </c>
      <c r="D5716" s="2">
        <f>IF(A5716&lt;&gt;"", VLOOKUP(A5716, imdb_netflix_v5!A$2:H$7370, 4, FALSE), "")</f>
        <v>7.1</v>
      </c>
      <c r="E5716" s="2">
        <f>IF(A5716&lt;&gt;"", VLOOKUP(A5716, imdb_netflix_v5!A$2:H$7370, 5, FALSE), "")</f>
        <v>1975</v>
      </c>
      <c r="F5716" s="2" t="str">
        <f>IF(A5716&lt;&gt;"", VLOOKUP(A5716, imdb_netflix_v5!A$2:H$7370, 7, FALSE), "")</f>
        <v>NA</v>
      </c>
    </row>
    <row r="5717" ht="15.75" customHeight="1">
      <c r="A5717" s="1" t="str">
        <f>IFERROR(__xludf.DUMMYFUNCTION("""COMPUTED_VALUE"""),"metallica through the never")</f>
        <v>metallica through the never</v>
      </c>
      <c r="B5717" s="1" t="str">
        <f>IF(A5717&lt;&gt;"", VLOOKUP(A5717, imdb_netflix_v5!A$2:H$7370, 2, FALSE), "")</f>
        <v>Movie</v>
      </c>
      <c r="C5717" s="2" t="str">
        <f>IF(A5717&lt;&gt;"", VLOOKUP(A5717, imdb_netflix_v5!A$2:H$7370, 3, FALSE), "")</f>
        <v>Music</v>
      </c>
      <c r="D5717" s="2">
        <f>IF(A5717&lt;&gt;"", VLOOKUP(A5717, imdb_netflix_v5!A$2:H$7370, 4, FALSE), "")</f>
        <v>7.1</v>
      </c>
      <c r="E5717" s="2">
        <f>IF(A5717&lt;&gt;"", VLOOKUP(A5717, imdb_netflix_v5!A$2:H$7370, 5, FALSE), "")</f>
        <v>2013</v>
      </c>
      <c r="F5717" s="2" t="str">
        <f>IF(A5717&lt;&gt;"", VLOOKUP(A5717, imdb_netflix_v5!A$2:H$7370, 7, FALSE), "")</f>
        <v>NA</v>
      </c>
    </row>
    <row r="5718" ht="15.75" customHeight="1">
      <c r="A5718" s="1" t="str">
        <f>IFERROR(__xludf.DUMMYFUNCTION("""COMPUTED_VALUE"""),"star-crossed")</f>
        <v>star-crossed</v>
      </c>
      <c r="B5718" s="1" t="str">
        <f>IF(A5718&lt;&gt;"", VLOOKUP(A5718, imdb_netflix_v5!A$2:H$7370, 2, FALSE), "")</f>
        <v>TV Show</v>
      </c>
      <c r="C5718" s="2" t="str">
        <f>IF(A5718&lt;&gt;"", VLOOKUP(A5718, imdb_netflix_v5!A$2:H$7370, 3, FALSE), "")</f>
        <v>Drama, Romance, Sci-Fi</v>
      </c>
      <c r="D5718" s="2">
        <f>IF(A5718&lt;&gt;"", VLOOKUP(A5718, imdb_netflix_v5!A$2:H$7370, 4, FALSE), "")</f>
        <v>7.1</v>
      </c>
      <c r="E5718" s="2">
        <f>IF(A5718&lt;&gt;"", VLOOKUP(A5718, imdb_netflix_v5!A$2:H$7370, 5, FALSE), "")</f>
        <v>2014</v>
      </c>
      <c r="F5718" s="2" t="str">
        <f>IF(A5718&lt;&gt;"", VLOOKUP(A5718, imdb_netflix_v5!A$2:H$7370, 7, FALSE), "")</f>
        <v>NA</v>
      </c>
    </row>
    <row r="5719" ht="15.75" customHeight="1">
      <c r="A5719" s="1" t="str">
        <f>IFERROR(__xludf.DUMMYFUNCTION("""COMPUTED_VALUE"""),"to leslie")</f>
        <v>to leslie</v>
      </c>
      <c r="B5719" s="1" t="str">
        <f>IF(A5719&lt;&gt;"", VLOOKUP(A5719, imdb_netflix_v5!A$2:H$7370, 2, FALSE), "")</f>
        <v>Movie</v>
      </c>
      <c r="C5719" s="2" t="str">
        <f>IF(A5719&lt;&gt;"", VLOOKUP(A5719, imdb_netflix_v5!A$2:H$7370, 3, FALSE), "")</f>
        <v>Drama</v>
      </c>
      <c r="D5719" s="2">
        <f>IF(A5719&lt;&gt;"", VLOOKUP(A5719, imdb_netflix_v5!A$2:H$7370, 4, FALSE), "")</f>
        <v>7.1</v>
      </c>
      <c r="E5719" s="2">
        <f>IF(A5719&lt;&gt;"", VLOOKUP(A5719, imdb_netflix_v5!A$2:H$7370, 5, FALSE), "")</f>
        <v>2022</v>
      </c>
      <c r="F5719" s="2">
        <f>IF(A5719&lt;&gt;"", VLOOKUP(A5719, imdb_netflix_v5!A$2:H$7370, 7, FALSE), "")</f>
        <v>5370000</v>
      </c>
    </row>
    <row r="5720" ht="15.75" customHeight="1">
      <c r="A5720" s="1" t="str">
        <f>IFERROR(__xludf.DUMMYFUNCTION("""COMPUTED_VALUE"""),"looking for eric")</f>
        <v>looking for eric</v>
      </c>
      <c r="B5720" s="1" t="str">
        <f>IF(A5720&lt;&gt;"", VLOOKUP(A5720, imdb_netflix_v5!A$2:H$7370, 2, FALSE), "")</f>
        <v>Movie</v>
      </c>
      <c r="C5720" s="2" t="str">
        <f>IF(A5720&lt;&gt;"", VLOOKUP(A5720, imdb_netflix_v5!A$2:H$7370, 3, FALSE), "")</f>
        <v>Comedy, Drama, Fantasy</v>
      </c>
      <c r="D5720" s="2">
        <f>IF(A5720&lt;&gt;"", VLOOKUP(A5720, imdb_netflix_v5!A$2:H$7370, 4, FALSE), "")</f>
        <v>7.1</v>
      </c>
      <c r="E5720" s="2">
        <f>IF(A5720&lt;&gt;"", VLOOKUP(A5720, imdb_netflix_v5!A$2:H$7370, 5, FALSE), "")</f>
        <v>2009</v>
      </c>
      <c r="F5720" s="2" t="str">
        <f>IF(A5720&lt;&gt;"", VLOOKUP(A5720, imdb_netflix_v5!A$2:H$7370, 7, FALSE), "")</f>
        <v>NA</v>
      </c>
    </row>
    <row r="5721" ht="15.75" customHeight="1">
      <c r="A5721" s="1" t="str">
        <f>IFERROR(__xludf.DUMMYFUNCTION("""COMPUTED_VALUE"""),"bonding")</f>
        <v>bonding</v>
      </c>
      <c r="B5721" s="1" t="str">
        <f>IF(A5721&lt;&gt;"", VLOOKUP(A5721, imdb_netflix_v5!A$2:H$7370, 2, FALSE), "")</f>
        <v>TV Show</v>
      </c>
      <c r="C5721" s="2" t="str">
        <f>IF(A5721&lt;&gt;"", VLOOKUP(A5721, imdb_netflix_v5!A$2:H$7370, 3, FALSE), "")</f>
        <v>Comedy, Drama, Short</v>
      </c>
      <c r="D5721" s="2">
        <f>IF(A5721&lt;&gt;"", VLOOKUP(A5721, imdb_netflix_v5!A$2:H$7370, 4, FALSE), "")</f>
        <v>7.1</v>
      </c>
      <c r="E5721" s="2">
        <f>IF(A5721&lt;&gt;"", VLOOKUP(A5721, imdb_netflix_v5!A$2:H$7370, 5, FALSE), "")</f>
        <v>2018</v>
      </c>
      <c r="F5721" s="2" t="str">
        <f>IF(A5721&lt;&gt;"", VLOOKUP(A5721, imdb_netflix_v5!A$2:H$7370, 7, FALSE), "")</f>
        <v>NA</v>
      </c>
    </row>
    <row r="5722" ht="15.75" customHeight="1">
      <c r="A5722" s="1" t="str">
        <f>IFERROR(__xludf.DUMMYFUNCTION("""COMPUTED_VALUE"""),"crossroads")</f>
        <v>crossroads</v>
      </c>
      <c r="B5722" s="1" t="str">
        <f>IF(A5722&lt;&gt;"", VLOOKUP(A5722, imdb_netflix_v5!A$2:H$7370, 2, FALSE), "")</f>
        <v>Movie</v>
      </c>
      <c r="C5722" s="2" t="str">
        <f>IF(A5722&lt;&gt;"", VLOOKUP(A5722, imdb_netflix_v5!A$2:H$7370, 3, FALSE), "")</f>
        <v>Drama, Music, Mystery</v>
      </c>
      <c r="D5722" s="2">
        <f>IF(A5722&lt;&gt;"", VLOOKUP(A5722, imdb_netflix_v5!A$2:H$7370, 4, FALSE), "")</f>
        <v>7.1</v>
      </c>
      <c r="E5722" s="2">
        <f>IF(A5722&lt;&gt;"", VLOOKUP(A5722, imdb_netflix_v5!A$2:H$7370, 5, FALSE), "")</f>
        <v>1986</v>
      </c>
      <c r="F5722" s="2" t="str">
        <f>IF(A5722&lt;&gt;"", VLOOKUP(A5722, imdb_netflix_v5!A$2:H$7370, 7, FALSE), "")</f>
        <v>NA</v>
      </c>
    </row>
    <row r="5723" ht="15.75" customHeight="1">
      <c r="A5723" s="1" t="str">
        <f>IFERROR(__xludf.DUMMYFUNCTION("""COMPUTED_VALUE"""),"broker")</f>
        <v>broker</v>
      </c>
      <c r="B5723" s="1" t="str">
        <f>IF(A5723&lt;&gt;"", VLOOKUP(A5723, imdb_netflix_v5!A$2:H$7370, 2, FALSE), "")</f>
        <v>Movie</v>
      </c>
      <c r="C5723" s="2" t="str">
        <f>IF(A5723&lt;&gt;"", VLOOKUP(A5723, imdb_netflix_v5!A$2:H$7370, 3, FALSE), "")</f>
        <v>Comedy, Crime, Drama</v>
      </c>
      <c r="D5723" s="2">
        <f>IF(A5723&lt;&gt;"", VLOOKUP(A5723, imdb_netflix_v5!A$2:H$7370, 4, FALSE), "")</f>
        <v>7.1</v>
      </c>
      <c r="E5723" s="2">
        <f>IF(A5723&lt;&gt;"", VLOOKUP(A5723, imdb_netflix_v5!A$2:H$7370, 5, FALSE), "")</f>
        <v>2022</v>
      </c>
      <c r="F5723" s="2" t="str">
        <f>IF(A5723&lt;&gt;"", VLOOKUP(A5723, imdb_netflix_v5!A$2:H$7370, 7, FALSE), "")</f>
        <v>NA</v>
      </c>
    </row>
    <row r="5724" ht="15.75" customHeight="1">
      <c r="A5724" s="1" t="str">
        <f>IFERROR(__xludf.DUMMYFUNCTION("""COMPUTED_VALUE"""),"the hater")</f>
        <v>the hater</v>
      </c>
      <c r="B5724" s="1" t="str">
        <f>IF(A5724&lt;&gt;"", VLOOKUP(A5724, imdb_netflix_v5!A$2:H$7370, 2, FALSE), "")</f>
        <v>Movie</v>
      </c>
      <c r="C5724" s="2" t="str">
        <f>IF(A5724&lt;&gt;"", VLOOKUP(A5724, imdb_netflix_v5!A$2:H$7370, 3, FALSE), "")</f>
        <v>Drama, Thriller</v>
      </c>
      <c r="D5724" s="2">
        <f>IF(A5724&lt;&gt;"", VLOOKUP(A5724, imdb_netflix_v5!A$2:H$7370, 4, FALSE), "")</f>
        <v>7.1</v>
      </c>
      <c r="E5724" s="2">
        <f>IF(A5724&lt;&gt;"", VLOOKUP(A5724, imdb_netflix_v5!A$2:H$7370, 5, FALSE), "")</f>
        <v>2020</v>
      </c>
      <c r="F5724" s="2" t="str">
        <f>IF(A5724&lt;&gt;"", VLOOKUP(A5724, imdb_netflix_v5!A$2:H$7370, 7, FALSE), "")</f>
        <v>NA</v>
      </c>
    </row>
    <row r="5725" ht="15.75" customHeight="1">
      <c r="A5725" s="1" t="str">
        <f>IFERROR(__xludf.DUMMYFUNCTION("""COMPUTED_VALUE"""),"trees lounge")</f>
        <v>trees lounge</v>
      </c>
      <c r="B5725" s="1" t="str">
        <f>IF(A5725&lt;&gt;"", VLOOKUP(A5725, imdb_netflix_v5!A$2:H$7370, 2, FALSE), "")</f>
        <v>Movie</v>
      </c>
      <c r="C5725" s="2" t="str">
        <f>IF(A5725&lt;&gt;"", VLOOKUP(A5725, imdb_netflix_v5!A$2:H$7370, 3, FALSE), "")</f>
        <v>Comedy, Drama</v>
      </c>
      <c r="D5725" s="2">
        <f>IF(A5725&lt;&gt;"", VLOOKUP(A5725, imdb_netflix_v5!A$2:H$7370, 4, FALSE), "")</f>
        <v>7.1</v>
      </c>
      <c r="E5725" s="2">
        <f>IF(A5725&lt;&gt;"", VLOOKUP(A5725, imdb_netflix_v5!A$2:H$7370, 5, FALSE), "")</f>
        <v>1996</v>
      </c>
      <c r="F5725" s="2" t="str">
        <f>IF(A5725&lt;&gt;"", VLOOKUP(A5725, imdb_netflix_v5!A$2:H$7370, 7, FALSE), "")</f>
        <v>NA</v>
      </c>
    </row>
    <row r="5726" ht="15.75" customHeight="1">
      <c r="A5726" s="1" t="str">
        <f>IFERROR(__xludf.DUMMYFUNCTION("""COMPUTED_VALUE"""),"gunfight at the o.k. corral")</f>
        <v>gunfight at the o.k. corral</v>
      </c>
      <c r="B5726" s="1" t="str">
        <f>IF(A5726&lt;&gt;"", VLOOKUP(A5726, imdb_netflix_v5!A$2:H$7370, 2, FALSE), "")</f>
        <v>Movie</v>
      </c>
      <c r="C5726" s="2" t="str">
        <f>IF(A5726&lt;&gt;"", VLOOKUP(A5726, imdb_netflix_v5!A$2:H$7370, 3, FALSE), "")</f>
        <v>Biography, Drama, Western</v>
      </c>
      <c r="D5726" s="2">
        <f>IF(A5726&lt;&gt;"", VLOOKUP(A5726, imdb_netflix_v5!A$2:H$7370, 4, FALSE), "")</f>
        <v>7.1</v>
      </c>
      <c r="E5726" s="2">
        <f>IF(A5726&lt;&gt;"", VLOOKUP(A5726, imdb_netflix_v5!A$2:H$7370, 5, FALSE), "")</f>
        <v>1957</v>
      </c>
      <c r="F5726" s="2" t="str">
        <f>IF(A5726&lt;&gt;"", VLOOKUP(A5726, imdb_netflix_v5!A$2:H$7370, 7, FALSE), "")</f>
        <v>NA</v>
      </c>
    </row>
    <row r="5727" ht="15.75" customHeight="1">
      <c r="A5727" s="1" t="str">
        <f>IFERROR(__xludf.DUMMYFUNCTION("""COMPUTED_VALUE"""),"a hijacking")</f>
        <v>a hijacking</v>
      </c>
      <c r="B5727" s="1" t="str">
        <f>IF(A5727&lt;&gt;"", VLOOKUP(A5727, imdb_netflix_v5!A$2:H$7370, 2, FALSE), "")</f>
        <v>Movie</v>
      </c>
      <c r="C5727" s="2" t="str">
        <f>IF(A5727&lt;&gt;"", VLOOKUP(A5727, imdb_netflix_v5!A$2:H$7370, 3, FALSE), "")</f>
        <v>Drama, Thriller</v>
      </c>
      <c r="D5727" s="2">
        <f>IF(A5727&lt;&gt;"", VLOOKUP(A5727, imdb_netflix_v5!A$2:H$7370, 4, FALSE), "")</f>
        <v>7.1</v>
      </c>
      <c r="E5727" s="2">
        <f>IF(A5727&lt;&gt;"", VLOOKUP(A5727, imdb_netflix_v5!A$2:H$7370, 5, FALSE), "")</f>
        <v>2012</v>
      </c>
      <c r="F5727" s="2" t="str">
        <f>IF(A5727&lt;&gt;"", VLOOKUP(A5727, imdb_netflix_v5!A$2:H$7370, 7, FALSE), "")</f>
        <v>NA</v>
      </c>
    </row>
    <row r="5728" ht="15.75" customHeight="1">
      <c r="A5728" s="1" t="str">
        <f>IFERROR(__xludf.DUMMYFUNCTION("""COMPUTED_VALUE"""),"truth be told")</f>
        <v>truth be told</v>
      </c>
      <c r="B5728" s="1" t="str">
        <f>IF(A5728&lt;&gt;"", VLOOKUP(A5728, imdb_netflix_v5!A$2:H$7370, 2, FALSE), "")</f>
        <v>TV Show</v>
      </c>
      <c r="C5728" s="2" t="str">
        <f>IF(A5728&lt;&gt;"", VLOOKUP(A5728, imdb_netflix_v5!A$2:H$7370, 3, FALSE), "")</f>
        <v>Crime, Drama, Mystery</v>
      </c>
      <c r="D5728" s="2">
        <f>IF(A5728&lt;&gt;"", VLOOKUP(A5728, imdb_netflix_v5!A$2:H$7370, 4, FALSE), "")</f>
        <v>7.1</v>
      </c>
      <c r="E5728" s="2">
        <f>IF(A5728&lt;&gt;"", VLOOKUP(A5728, imdb_netflix_v5!A$2:H$7370, 5, FALSE), "")</f>
        <v>2019</v>
      </c>
      <c r="F5728" s="2" t="str">
        <f>IF(A5728&lt;&gt;"", VLOOKUP(A5728, imdb_netflix_v5!A$2:H$7370, 7, FALSE), "")</f>
        <v>NA</v>
      </c>
    </row>
    <row r="5729" ht="15.75" customHeight="1">
      <c r="A5729" s="1" t="str">
        <f>IFERROR(__xludf.DUMMYFUNCTION("""COMPUTED_VALUE"""),"love in the afternoon")</f>
        <v>love in the afternoon</v>
      </c>
      <c r="B5729" s="1" t="str">
        <f>IF(A5729&lt;&gt;"", VLOOKUP(A5729, imdb_netflix_v5!A$2:H$7370, 2, FALSE), "")</f>
        <v>Movie</v>
      </c>
      <c r="C5729" s="2" t="str">
        <f>IF(A5729&lt;&gt;"", VLOOKUP(A5729, imdb_netflix_v5!A$2:H$7370, 3, FALSE), "")</f>
        <v>Comedy, Crime, Drama</v>
      </c>
      <c r="D5729" s="2">
        <f>IF(A5729&lt;&gt;"", VLOOKUP(A5729, imdb_netflix_v5!A$2:H$7370, 4, FALSE), "")</f>
        <v>7.1</v>
      </c>
      <c r="E5729" s="2">
        <f>IF(A5729&lt;&gt;"", VLOOKUP(A5729, imdb_netflix_v5!A$2:H$7370, 5, FALSE), "")</f>
        <v>1957</v>
      </c>
      <c r="F5729" s="2" t="str">
        <f>IF(A5729&lt;&gt;"", VLOOKUP(A5729, imdb_netflix_v5!A$2:H$7370, 7, FALSE), "")</f>
        <v>NA</v>
      </c>
    </row>
    <row r="5730" ht="15.75" customHeight="1">
      <c r="A5730" s="1" t="str">
        <f>IFERROR(__xludf.DUMMYFUNCTION("""COMPUTED_VALUE"""),"children who chase lost voices")</f>
        <v>children who chase lost voices</v>
      </c>
      <c r="B5730" s="1" t="str">
        <f>IF(A5730&lt;&gt;"", VLOOKUP(A5730, imdb_netflix_v5!A$2:H$7370, 2, FALSE), "")</f>
        <v>Movie</v>
      </c>
      <c r="C5730" s="2" t="str">
        <f>IF(A5730&lt;&gt;"", VLOOKUP(A5730, imdb_netflix_v5!A$2:H$7370, 3, FALSE), "")</f>
        <v>Adventure, Animation, Drama</v>
      </c>
      <c r="D5730" s="2">
        <f>IF(A5730&lt;&gt;"", VLOOKUP(A5730, imdb_netflix_v5!A$2:H$7370, 4, FALSE), "")</f>
        <v>7.1</v>
      </c>
      <c r="E5730" s="2">
        <f>IF(A5730&lt;&gt;"", VLOOKUP(A5730, imdb_netflix_v5!A$2:H$7370, 5, FALSE), "")</f>
        <v>2011</v>
      </c>
      <c r="F5730" s="2" t="str">
        <f>IF(A5730&lt;&gt;"", VLOOKUP(A5730, imdb_netflix_v5!A$2:H$7370, 7, FALSE), "")</f>
        <v>NA</v>
      </c>
    </row>
    <row r="5731" ht="15.75" customHeight="1">
      <c r="A5731" s="1" t="str">
        <f>IFERROR(__xludf.DUMMYFUNCTION("""COMPUTED_VALUE"""),"quo vadis")</f>
        <v>quo vadis</v>
      </c>
      <c r="B5731" s="1" t="str">
        <f>IF(A5731&lt;&gt;"", VLOOKUP(A5731, imdb_netflix_v5!A$2:H$7370, 2, FALSE), "")</f>
        <v>Movie</v>
      </c>
      <c r="C5731" s="2" t="str">
        <f>IF(A5731&lt;&gt;"", VLOOKUP(A5731, imdb_netflix_v5!A$2:H$7370, 3, FALSE), "")</f>
        <v>Biography, Drama, Romance</v>
      </c>
      <c r="D5731" s="2">
        <f>IF(A5731&lt;&gt;"", VLOOKUP(A5731, imdb_netflix_v5!A$2:H$7370, 4, FALSE), "")</f>
        <v>7.1</v>
      </c>
      <c r="E5731" s="2">
        <f>IF(A5731&lt;&gt;"", VLOOKUP(A5731, imdb_netflix_v5!A$2:H$7370, 5, FALSE), "")</f>
        <v>1951</v>
      </c>
      <c r="F5731" s="2" t="str">
        <f>IF(A5731&lt;&gt;"", VLOOKUP(A5731, imdb_netflix_v5!A$2:H$7370, 7, FALSE), "")</f>
        <v>NA</v>
      </c>
    </row>
    <row r="5732" ht="15.75" customHeight="1">
      <c r="A5732" s="1" t="str">
        <f>IFERROR(__xludf.DUMMYFUNCTION("""COMPUTED_VALUE"""),"the valhalla murders")</f>
        <v>the valhalla murders</v>
      </c>
      <c r="B5732" s="1" t="str">
        <f>IF(A5732&lt;&gt;"", VLOOKUP(A5732, imdb_netflix_v5!A$2:H$7370, 2, FALSE), "")</f>
        <v>TV Show</v>
      </c>
      <c r="C5732" s="2" t="str">
        <f>IF(A5732&lt;&gt;"", VLOOKUP(A5732, imdb_netflix_v5!A$2:H$7370, 3, FALSE), "")</f>
        <v>Crime, Drama, Mystery</v>
      </c>
      <c r="D5732" s="2">
        <f>IF(A5732&lt;&gt;"", VLOOKUP(A5732, imdb_netflix_v5!A$2:H$7370, 4, FALSE), "")</f>
        <v>7.1</v>
      </c>
      <c r="E5732" s="2">
        <f>IF(A5732&lt;&gt;"", VLOOKUP(A5732, imdb_netflix_v5!A$2:H$7370, 5, FALSE), "")</f>
        <v>2019</v>
      </c>
      <c r="F5732" s="2" t="str">
        <f>IF(A5732&lt;&gt;"", VLOOKUP(A5732, imdb_netflix_v5!A$2:H$7370, 7, FALSE), "")</f>
        <v>NA</v>
      </c>
    </row>
    <row r="5733" ht="15.75" customHeight="1">
      <c r="A5733" s="1" t="str">
        <f>IFERROR(__xludf.DUMMYFUNCTION("""COMPUTED_VALUE"""),"the great muppet caper")</f>
        <v>the great muppet caper</v>
      </c>
      <c r="B5733" s="1" t="str">
        <f>IF(A5733&lt;&gt;"", VLOOKUP(A5733, imdb_netflix_v5!A$2:H$7370, 2, FALSE), "")</f>
        <v>Movie</v>
      </c>
      <c r="C5733" s="2" t="str">
        <f>IF(A5733&lt;&gt;"", VLOOKUP(A5733, imdb_netflix_v5!A$2:H$7370, 3, FALSE), "")</f>
        <v>Adventure, Comedy, Crime</v>
      </c>
      <c r="D5733" s="2">
        <f>IF(A5733&lt;&gt;"", VLOOKUP(A5733, imdb_netflix_v5!A$2:H$7370, 4, FALSE), "")</f>
        <v>7.1</v>
      </c>
      <c r="E5733" s="2">
        <f>IF(A5733&lt;&gt;"", VLOOKUP(A5733, imdb_netflix_v5!A$2:H$7370, 5, FALSE), "")</f>
        <v>1981</v>
      </c>
      <c r="F5733" s="2" t="str">
        <f>IF(A5733&lt;&gt;"", VLOOKUP(A5733, imdb_netflix_v5!A$2:H$7370, 7, FALSE), "")</f>
        <v>NA</v>
      </c>
    </row>
    <row r="5734" ht="15.75" customHeight="1">
      <c r="A5734" s="1" t="str">
        <f>IFERROR(__xludf.DUMMYFUNCTION("""COMPUTED_VALUE"""),"mclintock!")</f>
        <v>mclintock!</v>
      </c>
      <c r="B5734" s="1" t="str">
        <f>IF(A5734&lt;&gt;"", VLOOKUP(A5734, imdb_netflix_v5!A$2:H$7370, 2, FALSE), "")</f>
        <v>Movie</v>
      </c>
      <c r="C5734" s="2" t="str">
        <f>IF(A5734&lt;&gt;"", VLOOKUP(A5734, imdb_netflix_v5!A$2:H$7370, 3, FALSE), "")</f>
        <v>Comedy, Western</v>
      </c>
      <c r="D5734" s="2">
        <f>IF(A5734&lt;&gt;"", VLOOKUP(A5734, imdb_netflix_v5!A$2:H$7370, 4, FALSE), "")</f>
        <v>7.1</v>
      </c>
      <c r="E5734" s="2">
        <f>IF(A5734&lt;&gt;"", VLOOKUP(A5734, imdb_netflix_v5!A$2:H$7370, 5, FALSE), "")</f>
        <v>1963</v>
      </c>
      <c r="F5734" s="2" t="str">
        <f>IF(A5734&lt;&gt;"", VLOOKUP(A5734, imdb_netflix_v5!A$2:H$7370, 7, FALSE), "")</f>
        <v>NA</v>
      </c>
    </row>
    <row r="5735" ht="15.75" customHeight="1">
      <c r="A5735" s="1" t="str">
        <f>IFERROR(__xludf.DUMMYFUNCTION("""COMPUTED_VALUE"""),"gantz o")</f>
        <v>gantz o</v>
      </c>
      <c r="B5735" s="1" t="str">
        <f>IF(A5735&lt;&gt;"", VLOOKUP(A5735, imdb_netflix_v5!A$2:H$7370, 2, FALSE), "")</f>
        <v>Movie</v>
      </c>
      <c r="C5735" s="2" t="str">
        <f>IF(A5735&lt;&gt;"", VLOOKUP(A5735, imdb_netflix_v5!A$2:H$7370, 3, FALSE), "")</f>
        <v>Action, Animation, Drama</v>
      </c>
      <c r="D5735" s="2">
        <f>IF(A5735&lt;&gt;"", VLOOKUP(A5735, imdb_netflix_v5!A$2:H$7370, 4, FALSE), "")</f>
        <v>7.1</v>
      </c>
      <c r="E5735" s="2">
        <f>IF(A5735&lt;&gt;"", VLOOKUP(A5735, imdb_netflix_v5!A$2:H$7370, 5, FALSE), "")</f>
        <v>2016</v>
      </c>
      <c r="F5735" s="2" t="str">
        <f>IF(A5735&lt;&gt;"", VLOOKUP(A5735, imdb_netflix_v5!A$2:H$7370, 7, FALSE), "")</f>
        <v>NA</v>
      </c>
    </row>
    <row r="5736" ht="15.75" customHeight="1">
      <c r="A5736" s="1" t="str">
        <f>IFERROR(__xludf.DUMMYFUNCTION("""COMPUTED_VALUE"""),"the wheel of time origins")</f>
        <v>the wheel of time origins</v>
      </c>
      <c r="B5736" s="1" t="str">
        <f>IF(A5736&lt;&gt;"", VLOOKUP(A5736, imdb_netflix_v5!A$2:H$7370, 2, FALSE), "")</f>
        <v>TV Show</v>
      </c>
      <c r="C5736" s="2" t="str">
        <f>IF(A5736&lt;&gt;"", VLOOKUP(A5736, imdb_netflix_v5!A$2:H$7370, 3, FALSE), "")</f>
        <v>Animation, Drama, Fantasy</v>
      </c>
      <c r="D5736" s="2">
        <f>IF(A5736&lt;&gt;"", VLOOKUP(A5736, imdb_netflix_v5!A$2:H$7370, 4, FALSE), "")</f>
        <v>7.1</v>
      </c>
      <c r="E5736" s="2">
        <f>IF(A5736&lt;&gt;"", VLOOKUP(A5736, imdb_netflix_v5!A$2:H$7370, 5, FALSE), "")</f>
        <v>2021</v>
      </c>
      <c r="F5736" s="2" t="str">
        <f>IF(A5736&lt;&gt;"", VLOOKUP(A5736, imdb_netflix_v5!A$2:H$7370, 7, FALSE), "")</f>
        <v>NA</v>
      </c>
    </row>
    <row r="5737" ht="15.75" customHeight="1">
      <c r="A5737" s="1" t="str">
        <f>IFERROR(__xludf.DUMMYFUNCTION("""COMPUTED_VALUE"""),"raising dion")</f>
        <v>raising dion</v>
      </c>
      <c r="B5737" s="1" t="str">
        <f>IF(A5737&lt;&gt;"", VLOOKUP(A5737, imdb_netflix_v5!A$2:H$7370, 2, FALSE), "")</f>
        <v>TV Show</v>
      </c>
      <c r="C5737" s="2" t="str">
        <f>IF(A5737&lt;&gt;"", VLOOKUP(A5737, imdb_netflix_v5!A$2:H$7370, 3, FALSE), "")</f>
        <v>Drama, Sci-Fi</v>
      </c>
      <c r="D5737" s="2">
        <f>IF(A5737&lt;&gt;"", VLOOKUP(A5737, imdb_netflix_v5!A$2:H$7370, 4, FALSE), "")</f>
        <v>7.1</v>
      </c>
      <c r="E5737" s="2">
        <f>IF(A5737&lt;&gt;"", VLOOKUP(A5737, imdb_netflix_v5!A$2:H$7370, 5, FALSE), "")</f>
        <v>2019</v>
      </c>
      <c r="F5737" s="2">
        <f>IF(A5737&lt;&gt;"", VLOOKUP(A5737, imdb_netflix_v5!A$2:H$7370, 7, FALSE), "")</f>
        <v>11760000</v>
      </c>
    </row>
    <row r="5738" ht="15.75" customHeight="1">
      <c r="A5738" s="1" t="str">
        <f>IFERROR(__xludf.DUMMYFUNCTION("""COMPUTED_VALUE"""),"my neighbors the yamadas")</f>
        <v>my neighbors the yamadas</v>
      </c>
      <c r="B5738" s="1" t="str">
        <f>IF(A5738&lt;&gt;"", VLOOKUP(A5738, imdb_netflix_v5!A$2:H$7370, 2, FALSE), "")</f>
        <v>Movie</v>
      </c>
      <c r="C5738" s="2" t="str">
        <f>IF(A5738&lt;&gt;"", VLOOKUP(A5738, imdb_netflix_v5!A$2:H$7370, 3, FALSE), "")</f>
        <v>Animation, Comedy, Family</v>
      </c>
      <c r="D5738" s="2">
        <f>IF(A5738&lt;&gt;"", VLOOKUP(A5738, imdb_netflix_v5!A$2:H$7370, 4, FALSE), "")</f>
        <v>7.1</v>
      </c>
      <c r="E5738" s="2">
        <f>IF(A5738&lt;&gt;"", VLOOKUP(A5738, imdb_netflix_v5!A$2:H$7370, 5, FALSE), "")</f>
        <v>1999</v>
      </c>
      <c r="F5738" s="2" t="str">
        <f>IF(A5738&lt;&gt;"", VLOOKUP(A5738, imdb_netflix_v5!A$2:H$7370, 7, FALSE), "")</f>
        <v>NA</v>
      </c>
    </row>
    <row r="5739" ht="15.75" customHeight="1">
      <c r="A5739" s="1" t="str">
        <f>IFERROR(__xludf.DUMMYFUNCTION("""COMPUTED_VALUE"""),"the dukes of hazzard")</f>
        <v>the dukes of hazzard</v>
      </c>
      <c r="B5739" s="1" t="str">
        <f>IF(A5739&lt;&gt;"", VLOOKUP(A5739, imdb_netflix_v5!A$2:H$7370, 2, FALSE), "")</f>
        <v>TV Show</v>
      </c>
      <c r="C5739" s="2" t="str">
        <f>IF(A5739&lt;&gt;"", VLOOKUP(A5739, imdb_netflix_v5!A$2:H$7370, 3, FALSE), "")</f>
        <v>Action, Comedy</v>
      </c>
      <c r="D5739" s="2">
        <f>IF(A5739&lt;&gt;"", VLOOKUP(A5739, imdb_netflix_v5!A$2:H$7370, 4, FALSE), "")</f>
        <v>7.1</v>
      </c>
      <c r="E5739" s="2">
        <f>IF(A5739&lt;&gt;"", VLOOKUP(A5739, imdb_netflix_v5!A$2:H$7370, 5, FALSE), "")</f>
        <v>1979</v>
      </c>
      <c r="F5739" s="2" t="str">
        <f>IF(A5739&lt;&gt;"", VLOOKUP(A5739, imdb_netflix_v5!A$2:H$7370, 7, FALSE), "")</f>
        <v>NA</v>
      </c>
    </row>
    <row r="5740" ht="15.75" customHeight="1">
      <c r="A5740" s="1" t="str">
        <f>IFERROR(__xludf.DUMMYFUNCTION("""COMPUTED_VALUE"""),"highschool of the dead")</f>
        <v>highschool of the dead</v>
      </c>
      <c r="B5740" s="1" t="str">
        <f>IF(A5740&lt;&gt;"", VLOOKUP(A5740, imdb_netflix_v5!A$2:H$7370, 2, FALSE), "")</f>
        <v>TV Show</v>
      </c>
      <c r="C5740" s="2" t="str">
        <f>IF(A5740&lt;&gt;"", VLOOKUP(A5740, imdb_netflix_v5!A$2:H$7370, 3, FALSE), "")</f>
        <v>Action, Animation, Drama</v>
      </c>
      <c r="D5740" s="2">
        <f>IF(A5740&lt;&gt;"", VLOOKUP(A5740, imdb_netflix_v5!A$2:H$7370, 4, FALSE), "")</f>
        <v>7.1</v>
      </c>
      <c r="E5740" s="2">
        <f>IF(A5740&lt;&gt;"", VLOOKUP(A5740, imdb_netflix_v5!A$2:H$7370, 5, FALSE), "")</f>
        <v>2010</v>
      </c>
      <c r="F5740" s="2" t="str">
        <f>IF(A5740&lt;&gt;"", VLOOKUP(A5740, imdb_netflix_v5!A$2:H$7370, 7, FALSE), "")</f>
        <v>NA</v>
      </c>
    </row>
    <row r="5741" ht="15.75" customHeight="1">
      <c r="A5741" s="1" t="str">
        <f>IFERROR(__xludf.DUMMYFUNCTION("""COMPUTED_VALUE"""),"swarm")</f>
        <v>swarm</v>
      </c>
      <c r="B5741" s="1" t="str">
        <f>IF(A5741&lt;&gt;"", VLOOKUP(A5741, imdb_netflix_v5!A$2:H$7370, 2, FALSE), "")</f>
        <v>TV Show</v>
      </c>
      <c r="C5741" s="2" t="str">
        <f>IF(A5741&lt;&gt;"", VLOOKUP(A5741, imdb_netflix_v5!A$2:H$7370, 3, FALSE), "")</f>
        <v>Comedy, Crime, Drama</v>
      </c>
      <c r="D5741" s="2">
        <f>IF(A5741&lt;&gt;"", VLOOKUP(A5741, imdb_netflix_v5!A$2:H$7370, 4, FALSE), "")</f>
        <v>7.1</v>
      </c>
      <c r="E5741" s="2">
        <f>IF(A5741&lt;&gt;"", VLOOKUP(A5741, imdb_netflix_v5!A$2:H$7370, 5, FALSE), "")</f>
        <v>2023</v>
      </c>
      <c r="F5741" s="2" t="str">
        <f>IF(A5741&lt;&gt;"", VLOOKUP(A5741, imdb_netflix_v5!A$2:H$7370, 7, FALSE), "")</f>
        <v>NA</v>
      </c>
    </row>
    <row r="5742" ht="15.75" customHeight="1">
      <c r="A5742" s="1" t="str">
        <f>IFERROR(__xludf.DUMMYFUNCTION("""COMPUTED_VALUE"""),"the shrink next door")</f>
        <v>the shrink next door</v>
      </c>
      <c r="B5742" s="1" t="str">
        <f>IF(A5742&lt;&gt;"", VLOOKUP(A5742, imdb_netflix_v5!A$2:H$7370, 2, FALSE), "")</f>
        <v>TV Show</v>
      </c>
      <c r="C5742" s="2" t="str">
        <f>IF(A5742&lt;&gt;"", VLOOKUP(A5742, imdb_netflix_v5!A$2:H$7370, 3, FALSE), "")</f>
        <v>Biography, Comedy, Drama</v>
      </c>
      <c r="D5742" s="2">
        <f>IF(A5742&lt;&gt;"", VLOOKUP(A5742, imdb_netflix_v5!A$2:H$7370, 4, FALSE), "")</f>
        <v>7.1</v>
      </c>
      <c r="E5742" s="2">
        <f>IF(A5742&lt;&gt;"", VLOOKUP(A5742, imdb_netflix_v5!A$2:H$7370, 5, FALSE), "")</f>
        <v>2021</v>
      </c>
      <c r="F5742" s="2" t="str">
        <f>IF(A5742&lt;&gt;"", VLOOKUP(A5742, imdb_netflix_v5!A$2:H$7370, 7, FALSE), "")</f>
        <v>NA</v>
      </c>
    </row>
    <row r="5743" ht="15.75" customHeight="1">
      <c r="A5743" s="1" t="str">
        <f>IFERROR(__xludf.DUMMYFUNCTION("""COMPUTED_VALUE"""),"tracker")</f>
        <v>tracker</v>
      </c>
      <c r="B5743" s="1" t="str">
        <f>IF(A5743&lt;&gt;"", VLOOKUP(A5743, imdb_netflix_v5!A$2:H$7370, 2, FALSE), "")</f>
        <v>TV Show</v>
      </c>
      <c r="C5743" s="2" t="str">
        <f>IF(A5743&lt;&gt;"", VLOOKUP(A5743, imdb_netflix_v5!A$2:H$7370, 3, FALSE), "")</f>
        <v>Crime, Drama</v>
      </c>
      <c r="D5743" s="2">
        <f>IF(A5743&lt;&gt;"", VLOOKUP(A5743, imdb_netflix_v5!A$2:H$7370, 4, FALSE), "")</f>
        <v>7.1</v>
      </c>
      <c r="E5743" s="2">
        <f>IF(A5743&lt;&gt;"", VLOOKUP(A5743, imdb_netflix_v5!A$2:H$7370, 5, FALSE), "")</f>
        <v>2024</v>
      </c>
      <c r="F5743" s="2" t="str">
        <f>IF(A5743&lt;&gt;"", VLOOKUP(A5743, imdb_netflix_v5!A$2:H$7370, 7, FALSE), "")</f>
        <v>NA</v>
      </c>
    </row>
    <row r="5744" ht="15.75" customHeight="1">
      <c r="A5744" s="1" t="str">
        <f>IFERROR(__xludf.DUMMYFUNCTION("""COMPUTED_VALUE"""),"made in dagenham")</f>
        <v>made in dagenham</v>
      </c>
      <c r="B5744" s="1" t="str">
        <f>IF(A5744&lt;&gt;"", VLOOKUP(A5744, imdb_netflix_v5!A$2:H$7370, 2, FALSE), "")</f>
        <v>Movie</v>
      </c>
      <c r="C5744" s="2" t="str">
        <f>IF(A5744&lt;&gt;"", VLOOKUP(A5744, imdb_netflix_v5!A$2:H$7370, 3, FALSE), "")</f>
        <v>Comedy, Drama, History</v>
      </c>
      <c r="D5744" s="2">
        <f>IF(A5744&lt;&gt;"", VLOOKUP(A5744, imdb_netflix_v5!A$2:H$7370, 4, FALSE), "")</f>
        <v>7.1</v>
      </c>
      <c r="E5744" s="2">
        <f>IF(A5744&lt;&gt;"", VLOOKUP(A5744, imdb_netflix_v5!A$2:H$7370, 5, FALSE), "")</f>
        <v>2010</v>
      </c>
      <c r="F5744" s="2" t="str">
        <f>IF(A5744&lt;&gt;"", VLOOKUP(A5744, imdb_netflix_v5!A$2:H$7370, 7, FALSE), "")</f>
        <v>NA</v>
      </c>
    </row>
    <row r="5745" ht="15.75" customHeight="1">
      <c r="A5745" s="1" t="str">
        <f>IFERROR(__xludf.DUMMYFUNCTION("""COMPUTED_VALUE"""),"dragon ball super super hero")</f>
        <v>dragon ball super super hero</v>
      </c>
      <c r="B5745" s="1" t="str">
        <f>IF(A5745&lt;&gt;"", VLOOKUP(A5745, imdb_netflix_v5!A$2:H$7370, 2, FALSE), "")</f>
        <v>Movie</v>
      </c>
      <c r="C5745" s="2" t="str">
        <f>IF(A5745&lt;&gt;"", VLOOKUP(A5745, imdb_netflix_v5!A$2:H$7370, 3, FALSE), "")</f>
        <v>Action, Adventure, Animation</v>
      </c>
      <c r="D5745" s="2">
        <f>IF(A5745&lt;&gt;"", VLOOKUP(A5745, imdb_netflix_v5!A$2:H$7370, 4, FALSE), "")</f>
        <v>7.1</v>
      </c>
      <c r="E5745" s="2">
        <f>IF(A5745&lt;&gt;"", VLOOKUP(A5745, imdb_netflix_v5!A$2:H$7370, 5, FALSE), "")</f>
        <v>2022</v>
      </c>
      <c r="F5745" s="2" t="str">
        <f>IF(A5745&lt;&gt;"", VLOOKUP(A5745, imdb_netflix_v5!A$2:H$7370, 7, FALSE), "")</f>
        <v>NA</v>
      </c>
    </row>
    <row r="5746" ht="15.75" customHeight="1">
      <c r="A5746" s="1" t="str">
        <f>IFERROR(__xludf.DUMMYFUNCTION("""COMPUTED_VALUE"""),"lore")</f>
        <v>lore</v>
      </c>
      <c r="B5746" s="1" t="str">
        <f>IF(A5746&lt;&gt;"", VLOOKUP(A5746, imdb_netflix_v5!A$2:H$7370, 2, FALSE), "")</f>
        <v>Movie</v>
      </c>
      <c r="C5746" s="2" t="str">
        <f>IF(A5746&lt;&gt;"", VLOOKUP(A5746, imdb_netflix_v5!A$2:H$7370, 3, FALSE), "")</f>
        <v>Drama, Romance, War</v>
      </c>
      <c r="D5746" s="2">
        <f>IF(A5746&lt;&gt;"", VLOOKUP(A5746, imdb_netflix_v5!A$2:H$7370, 4, FALSE), "")</f>
        <v>7.1</v>
      </c>
      <c r="E5746" s="2">
        <f>IF(A5746&lt;&gt;"", VLOOKUP(A5746, imdb_netflix_v5!A$2:H$7370, 5, FALSE), "")</f>
        <v>2012</v>
      </c>
      <c r="F5746" s="2" t="str">
        <f>IF(A5746&lt;&gt;"", VLOOKUP(A5746, imdb_netflix_v5!A$2:H$7370, 7, FALSE), "")</f>
        <v>NA</v>
      </c>
    </row>
    <row r="5747" ht="15.75" customHeight="1">
      <c r="A5747" s="1" t="str">
        <f>IFERROR(__xludf.DUMMYFUNCTION("""COMPUTED_VALUE"""),"pieta")</f>
        <v>pieta</v>
      </c>
      <c r="B5747" s="1" t="str">
        <f>IF(A5747&lt;&gt;"", VLOOKUP(A5747, imdb_netflix_v5!A$2:H$7370, 2, FALSE), "")</f>
        <v>Movie</v>
      </c>
      <c r="C5747" s="2" t="str">
        <f>IF(A5747&lt;&gt;"", VLOOKUP(A5747, imdb_netflix_v5!A$2:H$7370, 3, FALSE), "")</f>
        <v>Crime, Drama, Thriller</v>
      </c>
      <c r="D5747" s="2">
        <f>IF(A5747&lt;&gt;"", VLOOKUP(A5747, imdb_netflix_v5!A$2:H$7370, 4, FALSE), "")</f>
        <v>7.1</v>
      </c>
      <c r="E5747" s="2">
        <f>IF(A5747&lt;&gt;"", VLOOKUP(A5747, imdb_netflix_v5!A$2:H$7370, 5, FALSE), "")</f>
        <v>2012</v>
      </c>
      <c r="F5747" s="2" t="str">
        <f>IF(A5747&lt;&gt;"", VLOOKUP(A5747, imdb_netflix_v5!A$2:H$7370, 7, FALSE), "")</f>
        <v>NA</v>
      </c>
    </row>
    <row r="5748" ht="15.75" customHeight="1">
      <c r="A5748" s="1" t="str">
        <f>IFERROR(__xludf.DUMMYFUNCTION("""COMPUTED_VALUE"""),"wild rose")</f>
        <v>wild rose</v>
      </c>
      <c r="B5748" s="1" t="str">
        <f>IF(A5748&lt;&gt;"", VLOOKUP(A5748, imdb_netflix_v5!A$2:H$7370, 2, FALSE), "")</f>
        <v>Movie</v>
      </c>
      <c r="C5748" s="2" t="str">
        <f>IF(A5748&lt;&gt;"", VLOOKUP(A5748, imdb_netflix_v5!A$2:H$7370, 3, FALSE), "")</f>
        <v>Drama, Music</v>
      </c>
      <c r="D5748" s="2">
        <f>IF(A5748&lt;&gt;"", VLOOKUP(A5748, imdb_netflix_v5!A$2:H$7370, 4, FALSE), "")</f>
        <v>7.1</v>
      </c>
      <c r="E5748" s="2">
        <f>IF(A5748&lt;&gt;"", VLOOKUP(A5748, imdb_netflix_v5!A$2:H$7370, 5, FALSE), "")</f>
        <v>2018</v>
      </c>
      <c r="F5748" s="2" t="str">
        <f>IF(A5748&lt;&gt;"", VLOOKUP(A5748, imdb_netflix_v5!A$2:H$7370, 7, FALSE), "")</f>
        <v>NA</v>
      </c>
    </row>
    <row r="5749" ht="15.75" customHeight="1">
      <c r="A5749" s="1" t="str">
        <f>IFERROR(__xludf.DUMMYFUNCTION("""COMPUTED_VALUE"""),"code unknown")</f>
        <v>code unknown</v>
      </c>
      <c r="B5749" s="1" t="str">
        <f>IF(A5749&lt;&gt;"", VLOOKUP(A5749, imdb_netflix_v5!A$2:H$7370, 2, FALSE), "")</f>
        <v>Movie</v>
      </c>
      <c r="C5749" s="2" t="str">
        <f>IF(A5749&lt;&gt;"", VLOOKUP(A5749, imdb_netflix_v5!A$2:H$7370, 3, FALSE), "")</f>
        <v>Drama</v>
      </c>
      <c r="D5749" s="2">
        <f>IF(A5749&lt;&gt;"", VLOOKUP(A5749, imdb_netflix_v5!A$2:H$7370, 4, FALSE), "")</f>
        <v>7.1</v>
      </c>
      <c r="E5749" s="2">
        <f>IF(A5749&lt;&gt;"", VLOOKUP(A5749, imdb_netflix_v5!A$2:H$7370, 5, FALSE), "")</f>
        <v>2000</v>
      </c>
      <c r="F5749" s="2" t="str">
        <f>IF(A5749&lt;&gt;"", VLOOKUP(A5749, imdb_netflix_v5!A$2:H$7370, 7, FALSE), "")</f>
        <v>NA</v>
      </c>
    </row>
    <row r="5750" ht="15.75" customHeight="1">
      <c r="A5750" s="1" t="str">
        <f>IFERROR(__xludf.DUMMYFUNCTION("""COMPUTED_VALUE"""),"a late quartet")</f>
        <v>a late quartet</v>
      </c>
      <c r="B5750" s="1" t="str">
        <f>IF(A5750&lt;&gt;"", VLOOKUP(A5750, imdb_netflix_v5!A$2:H$7370, 2, FALSE), "")</f>
        <v>Movie</v>
      </c>
      <c r="C5750" s="2" t="str">
        <f>IF(A5750&lt;&gt;"", VLOOKUP(A5750, imdb_netflix_v5!A$2:H$7370, 3, FALSE), "")</f>
        <v>Drama, Music</v>
      </c>
      <c r="D5750" s="2">
        <f>IF(A5750&lt;&gt;"", VLOOKUP(A5750, imdb_netflix_v5!A$2:H$7370, 4, FALSE), "")</f>
        <v>7.1</v>
      </c>
      <c r="E5750" s="2">
        <f>IF(A5750&lt;&gt;"", VLOOKUP(A5750, imdb_netflix_v5!A$2:H$7370, 5, FALSE), "")</f>
        <v>2012</v>
      </c>
      <c r="F5750" s="2" t="str">
        <f>IF(A5750&lt;&gt;"", VLOOKUP(A5750, imdb_netflix_v5!A$2:H$7370, 7, FALSE), "")</f>
        <v>NA</v>
      </c>
    </row>
    <row r="5751" ht="15.75" customHeight="1">
      <c r="A5751" s="1" t="str">
        <f>IFERROR(__xludf.DUMMYFUNCTION("""COMPUTED_VALUE"""),"von ryans express")</f>
        <v>von ryans express</v>
      </c>
      <c r="B5751" s="1" t="str">
        <f>IF(A5751&lt;&gt;"", VLOOKUP(A5751, imdb_netflix_v5!A$2:H$7370, 2, FALSE), "")</f>
        <v>Movie</v>
      </c>
      <c r="C5751" s="2" t="str">
        <f>IF(A5751&lt;&gt;"", VLOOKUP(A5751, imdb_netflix_v5!A$2:H$7370, 3, FALSE), "")</f>
        <v>Action, Adventure, War</v>
      </c>
      <c r="D5751" s="2">
        <f>IF(A5751&lt;&gt;"", VLOOKUP(A5751, imdb_netflix_v5!A$2:H$7370, 4, FALSE), "")</f>
        <v>7.1</v>
      </c>
      <c r="E5751" s="2">
        <f>IF(A5751&lt;&gt;"", VLOOKUP(A5751, imdb_netflix_v5!A$2:H$7370, 5, FALSE), "")</f>
        <v>1965</v>
      </c>
      <c r="F5751" s="2" t="str">
        <f>IF(A5751&lt;&gt;"", VLOOKUP(A5751, imdb_netflix_v5!A$2:H$7370, 7, FALSE), "")</f>
        <v>NA</v>
      </c>
    </row>
    <row r="5752" ht="15.75" customHeight="1">
      <c r="A5752" s="1" t="str">
        <f>IFERROR(__xludf.DUMMYFUNCTION("""COMPUTED_VALUE"""),"believe")</f>
        <v>believe</v>
      </c>
      <c r="B5752" s="1" t="str">
        <f>IF(A5752&lt;&gt;"", VLOOKUP(A5752, imdb_netflix_v5!A$2:H$7370, 2, FALSE), "")</f>
        <v>TV Show</v>
      </c>
      <c r="C5752" s="2" t="str">
        <f>IF(A5752&lt;&gt;"", VLOOKUP(A5752, imdb_netflix_v5!A$2:H$7370, 3, FALSE), "")</f>
        <v>Drama, Fantasy, Sci-Fi</v>
      </c>
      <c r="D5752" s="2">
        <f>IF(A5752&lt;&gt;"", VLOOKUP(A5752, imdb_netflix_v5!A$2:H$7370, 4, FALSE), "")</f>
        <v>7.1</v>
      </c>
      <c r="E5752" s="2">
        <f>IF(A5752&lt;&gt;"", VLOOKUP(A5752, imdb_netflix_v5!A$2:H$7370, 5, FALSE), "")</f>
        <v>2014</v>
      </c>
      <c r="F5752" s="2" t="str">
        <f>IF(A5752&lt;&gt;"", VLOOKUP(A5752, imdb_netflix_v5!A$2:H$7370, 7, FALSE), "")</f>
        <v>NA</v>
      </c>
    </row>
    <row r="5753" ht="15.75" customHeight="1">
      <c r="A5753" s="1" t="str">
        <f>IFERROR(__xludf.DUMMYFUNCTION("""COMPUTED_VALUE"""),"the big feast")</f>
        <v>the big feast</v>
      </c>
      <c r="B5753" s="1" t="str">
        <f>IF(A5753&lt;&gt;"", VLOOKUP(A5753, imdb_netflix_v5!A$2:H$7370, 2, FALSE), "")</f>
        <v>Movie</v>
      </c>
      <c r="C5753" s="2" t="str">
        <f>IF(A5753&lt;&gt;"", VLOOKUP(A5753, imdb_netflix_v5!A$2:H$7370, 3, FALSE), "")</f>
        <v>Comedy, Drama</v>
      </c>
      <c r="D5753" s="2">
        <f>IF(A5753&lt;&gt;"", VLOOKUP(A5753, imdb_netflix_v5!A$2:H$7370, 4, FALSE), "")</f>
        <v>7.1</v>
      </c>
      <c r="E5753" s="2">
        <f>IF(A5753&lt;&gt;"", VLOOKUP(A5753, imdb_netflix_v5!A$2:H$7370, 5, FALSE), "")</f>
        <v>1973</v>
      </c>
      <c r="F5753" s="2" t="str">
        <f>IF(A5753&lt;&gt;"", VLOOKUP(A5753, imdb_netflix_v5!A$2:H$7370, 7, FALSE), "")</f>
        <v>NA</v>
      </c>
    </row>
    <row r="5754" ht="15.75" customHeight="1">
      <c r="A5754" s="1" t="str">
        <f>IFERROR(__xludf.DUMMYFUNCTION("""COMPUTED_VALUE"""),"hardcore")</f>
        <v>hardcore</v>
      </c>
      <c r="B5754" s="1" t="str">
        <f>IF(A5754&lt;&gt;"", VLOOKUP(A5754, imdb_netflix_v5!A$2:H$7370, 2, FALSE), "")</f>
        <v>Movie</v>
      </c>
      <c r="C5754" s="2" t="str">
        <f>IF(A5754&lt;&gt;"", VLOOKUP(A5754, imdb_netflix_v5!A$2:H$7370, 3, FALSE), "")</f>
        <v>Crime, Drama</v>
      </c>
      <c r="D5754" s="2">
        <f>IF(A5754&lt;&gt;"", VLOOKUP(A5754, imdb_netflix_v5!A$2:H$7370, 4, FALSE), "")</f>
        <v>7.1</v>
      </c>
      <c r="E5754" s="2">
        <f>IF(A5754&lt;&gt;"", VLOOKUP(A5754, imdb_netflix_v5!A$2:H$7370, 5, FALSE), "")</f>
        <v>1979</v>
      </c>
      <c r="F5754" s="2" t="str">
        <f>IF(A5754&lt;&gt;"", VLOOKUP(A5754, imdb_netflix_v5!A$2:H$7370, 7, FALSE), "")</f>
        <v>NA</v>
      </c>
    </row>
    <row r="5755" ht="15.75" customHeight="1">
      <c r="A5755" s="1" t="str">
        <f>IFERROR(__xludf.DUMMYFUNCTION("""COMPUTED_VALUE"""),"one false move")</f>
        <v>one false move</v>
      </c>
      <c r="B5755" s="1" t="str">
        <f>IF(A5755&lt;&gt;"", VLOOKUP(A5755, imdb_netflix_v5!A$2:H$7370, 2, FALSE), "")</f>
        <v>Movie</v>
      </c>
      <c r="C5755" s="2" t="str">
        <f>IF(A5755&lt;&gt;"", VLOOKUP(A5755, imdb_netflix_v5!A$2:H$7370, 3, FALSE), "")</f>
        <v>Crime, Drama, Thriller</v>
      </c>
      <c r="D5755" s="2">
        <f>IF(A5755&lt;&gt;"", VLOOKUP(A5755, imdb_netflix_v5!A$2:H$7370, 4, FALSE), "")</f>
        <v>7.1</v>
      </c>
      <c r="E5755" s="2">
        <f>IF(A5755&lt;&gt;"", VLOOKUP(A5755, imdb_netflix_v5!A$2:H$7370, 5, FALSE), "")</f>
        <v>1991</v>
      </c>
      <c r="F5755" s="2" t="str">
        <f>IF(A5755&lt;&gt;"", VLOOKUP(A5755, imdb_netflix_v5!A$2:H$7370, 7, FALSE), "")</f>
        <v>NA</v>
      </c>
    </row>
    <row r="5756" ht="15.75" customHeight="1">
      <c r="A5756" s="1" t="str">
        <f>IFERROR(__xludf.DUMMYFUNCTION("""COMPUTED_VALUE"""),"jesus revolution")</f>
        <v>jesus revolution</v>
      </c>
      <c r="B5756" s="1" t="str">
        <f>IF(A5756&lt;&gt;"", VLOOKUP(A5756, imdb_netflix_v5!A$2:H$7370, 2, FALSE), "")</f>
        <v>Movie</v>
      </c>
      <c r="C5756" s="2" t="str">
        <f>IF(A5756&lt;&gt;"", VLOOKUP(A5756, imdb_netflix_v5!A$2:H$7370, 3, FALSE), "")</f>
        <v>Biography, Drama, History</v>
      </c>
      <c r="D5756" s="2">
        <f>IF(A5756&lt;&gt;"", VLOOKUP(A5756, imdb_netflix_v5!A$2:H$7370, 4, FALSE), "")</f>
        <v>7.1</v>
      </c>
      <c r="E5756" s="2">
        <f>IF(A5756&lt;&gt;"", VLOOKUP(A5756, imdb_netflix_v5!A$2:H$7370, 5, FALSE), "")</f>
        <v>2023</v>
      </c>
      <c r="F5756" s="2" t="str">
        <f>IF(A5756&lt;&gt;"", VLOOKUP(A5756, imdb_netflix_v5!A$2:H$7370, 7, FALSE), "")</f>
        <v>NA</v>
      </c>
    </row>
    <row r="5757" ht="15.75" customHeight="1">
      <c r="A5757" s="1" t="str">
        <f>IFERROR(__xludf.DUMMYFUNCTION("""COMPUTED_VALUE"""),"cold fish")</f>
        <v>cold fish</v>
      </c>
      <c r="B5757" s="1" t="str">
        <f>IF(A5757&lt;&gt;"", VLOOKUP(A5757, imdb_netflix_v5!A$2:H$7370, 2, FALSE), "")</f>
        <v>Movie</v>
      </c>
      <c r="C5757" s="2" t="str">
        <f>IF(A5757&lt;&gt;"", VLOOKUP(A5757, imdb_netflix_v5!A$2:H$7370, 3, FALSE), "")</f>
        <v>Crime, Drama, Horror</v>
      </c>
      <c r="D5757" s="2">
        <f>IF(A5757&lt;&gt;"", VLOOKUP(A5757, imdb_netflix_v5!A$2:H$7370, 4, FALSE), "")</f>
        <v>7.1</v>
      </c>
      <c r="E5757" s="2">
        <f>IF(A5757&lt;&gt;"", VLOOKUP(A5757, imdb_netflix_v5!A$2:H$7370, 5, FALSE), "")</f>
        <v>2010</v>
      </c>
      <c r="F5757" s="2" t="str">
        <f>IF(A5757&lt;&gt;"", VLOOKUP(A5757, imdb_netflix_v5!A$2:H$7370, 7, FALSE), "")</f>
        <v>NA</v>
      </c>
    </row>
    <row r="5758" ht="15.75" customHeight="1">
      <c r="A5758" s="1" t="str">
        <f>IFERROR(__xludf.DUMMYFUNCTION("""COMPUTED_VALUE"""),"the aura")</f>
        <v>the aura</v>
      </c>
      <c r="B5758" s="1" t="str">
        <f>IF(A5758&lt;&gt;"", VLOOKUP(A5758, imdb_netflix_v5!A$2:H$7370, 2, FALSE), "")</f>
        <v>Movie</v>
      </c>
      <c r="C5758" s="2" t="str">
        <f>IF(A5758&lt;&gt;"", VLOOKUP(A5758, imdb_netflix_v5!A$2:H$7370, 3, FALSE), "")</f>
        <v>Crime, Drama, Thriller</v>
      </c>
      <c r="D5758" s="2">
        <f>IF(A5758&lt;&gt;"", VLOOKUP(A5758, imdb_netflix_v5!A$2:H$7370, 4, FALSE), "")</f>
        <v>7.1</v>
      </c>
      <c r="E5758" s="2">
        <f>IF(A5758&lt;&gt;"", VLOOKUP(A5758, imdb_netflix_v5!A$2:H$7370, 5, FALSE), "")</f>
        <v>2005</v>
      </c>
      <c r="F5758" s="2" t="str">
        <f>IF(A5758&lt;&gt;"", VLOOKUP(A5758, imdb_netflix_v5!A$2:H$7370, 7, FALSE), "")</f>
        <v>NA</v>
      </c>
    </row>
    <row r="5759" ht="15.75" customHeight="1">
      <c r="A5759" s="1" t="str">
        <f>IFERROR(__xludf.DUMMYFUNCTION("""COMPUTED_VALUE"""),"the good boss")</f>
        <v>the good boss</v>
      </c>
      <c r="B5759" s="1" t="str">
        <f>IF(A5759&lt;&gt;"", VLOOKUP(A5759, imdb_netflix_v5!A$2:H$7370, 2, FALSE), "")</f>
        <v>Movie</v>
      </c>
      <c r="C5759" s="2" t="str">
        <f>IF(A5759&lt;&gt;"", VLOOKUP(A5759, imdb_netflix_v5!A$2:H$7370, 3, FALSE), "")</f>
        <v>Comedy, Drama</v>
      </c>
      <c r="D5759" s="2">
        <f>IF(A5759&lt;&gt;"", VLOOKUP(A5759, imdb_netflix_v5!A$2:H$7370, 4, FALSE), "")</f>
        <v>7.1</v>
      </c>
      <c r="E5759" s="2">
        <f>IF(A5759&lt;&gt;"", VLOOKUP(A5759, imdb_netflix_v5!A$2:H$7370, 5, FALSE), "")</f>
        <v>2021</v>
      </c>
      <c r="F5759" s="2" t="str">
        <f>IF(A5759&lt;&gt;"", VLOOKUP(A5759, imdb_netflix_v5!A$2:H$7370, 7, FALSE), "")</f>
        <v>NA</v>
      </c>
    </row>
    <row r="5760" ht="15.75" customHeight="1">
      <c r="A5760" s="1" t="str">
        <f>IFERROR(__xludf.DUMMYFUNCTION("""COMPUTED_VALUE"""),"big jake")</f>
        <v>big jake</v>
      </c>
      <c r="B5760" s="1" t="str">
        <f>IF(A5760&lt;&gt;"", VLOOKUP(A5760, imdb_netflix_v5!A$2:H$7370, 2, FALSE), "")</f>
        <v>Movie</v>
      </c>
      <c r="C5760" s="2" t="str">
        <f>IF(A5760&lt;&gt;"", VLOOKUP(A5760, imdb_netflix_v5!A$2:H$7370, 3, FALSE), "")</f>
        <v>Drama, Western</v>
      </c>
      <c r="D5760" s="2">
        <f>IF(A5760&lt;&gt;"", VLOOKUP(A5760, imdb_netflix_v5!A$2:H$7370, 4, FALSE), "")</f>
        <v>7.1</v>
      </c>
      <c r="E5760" s="2">
        <f>IF(A5760&lt;&gt;"", VLOOKUP(A5760, imdb_netflix_v5!A$2:H$7370, 5, FALSE), "")</f>
        <v>1971</v>
      </c>
      <c r="F5760" s="2" t="str">
        <f>IF(A5760&lt;&gt;"", VLOOKUP(A5760, imdb_netflix_v5!A$2:H$7370, 7, FALSE), "")</f>
        <v>NA</v>
      </c>
    </row>
    <row r="5761" ht="15.75" customHeight="1">
      <c r="A5761" s="1" t="str">
        <f>IFERROR(__xludf.DUMMYFUNCTION("""COMPUTED_VALUE"""),"caramel")</f>
        <v>caramel</v>
      </c>
      <c r="B5761" s="1" t="str">
        <f>IF(A5761&lt;&gt;"", VLOOKUP(A5761, imdb_netflix_v5!A$2:H$7370, 2, FALSE), "")</f>
        <v>Movie</v>
      </c>
      <c r="C5761" s="2" t="str">
        <f>IF(A5761&lt;&gt;"", VLOOKUP(A5761, imdb_netflix_v5!A$2:H$7370, 3, FALSE), "")</f>
        <v>Comedy, Drama, Romance</v>
      </c>
      <c r="D5761" s="2">
        <f>IF(A5761&lt;&gt;"", VLOOKUP(A5761, imdb_netflix_v5!A$2:H$7370, 4, FALSE), "")</f>
        <v>7.1</v>
      </c>
      <c r="E5761" s="2">
        <f>IF(A5761&lt;&gt;"", VLOOKUP(A5761, imdb_netflix_v5!A$2:H$7370, 5, FALSE), "")</f>
        <v>2007</v>
      </c>
      <c r="F5761" s="2" t="str">
        <f>IF(A5761&lt;&gt;"", VLOOKUP(A5761, imdb_netflix_v5!A$2:H$7370, 7, FALSE), "")</f>
        <v>NA</v>
      </c>
    </row>
    <row r="5762" ht="15.75" customHeight="1">
      <c r="A5762" s="1" t="str">
        <f>IFERROR(__xludf.DUMMYFUNCTION("""COMPUTED_VALUE"""),"on the beach")</f>
        <v>on the beach</v>
      </c>
      <c r="B5762" s="1" t="str">
        <f>IF(A5762&lt;&gt;"", VLOOKUP(A5762, imdb_netflix_v5!A$2:H$7370, 2, FALSE), "")</f>
        <v>Movie</v>
      </c>
      <c r="C5762" s="2" t="str">
        <f>IF(A5762&lt;&gt;"", VLOOKUP(A5762, imdb_netflix_v5!A$2:H$7370, 3, FALSE), "")</f>
        <v>Drama, Romance, Sci-Fi</v>
      </c>
      <c r="D5762" s="2">
        <f>IF(A5762&lt;&gt;"", VLOOKUP(A5762, imdb_netflix_v5!A$2:H$7370, 4, FALSE), "")</f>
        <v>7.1</v>
      </c>
      <c r="E5762" s="2">
        <f>IF(A5762&lt;&gt;"", VLOOKUP(A5762, imdb_netflix_v5!A$2:H$7370, 5, FALSE), "")</f>
        <v>1959</v>
      </c>
      <c r="F5762" s="2" t="str">
        <f>IF(A5762&lt;&gt;"", VLOOKUP(A5762, imdb_netflix_v5!A$2:H$7370, 7, FALSE), "")</f>
        <v>NA</v>
      </c>
    </row>
    <row r="5763" ht="15.75" customHeight="1">
      <c r="A5763" s="1" t="str">
        <f>IFERROR(__xludf.DUMMYFUNCTION("""COMPUTED_VALUE"""),"kilo two bravo")</f>
        <v>kilo two bravo</v>
      </c>
      <c r="B5763" s="1" t="str">
        <f>IF(A5763&lt;&gt;"", VLOOKUP(A5763, imdb_netflix_v5!A$2:H$7370, 2, FALSE), "")</f>
        <v>Movie</v>
      </c>
      <c r="C5763" s="2" t="str">
        <f>IF(A5763&lt;&gt;"", VLOOKUP(A5763, imdb_netflix_v5!A$2:H$7370, 3, FALSE), "")</f>
        <v>Biography, Drama, Thriller</v>
      </c>
      <c r="D5763" s="2">
        <f>IF(A5763&lt;&gt;"", VLOOKUP(A5763, imdb_netflix_v5!A$2:H$7370, 4, FALSE), "")</f>
        <v>7.1</v>
      </c>
      <c r="E5763" s="2">
        <f>IF(A5763&lt;&gt;"", VLOOKUP(A5763, imdb_netflix_v5!A$2:H$7370, 5, FALSE), "")</f>
        <v>2014</v>
      </c>
      <c r="F5763" s="2" t="str">
        <f>IF(A5763&lt;&gt;"", VLOOKUP(A5763, imdb_netflix_v5!A$2:H$7370, 7, FALSE), "")</f>
        <v>NA</v>
      </c>
    </row>
    <row r="5764" ht="15.75" customHeight="1">
      <c r="A5764" s="1" t="str">
        <f>IFERROR(__xludf.DUMMYFUNCTION("""COMPUTED_VALUE"""),"hatari!")</f>
        <v>hatari!</v>
      </c>
      <c r="B5764" s="1" t="str">
        <f>IF(A5764&lt;&gt;"", VLOOKUP(A5764, imdb_netflix_v5!A$2:H$7370, 2, FALSE), "")</f>
        <v>Movie</v>
      </c>
      <c r="C5764" s="2" t="str">
        <f>IF(A5764&lt;&gt;"", VLOOKUP(A5764, imdb_netflix_v5!A$2:H$7370, 3, FALSE), "")</f>
        <v>Action, Adventure, Comedy</v>
      </c>
      <c r="D5764" s="2">
        <f>IF(A5764&lt;&gt;"", VLOOKUP(A5764, imdb_netflix_v5!A$2:H$7370, 4, FALSE), "")</f>
        <v>7.1</v>
      </c>
      <c r="E5764" s="2">
        <f>IF(A5764&lt;&gt;"", VLOOKUP(A5764, imdb_netflix_v5!A$2:H$7370, 5, FALSE), "")</f>
        <v>1962</v>
      </c>
      <c r="F5764" s="2" t="str">
        <f>IF(A5764&lt;&gt;"", VLOOKUP(A5764, imdb_netflix_v5!A$2:H$7370, 7, FALSE), "")</f>
        <v>NA</v>
      </c>
    </row>
    <row r="5765" ht="15.75" customHeight="1">
      <c r="A5765" s="1" t="str">
        <f>IFERROR(__xludf.DUMMYFUNCTION("""COMPUTED_VALUE"""),"climates")</f>
        <v>climates</v>
      </c>
      <c r="B5765" s="1" t="str">
        <f>IF(A5765&lt;&gt;"", VLOOKUP(A5765, imdb_netflix_v5!A$2:H$7370, 2, FALSE), "")</f>
        <v>Movie</v>
      </c>
      <c r="C5765" s="2" t="str">
        <f>IF(A5765&lt;&gt;"", VLOOKUP(A5765, imdb_netflix_v5!A$2:H$7370, 3, FALSE), "")</f>
        <v>Drama</v>
      </c>
      <c r="D5765" s="2">
        <f>IF(A5765&lt;&gt;"", VLOOKUP(A5765, imdb_netflix_v5!A$2:H$7370, 4, FALSE), "")</f>
        <v>7.1</v>
      </c>
      <c r="E5765" s="2">
        <f>IF(A5765&lt;&gt;"", VLOOKUP(A5765, imdb_netflix_v5!A$2:H$7370, 5, FALSE), "")</f>
        <v>2006</v>
      </c>
      <c r="F5765" s="2" t="str">
        <f>IF(A5765&lt;&gt;"", VLOOKUP(A5765, imdb_netflix_v5!A$2:H$7370, 7, FALSE), "")</f>
        <v>NA</v>
      </c>
    </row>
    <row r="5766" ht="15.75" customHeight="1">
      <c r="A5766" s="1" t="str">
        <f>IFERROR(__xludf.DUMMYFUNCTION("""COMPUTED_VALUE"""),"the dark valley")</f>
        <v>the dark valley</v>
      </c>
      <c r="B5766" s="1" t="str">
        <f>IF(A5766&lt;&gt;"", VLOOKUP(A5766, imdb_netflix_v5!A$2:H$7370, 2, FALSE), "")</f>
        <v>Movie</v>
      </c>
      <c r="C5766" s="2" t="str">
        <f>IF(A5766&lt;&gt;"", VLOOKUP(A5766, imdb_netflix_v5!A$2:H$7370, 3, FALSE), "")</f>
        <v>Action, Drama, Western</v>
      </c>
      <c r="D5766" s="2">
        <f>IF(A5766&lt;&gt;"", VLOOKUP(A5766, imdb_netflix_v5!A$2:H$7370, 4, FALSE), "")</f>
        <v>7.1</v>
      </c>
      <c r="E5766" s="2">
        <f>IF(A5766&lt;&gt;"", VLOOKUP(A5766, imdb_netflix_v5!A$2:H$7370, 5, FALSE), "")</f>
        <v>2014</v>
      </c>
      <c r="F5766" s="2" t="str">
        <f>IF(A5766&lt;&gt;"", VLOOKUP(A5766, imdb_netflix_v5!A$2:H$7370, 7, FALSE), "")</f>
        <v>NA</v>
      </c>
    </row>
    <row r="5767" ht="15.75" customHeight="1">
      <c r="A5767" s="1" t="str">
        <f>IFERROR(__xludf.DUMMYFUNCTION("""COMPUTED_VALUE"""),"diva")</f>
        <v>diva</v>
      </c>
      <c r="B5767" s="1" t="str">
        <f>IF(A5767&lt;&gt;"", VLOOKUP(A5767, imdb_netflix_v5!A$2:H$7370, 2, FALSE), "")</f>
        <v>Movie</v>
      </c>
      <c r="C5767" s="2" t="str">
        <f>IF(A5767&lt;&gt;"", VLOOKUP(A5767, imdb_netflix_v5!A$2:H$7370, 3, FALSE), "")</f>
        <v>Crime, Music, Thriller</v>
      </c>
      <c r="D5767" s="2">
        <f>IF(A5767&lt;&gt;"", VLOOKUP(A5767, imdb_netflix_v5!A$2:H$7370, 4, FALSE), "")</f>
        <v>7.1</v>
      </c>
      <c r="E5767" s="2">
        <f>IF(A5767&lt;&gt;"", VLOOKUP(A5767, imdb_netflix_v5!A$2:H$7370, 5, FALSE), "")</f>
        <v>1981</v>
      </c>
      <c r="F5767" s="2" t="str">
        <f>IF(A5767&lt;&gt;"", VLOOKUP(A5767, imdb_netflix_v5!A$2:H$7370, 7, FALSE), "")</f>
        <v>NA</v>
      </c>
    </row>
    <row r="5768" ht="15.75" customHeight="1">
      <c r="A5768" s="1" t="str">
        <f>IFERROR(__xludf.DUMMYFUNCTION("""COMPUTED_VALUE"""),"law of desire")</f>
        <v>law of desire</v>
      </c>
      <c r="B5768" s="1" t="str">
        <f>IF(A5768&lt;&gt;"", VLOOKUP(A5768, imdb_netflix_v5!A$2:H$7370, 2, FALSE), "")</f>
        <v>Movie</v>
      </c>
      <c r="C5768" s="2" t="str">
        <f>IF(A5768&lt;&gt;"", VLOOKUP(A5768, imdb_netflix_v5!A$2:H$7370, 3, FALSE), "")</f>
        <v>Comedy, Drama, Thriller</v>
      </c>
      <c r="D5768" s="2">
        <f>IF(A5768&lt;&gt;"", VLOOKUP(A5768, imdb_netflix_v5!A$2:H$7370, 4, FALSE), "")</f>
        <v>7.1</v>
      </c>
      <c r="E5768" s="2">
        <f>IF(A5768&lt;&gt;"", VLOOKUP(A5768, imdb_netflix_v5!A$2:H$7370, 5, FALSE), "")</f>
        <v>1987</v>
      </c>
      <c r="F5768" s="2" t="str">
        <f>IF(A5768&lt;&gt;"", VLOOKUP(A5768, imdb_netflix_v5!A$2:H$7370, 7, FALSE), "")</f>
        <v>NA</v>
      </c>
    </row>
    <row r="5769" ht="15.75" customHeight="1">
      <c r="A5769" s="1" t="str">
        <f>IFERROR(__xludf.DUMMYFUNCTION("""COMPUTED_VALUE"""),"the curse")</f>
        <v>the curse</v>
      </c>
      <c r="B5769" s="1" t="str">
        <f>IF(A5769&lt;&gt;"", VLOOKUP(A5769, imdb_netflix_v5!A$2:H$7370, 2, FALSE), "")</f>
        <v>TV Show</v>
      </c>
      <c r="C5769" s="2" t="str">
        <f>IF(A5769&lt;&gt;"", VLOOKUP(A5769, imdb_netflix_v5!A$2:H$7370, 3, FALSE), "")</f>
        <v>Comedy, Drama, Thriller</v>
      </c>
      <c r="D5769" s="2">
        <f>IF(A5769&lt;&gt;"", VLOOKUP(A5769, imdb_netflix_v5!A$2:H$7370, 4, FALSE), "")</f>
        <v>7.1</v>
      </c>
      <c r="E5769" s="2">
        <f>IF(A5769&lt;&gt;"", VLOOKUP(A5769, imdb_netflix_v5!A$2:H$7370, 5, FALSE), "")</f>
        <v>2023</v>
      </c>
      <c r="F5769" s="2" t="str">
        <f>IF(A5769&lt;&gt;"", VLOOKUP(A5769, imdb_netflix_v5!A$2:H$7370, 7, FALSE), "")</f>
        <v>NA</v>
      </c>
    </row>
    <row r="5770" ht="15.75" customHeight="1">
      <c r="A5770" s="1" t="str">
        <f>IFERROR(__xludf.DUMMYFUNCTION("""COMPUTED_VALUE"""),"in the company of men")</f>
        <v>in the company of men</v>
      </c>
      <c r="B5770" s="1" t="str">
        <f>IF(A5770&lt;&gt;"", VLOOKUP(A5770, imdb_netflix_v5!A$2:H$7370, 2, FALSE), "")</f>
        <v>Movie</v>
      </c>
      <c r="C5770" s="2" t="str">
        <f>IF(A5770&lt;&gt;"", VLOOKUP(A5770, imdb_netflix_v5!A$2:H$7370, 3, FALSE), "")</f>
        <v>Comedy, Drama</v>
      </c>
      <c r="D5770" s="2">
        <f>IF(A5770&lt;&gt;"", VLOOKUP(A5770, imdb_netflix_v5!A$2:H$7370, 4, FALSE), "")</f>
        <v>7.1</v>
      </c>
      <c r="E5770" s="2">
        <f>IF(A5770&lt;&gt;"", VLOOKUP(A5770, imdb_netflix_v5!A$2:H$7370, 5, FALSE), "")</f>
        <v>1997</v>
      </c>
      <c r="F5770" s="2" t="str">
        <f>IF(A5770&lt;&gt;"", VLOOKUP(A5770, imdb_netflix_v5!A$2:H$7370, 7, FALSE), "")</f>
        <v>NA</v>
      </c>
    </row>
    <row r="5771" ht="15.75" customHeight="1">
      <c r="A5771" s="1" t="str">
        <f>IFERROR(__xludf.DUMMYFUNCTION("""COMPUTED_VALUE"""),"my king")</f>
        <v>my king</v>
      </c>
      <c r="B5771" s="1" t="str">
        <f>IF(A5771&lt;&gt;"", VLOOKUP(A5771, imdb_netflix_v5!A$2:H$7370, 2, FALSE), "")</f>
        <v>Movie</v>
      </c>
      <c r="C5771" s="2" t="str">
        <f>IF(A5771&lt;&gt;"", VLOOKUP(A5771, imdb_netflix_v5!A$2:H$7370, 3, FALSE), "")</f>
        <v>Drama, Romance</v>
      </c>
      <c r="D5771" s="2">
        <f>IF(A5771&lt;&gt;"", VLOOKUP(A5771, imdb_netflix_v5!A$2:H$7370, 4, FALSE), "")</f>
        <v>7.1</v>
      </c>
      <c r="E5771" s="2">
        <f>IF(A5771&lt;&gt;"", VLOOKUP(A5771, imdb_netflix_v5!A$2:H$7370, 5, FALSE), "")</f>
        <v>2015</v>
      </c>
      <c r="F5771" s="2" t="str">
        <f>IF(A5771&lt;&gt;"", VLOOKUP(A5771, imdb_netflix_v5!A$2:H$7370, 7, FALSE), "")</f>
        <v>NA</v>
      </c>
    </row>
    <row r="5772" ht="15.75" customHeight="1">
      <c r="A5772" s="1" t="str">
        <f>IFERROR(__xludf.DUMMYFUNCTION("""COMPUTED_VALUE"""),"the most dangerous game")</f>
        <v>the most dangerous game</v>
      </c>
      <c r="B5772" s="1" t="str">
        <f>IF(A5772&lt;&gt;"", VLOOKUP(A5772, imdb_netflix_v5!A$2:H$7370, 2, FALSE), "")</f>
        <v>Movie</v>
      </c>
      <c r="C5772" s="2" t="str">
        <f>IF(A5772&lt;&gt;"", VLOOKUP(A5772, imdb_netflix_v5!A$2:H$7370, 3, FALSE), "")</f>
        <v>Action, Adventure, Horror</v>
      </c>
      <c r="D5772" s="2">
        <f>IF(A5772&lt;&gt;"", VLOOKUP(A5772, imdb_netflix_v5!A$2:H$7370, 4, FALSE), "")</f>
        <v>7.1</v>
      </c>
      <c r="E5772" s="2">
        <f>IF(A5772&lt;&gt;"", VLOOKUP(A5772, imdb_netflix_v5!A$2:H$7370, 5, FALSE), "")</f>
        <v>1932</v>
      </c>
      <c r="F5772" s="2" t="str">
        <f>IF(A5772&lt;&gt;"", VLOOKUP(A5772, imdb_netflix_v5!A$2:H$7370, 7, FALSE), "")</f>
        <v>NA</v>
      </c>
    </row>
    <row r="5773" ht="15.75" customHeight="1">
      <c r="A5773" s="1" t="str">
        <f>IFERROR(__xludf.DUMMYFUNCTION("""COMPUTED_VALUE"""),"popeye the sailor")</f>
        <v>popeye the sailor</v>
      </c>
      <c r="B5773" s="1" t="str">
        <f>IF(A5773&lt;&gt;"", VLOOKUP(A5773, imdb_netflix_v5!A$2:H$7370, 2, FALSE), "")</f>
        <v>TV Show</v>
      </c>
      <c r="C5773" s="2" t="str">
        <f>IF(A5773&lt;&gt;"", VLOOKUP(A5773, imdb_netflix_v5!A$2:H$7370, 3, FALSE), "")</f>
        <v>Adventure, Animation, Comedy</v>
      </c>
      <c r="D5773" s="2">
        <f>IF(A5773&lt;&gt;"", VLOOKUP(A5773, imdb_netflix_v5!A$2:H$7370, 4, FALSE), "")</f>
        <v>7.1</v>
      </c>
      <c r="E5773" s="2">
        <f>IF(A5773&lt;&gt;"", VLOOKUP(A5773, imdb_netflix_v5!A$2:H$7370, 5, FALSE), "")</f>
        <v>1960</v>
      </c>
      <c r="F5773" s="2" t="str">
        <f>IF(A5773&lt;&gt;"", VLOOKUP(A5773, imdb_netflix_v5!A$2:H$7370, 7, FALSE), "")</f>
        <v>NA</v>
      </c>
    </row>
    <row r="5774" ht="15.75" customHeight="1">
      <c r="A5774" s="1" t="str">
        <f>IFERROR(__xludf.DUMMYFUNCTION("""COMPUTED_VALUE"""),"the swimming pool")</f>
        <v>the swimming pool</v>
      </c>
      <c r="B5774" s="1" t="str">
        <f>IF(A5774&lt;&gt;"", VLOOKUP(A5774, imdb_netflix_v5!A$2:H$7370, 2, FALSE), "")</f>
        <v>Movie</v>
      </c>
      <c r="C5774" s="2" t="str">
        <f>IF(A5774&lt;&gt;"", VLOOKUP(A5774, imdb_netflix_v5!A$2:H$7370, 3, FALSE), "")</f>
        <v>Crime, Drama, Romance</v>
      </c>
      <c r="D5774" s="2">
        <f>IF(A5774&lt;&gt;"", VLOOKUP(A5774, imdb_netflix_v5!A$2:H$7370, 4, FALSE), "")</f>
        <v>7.1</v>
      </c>
      <c r="E5774" s="2">
        <f>IF(A5774&lt;&gt;"", VLOOKUP(A5774, imdb_netflix_v5!A$2:H$7370, 5, FALSE), "")</f>
        <v>1969</v>
      </c>
      <c r="F5774" s="2" t="str">
        <f>IF(A5774&lt;&gt;"", VLOOKUP(A5774, imdb_netflix_v5!A$2:H$7370, 7, FALSE), "")</f>
        <v>NA</v>
      </c>
    </row>
    <row r="5775" ht="15.75" customHeight="1">
      <c r="A5775" s="1" t="str">
        <f>IFERROR(__xludf.DUMMYFUNCTION("""COMPUTED_VALUE"""),"little nicholas")</f>
        <v>little nicholas</v>
      </c>
      <c r="B5775" s="1" t="str">
        <f>IF(A5775&lt;&gt;"", VLOOKUP(A5775, imdb_netflix_v5!A$2:H$7370, 2, FALSE), "")</f>
        <v>Movie</v>
      </c>
      <c r="C5775" s="2" t="str">
        <f>IF(A5775&lt;&gt;"", VLOOKUP(A5775, imdb_netflix_v5!A$2:H$7370, 3, FALSE), "")</f>
        <v>Comedy, Family</v>
      </c>
      <c r="D5775" s="2">
        <f>IF(A5775&lt;&gt;"", VLOOKUP(A5775, imdb_netflix_v5!A$2:H$7370, 4, FALSE), "")</f>
        <v>7.1</v>
      </c>
      <c r="E5775" s="2">
        <f>IF(A5775&lt;&gt;"", VLOOKUP(A5775, imdb_netflix_v5!A$2:H$7370, 5, FALSE), "")</f>
        <v>2009</v>
      </c>
      <c r="F5775" s="2" t="str">
        <f>IF(A5775&lt;&gt;"", VLOOKUP(A5775, imdb_netflix_v5!A$2:H$7370, 7, FALSE), "")</f>
        <v>NA</v>
      </c>
    </row>
    <row r="5776" ht="15.75" customHeight="1">
      <c r="A5776" s="1" t="str">
        <f>IFERROR(__xludf.DUMMYFUNCTION("""COMPUTED_VALUE"""),"karthik calling karthik")</f>
        <v>karthik calling karthik</v>
      </c>
      <c r="B5776" s="1" t="str">
        <f>IF(A5776&lt;&gt;"", VLOOKUP(A5776, imdb_netflix_v5!A$2:H$7370, 2, FALSE), "")</f>
        <v>Movie</v>
      </c>
      <c r="C5776" s="2" t="str">
        <f>IF(A5776&lt;&gt;"", VLOOKUP(A5776, imdb_netflix_v5!A$2:H$7370, 3, FALSE), "")</f>
        <v>Drama, Mystery, Romance</v>
      </c>
      <c r="D5776" s="2">
        <f>IF(A5776&lt;&gt;"", VLOOKUP(A5776, imdb_netflix_v5!A$2:H$7370, 4, FALSE), "")</f>
        <v>7.1</v>
      </c>
      <c r="E5776" s="2">
        <f>IF(A5776&lt;&gt;"", VLOOKUP(A5776, imdb_netflix_v5!A$2:H$7370, 5, FALSE), "")</f>
        <v>2010</v>
      </c>
      <c r="F5776" s="2" t="str">
        <f>IF(A5776&lt;&gt;"", VLOOKUP(A5776, imdb_netflix_v5!A$2:H$7370, 7, FALSE), "")</f>
        <v>NA</v>
      </c>
    </row>
    <row r="5777" ht="15.75" customHeight="1">
      <c r="A5777" s="1" t="str">
        <f>IFERROR(__xludf.DUMMYFUNCTION("""COMPUTED_VALUE"""),"the gendarme of saint-tropez")</f>
        <v>the gendarme of saint-tropez</v>
      </c>
      <c r="B5777" s="1" t="str">
        <f>IF(A5777&lt;&gt;"", VLOOKUP(A5777, imdb_netflix_v5!A$2:H$7370, 2, FALSE), "")</f>
        <v>Movie</v>
      </c>
      <c r="C5777" s="2" t="str">
        <f>IF(A5777&lt;&gt;"", VLOOKUP(A5777, imdb_netflix_v5!A$2:H$7370, 3, FALSE), "")</f>
        <v>Comedy, Crime</v>
      </c>
      <c r="D5777" s="2">
        <f>IF(A5777&lt;&gt;"", VLOOKUP(A5777, imdb_netflix_v5!A$2:H$7370, 4, FALSE), "")</f>
        <v>7.1</v>
      </c>
      <c r="E5777" s="2">
        <f>IF(A5777&lt;&gt;"", VLOOKUP(A5777, imdb_netflix_v5!A$2:H$7370, 5, FALSE), "")</f>
        <v>1964</v>
      </c>
      <c r="F5777" s="2" t="str">
        <f>IF(A5777&lt;&gt;"", VLOOKUP(A5777, imdb_netflix_v5!A$2:H$7370, 7, FALSE), "")</f>
        <v>NA</v>
      </c>
    </row>
    <row r="5778" ht="15.75" customHeight="1">
      <c r="A5778" s="1" t="str">
        <f>IFERROR(__xludf.DUMMYFUNCTION("""COMPUTED_VALUE"""),"lean on pete")</f>
        <v>lean on pete</v>
      </c>
      <c r="B5778" s="1" t="str">
        <f>IF(A5778&lt;&gt;"", VLOOKUP(A5778, imdb_netflix_v5!A$2:H$7370, 2, FALSE), "")</f>
        <v>Movie</v>
      </c>
      <c r="C5778" s="2" t="str">
        <f>IF(A5778&lt;&gt;"", VLOOKUP(A5778, imdb_netflix_v5!A$2:H$7370, 3, FALSE), "")</f>
        <v>Adventure, Drama, Sport</v>
      </c>
      <c r="D5778" s="2">
        <f>IF(A5778&lt;&gt;"", VLOOKUP(A5778, imdb_netflix_v5!A$2:H$7370, 4, FALSE), "")</f>
        <v>7.1</v>
      </c>
      <c r="E5778" s="2">
        <f>IF(A5778&lt;&gt;"", VLOOKUP(A5778, imdb_netflix_v5!A$2:H$7370, 5, FALSE), "")</f>
        <v>2017</v>
      </c>
      <c r="F5778" s="2" t="str">
        <f>IF(A5778&lt;&gt;"", VLOOKUP(A5778, imdb_netflix_v5!A$2:H$7370, 7, FALSE), "")</f>
        <v>NA</v>
      </c>
    </row>
    <row r="5779" ht="15.75" customHeight="1">
      <c r="A5779" s="1" t="str">
        <f>IFERROR(__xludf.DUMMYFUNCTION("""COMPUTED_VALUE"""),"kakegurui")</f>
        <v>kakegurui</v>
      </c>
      <c r="B5779" s="1" t="str">
        <f>IF(A5779&lt;&gt;"", VLOOKUP(A5779, imdb_netflix_v5!A$2:H$7370, 2, FALSE), "")</f>
        <v>TV Show</v>
      </c>
      <c r="C5779" s="2" t="str">
        <f>IF(A5779&lt;&gt;"", VLOOKUP(A5779, imdb_netflix_v5!A$2:H$7370, 3, FALSE), "")</f>
        <v>Animation, Drama, Mystery</v>
      </c>
      <c r="D5779" s="2">
        <f>IF(A5779&lt;&gt;"", VLOOKUP(A5779, imdb_netflix_v5!A$2:H$7370, 4, FALSE), "")</f>
        <v>7.1</v>
      </c>
      <c r="E5779" s="2">
        <f>IF(A5779&lt;&gt;"", VLOOKUP(A5779, imdb_netflix_v5!A$2:H$7370, 5, FALSE), "")</f>
        <v>2017</v>
      </c>
      <c r="F5779" s="2" t="str">
        <f>IF(A5779&lt;&gt;"", VLOOKUP(A5779, imdb_netflix_v5!A$2:H$7370, 7, FALSE), "")</f>
        <v>NA</v>
      </c>
    </row>
    <row r="5780" ht="15.75" customHeight="1">
      <c r="A5780" s="1" t="str">
        <f>IFERROR(__xludf.DUMMYFUNCTION("""COMPUTED_VALUE"""),"mistresses")</f>
        <v>mistresses</v>
      </c>
      <c r="B5780" s="1" t="str">
        <f>IF(A5780&lt;&gt;"", VLOOKUP(A5780, imdb_netflix_v5!A$2:H$7370, 2, FALSE), "")</f>
        <v>TV Show</v>
      </c>
      <c r="C5780" s="2" t="str">
        <f>IF(A5780&lt;&gt;"", VLOOKUP(A5780, imdb_netflix_v5!A$2:H$7370, 3, FALSE), "")</f>
        <v>Drama, Romance, Thriller</v>
      </c>
      <c r="D5780" s="2">
        <f>IF(A5780&lt;&gt;"", VLOOKUP(A5780, imdb_netflix_v5!A$2:H$7370, 4, FALSE), "")</f>
        <v>7.1</v>
      </c>
      <c r="E5780" s="2">
        <f>IF(A5780&lt;&gt;"", VLOOKUP(A5780, imdb_netflix_v5!A$2:H$7370, 5, FALSE), "")</f>
        <v>2013</v>
      </c>
      <c r="F5780" s="2" t="str">
        <f>IF(A5780&lt;&gt;"", VLOOKUP(A5780, imdb_netflix_v5!A$2:H$7370, 7, FALSE), "")</f>
        <v>NA</v>
      </c>
    </row>
    <row r="5781" ht="15.75" customHeight="1">
      <c r="A5781" s="1" t="str">
        <f>IFERROR(__xludf.DUMMYFUNCTION("""COMPUTED_VALUE"""),"the chase")</f>
        <v>the chase</v>
      </c>
      <c r="B5781" s="1" t="str">
        <f>IF(A5781&lt;&gt;"", VLOOKUP(A5781, imdb_netflix_v5!A$2:H$7370, 2, FALSE), "")</f>
        <v>Movie</v>
      </c>
      <c r="C5781" s="2" t="str">
        <f>IF(A5781&lt;&gt;"", VLOOKUP(A5781, imdb_netflix_v5!A$2:H$7370, 3, FALSE), "")</f>
        <v>Crime, Drama, Thriller</v>
      </c>
      <c r="D5781" s="2">
        <f>IF(A5781&lt;&gt;"", VLOOKUP(A5781, imdb_netflix_v5!A$2:H$7370, 4, FALSE), "")</f>
        <v>7.1</v>
      </c>
      <c r="E5781" s="2">
        <f>IF(A5781&lt;&gt;"", VLOOKUP(A5781, imdb_netflix_v5!A$2:H$7370, 5, FALSE), "")</f>
        <v>1966</v>
      </c>
      <c r="F5781" s="2" t="str">
        <f>IF(A5781&lt;&gt;"", VLOOKUP(A5781, imdb_netflix_v5!A$2:H$7370, 7, FALSE), "")</f>
        <v>NA</v>
      </c>
    </row>
    <row r="5782" ht="15.75" customHeight="1">
      <c r="A5782" s="1" t="str">
        <f>IFERROR(__xludf.DUMMYFUNCTION("""COMPUTED_VALUE"""),"nicholas nickleby")</f>
        <v>nicholas nickleby</v>
      </c>
      <c r="B5782" s="1" t="str">
        <f>IF(A5782&lt;&gt;"", VLOOKUP(A5782, imdb_netflix_v5!A$2:H$7370, 2, FALSE), "")</f>
        <v>Movie</v>
      </c>
      <c r="C5782" s="2" t="str">
        <f>IF(A5782&lt;&gt;"", VLOOKUP(A5782, imdb_netflix_v5!A$2:H$7370, 3, FALSE), "")</f>
        <v>Adventure, Drama, Romance</v>
      </c>
      <c r="D5782" s="2">
        <f>IF(A5782&lt;&gt;"", VLOOKUP(A5782, imdb_netflix_v5!A$2:H$7370, 4, FALSE), "")</f>
        <v>7.1</v>
      </c>
      <c r="E5782" s="2">
        <f>IF(A5782&lt;&gt;"", VLOOKUP(A5782, imdb_netflix_v5!A$2:H$7370, 5, FALSE), "")</f>
        <v>2002</v>
      </c>
      <c r="F5782" s="2" t="str">
        <f>IF(A5782&lt;&gt;"", VLOOKUP(A5782, imdb_netflix_v5!A$2:H$7370, 7, FALSE), "")</f>
        <v>NA</v>
      </c>
    </row>
    <row r="5783" ht="15.75" customHeight="1">
      <c r="A5783" s="1" t="str">
        <f>IFERROR(__xludf.DUMMYFUNCTION("""COMPUTED_VALUE"""),"bank of dave")</f>
        <v>bank of dave</v>
      </c>
      <c r="B5783" s="1" t="str">
        <f>IF(A5783&lt;&gt;"", VLOOKUP(A5783, imdb_netflix_v5!A$2:H$7370, 2, FALSE), "")</f>
        <v>Movie</v>
      </c>
      <c r="C5783" s="2" t="str">
        <f>IF(A5783&lt;&gt;"", VLOOKUP(A5783, imdb_netflix_v5!A$2:H$7370, 3, FALSE), "")</f>
        <v>Biography, Comedy, Drama</v>
      </c>
      <c r="D5783" s="2">
        <f>IF(A5783&lt;&gt;"", VLOOKUP(A5783, imdb_netflix_v5!A$2:H$7370, 4, FALSE), "")</f>
        <v>7.1</v>
      </c>
      <c r="E5783" s="2">
        <f>IF(A5783&lt;&gt;"", VLOOKUP(A5783, imdb_netflix_v5!A$2:H$7370, 5, FALSE), "")</f>
        <v>2023</v>
      </c>
      <c r="F5783" s="2" t="str">
        <f>IF(A5783&lt;&gt;"", VLOOKUP(A5783, imdb_netflix_v5!A$2:H$7370, 7, FALSE), "")</f>
        <v>NA</v>
      </c>
    </row>
    <row r="5784" ht="15.75" customHeight="1">
      <c r="A5784" s="1" t="str">
        <f>IFERROR(__xludf.DUMMYFUNCTION("""COMPUTED_VALUE"""),"one-eyed jacks")</f>
        <v>one-eyed jacks</v>
      </c>
      <c r="B5784" s="1" t="str">
        <f>IF(A5784&lt;&gt;"", VLOOKUP(A5784, imdb_netflix_v5!A$2:H$7370, 2, FALSE), "")</f>
        <v>Movie</v>
      </c>
      <c r="C5784" s="2" t="str">
        <f>IF(A5784&lt;&gt;"", VLOOKUP(A5784, imdb_netflix_v5!A$2:H$7370, 3, FALSE), "")</f>
        <v>Drama, Western</v>
      </c>
      <c r="D5784" s="2">
        <f>IF(A5784&lt;&gt;"", VLOOKUP(A5784, imdb_netflix_v5!A$2:H$7370, 4, FALSE), "")</f>
        <v>7.1</v>
      </c>
      <c r="E5784" s="2">
        <f>IF(A5784&lt;&gt;"", VLOOKUP(A5784, imdb_netflix_v5!A$2:H$7370, 5, FALSE), "")</f>
        <v>1961</v>
      </c>
      <c r="F5784" s="2" t="str">
        <f>IF(A5784&lt;&gt;"", VLOOKUP(A5784, imdb_netflix_v5!A$2:H$7370, 7, FALSE), "")</f>
        <v>NA</v>
      </c>
    </row>
    <row r="5785" ht="15.75" customHeight="1">
      <c r="A5785" s="1" t="str">
        <f>IFERROR(__xludf.DUMMYFUNCTION("""COMPUTED_VALUE"""),"two hands")</f>
        <v>two hands</v>
      </c>
      <c r="B5785" s="1" t="str">
        <f>IF(A5785&lt;&gt;"", VLOOKUP(A5785, imdb_netflix_v5!A$2:H$7370, 2, FALSE), "")</f>
        <v>Movie</v>
      </c>
      <c r="C5785" s="2" t="str">
        <f>IF(A5785&lt;&gt;"", VLOOKUP(A5785, imdb_netflix_v5!A$2:H$7370, 3, FALSE), "")</f>
        <v>Comedy, Crime, Thriller</v>
      </c>
      <c r="D5785" s="2">
        <f>IF(A5785&lt;&gt;"", VLOOKUP(A5785, imdb_netflix_v5!A$2:H$7370, 4, FALSE), "")</f>
        <v>7.1</v>
      </c>
      <c r="E5785" s="2">
        <f>IF(A5785&lt;&gt;"", VLOOKUP(A5785, imdb_netflix_v5!A$2:H$7370, 5, FALSE), "")</f>
        <v>1999</v>
      </c>
      <c r="F5785" s="2" t="str">
        <f>IF(A5785&lt;&gt;"", VLOOKUP(A5785, imdb_netflix_v5!A$2:H$7370, 7, FALSE), "")</f>
        <v>NA</v>
      </c>
    </row>
    <row r="5786" ht="15.75" customHeight="1">
      <c r="A5786" s="1" t="str">
        <f>IFERROR(__xludf.DUMMYFUNCTION("""COMPUTED_VALUE"""),"the queen of versailles")</f>
        <v>the queen of versailles</v>
      </c>
      <c r="B5786" s="1" t="str">
        <f>IF(A5786&lt;&gt;"", VLOOKUP(A5786, imdb_netflix_v5!A$2:H$7370, 2, FALSE), "")</f>
        <v>Movie</v>
      </c>
      <c r="C5786" s="2" t="str">
        <f>IF(A5786&lt;&gt;"", VLOOKUP(A5786, imdb_netflix_v5!A$2:H$7370, 3, FALSE), "")</f>
        <v>Documentary</v>
      </c>
      <c r="D5786" s="2">
        <f>IF(A5786&lt;&gt;"", VLOOKUP(A5786, imdb_netflix_v5!A$2:H$7370, 4, FALSE), "")</f>
        <v>7.1</v>
      </c>
      <c r="E5786" s="2">
        <f>IF(A5786&lt;&gt;"", VLOOKUP(A5786, imdb_netflix_v5!A$2:H$7370, 5, FALSE), "")</f>
        <v>2012</v>
      </c>
      <c r="F5786" s="2" t="str">
        <f>IF(A5786&lt;&gt;"", VLOOKUP(A5786, imdb_netflix_v5!A$2:H$7370, 7, FALSE), "")</f>
        <v>NA</v>
      </c>
    </row>
    <row r="5787" ht="15.75" customHeight="1">
      <c r="A5787" s="1" t="str">
        <f>IFERROR(__xludf.DUMMYFUNCTION("""COMPUTED_VALUE"""),"blood and black lace")</f>
        <v>blood and black lace</v>
      </c>
      <c r="B5787" s="1" t="str">
        <f>IF(A5787&lt;&gt;"", VLOOKUP(A5787, imdb_netflix_v5!A$2:H$7370, 2, FALSE), "")</f>
        <v>Movie</v>
      </c>
      <c r="C5787" s="2" t="str">
        <f>IF(A5787&lt;&gt;"", VLOOKUP(A5787, imdb_netflix_v5!A$2:H$7370, 3, FALSE), "")</f>
        <v>Crime, Drama, Horror</v>
      </c>
      <c r="D5787" s="2">
        <f>IF(A5787&lt;&gt;"", VLOOKUP(A5787, imdb_netflix_v5!A$2:H$7370, 4, FALSE), "")</f>
        <v>7.1</v>
      </c>
      <c r="E5787" s="2">
        <f>IF(A5787&lt;&gt;"", VLOOKUP(A5787, imdb_netflix_v5!A$2:H$7370, 5, FALSE), "")</f>
        <v>1964</v>
      </c>
      <c r="F5787" s="2" t="str">
        <f>IF(A5787&lt;&gt;"", VLOOKUP(A5787, imdb_netflix_v5!A$2:H$7370, 7, FALSE), "")</f>
        <v>NA</v>
      </c>
    </row>
    <row r="5788" ht="15.75" customHeight="1">
      <c r="A5788" s="1" t="str">
        <f>IFERROR(__xludf.DUMMYFUNCTION("""COMPUTED_VALUE"""),"emerald city")</f>
        <v>emerald city</v>
      </c>
      <c r="B5788" s="1" t="str">
        <f>IF(A5788&lt;&gt;"", VLOOKUP(A5788, imdb_netflix_v5!A$2:H$7370, 2, FALSE), "")</f>
        <v>TV Show</v>
      </c>
      <c r="C5788" s="2" t="str">
        <f>IF(A5788&lt;&gt;"", VLOOKUP(A5788, imdb_netflix_v5!A$2:H$7370, 3, FALSE), "")</f>
        <v>Adventure, Drama, Fantasy</v>
      </c>
      <c r="D5788" s="2">
        <f>IF(A5788&lt;&gt;"", VLOOKUP(A5788, imdb_netflix_v5!A$2:H$7370, 4, FALSE), "")</f>
        <v>7.1</v>
      </c>
      <c r="E5788" s="2">
        <f>IF(A5788&lt;&gt;"", VLOOKUP(A5788, imdb_netflix_v5!A$2:H$7370, 5, FALSE), "")</f>
        <v>2016</v>
      </c>
      <c r="F5788" s="2" t="str">
        <f>IF(A5788&lt;&gt;"", VLOOKUP(A5788, imdb_netflix_v5!A$2:H$7370, 7, FALSE), "")</f>
        <v>NA</v>
      </c>
    </row>
    <row r="5789" ht="15.75" customHeight="1">
      <c r="A5789" s="1" t="str">
        <f>IFERROR(__xludf.DUMMYFUNCTION("""COMPUTED_VALUE"""),"bird")</f>
        <v>bird</v>
      </c>
      <c r="B5789" s="1" t="str">
        <f>IF(A5789&lt;&gt;"", VLOOKUP(A5789, imdb_netflix_v5!A$2:H$7370, 2, FALSE), "")</f>
        <v>Movie</v>
      </c>
      <c r="C5789" s="2" t="str">
        <f>IF(A5789&lt;&gt;"", VLOOKUP(A5789, imdb_netflix_v5!A$2:H$7370, 3, FALSE), "")</f>
        <v>Biography, Drama, Music</v>
      </c>
      <c r="D5789" s="2">
        <f>IF(A5789&lt;&gt;"", VLOOKUP(A5789, imdb_netflix_v5!A$2:H$7370, 4, FALSE), "")</f>
        <v>7.1</v>
      </c>
      <c r="E5789" s="2">
        <f>IF(A5789&lt;&gt;"", VLOOKUP(A5789, imdb_netflix_v5!A$2:H$7370, 5, FALSE), "")</f>
        <v>1988</v>
      </c>
      <c r="F5789" s="2" t="str">
        <f>IF(A5789&lt;&gt;"", VLOOKUP(A5789, imdb_netflix_v5!A$2:H$7370, 7, FALSE), "")</f>
        <v>NA</v>
      </c>
    </row>
    <row r="5790" ht="15.75" customHeight="1">
      <c r="A5790" s="1" t="str">
        <f>IFERROR(__xludf.DUMMYFUNCTION("""COMPUTED_VALUE"""),"trailer park boys the movie")</f>
        <v>trailer park boys the movie</v>
      </c>
      <c r="B5790" s="1" t="str">
        <f>IF(A5790&lt;&gt;"", VLOOKUP(A5790, imdb_netflix_v5!A$2:H$7370, 2, FALSE), "")</f>
        <v>Movie</v>
      </c>
      <c r="C5790" s="2" t="str">
        <f>IF(A5790&lt;&gt;"", VLOOKUP(A5790, imdb_netflix_v5!A$2:H$7370, 3, FALSE), "")</f>
        <v>Comedy, Crime</v>
      </c>
      <c r="D5790" s="2">
        <f>IF(A5790&lt;&gt;"", VLOOKUP(A5790, imdb_netflix_v5!A$2:H$7370, 4, FALSE), "")</f>
        <v>7.1</v>
      </c>
      <c r="E5790" s="2">
        <f>IF(A5790&lt;&gt;"", VLOOKUP(A5790, imdb_netflix_v5!A$2:H$7370, 5, FALSE), "")</f>
        <v>2006</v>
      </c>
      <c r="F5790" s="2" t="str">
        <f>IF(A5790&lt;&gt;"", VLOOKUP(A5790, imdb_netflix_v5!A$2:H$7370, 7, FALSE), "")</f>
        <v>NA</v>
      </c>
    </row>
    <row r="5791" ht="15.75" customHeight="1">
      <c r="A5791" s="1" t="str">
        <f>IFERROR(__xludf.DUMMYFUNCTION("""COMPUTED_VALUE"""),"extreme job")</f>
        <v>extreme job</v>
      </c>
      <c r="B5791" s="1" t="str">
        <f>IF(A5791&lt;&gt;"", VLOOKUP(A5791, imdb_netflix_v5!A$2:H$7370, 2, FALSE), "")</f>
        <v>Movie</v>
      </c>
      <c r="C5791" s="2" t="str">
        <f>IF(A5791&lt;&gt;"", VLOOKUP(A5791, imdb_netflix_v5!A$2:H$7370, 3, FALSE), "")</f>
        <v>Comedy, Crime</v>
      </c>
      <c r="D5791" s="2">
        <f>IF(A5791&lt;&gt;"", VLOOKUP(A5791, imdb_netflix_v5!A$2:H$7370, 4, FALSE), "")</f>
        <v>7.1</v>
      </c>
      <c r="E5791" s="2">
        <f>IF(A5791&lt;&gt;"", VLOOKUP(A5791, imdb_netflix_v5!A$2:H$7370, 5, FALSE), "")</f>
        <v>2019</v>
      </c>
      <c r="F5791" s="2" t="str">
        <f>IF(A5791&lt;&gt;"", VLOOKUP(A5791, imdb_netflix_v5!A$2:H$7370, 7, FALSE), "")</f>
        <v>NA</v>
      </c>
    </row>
    <row r="5792" ht="15.75" customHeight="1">
      <c r="A5792" s="1" t="str">
        <f>IFERROR(__xludf.DUMMYFUNCTION("""COMPUTED_VALUE"""),"conversations with a killer the john wayne gacy tapes")</f>
        <v>conversations with a killer the john wayne gacy tapes</v>
      </c>
      <c r="B5792" s="1" t="str">
        <f>IF(A5792&lt;&gt;"", VLOOKUP(A5792, imdb_netflix_v5!A$2:H$7370, 2, FALSE), "")</f>
        <v>TV Show</v>
      </c>
      <c r="C5792" s="2" t="str">
        <f>IF(A5792&lt;&gt;"", VLOOKUP(A5792, imdb_netflix_v5!A$2:H$7370, 3, FALSE), "")</f>
        <v>Biography, Crime, Documentary</v>
      </c>
      <c r="D5792" s="2">
        <f>IF(A5792&lt;&gt;"", VLOOKUP(A5792, imdb_netflix_v5!A$2:H$7370, 4, FALSE), "")</f>
        <v>7.1</v>
      </c>
      <c r="E5792" s="2">
        <f>IF(A5792&lt;&gt;"", VLOOKUP(A5792, imdb_netflix_v5!A$2:H$7370, 5, FALSE), "")</f>
        <v>2022</v>
      </c>
      <c r="F5792" s="2">
        <f>IF(A5792&lt;&gt;"", VLOOKUP(A5792, imdb_netflix_v5!A$2:H$7370, 7, FALSE), "")</f>
        <v>8860000</v>
      </c>
    </row>
    <row r="5793" ht="15.75" customHeight="1">
      <c r="A5793" s="1" t="str">
        <f>IFERROR(__xludf.DUMMYFUNCTION("""COMPUTED_VALUE"""),"venus")</f>
        <v>venus</v>
      </c>
      <c r="B5793" s="1" t="str">
        <f>IF(A5793&lt;&gt;"", VLOOKUP(A5793, imdb_netflix_v5!A$2:H$7370, 2, FALSE), "")</f>
        <v>Movie</v>
      </c>
      <c r="C5793" s="2" t="str">
        <f>IF(A5793&lt;&gt;"", VLOOKUP(A5793, imdb_netflix_v5!A$2:H$7370, 3, FALSE), "")</f>
        <v>Comedy, Drama, Romance</v>
      </c>
      <c r="D5793" s="2">
        <f>IF(A5793&lt;&gt;"", VLOOKUP(A5793, imdb_netflix_v5!A$2:H$7370, 4, FALSE), "")</f>
        <v>7.1</v>
      </c>
      <c r="E5793" s="2">
        <f>IF(A5793&lt;&gt;"", VLOOKUP(A5793, imdb_netflix_v5!A$2:H$7370, 5, FALSE), "")</f>
        <v>2006</v>
      </c>
      <c r="F5793" s="2" t="str">
        <f>IF(A5793&lt;&gt;"", VLOOKUP(A5793, imdb_netflix_v5!A$2:H$7370, 7, FALSE), "")</f>
        <v>NA</v>
      </c>
    </row>
    <row r="5794" ht="15.75" customHeight="1">
      <c r="A5794" s="1" t="str">
        <f>IFERROR(__xludf.DUMMYFUNCTION("""COMPUTED_VALUE"""),"three oclock high")</f>
        <v>three oclock high</v>
      </c>
      <c r="B5794" s="1" t="str">
        <f>IF(A5794&lt;&gt;"", VLOOKUP(A5794, imdb_netflix_v5!A$2:H$7370, 2, FALSE), "")</f>
        <v>Movie</v>
      </c>
      <c r="C5794" s="2" t="str">
        <f>IF(A5794&lt;&gt;"", VLOOKUP(A5794, imdb_netflix_v5!A$2:H$7370, 3, FALSE), "")</f>
        <v>Comedy</v>
      </c>
      <c r="D5794" s="2">
        <f>IF(A5794&lt;&gt;"", VLOOKUP(A5794, imdb_netflix_v5!A$2:H$7370, 4, FALSE), "")</f>
        <v>7.1</v>
      </c>
      <c r="E5794" s="2">
        <f>IF(A5794&lt;&gt;"", VLOOKUP(A5794, imdb_netflix_v5!A$2:H$7370, 5, FALSE), "")</f>
        <v>1987</v>
      </c>
      <c r="F5794" s="2" t="str">
        <f>IF(A5794&lt;&gt;"", VLOOKUP(A5794, imdb_netflix_v5!A$2:H$7370, 7, FALSE), "")</f>
        <v>NA</v>
      </c>
    </row>
    <row r="5795" ht="15.75" customHeight="1">
      <c r="A5795" s="1" t="str">
        <f>IFERROR(__xludf.DUMMYFUNCTION("""COMPUTED_VALUE"""),"the six million dollar man")</f>
        <v>the six million dollar man</v>
      </c>
      <c r="B5795" s="1" t="str">
        <f>IF(A5795&lt;&gt;"", VLOOKUP(A5795, imdb_netflix_v5!A$2:H$7370, 2, FALSE), "")</f>
        <v>TV Show</v>
      </c>
      <c r="C5795" s="2" t="str">
        <f>IF(A5795&lt;&gt;"", VLOOKUP(A5795, imdb_netflix_v5!A$2:H$7370, 3, FALSE), "")</f>
        <v>Action, Crime, Drama</v>
      </c>
      <c r="D5795" s="2">
        <f>IF(A5795&lt;&gt;"", VLOOKUP(A5795, imdb_netflix_v5!A$2:H$7370, 4, FALSE), "")</f>
        <v>7.1</v>
      </c>
      <c r="E5795" s="2">
        <f>IF(A5795&lt;&gt;"", VLOOKUP(A5795, imdb_netflix_v5!A$2:H$7370, 5, FALSE), "")</f>
        <v>1974</v>
      </c>
      <c r="F5795" s="2" t="str">
        <f>IF(A5795&lt;&gt;"", VLOOKUP(A5795, imdb_netflix_v5!A$2:H$7370, 7, FALSE), "")</f>
        <v>NA</v>
      </c>
    </row>
    <row r="5796" ht="15.75" customHeight="1">
      <c r="A5796" s="1" t="str">
        <f>IFERROR(__xludf.DUMMYFUNCTION("""COMPUTED_VALUE"""),"the young offenders")</f>
        <v>the young offenders</v>
      </c>
      <c r="B5796" s="1" t="str">
        <f>IF(A5796&lt;&gt;"", VLOOKUP(A5796, imdb_netflix_v5!A$2:H$7370, 2, FALSE), "")</f>
        <v>Movie</v>
      </c>
      <c r="C5796" s="2" t="str">
        <f>IF(A5796&lt;&gt;"", VLOOKUP(A5796, imdb_netflix_v5!A$2:H$7370, 3, FALSE), "")</f>
        <v>Adventure, Comedy, Crime</v>
      </c>
      <c r="D5796" s="2">
        <f>IF(A5796&lt;&gt;"", VLOOKUP(A5796, imdb_netflix_v5!A$2:H$7370, 4, FALSE), "")</f>
        <v>7.1</v>
      </c>
      <c r="E5796" s="2">
        <f>IF(A5796&lt;&gt;"", VLOOKUP(A5796, imdb_netflix_v5!A$2:H$7370, 5, FALSE), "")</f>
        <v>2016</v>
      </c>
      <c r="F5796" s="2" t="str">
        <f>IF(A5796&lt;&gt;"", VLOOKUP(A5796, imdb_netflix_v5!A$2:H$7370, 7, FALSE), "")</f>
        <v>NA</v>
      </c>
    </row>
    <row r="5797" ht="15.75" customHeight="1">
      <c r="A5797" s="1" t="str">
        <f>IFERROR(__xludf.DUMMYFUNCTION("""COMPUTED_VALUE"""),"firebird")</f>
        <v>firebird</v>
      </c>
      <c r="B5797" s="1" t="str">
        <f>IF(A5797&lt;&gt;"", VLOOKUP(A5797, imdb_netflix_v5!A$2:H$7370, 2, FALSE), "")</f>
        <v>Movie</v>
      </c>
      <c r="C5797" s="2" t="str">
        <f>IF(A5797&lt;&gt;"", VLOOKUP(A5797, imdb_netflix_v5!A$2:H$7370, 3, FALSE), "")</f>
        <v>Biography, Drama, Romance</v>
      </c>
      <c r="D5797" s="2">
        <f>IF(A5797&lt;&gt;"", VLOOKUP(A5797, imdb_netflix_v5!A$2:H$7370, 4, FALSE), "")</f>
        <v>7.1</v>
      </c>
      <c r="E5797" s="2">
        <f>IF(A5797&lt;&gt;"", VLOOKUP(A5797, imdb_netflix_v5!A$2:H$7370, 5, FALSE), "")</f>
        <v>2021</v>
      </c>
      <c r="F5797" s="2" t="str">
        <f>IF(A5797&lt;&gt;"", VLOOKUP(A5797, imdb_netflix_v5!A$2:H$7370, 7, FALSE), "")</f>
        <v>NA</v>
      </c>
    </row>
    <row r="5798" ht="15.75" customHeight="1">
      <c r="A5798" s="1" t="str">
        <f>IFERROR(__xludf.DUMMYFUNCTION("""COMPUTED_VALUE"""),"the traitor")</f>
        <v>the traitor</v>
      </c>
      <c r="B5798" s="1" t="str">
        <f>IF(A5798&lt;&gt;"", VLOOKUP(A5798, imdb_netflix_v5!A$2:H$7370, 2, FALSE), "")</f>
        <v>Movie</v>
      </c>
      <c r="C5798" s="2" t="str">
        <f>IF(A5798&lt;&gt;"", VLOOKUP(A5798, imdb_netflix_v5!A$2:H$7370, 3, FALSE), "")</f>
        <v>Biography, Crime, Drama</v>
      </c>
      <c r="D5798" s="2">
        <f>IF(A5798&lt;&gt;"", VLOOKUP(A5798, imdb_netflix_v5!A$2:H$7370, 4, FALSE), "")</f>
        <v>7.1</v>
      </c>
      <c r="E5798" s="2">
        <f>IF(A5798&lt;&gt;"", VLOOKUP(A5798, imdb_netflix_v5!A$2:H$7370, 5, FALSE), "")</f>
        <v>2019</v>
      </c>
      <c r="F5798" s="2" t="str">
        <f>IF(A5798&lt;&gt;"", VLOOKUP(A5798, imdb_netflix_v5!A$2:H$7370, 7, FALSE), "")</f>
        <v>NA</v>
      </c>
    </row>
    <row r="5799" ht="15.75" customHeight="1">
      <c r="A5799" s="1" t="str">
        <f>IFERROR(__xludf.DUMMYFUNCTION("""COMPUTED_VALUE"""),"totally spies!")</f>
        <v>totally spies!</v>
      </c>
      <c r="B5799" s="1" t="str">
        <f>IF(A5799&lt;&gt;"", VLOOKUP(A5799, imdb_netflix_v5!A$2:H$7370, 2, FALSE), "")</f>
        <v>TV Show</v>
      </c>
      <c r="C5799" s="2" t="str">
        <f>IF(A5799&lt;&gt;"", VLOOKUP(A5799, imdb_netflix_v5!A$2:H$7370, 3, FALSE), "")</f>
        <v>Action, Adventure, Animation</v>
      </c>
      <c r="D5799" s="2">
        <f>IF(A5799&lt;&gt;"", VLOOKUP(A5799, imdb_netflix_v5!A$2:H$7370, 4, FALSE), "")</f>
        <v>7.1</v>
      </c>
      <c r="E5799" s="2">
        <f>IF(A5799&lt;&gt;"", VLOOKUP(A5799, imdb_netflix_v5!A$2:H$7370, 5, FALSE), "")</f>
        <v>2001</v>
      </c>
      <c r="F5799" s="2" t="str">
        <f>IF(A5799&lt;&gt;"", VLOOKUP(A5799, imdb_netflix_v5!A$2:H$7370, 7, FALSE), "")</f>
        <v>NA</v>
      </c>
    </row>
    <row r="5800" ht="15.75" customHeight="1">
      <c r="A5800" s="1" t="str">
        <f>IFERROR(__xludf.DUMMYFUNCTION("""COMPUTED_VALUE"""),"the admiral roaring currents")</f>
        <v>the admiral roaring currents</v>
      </c>
      <c r="B5800" s="1" t="str">
        <f>IF(A5800&lt;&gt;"", VLOOKUP(A5800, imdb_netflix_v5!A$2:H$7370, 2, FALSE), "")</f>
        <v>Movie</v>
      </c>
      <c r="C5800" s="2" t="str">
        <f>IF(A5800&lt;&gt;"", VLOOKUP(A5800, imdb_netflix_v5!A$2:H$7370, 3, FALSE), "")</f>
        <v>Action, History, War</v>
      </c>
      <c r="D5800" s="2">
        <f>IF(A5800&lt;&gt;"", VLOOKUP(A5800, imdb_netflix_v5!A$2:H$7370, 4, FALSE), "")</f>
        <v>7.1</v>
      </c>
      <c r="E5800" s="2">
        <f>IF(A5800&lt;&gt;"", VLOOKUP(A5800, imdb_netflix_v5!A$2:H$7370, 5, FALSE), "")</f>
        <v>2014</v>
      </c>
      <c r="F5800" s="2" t="str">
        <f>IF(A5800&lt;&gt;"", VLOOKUP(A5800, imdb_netflix_v5!A$2:H$7370, 7, FALSE), "")</f>
        <v>NA</v>
      </c>
    </row>
    <row r="5801" ht="15.75" customHeight="1">
      <c r="A5801" s="1" t="str">
        <f>IFERROR(__xludf.DUMMYFUNCTION("""COMPUTED_VALUE"""),"parasyte the grey")</f>
        <v>parasyte the grey</v>
      </c>
      <c r="B5801" s="1" t="str">
        <f>IF(A5801&lt;&gt;"", VLOOKUP(A5801, imdb_netflix_v5!A$2:H$7370, 2, FALSE), "")</f>
        <v>TV Show</v>
      </c>
      <c r="C5801" s="2" t="str">
        <f>IF(A5801&lt;&gt;"", VLOOKUP(A5801, imdb_netflix_v5!A$2:H$7370, 3, FALSE), "")</f>
        <v>Action, Horror, Sci-Fi</v>
      </c>
      <c r="D5801" s="2">
        <f>IF(A5801&lt;&gt;"", VLOOKUP(A5801, imdb_netflix_v5!A$2:H$7370, 4, FALSE), "")</f>
        <v>7.1</v>
      </c>
      <c r="E5801" s="2">
        <f>IF(A5801&lt;&gt;"", VLOOKUP(A5801, imdb_netflix_v5!A$2:H$7370, 5, FALSE), "")</f>
        <v>2024</v>
      </c>
      <c r="F5801" s="2" t="str">
        <f>IF(A5801&lt;&gt;"", VLOOKUP(A5801, imdb_netflix_v5!A$2:H$7370, 7, FALSE), "")</f>
        <v>NA</v>
      </c>
    </row>
    <row r="5802" ht="15.75" customHeight="1">
      <c r="A5802" s="1" t="str">
        <f>IFERROR(__xludf.DUMMYFUNCTION("""COMPUTED_VALUE"""),"violent cop")</f>
        <v>violent cop</v>
      </c>
      <c r="B5802" s="1" t="str">
        <f>IF(A5802&lt;&gt;"", VLOOKUP(A5802, imdb_netflix_v5!A$2:H$7370, 2, FALSE), "")</f>
        <v>Movie</v>
      </c>
      <c r="C5802" s="2" t="str">
        <f>IF(A5802&lt;&gt;"", VLOOKUP(A5802, imdb_netflix_v5!A$2:H$7370, 3, FALSE), "")</f>
        <v>Action, Crime, Drama</v>
      </c>
      <c r="D5802" s="2">
        <f>IF(A5802&lt;&gt;"", VLOOKUP(A5802, imdb_netflix_v5!A$2:H$7370, 4, FALSE), "")</f>
        <v>7.1</v>
      </c>
      <c r="E5802" s="2">
        <f>IF(A5802&lt;&gt;"", VLOOKUP(A5802, imdb_netflix_v5!A$2:H$7370, 5, FALSE), "")</f>
        <v>1989</v>
      </c>
      <c r="F5802" s="2" t="str">
        <f>IF(A5802&lt;&gt;"", VLOOKUP(A5802, imdb_netflix_v5!A$2:H$7370, 7, FALSE), "")</f>
        <v>NA</v>
      </c>
    </row>
    <row r="5803" ht="15.75" customHeight="1">
      <c r="A5803" s="1" t="str">
        <f>IFERROR(__xludf.DUMMYFUNCTION("""COMPUTED_VALUE"""),"a touch of sin")</f>
        <v>a touch of sin</v>
      </c>
      <c r="B5803" s="1" t="str">
        <f>IF(A5803&lt;&gt;"", VLOOKUP(A5803, imdb_netflix_v5!A$2:H$7370, 2, FALSE), "")</f>
        <v>Movie</v>
      </c>
      <c r="C5803" s="2" t="str">
        <f>IF(A5803&lt;&gt;"", VLOOKUP(A5803, imdb_netflix_v5!A$2:H$7370, 3, FALSE), "")</f>
        <v>Crime, Drama</v>
      </c>
      <c r="D5803" s="2">
        <f>IF(A5803&lt;&gt;"", VLOOKUP(A5803, imdb_netflix_v5!A$2:H$7370, 4, FALSE), "")</f>
        <v>7.1</v>
      </c>
      <c r="E5803" s="2">
        <f>IF(A5803&lt;&gt;"", VLOOKUP(A5803, imdb_netflix_v5!A$2:H$7370, 5, FALSE), "")</f>
        <v>2013</v>
      </c>
      <c r="F5803" s="2" t="str">
        <f>IF(A5803&lt;&gt;"", VLOOKUP(A5803, imdb_netflix_v5!A$2:H$7370, 7, FALSE), "")</f>
        <v>NA</v>
      </c>
    </row>
    <row r="5804" ht="15.75" customHeight="1">
      <c r="A5804" s="1" t="str">
        <f>IFERROR(__xludf.DUMMYFUNCTION("""COMPUTED_VALUE"""),"who finds a friend finds a treasure")</f>
        <v>who finds a friend finds a treasure</v>
      </c>
      <c r="B5804" s="1" t="str">
        <f>IF(A5804&lt;&gt;"", VLOOKUP(A5804, imdb_netflix_v5!A$2:H$7370, 2, FALSE), "")</f>
        <v>Movie</v>
      </c>
      <c r="C5804" s="2" t="str">
        <f>IF(A5804&lt;&gt;"", VLOOKUP(A5804, imdb_netflix_v5!A$2:H$7370, 3, FALSE), "")</f>
        <v>Action, Adventure, Comedy</v>
      </c>
      <c r="D5804" s="2">
        <f>IF(A5804&lt;&gt;"", VLOOKUP(A5804, imdb_netflix_v5!A$2:H$7370, 4, FALSE), "")</f>
        <v>7.1</v>
      </c>
      <c r="E5804" s="2">
        <f>IF(A5804&lt;&gt;"", VLOOKUP(A5804, imdb_netflix_v5!A$2:H$7370, 5, FALSE), "")</f>
        <v>1981</v>
      </c>
      <c r="F5804" s="2" t="str">
        <f>IF(A5804&lt;&gt;"", VLOOKUP(A5804, imdb_netflix_v5!A$2:H$7370, 7, FALSE), "")</f>
        <v>NA</v>
      </c>
    </row>
    <row r="5805" ht="15.75" customHeight="1">
      <c r="A5805" s="1" t="str">
        <f>IFERROR(__xludf.DUMMYFUNCTION("""COMPUTED_VALUE"""),"the wings of the dove")</f>
        <v>the wings of the dove</v>
      </c>
      <c r="B5805" s="1" t="str">
        <f>IF(A5805&lt;&gt;"", VLOOKUP(A5805, imdb_netflix_v5!A$2:H$7370, 2, FALSE), "")</f>
        <v>Movie</v>
      </c>
      <c r="C5805" s="2" t="str">
        <f>IF(A5805&lt;&gt;"", VLOOKUP(A5805, imdb_netflix_v5!A$2:H$7370, 3, FALSE), "")</f>
        <v>Drama, Romance</v>
      </c>
      <c r="D5805" s="2">
        <f>IF(A5805&lt;&gt;"", VLOOKUP(A5805, imdb_netflix_v5!A$2:H$7370, 4, FALSE), "")</f>
        <v>7.1</v>
      </c>
      <c r="E5805" s="2">
        <f>IF(A5805&lt;&gt;"", VLOOKUP(A5805, imdb_netflix_v5!A$2:H$7370, 5, FALSE), "")</f>
        <v>1997</v>
      </c>
      <c r="F5805" s="2" t="str">
        <f>IF(A5805&lt;&gt;"", VLOOKUP(A5805, imdb_netflix_v5!A$2:H$7370, 7, FALSE), "")</f>
        <v>NA</v>
      </c>
    </row>
    <row r="5806" ht="15.75" customHeight="1">
      <c r="A5806" s="1" t="str">
        <f>IFERROR(__xludf.DUMMYFUNCTION("""COMPUTED_VALUE"""),"crime busters")</f>
        <v>crime busters</v>
      </c>
      <c r="B5806" s="1" t="str">
        <f>IF(A5806&lt;&gt;"", VLOOKUP(A5806, imdb_netflix_v5!A$2:H$7370, 2, FALSE), "")</f>
        <v>Movie</v>
      </c>
      <c r="C5806" s="2" t="str">
        <f>IF(A5806&lt;&gt;"", VLOOKUP(A5806, imdb_netflix_v5!A$2:H$7370, 3, FALSE), "")</f>
        <v>Action, Adventure, Comedy</v>
      </c>
      <c r="D5806" s="2">
        <f>IF(A5806&lt;&gt;"", VLOOKUP(A5806, imdb_netflix_v5!A$2:H$7370, 4, FALSE), "")</f>
        <v>7.1</v>
      </c>
      <c r="E5806" s="2">
        <f>IF(A5806&lt;&gt;"", VLOOKUP(A5806, imdb_netflix_v5!A$2:H$7370, 5, FALSE), "")</f>
        <v>1977</v>
      </c>
      <c r="F5806" s="2" t="str">
        <f>IF(A5806&lt;&gt;"", VLOOKUP(A5806, imdb_netflix_v5!A$2:H$7370, 7, FALSE), "")</f>
        <v>NA</v>
      </c>
    </row>
    <row r="5807" ht="15.75" customHeight="1">
      <c r="A5807" s="1" t="str">
        <f>IFERROR(__xludf.DUMMYFUNCTION("""COMPUTED_VALUE"""),"ferpect crime")</f>
        <v>ferpect crime</v>
      </c>
      <c r="B5807" s="1" t="str">
        <f>IF(A5807&lt;&gt;"", VLOOKUP(A5807, imdb_netflix_v5!A$2:H$7370, 2, FALSE), "")</f>
        <v>Movie</v>
      </c>
      <c r="C5807" s="2" t="str">
        <f>IF(A5807&lt;&gt;"", VLOOKUP(A5807, imdb_netflix_v5!A$2:H$7370, 3, FALSE), "")</f>
        <v>Comedy, Crime, Thriller</v>
      </c>
      <c r="D5807" s="2">
        <f>IF(A5807&lt;&gt;"", VLOOKUP(A5807, imdb_netflix_v5!A$2:H$7370, 4, FALSE), "")</f>
        <v>7.1</v>
      </c>
      <c r="E5807" s="2">
        <f>IF(A5807&lt;&gt;"", VLOOKUP(A5807, imdb_netflix_v5!A$2:H$7370, 5, FALSE), "")</f>
        <v>2004</v>
      </c>
      <c r="F5807" s="2" t="str">
        <f>IF(A5807&lt;&gt;"", VLOOKUP(A5807, imdb_netflix_v5!A$2:H$7370, 7, FALSE), "")</f>
        <v>NA</v>
      </c>
    </row>
    <row r="5808" ht="15.75" customHeight="1">
      <c r="A5808" s="1" t="str">
        <f>IFERROR(__xludf.DUMMYFUNCTION("""COMPUTED_VALUE"""),"eye of the needle")</f>
        <v>eye of the needle</v>
      </c>
      <c r="B5808" s="1" t="str">
        <f>IF(A5808&lt;&gt;"", VLOOKUP(A5808, imdb_netflix_v5!A$2:H$7370, 2, FALSE), "")</f>
        <v>Movie</v>
      </c>
      <c r="C5808" s="2" t="str">
        <f>IF(A5808&lt;&gt;"", VLOOKUP(A5808, imdb_netflix_v5!A$2:H$7370, 3, FALSE), "")</f>
        <v>Romance, Thriller, War</v>
      </c>
      <c r="D5808" s="2">
        <f>IF(A5808&lt;&gt;"", VLOOKUP(A5808, imdb_netflix_v5!A$2:H$7370, 4, FALSE), "")</f>
        <v>7.1</v>
      </c>
      <c r="E5808" s="2">
        <f>IF(A5808&lt;&gt;"", VLOOKUP(A5808, imdb_netflix_v5!A$2:H$7370, 5, FALSE), "")</f>
        <v>1981</v>
      </c>
      <c r="F5808" s="2" t="str">
        <f>IF(A5808&lt;&gt;"", VLOOKUP(A5808, imdb_netflix_v5!A$2:H$7370, 7, FALSE), "")</f>
        <v>NA</v>
      </c>
    </row>
    <row r="5809" ht="15.75" customHeight="1">
      <c r="A5809" s="1" t="str">
        <f>IFERROR(__xludf.DUMMYFUNCTION("""COMPUTED_VALUE"""),"war of the arrows")</f>
        <v>war of the arrows</v>
      </c>
      <c r="B5809" s="1" t="str">
        <f>IF(A5809&lt;&gt;"", VLOOKUP(A5809, imdb_netflix_v5!A$2:H$7370, 2, FALSE), "")</f>
        <v>Movie</v>
      </c>
      <c r="C5809" s="2" t="str">
        <f>IF(A5809&lt;&gt;"", VLOOKUP(A5809, imdb_netflix_v5!A$2:H$7370, 3, FALSE), "")</f>
        <v>Action</v>
      </c>
      <c r="D5809" s="2">
        <f>IF(A5809&lt;&gt;"", VLOOKUP(A5809, imdb_netflix_v5!A$2:H$7370, 4, FALSE), "")</f>
        <v>7.1</v>
      </c>
      <c r="E5809" s="2">
        <f>IF(A5809&lt;&gt;"", VLOOKUP(A5809, imdb_netflix_v5!A$2:H$7370, 5, FALSE), "")</f>
        <v>2011</v>
      </c>
      <c r="F5809" s="2" t="str">
        <f>IF(A5809&lt;&gt;"", VLOOKUP(A5809, imdb_netflix_v5!A$2:H$7370, 7, FALSE), "")</f>
        <v>NA</v>
      </c>
    </row>
    <row r="5810" ht="15.75" customHeight="1">
      <c r="A5810" s="1" t="str">
        <f>IFERROR(__xludf.DUMMYFUNCTION("""COMPUTED_VALUE"""),"fire country")</f>
        <v>fire country</v>
      </c>
      <c r="B5810" s="1" t="str">
        <f>IF(A5810&lt;&gt;"", VLOOKUP(A5810, imdb_netflix_v5!A$2:H$7370, 2, FALSE), "")</f>
        <v>TV Show</v>
      </c>
      <c r="C5810" s="2" t="str">
        <f>IF(A5810&lt;&gt;"", VLOOKUP(A5810, imdb_netflix_v5!A$2:H$7370, 3, FALSE), "")</f>
        <v>Drama</v>
      </c>
      <c r="D5810" s="2">
        <f>IF(A5810&lt;&gt;"", VLOOKUP(A5810, imdb_netflix_v5!A$2:H$7370, 4, FALSE), "")</f>
        <v>7.1</v>
      </c>
      <c r="E5810" s="2">
        <f>IF(A5810&lt;&gt;"", VLOOKUP(A5810, imdb_netflix_v5!A$2:H$7370, 5, FALSE), "")</f>
        <v>2022</v>
      </c>
      <c r="F5810" s="2" t="str">
        <f>IF(A5810&lt;&gt;"", VLOOKUP(A5810, imdb_netflix_v5!A$2:H$7370, 7, FALSE), "")</f>
        <v>NA</v>
      </c>
    </row>
    <row r="5811" ht="15.75" customHeight="1">
      <c r="A5811" s="1" t="str">
        <f>IFERROR(__xludf.DUMMYFUNCTION("""COMPUTED_VALUE"""),"father of the bride")</f>
        <v>father of the bride</v>
      </c>
      <c r="B5811" s="1" t="str">
        <f>IF(A5811&lt;&gt;"", VLOOKUP(A5811, imdb_netflix_v5!A$2:H$7370, 2, FALSE), "")</f>
        <v>Movie</v>
      </c>
      <c r="C5811" s="2" t="str">
        <f>IF(A5811&lt;&gt;"", VLOOKUP(A5811, imdb_netflix_v5!A$2:H$7370, 3, FALSE), "")</f>
        <v>Comedy, Drama, Romance</v>
      </c>
      <c r="D5811" s="2">
        <f>IF(A5811&lt;&gt;"", VLOOKUP(A5811, imdb_netflix_v5!A$2:H$7370, 4, FALSE), "")</f>
        <v>7.1</v>
      </c>
      <c r="E5811" s="2">
        <f>IF(A5811&lt;&gt;"", VLOOKUP(A5811, imdb_netflix_v5!A$2:H$7370, 5, FALSE), "")</f>
        <v>1950</v>
      </c>
      <c r="F5811" s="2" t="str">
        <f>IF(A5811&lt;&gt;"", VLOOKUP(A5811, imdb_netflix_v5!A$2:H$7370, 7, FALSE), "")</f>
        <v>NA</v>
      </c>
    </row>
    <row r="5812" ht="15.75" customHeight="1">
      <c r="A5812" s="1" t="str">
        <f>IFERROR(__xludf.DUMMYFUNCTION("""COMPUTED_VALUE"""),"asterix in britain")</f>
        <v>asterix in britain</v>
      </c>
      <c r="B5812" s="1" t="str">
        <f>IF(A5812&lt;&gt;"", VLOOKUP(A5812, imdb_netflix_v5!A$2:H$7370, 2, FALSE), "")</f>
        <v>Movie</v>
      </c>
      <c r="C5812" s="2" t="str">
        <f>IF(A5812&lt;&gt;"", VLOOKUP(A5812, imdb_netflix_v5!A$2:H$7370, 3, FALSE), "")</f>
        <v>Adventure, Animation, Comedy</v>
      </c>
      <c r="D5812" s="2">
        <f>IF(A5812&lt;&gt;"", VLOOKUP(A5812, imdb_netflix_v5!A$2:H$7370, 4, FALSE), "")</f>
        <v>7.1</v>
      </c>
      <c r="E5812" s="2">
        <f>IF(A5812&lt;&gt;"", VLOOKUP(A5812, imdb_netflix_v5!A$2:H$7370, 5, FALSE), "")</f>
        <v>1986</v>
      </c>
      <c r="F5812" s="2" t="str">
        <f>IF(A5812&lt;&gt;"", VLOOKUP(A5812, imdb_netflix_v5!A$2:H$7370, 7, FALSE), "")</f>
        <v>NA</v>
      </c>
    </row>
    <row r="5813" ht="15.75" customHeight="1">
      <c r="A5813" s="1" t="str">
        <f>IFERROR(__xludf.DUMMYFUNCTION("""COMPUTED_VALUE"""),"paa")</f>
        <v>paa</v>
      </c>
      <c r="B5813" s="1" t="str">
        <f>IF(A5813&lt;&gt;"", VLOOKUP(A5813, imdb_netflix_v5!A$2:H$7370, 2, FALSE), "")</f>
        <v>Movie</v>
      </c>
      <c r="C5813" s="2" t="str">
        <f>IF(A5813&lt;&gt;"", VLOOKUP(A5813, imdb_netflix_v5!A$2:H$7370, 3, FALSE), "")</f>
        <v>Comedy, Drama</v>
      </c>
      <c r="D5813" s="2">
        <f>IF(A5813&lt;&gt;"", VLOOKUP(A5813, imdb_netflix_v5!A$2:H$7370, 4, FALSE), "")</f>
        <v>7.1</v>
      </c>
      <c r="E5813" s="2">
        <f>IF(A5813&lt;&gt;"", VLOOKUP(A5813, imdb_netflix_v5!A$2:H$7370, 5, FALSE), "")</f>
        <v>2009</v>
      </c>
      <c r="F5813" s="2" t="str">
        <f>IF(A5813&lt;&gt;"", VLOOKUP(A5813, imdb_netflix_v5!A$2:H$7370, 7, FALSE), "")</f>
        <v>NA</v>
      </c>
    </row>
    <row r="5814" ht="15.75" customHeight="1">
      <c r="A5814" s="1" t="str">
        <f>IFERROR(__xludf.DUMMYFUNCTION("""COMPUTED_VALUE"""),"the catch")</f>
        <v>the catch</v>
      </c>
      <c r="B5814" s="1" t="str">
        <f>IF(A5814&lt;&gt;"", VLOOKUP(A5814, imdb_netflix_v5!A$2:H$7370, 2, FALSE), "")</f>
        <v>TV Show</v>
      </c>
      <c r="C5814" s="2" t="str">
        <f>IF(A5814&lt;&gt;"", VLOOKUP(A5814, imdb_netflix_v5!A$2:H$7370, 3, FALSE), "")</f>
        <v>Crime, Drama, Romance</v>
      </c>
      <c r="D5814" s="2">
        <f>IF(A5814&lt;&gt;"", VLOOKUP(A5814, imdb_netflix_v5!A$2:H$7370, 4, FALSE), "")</f>
        <v>7.1</v>
      </c>
      <c r="E5814" s="2">
        <f>IF(A5814&lt;&gt;"", VLOOKUP(A5814, imdb_netflix_v5!A$2:H$7370, 5, FALSE), "")</f>
        <v>2016</v>
      </c>
      <c r="F5814" s="2" t="str">
        <f>IF(A5814&lt;&gt;"", VLOOKUP(A5814, imdb_netflix_v5!A$2:H$7370, 7, FALSE), "")</f>
        <v>NA</v>
      </c>
    </row>
    <row r="5815" ht="15.75" customHeight="1">
      <c r="A5815" s="1" t="str">
        <f>IFERROR(__xludf.DUMMYFUNCTION("""COMPUTED_VALUE"""),"trial by fire")</f>
        <v>trial by fire</v>
      </c>
      <c r="B5815" s="1" t="str">
        <f>IF(A5815&lt;&gt;"", VLOOKUP(A5815, imdb_netflix_v5!A$2:H$7370, 2, FALSE), "")</f>
        <v>Movie</v>
      </c>
      <c r="C5815" s="2" t="str">
        <f>IF(A5815&lt;&gt;"", VLOOKUP(A5815, imdb_netflix_v5!A$2:H$7370, 3, FALSE), "")</f>
        <v>Biography, Drama</v>
      </c>
      <c r="D5815" s="2">
        <f>IF(A5815&lt;&gt;"", VLOOKUP(A5815, imdb_netflix_v5!A$2:H$7370, 4, FALSE), "")</f>
        <v>7.1</v>
      </c>
      <c r="E5815" s="2">
        <f>IF(A5815&lt;&gt;"", VLOOKUP(A5815, imdb_netflix_v5!A$2:H$7370, 5, FALSE), "")</f>
        <v>2018</v>
      </c>
      <c r="F5815" s="2" t="str">
        <f>IF(A5815&lt;&gt;"", VLOOKUP(A5815, imdb_netflix_v5!A$2:H$7370, 7, FALSE), "")</f>
        <v>NA</v>
      </c>
    </row>
    <row r="5816" ht="15.75" customHeight="1">
      <c r="A5816" s="1" t="str">
        <f>IFERROR(__xludf.DUMMYFUNCTION("""COMPUTED_VALUE"""),"theater of blood")</f>
        <v>theater of blood</v>
      </c>
      <c r="B5816" s="1" t="str">
        <f>IF(A5816&lt;&gt;"", VLOOKUP(A5816, imdb_netflix_v5!A$2:H$7370, 2, FALSE), "")</f>
        <v>Movie</v>
      </c>
      <c r="C5816" s="2" t="str">
        <f>IF(A5816&lt;&gt;"", VLOOKUP(A5816, imdb_netflix_v5!A$2:H$7370, 3, FALSE), "")</f>
        <v>Comedy, Drama, Horror</v>
      </c>
      <c r="D5816" s="2">
        <f>IF(A5816&lt;&gt;"", VLOOKUP(A5816, imdb_netflix_v5!A$2:H$7370, 4, FALSE), "")</f>
        <v>7.1</v>
      </c>
      <c r="E5816" s="2">
        <f>IF(A5816&lt;&gt;"", VLOOKUP(A5816, imdb_netflix_v5!A$2:H$7370, 5, FALSE), "")</f>
        <v>1973</v>
      </c>
      <c r="F5816" s="2" t="str">
        <f>IF(A5816&lt;&gt;"", VLOOKUP(A5816, imdb_netflix_v5!A$2:H$7370, 7, FALSE), "")</f>
        <v>NA</v>
      </c>
    </row>
    <row r="5817" ht="15.75" customHeight="1">
      <c r="A5817" s="1" t="str">
        <f>IFERROR(__xludf.DUMMYFUNCTION("""COMPUTED_VALUE"""),"may god save us")</f>
        <v>may god save us</v>
      </c>
      <c r="B5817" s="1" t="str">
        <f>IF(A5817&lt;&gt;"", VLOOKUP(A5817, imdb_netflix_v5!A$2:H$7370, 2, FALSE), "")</f>
        <v>Movie</v>
      </c>
      <c r="C5817" s="2" t="str">
        <f>IF(A5817&lt;&gt;"", VLOOKUP(A5817, imdb_netflix_v5!A$2:H$7370, 3, FALSE), "")</f>
        <v>Crime, Drama, Thriller</v>
      </c>
      <c r="D5817" s="2">
        <f>IF(A5817&lt;&gt;"", VLOOKUP(A5817, imdb_netflix_v5!A$2:H$7370, 4, FALSE), "")</f>
        <v>7.1</v>
      </c>
      <c r="E5817" s="2">
        <f>IF(A5817&lt;&gt;"", VLOOKUP(A5817, imdb_netflix_v5!A$2:H$7370, 5, FALSE), "")</f>
        <v>2016</v>
      </c>
      <c r="F5817" s="2" t="str">
        <f>IF(A5817&lt;&gt;"", VLOOKUP(A5817, imdb_netflix_v5!A$2:H$7370, 7, FALSE), "")</f>
        <v>NA</v>
      </c>
    </row>
    <row r="5818" ht="15.75" customHeight="1">
      <c r="A5818" s="1" t="str">
        <f>IFERROR(__xludf.DUMMYFUNCTION("""COMPUTED_VALUE"""),"the connection")</f>
        <v>the connection</v>
      </c>
      <c r="B5818" s="1" t="str">
        <f>IF(A5818&lt;&gt;"", VLOOKUP(A5818, imdb_netflix_v5!A$2:H$7370, 2, FALSE), "")</f>
        <v>Movie</v>
      </c>
      <c r="C5818" s="2" t="str">
        <f>IF(A5818&lt;&gt;"", VLOOKUP(A5818, imdb_netflix_v5!A$2:H$7370, 3, FALSE), "")</f>
        <v>Action, Crime, Thriller</v>
      </c>
      <c r="D5818" s="2">
        <f>IF(A5818&lt;&gt;"", VLOOKUP(A5818, imdb_netflix_v5!A$2:H$7370, 4, FALSE), "")</f>
        <v>7.1</v>
      </c>
      <c r="E5818" s="2">
        <f>IF(A5818&lt;&gt;"", VLOOKUP(A5818, imdb_netflix_v5!A$2:H$7370, 5, FALSE), "")</f>
        <v>2014</v>
      </c>
      <c r="F5818" s="2" t="str">
        <f>IF(A5818&lt;&gt;"", VLOOKUP(A5818, imdb_netflix_v5!A$2:H$7370, 7, FALSE), "")</f>
        <v>NA</v>
      </c>
    </row>
    <row r="5819" ht="15.75" customHeight="1">
      <c r="A5819" s="1" t="str">
        <f>IFERROR(__xludf.DUMMYFUNCTION("""COMPUTED_VALUE"""),"deadman wonderland")</f>
        <v>deadman wonderland</v>
      </c>
      <c r="B5819" s="1" t="str">
        <f>IF(A5819&lt;&gt;"", VLOOKUP(A5819, imdb_netflix_v5!A$2:H$7370, 2, FALSE), "")</f>
        <v>TV Show</v>
      </c>
      <c r="C5819" s="2" t="str">
        <f>IF(A5819&lt;&gt;"", VLOOKUP(A5819, imdb_netflix_v5!A$2:H$7370, 3, FALSE), "")</f>
        <v>Action, Animation, Drama</v>
      </c>
      <c r="D5819" s="2">
        <f>IF(A5819&lt;&gt;"", VLOOKUP(A5819, imdb_netflix_v5!A$2:H$7370, 4, FALSE), "")</f>
        <v>7.1</v>
      </c>
      <c r="E5819" s="2">
        <f>IF(A5819&lt;&gt;"", VLOOKUP(A5819, imdb_netflix_v5!A$2:H$7370, 5, FALSE), "")</f>
        <v>2011</v>
      </c>
      <c r="F5819" s="2" t="str">
        <f>IF(A5819&lt;&gt;"", VLOOKUP(A5819, imdb_netflix_v5!A$2:H$7370, 7, FALSE), "")</f>
        <v>NA</v>
      </c>
    </row>
    <row r="5820" ht="15.75" customHeight="1">
      <c r="A5820" s="1" t="str">
        <f>IFERROR(__xludf.DUMMYFUNCTION("""COMPUTED_VALUE"""),"petta")</f>
        <v>petta</v>
      </c>
      <c r="B5820" s="1" t="str">
        <f>IF(A5820&lt;&gt;"", VLOOKUP(A5820, imdb_netflix_v5!A$2:H$7370, 2, FALSE), "")</f>
        <v>Movie</v>
      </c>
      <c r="C5820" s="2" t="str">
        <f>IF(A5820&lt;&gt;"", VLOOKUP(A5820, imdb_netflix_v5!A$2:H$7370, 3, FALSE), "")</f>
        <v>Action, Drama</v>
      </c>
      <c r="D5820" s="2">
        <f>IF(A5820&lt;&gt;"", VLOOKUP(A5820, imdb_netflix_v5!A$2:H$7370, 4, FALSE), "")</f>
        <v>7.1</v>
      </c>
      <c r="E5820" s="2">
        <f>IF(A5820&lt;&gt;"", VLOOKUP(A5820, imdb_netflix_v5!A$2:H$7370, 5, FALSE), "")</f>
        <v>2019</v>
      </c>
      <c r="F5820" s="2" t="str">
        <f>IF(A5820&lt;&gt;"", VLOOKUP(A5820, imdb_netflix_v5!A$2:H$7370, 7, FALSE), "")</f>
        <v>NA</v>
      </c>
    </row>
    <row r="5821" ht="15.75" customHeight="1">
      <c r="A5821" s="1" t="str">
        <f>IFERROR(__xludf.DUMMYFUNCTION("""COMPUTED_VALUE"""),"dublin murders")</f>
        <v>dublin murders</v>
      </c>
      <c r="B5821" s="1" t="str">
        <f>IF(A5821&lt;&gt;"", VLOOKUP(A5821, imdb_netflix_v5!A$2:H$7370, 2, FALSE), "")</f>
        <v>TV Show</v>
      </c>
      <c r="C5821" s="2" t="str">
        <f>IF(A5821&lt;&gt;"", VLOOKUP(A5821, imdb_netflix_v5!A$2:H$7370, 3, FALSE), "")</f>
        <v>Crime, Drama, Mystery</v>
      </c>
      <c r="D5821" s="2">
        <f>IF(A5821&lt;&gt;"", VLOOKUP(A5821, imdb_netflix_v5!A$2:H$7370, 4, FALSE), "")</f>
        <v>7.1</v>
      </c>
      <c r="E5821" s="2">
        <f>IF(A5821&lt;&gt;"", VLOOKUP(A5821, imdb_netflix_v5!A$2:H$7370, 5, FALSE), "")</f>
        <v>2019</v>
      </c>
      <c r="F5821" s="2" t="str">
        <f>IF(A5821&lt;&gt;"", VLOOKUP(A5821, imdb_netflix_v5!A$2:H$7370, 7, FALSE), "")</f>
        <v>NA</v>
      </c>
    </row>
    <row r="5822" ht="15.75" customHeight="1">
      <c r="A5822" s="1" t="str">
        <f>IFERROR(__xludf.DUMMYFUNCTION("""COMPUTED_VALUE"""),"shine a light")</f>
        <v>shine a light</v>
      </c>
      <c r="B5822" s="1" t="str">
        <f>IF(A5822&lt;&gt;"", VLOOKUP(A5822, imdb_netflix_v5!A$2:H$7370, 2, FALSE), "")</f>
        <v>Movie</v>
      </c>
      <c r="C5822" s="2" t="str">
        <f>IF(A5822&lt;&gt;"", VLOOKUP(A5822, imdb_netflix_v5!A$2:H$7370, 3, FALSE), "")</f>
        <v>Biography, Documentary, Music</v>
      </c>
      <c r="D5822" s="2">
        <f>IF(A5822&lt;&gt;"", VLOOKUP(A5822, imdb_netflix_v5!A$2:H$7370, 4, FALSE), "")</f>
        <v>7.1</v>
      </c>
      <c r="E5822" s="2">
        <f>IF(A5822&lt;&gt;"", VLOOKUP(A5822, imdb_netflix_v5!A$2:H$7370, 5, FALSE), "")</f>
        <v>2008</v>
      </c>
      <c r="F5822" s="2" t="str">
        <f>IF(A5822&lt;&gt;"", VLOOKUP(A5822, imdb_netflix_v5!A$2:H$7370, 7, FALSE), "")</f>
        <v>NA</v>
      </c>
    </row>
    <row r="5823" ht="15.75" customHeight="1">
      <c r="A5823" s="1" t="str">
        <f>IFERROR(__xludf.DUMMYFUNCTION("""COMPUTED_VALUE"""),"the method")</f>
        <v>the method</v>
      </c>
      <c r="B5823" s="1" t="str">
        <f>IF(A5823&lt;&gt;"", VLOOKUP(A5823, imdb_netflix_v5!A$2:H$7370, 2, FALSE), "")</f>
        <v>Movie</v>
      </c>
      <c r="C5823" s="2" t="str">
        <f>IF(A5823&lt;&gt;"", VLOOKUP(A5823, imdb_netflix_v5!A$2:H$7370, 3, FALSE), "")</f>
        <v>Drama, Thriller</v>
      </c>
      <c r="D5823" s="2">
        <f>IF(A5823&lt;&gt;"", VLOOKUP(A5823, imdb_netflix_v5!A$2:H$7370, 4, FALSE), "")</f>
        <v>7.1</v>
      </c>
      <c r="E5823" s="2">
        <f>IF(A5823&lt;&gt;"", VLOOKUP(A5823, imdb_netflix_v5!A$2:H$7370, 5, FALSE), "")</f>
        <v>2005</v>
      </c>
      <c r="F5823" s="2" t="str">
        <f>IF(A5823&lt;&gt;"", VLOOKUP(A5823, imdb_netflix_v5!A$2:H$7370, 7, FALSE), "")</f>
        <v>NA</v>
      </c>
    </row>
    <row r="5824" ht="15.75" customHeight="1">
      <c r="A5824" s="1" t="str">
        <f>IFERROR(__xludf.DUMMYFUNCTION("""COMPUTED_VALUE"""),"goodbye bafana")</f>
        <v>goodbye bafana</v>
      </c>
      <c r="B5824" s="1" t="str">
        <f>IF(A5824&lt;&gt;"", VLOOKUP(A5824, imdb_netflix_v5!A$2:H$7370, 2, FALSE), "")</f>
        <v>Movie</v>
      </c>
      <c r="C5824" s="2" t="str">
        <f>IF(A5824&lt;&gt;"", VLOOKUP(A5824, imdb_netflix_v5!A$2:H$7370, 3, FALSE), "")</f>
        <v>Biography, Drama, History</v>
      </c>
      <c r="D5824" s="2">
        <f>IF(A5824&lt;&gt;"", VLOOKUP(A5824, imdb_netflix_v5!A$2:H$7370, 4, FALSE), "")</f>
        <v>7.1</v>
      </c>
      <c r="E5824" s="2">
        <f>IF(A5824&lt;&gt;"", VLOOKUP(A5824, imdb_netflix_v5!A$2:H$7370, 5, FALSE), "")</f>
        <v>2007</v>
      </c>
      <c r="F5824" s="2" t="str">
        <f>IF(A5824&lt;&gt;"", VLOOKUP(A5824, imdb_netflix_v5!A$2:H$7370, 7, FALSE), "")</f>
        <v>NA</v>
      </c>
    </row>
    <row r="5825" ht="15.75" customHeight="1">
      <c r="A5825" s="1" t="str">
        <f>IFERROR(__xludf.DUMMYFUNCTION("""COMPUTED_VALUE"""),"terkel in trouble")</f>
        <v>terkel in trouble</v>
      </c>
      <c r="B5825" s="1" t="str">
        <f>IF(A5825&lt;&gt;"", VLOOKUP(A5825, imdb_netflix_v5!A$2:H$7370, 2, FALSE), "")</f>
        <v>Movie</v>
      </c>
      <c r="C5825" s="2" t="str">
        <f>IF(A5825&lt;&gt;"", VLOOKUP(A5825, imdb_netflix_v5!A$2:H$7370, 3, FALSE), "")</f>
        <v>Animation, Comedy, Musical</v>
      </c>
      <c r="D5825" s="2">
        <f>IF(A5825&lt;&gt;"", VLOOKUP(A5825, imdb_netflix_v5!A$2:H$7370, 4, FALSE), "")</f>
        <v>7.1</v>
      </c>
      <c r="E5825" s="2">
        <f>IF(A5825&lt;&gt;"", VLOOKUP(A5825, imdb_netflix_v5!A$2:H$7370, 5, FALSE), "")</f>
        <v>2004</v>
      </c>
      <c r="F5825" s="2" t="str">
        <f>IF(A5825&lt;&gt;"", VLOOKUP(A5825, imdb_netflix_v5!A$2:H$7370, 7, FALSE), "")</f>
        <v>NA</v>
      </c>
    </row>
    <row r="5826" ht="15.75" customHeight="1">
      <c r="A5826" s="1" t="str">
        <f>IFERROR(__xludf.DUMMYFUNCTION("""COMPUTED_VALUE"""),"son of frankenstein")</f>
        <v>son of frankenstein</v>
      </c>
      <c r="B5826" s="1" t="str">
        <f>IF(A5826&lt;&gt;"", VLOOKUP(A5826, imdb_netflix_v5!A$2:H$7370, 2, FALSE), "")</f>
        <v>Movie</v>
      </c>
      <c r="C5826" s="2" t="str">
        <f>IF(A5826&lt;&gt;"", VLOOKUP(A5826, imdb_netflix_v5!A$2:H$7370, 3, FALSE), "")</f>
        <v>Drama, Horror, Sci-Fi</v>
      </c>
      <c r="D5826" s="2">
        <f>IF(A5826&lt;&gt;"", VLOOKUP(A5826, imdb_netflix_v5!A$2:H$7370, 4, FALSE), "")</f>
        <v>7.1</v>
      </c>
      <c r="E5826" s="2">
        <f>IF(A5826&lt;&gt;"", VLOOKUP(A5826, imdb_netflix_v5!A$2:H$7370, 5, FALSE), "")</f>
        <v>1939</v>
      </c>
      <c r="F5826" s="2" t="str">
        <f>IF(A5826&lt;&gt;"", VLOOKUP(A5826, imdb_netflix_v5!A$2:H$7370, 7, FALSE), "")</f>
        <v>NA</v>
      </c>
    </row>
    <row r="5827" ht="15.75" customHeight="1">
      <c r="A5827" s="1" t="str">
        <f>IFERROR(__xludf.DUMMYFUNCTION("""COMPUTED_VALUE"""),"blackmail")</f>
        <v>blackmail</v>
      </c>
      <c r="B5827" s="1" t="str">
        <f>IF(A5827&lt;&gt;"", VLOOKUP(A5827, imdb_netflix_v5!A$2:H$7370, 2, FALSE), "")</f>
        <v>Movie</v>
      </c>
      <c r="C5827" s="2" t="str">
        <f>IF(A5827&lt;&gt;"", VLOOKUP(A5827, imdb_netflix_v5!A$2:H$7370, 3, FALSE), "")</f>
        <v>Comedy, Drama, Thriller</v>
      </c>
      <c r="D5827" s="2">
        <f>IF(A5827&lt;&gt;"", VLOOKUP(A5827, imdb_netflix_v5!A$2:H$7370, 4, FALSE), "")</f>
        <v>7.1</v>
      </c>
      <c r="E5827" s="2">
        <f>IF(A5827&lt;&gt;"", VLOOKUP(A5827, imdb_netflix_v5!A$2:H$7370, 5, FALSE), "")</f>
        <v>2018</v>
      </c>
      <c r="F5827" s="2" t="str">
        <f>IF(A5827&lt;&gt;"", VLOOKUP(A5827, imdb_netflix_v5!A$2:H$7370, 7, FALSE), "")</f>
        <v>NA</v>
      </c>
    </row>
    <row r="5828" ht="15.75" customHeight="1">
      <c r="A5828" s="1" t="str">
        <f>IFERROR(__xludf.DUMMYFUNCTION("""COMPUTED_VALUE"""),"gloria")</f>
        <v>gloria</v>
      </c>
      <c r="B5828" s="1" t="str">
        <f>IF(A5828&lt;&gt;"", VLOOKUP(A5828, imdb_netflix_v5!A$2:H$7370, 2, FALSE), "")</f>
        <v>Movie</v>
      </c>
      <c r="C5828" s="2" t="str">
        <f>IF(A5828&lt;&gt;"", VLOOKUP(A5828, imdb_netflix_v5!A$2:H$7370, 3, FALSE), "")</f>
        <v>Crime, Drama, Thriller</v>
      </c>
      <c r="D5828" s="2">
        <f>IF(A5828&lt;&gt;"", VLOOKUP(A5828, imdb_netflix_v5!A$2:H$7370, 4, FALSE), "")</f>
        <v>7.1</v>
      </c>
      <c r="E5828" s="2">
        <f>IF(A5828&lt;&gt;"", VLOOKUP(A5828, imdb_netflix_v5!A$2:H$7370, 5, FALSE), "")</f>
        <v>1980</v>
      </c>
      <c r="F5828" s="2" t="str">
        <f>IF(A5828&lt;&gt;"", VLOOKUP(A5828, imdb_netflix_v5!A$2:H$7370, 7, FALSE), "")</f>
        <v>NA</v>
      </c>
    </row>
    <row r="5829" ht="15.75" customHeight="1">
      <c r="A5829" s="1" t="str">
        <f>IFERROR(__xludf.DUMMYFUNCTION("""COMPUTED_VALUE"""),"shark")</f>
        <v>shark</v>
      </c>
      <c r="B5829" s="1" t="str">
        <f>IF(A5829&lt;&gt;"", VLOOKUP(A5829, imdb_netflix_v5!A$2:H$7370, 2, FALSE), "")</f>
        <v>TV Show</v>
      </c>
      <c r="C5829" s="2" t="str">
        <f>IF(A5829&lt;&gt;"", VLOOKUP(A5829, imdb_netflix_v5!A$2:H$7370, 3, FALSE), "")</f>
        <v>Crime, Drama, Mystery</v>
      </c>
      <c r="D5829" s="2">
        <f>IF(A5829&lt;&gt;"", VLOOKUP(A5829, imdb_netflix_v5!A$2:H$7370, 4, FALSE), "")</f>
        <v>7.1</v>
      </c>
      <c r="E5829" s="2">
        <f>IF(A5829&lt;&gt;"", VLOOKUP(A5829, imdb_netflix_v5!A$2:H$7370, 5, FALSE), "")</f>
        <v>2006</v>
      </c>
      <c r="F5829" s="2" t="str">
        <f>IF(A5829&lt;&gt;"", VLOOKUP(A5829, imdb_netflix_v5!A$2:H$7370, 7, FALSE), "")</f>
        <v>NA</v>
      </c>
    </row>
    <row r="5830" ht="15.75" customHeight="1">
      <c r="A5830" s="1" t="str">
        <f>IFERROR(__xludf.DUMMYFUNCTION("""COMPUTED_VALUE"""),"hannah arendt")</f>
        <v>hannah arendt</v>
      </c>
      <c r="B5830" s="1" t="str">
        <f>IF(A5830&lt;&gt;"", VLOOKUP(A5830, imdb_netflix_v5!A$2:H$7370, 2, FALSE), "")</f>
        <v>Movie</v>
      </c>
      <c r="C5830" s="2" t="str">
        <f>IF(A5830&lt;&gt;"", VLOOKUP(A5830, imdb_netflix_v5!A$2:H$7370, 3, FALSE), "")</f>
        <v>Biography, Drama</v>
      </c>
      <c r="D5830" s="2">
        <f>IF(A5830&lt;&gt;"", VLOOKUP(A5830, imdb_netflix_v5!A$2:H$7370, 4, FALSE), "")</f>
        <v>7.1</v>
      </c>
      <c r="E5830" s="2">
        <f>IF(A5830&lt;&gt;"", VLOOKUP(A5830, imdb_netflix_v5!A$2:H$7370, 5, FALSE), "")</f>
        <v>2012</v>
      </c>
      <c r="F5830" s="2" t="str">
        <f>IF(A5830&lt;&gt;"", VLOOKUP(A5830, imdb_netflix_v5!A$2:H$7370, 7, FALSE), "")</f>
        <v>NA</v>
      </c>
    </row>
    <row r="5831" ht="15.75" customHeight="1">
      <c r="A5831" s="1" t="str">
        <f>IFERROR(__xludf.DUMMYFUNCTION("""COMPUTED_VALUE"""),"turkish delight")</f>
        <v>turkish delight</v>
      </c>
      <c r="B5831" s="1" t="str">
        <f>IF(A5831&lt;&gt;"", VLOOKUP(A5831, imdb_netflix_v5!A$2:H$7370, 2, FALSE), "")</f>
        <v>Movie</v>
      </c>
      <c r="C5831" s="2" t="str">
        <f>IF(A5831&lt;&gt;"", VLOOKUP(A5831, imdb_netflix_v5!A$2:H$7370, 3, FALSE), "")</f>
        <v>Drama, Romance</v>
      </c>
      <c r="D5831" s="2">
        <f>IF(A5831&lt;&gt;"", VLOOKUP(A5831, imdb_netflix_v5!A$2:H$7370, 4, FALSE), "")</f>
        <v>7.1</v>
      </c>
      <c r="E5831" s="2">
        <f>IF(A5831&lt;&gt;"", VLOOKUP(A5831, imdb_netflix_v5!A$2:H$7370, 5, FALSE), "")</f>
        <v>1973</v>
      </c>
      <c r="F5831" s="2" t="str">
        <f>IF(A5831&lt;&gt;"", VLOOKUP(A5831, imdb_netflix_v5!A$2:H$7370, 7, FALSE), "")</f>
        <v>NA</v>
      </c>
    </row>
    <row r="5832" ht="15.75" customHeight="1">
      <c r="A5832" s="1" t="str">
        <f>IFERROR(__xludf.DUMMYFUNCTION("""COMPUTED_VALUE"""),"with a friend like harry...")</f>
        <v>with a friend like harry...</v>
      </c>
      <c r="B5832" s="1" t="str">
        <f>IF(A5832&lt;&gt;"", VLOOKUP(A5832, imdb_netflix_v5!A$2:H$7370, 2, FALSE), "")</f>
        <v>Movie</v>
      </c>
      <c r="C5832" s="2" t="str">
        <f>IF(A5832&lt;&gt;"", VLOOKUP(A5832, imdb_netflix_v5!A$2:H$7370, 3, FALSE), "")</f>
        <v>Comedy, Drama, Mystery</v>
      </c>
      <c r="D5832" s="2">
        <f>IF(A5832&lt;&gt;"", VLOOKUP(A5832, imdb_netflix_v5!A$2:H$7370, 4, FALSE), "")</f>
        <v>7.1</v>
      </c>
      <c r="E5832" s="2">
        <f>IF(A5832&lt;&gt;"", VLOOKUP(A5832, imdb_netflix_v5!A$2:H$7370, 5, FALSE), "")</f>
        <v>2000</v>
      </c>
      <c r="F5832" s="2" t="str">
        <f>IF(A5832&lt;&gt;"", VLOOKUP(A5832, imdb_netflix_v5!A$2:H$7370, 7, FALSE), "")</f>
        <v>NA</v>
      </c>
    </row>
    <row r="5833" ht="15.75" customHeight="1">
      <c r="A5833" s="1" t="str">
        <f>IFERROR(__xludf.DUMMYFUNCTION("""COMPUTED_VALUE"""),"the horse soldiers")</f>
        <v>the horse soldiers</v>
      </c>
      <c r="B5833" s="1" t="str">
        <f>IF(A5833&lt;&gt;"", VLOOKUP(A5833, imdb_netflix_v5!A$2:H$7370, 2, FALSE), "")</f>
        <v>Movie</v>
      </c>
      <c r="C5833" s="2" t="str">
        <f>IF(A5833&lt;&gt;"", VLOOKUP(A5833, imdb_netflix_v5!A$2:H$7370, 3, FALSE), "")</f>
        <v>Adventure, Drama, Romance</v>
      </c>
      <c r="D5833" s="2">
        <f>IF(A5833&lt;&gt;"", VLOOKUP(A5833, imdb_netflix_v5!A$2:H$7370, 4, FALSE), "")</f>
        <v>7.1</v>
      </c>
      <c r="E5833" s="2">
        <f>IF(A5833&lt;&gt;"", VLOOKUP(A5833, imdb_netflix_v5!A$2:H$7370, 5, FALSE), "")</f>
        <v>1959</v>
      </c>
      <c r="F5833" s="2" t="str">
        <f>IF(A5833&lt;&gt;"", VLOOKUP(A5833, imdb_netflix_v5!A$2:H$7370, 7, FALSE), "")</f>
        <v>NA</v>
      </c>
    </row>
    <row r="5834" ht="15.75" customHeight="1">
      <c r="A5834" s="1" t="str">
        <f>IFERROR(__xludf.DUMMYFUNCTION("""COMPUTED_VALUE"""),"cargo 200")</f>
        <v>cargo 200</v>
      </c>
      <c r="B5834" s="1" t="str">
        <f>IF(A5834&lt;&gt;"", VLOOKUP(A5834, imdb_netflix_v5!A$2:H$7370, 2, FALSE), "")</f>
        <v>Movie</v>
      </c>
      <c r="C5834" s="2" t="str">
        <f>IF(A5834&lt;&gt;"", VLOOKUP(A5834, imdb_netflix_v5!A$2:H$7370, 3, FALSE), "")</f>
        <v>Crime, Drama, Thriller</v>
      </c>
      <c r="D5834" s="2">
        <f>IF(A5834&lt;&gt;"", VLOOKUP(A5834, imdb_netflix_v5!A$2:H$7370, 4, FALSE), "")</f>
        <v>7.1</v>
      </c>
      <c r="E5834" s="2">
        <f>IF(A5834&lt;&gt;"", VLOOKUP(A5834, imdb_netflix_v5!A$2:H$7370, 5, FALSE), "")</f>
        <v>2007</v>
      </c>
      <c r="F5834" s="2" t="str">
        <f>IF(A5834&lt;&gt;"", VLOOKUP(A5834, imdb_netflix_v5!A$2:H$7370, 7, FALSE), "")</f>
        <v>NA</v>
      </c>
    </row>
    <row r="5835" ht="15.75" customHeight="1">
      <c r="A5835" s="1" t="str">
        <f>IFERROR(__xludf.DUMMYFUNCTION("""COMPUTED_VALUE"""),"the bow")</f>
        <v>the bow</v>
      </c>
      <c r="B5835" s="1" t="str">
        <f>IF(A5835&lt;&gt;"", VLOOKUP(A5835, imdb_netflix_v5!A$2:H$7370, 2, FALSE), "")</f>
        <v>Movie</v>
      </c>
      <c r="C5835" s="2" t="str">
        <f>IF(A5835&lt;&gt;"", VLOOKUP(A5835, imdb_netflix_v5!A$2:H$7370, 3, FALSE), "")</f>
        <v>Drama, Romance</v>
      </c>
      <c r="D5835" s="2">
        <f>IF(A5835&lt;&gt;"", VLOOKUP(A5835, imdb_netflix_v5!A$2:H$7370, 4, FALSE), "")</f>
        <v>7.1</v>
      </c>
      <c r="E5835" s="2">
        <f>IF(A5835&lt;&gt;"", VLOOKUP(A5835, imdb_netflix_v5!A$2:H$7370, 5, FALSE), "")</f>
        <v>2005</v>
      </c>
      <c r="F5835" s="2" t="str">
        <f>IF(A5835&lt;&gt;"", VLOOKUP(A5835, imdb_netflix_v5!A$2:H$7370, 7, FALSE), "")</f>
        <v>NA</v>
      </c>
    </row>
    <row r="5836" ht="15.75" customHeight="1">
      <c r="A5836" s="1" t="str">
        <f>IFERROR(__xludf.DUMMYFUNCTION("""COMPUTED_VALUE"""),"double trouble")</f>
        <v>double trouble</v>
      </c>
      <c r="B5836" s="1" t="str">
        <f>IF(A5836&lt;&gt;"", VLOOKUP(A5836, imdb_netflix_v5!A$2:H$7370, 2, FALSE), "")</f>
        <v>Movie</v>
      </c>
      <c r="C5836" s="2" t="str">
        <f>IF(A5836&lt;&gt;"", VLOOKUP(A5836, imdb_netflix_v5!A$2:H$7370, 3, FALSE), "")</f>
        <v>Action, Comedy</v>
      </c>
      <c r="D5836" s="2">
        <f>IF(A5836&lt;&gt;"", VLOOKUP(A5836, imdb_netflix_v5!A$2:H$7370, 4, FALSE), "")</f>
        <v>7.1</v>
      </c>
      <c r="E5836" s="2">
        <f>IF(A5836&lt;&gt;"", VLOOKUP(A5836, imdb_netflix_v5!A$2:H$7370, 5, FALSE), "")</f>
        <v>1984</v>
      </c>
      <c r="F5836" s="2" t="str">
        <f>IF(A5836&lt;&gt;"", VLOOKUP(A5836, imdb_netflix_v5!A$2:H$7370, 7, FALSE), "")</f>
        <v>NA</v>
      </c>
    </row>
    <row r="5837" ht="15.75" customHeight="1">
      <c r="A5837" s="1" t="str">
        <f>IFERROR(__xludf.DUMMYFUNCTION("""COMPUTED_VALUE"""),"klown")</f>
        <v>klown</v>
      </c>
      <c r="B5837" s="1" t="str">
        <f>IF(A5837&lt;&gt;"", VLOOKUP(A5837, imdb_netflix_v5!A$2:H$7370, 2, FALSE), "")</f>
        <v>Movie</v>
      </c>
      <c r="C5837" s="2" t="str">
        <f>IF(A5837&lt;&gt;"", VLOOKUP(A5837, imdb_netflix_v5!A$2:H$7370, 3, FALSE), "")</f>
        <v>Comedy</v>
      </c>
      <c r="D5837" s="2">
        <f>IF(A5837&lt;&gt;"", VLOOKUP(A5837, imdb_netflix_v5!A$2:H$7370, 4, FALSE), "")</f>
        <v>7.1</v>
      </c>
      <c r="E5837" s="2">
        <f>IF(A5837&lt;&gt;"", VLOOKUP(A5837, imdb_netflix_v5!A$2:H$7370, 5, FALSE), "")</f>
        <v>2010</v>
      </c>
      <c r="F5837" s="2" t="str">
        <f>IF(A5837&lt;&gt;"", VLOOKUP(A5837, imdb_netflix_v5!A$2:H$7370, 7, FALSE), "")</f>
        <v>NA</v>
      </c>
    </row>
    <row r="5838" ht="15.75" customHeight="1">
      <c r="A5838" s="1" t="str">
        <f>IFERROR(__xludf.DUMMYFUNCTION("""COMPUTED_VALUE"""),"worst roommate ever")</f>
        <v>worst roommate ever</v>
      </c>
      <c r="B5838" s="1" t="str">
        <f>IF(A5838&lt;&gt;"", VLOOKUP(A5838, imdb_netflix_v5!A$2:H$7370, 2, FALSE), "")</f>
        <v>TV Show</v>
      </c>
      <c r="C5838" s="2" t="str">
        <f>IF(A5838&lt;&gt;"", VLOOKUP(A5838, imdb_netflix_v5!A$2:H$7370, 3, FALSE), "")</f>
        <v>Crime, Documentary, Thriller</v>
      </c>
      <c r="D5838" s="2">
        <f>IF(A5838&lt;&gt;"", VLOOKUP(A5838, imdb_netflix_v5!A$2:H$7370, 4, FALSE), "")</f>
        <v>7.1</v>
      </c>
      <c r="E5838" s="2">
        <f>IF(A5838&lt;&gt;"", VLOOKUP(A5838, imdb_netflix_v5!A$2:H$7370, 5, FALSE), "")</f>
        <v>2022</v>
      </c>
      <c r="F5838" s="2">
        <f>IF(A5838&lt;&gt;"", VLOOKUP(A5838, imdb_netflix_v5!A$2:H$7370, 7, FALSE), "")</f>
        <v>26290000</v>
      </c>
    </row>
    <row r="5839" ht="15.75" customHeight="1">
      <c r="A5839" s="1" t="str">
        <f>IFERROR(__xludf.DUMMYFUNCTION("""COMPUTED_VALUE"""),"the old oak")</f>
        <v>the old oak</v>
      </c>
      <c r="B5839" s="1" t="str">
        <f>IF(A5839&lt;&gt;"", VLOOKUP(A5839, imdb_netflix_v5!A$2:H$7370, 2, FALSE), "")</f>
        <v>Movie</v>
      </c>
      <c r="C5839" s="2" t="str">
        <f>IF(A5839&lt;&gt;"", VLOOKUP(A5839, imdb_netflix_v5!A$2:H$7370, 3, FALSE), "")</f>
        <v>Drama</v>
      </c>
      <c r="D5839" s="2">
        <f>IF(A5839&lt;&gt;"", VLOOKUP(A5839, imdb_netflix_v5!A$2:H$7370, 4, FALSE), "")</f>
        <v>7.1</v>
      </c>
      <c r="E5839" s="2">
        <f>IF(A5839&lt;&gt;"", VLOOKUP(A5839, imdb_netflix_v5!A$2:H$7370, 5, FALSE), "")</f>
        <v>2023</v>
      </c>
      <c r="F5839" s="2" t="str">
        <f>IF(A5839&lt;&gt;"", VLOOKUP(A5839, imdb_netflix_v5!A$2:H$7370, 7, FALSE), "")</f>
        <v>NA</v>
      </c>
    </row>
    <row r="5840" ht="15.75" customHeight="1">
      <c r="A5840" s="1" t="str">
        <f>IFERROR(__xludf.DUMMYFUNCTION("""COMPUTED_VALUE"""),"the pembrokeshire murders")</f>
        <v>the pembrokeshire murders</v>
      </c>
      <c r="B5840" s="1" t="str">
        <f>IF(A5840&lt;&gt;"", VLOOKUP(A5840, imdb_netflix_v5!A$2:H$7370, 2, FALSE), "")</f>
        <v>TV Show</v>
      </c>
      <c r="C5840" s="2" t="str">
        <f>IF(A5840&lt;&gt;"", VLOOKUP(A5840, imdb_netflix_v5!A$2:H$7370, 3, FALSE), "")</f>
        <v>Crime, Drama, History</v>
      </c>
      <c r="D5840" s="2">
        <f>IF(A5840&lt;&gt;"", VLOOKUP(A5840, imdb_netflix_v5!A$2:H$7370, 4, FALSE), "")</f>
        <v>7.1</v>
      </c>
      <c r="E5840" s="2">
        <f>IF(A5840&lt;&gt;"", VLOOKUP(A5840, imdb_netflix_v5!A$2:H$7370, 5, FALSE), "")</f>
        <v>2021</v>
      </c>
      <c r="F5840" s="2" t="str">
        <f>IF(A5840&lt;&gt;"", VLOOKUP(A5840, imdb_netflix_v5!A$2:H$7370, 7, FALSE), "")</f>
        <v>NA</v>
      </c>
    </row>
    <row r="5841" ht="15.75" customHeight="1">
      <c r="A5841" s="1" t="str">
        <f>IFERROR(__xludf.DUMMYFUNCTION("""COMPUTED_VALUE"""),"the butcher boy")</f>
        <v>the butcher boy</v>
      </c>
      <c r="B5841" s="1" t="str">
        <f>IF(A5841&lt;&gt;"", VLOOKUP(A5841, imdb_netflix_v5!A$2:H$7370, 2, FALSE), "")</f>
        <v>Movie</v>
      </c>
      <c r="C5841" s="2" t="str">
        <f>IF(A5841&lt;&gt;"", VLOOKUP(A5841, imdb_netflix_v5!A$2:H$7370, 3, FALSE), "")</f>
        <v>Comedy, Drama</v>
      </c>
      <c r="D5841" s="2">
        <f>IF(A5841&lt;&gt;"", VLOOKUP(A5841, imdb_netflix_v5!A$2:H$7370, 4, FALSE), "")</f>
        <v>7.1</v>
      </c>
      <c r="E5841" s="2">
        <f>IF(A5841&lt;&gt;"", VLOOKUP(A5841, imdb_netflix_v5!A$2:H$7370, 5, FALSE), "")</f>
        <v>1997</v>
      </c>
      <c r="F5841" s="2" t="str">
        <f>IF(A5841&lt;&gt;"", VLOOKUP(A5841, imdb_netflix_v5!A$2:H$7370, 7, FALSE), "")</f>
        <v>NA</v>
      </c>
    </row>
    <row r="5842" ht="15.75" customHeight="1">
      <c r="A5842" s="1" t="str">
        <f>IFERROR(__xludf.DUMMYFUNCTION("""COMPUTED_VALUE"""),"shotgun stories")</f>
        <v>shotgun stories</v>
      </c>
      <c r="B5842" s="1" t="str">
        <f>IF(A5842&lt;&gt;"", VLOOKUP(A5842, imdb_netflix_v5!A$2:H$7370, 2, FALSE), "")</f>
        <v>Movie</v>
      </c>
      <c r="C5842" s="2" t="str">
        <f>IF(A5842&lt;&gt;"", VLOOKUP(A5842, imdb_netflix_v5!A$2:H$7370, 3, FALSE), "")</f>
        <v>Drama, Thriller</v>
      </c>
      <c r="D5842" s="2">
        <f>IF(A5842&lt;&gt;"", VLOOKUP(A5842, imdb_netflix_v5!A$2:H$7370, 4, FALSE), "")</f>
        <v>7.1</v>
      </c>
      <c r="E5842" s="2">
        <f>IF(A5842&lt;&gt;"", VLOOKUP(A5842, imdb_netflix_v5!A$2:H$7370, 5, FALSE), "")</f>
        <v>2007</v>
      </c>
      <c r="F5842" s="2" t="str">
        <f>IF(A5842&lt;&gt;"", VLOOKUP(A5842, imdb_netflix_v5!A$2:H$7370, 7, FALSE), "")</f>
        <v>NA</v>
      </c>
    </row>
    <row r="5843" ht="15.75" customHeight="1">
      <c r="A5843" s="1" t="str">
        <f>IFERROR(__xludf.DUMMYFUNCTION("""COMPUTED_VALUE"""),"belle epoque")</f>
        <v>belle epoque</v>
      </c>
      <c r="B5843" s="1" t="str">
        <f>IF(A5843&lt;&gt;"", VLOOKUP(A5843, imdb_netflix_v5!A$2:H$7370, 2, FALSE), "")</f>
        <v>Movie</v>
      </c>
      <c r="C5843" s="2" t="str">
        <f>IF(A5843&lt;&gt;"", VLOOKUP(A5843, imdb_netflix_v5!A$2:H$7370, 3, FALSE), "")</f>
        <v>Comedy, Drama, Romance</v>
      </c>
      <c r="D5843" s="2">
        <f>IF(A5843&lt;&gt;"", VLOOKUP(A5843, imdb_netflix_v5!A$2:H$7370, 4, FALSE), "")</f>
        <v>7.1</v>
      </c>
      <c r="E5843" s="2">
        <f>IF(A5843&lt;&gt;"", VLOOKUP(A5843, imdb_netflix_v5!A$2:H$7370, 5, FALSE), "")</f>
        <v>1992</v>
      </c>
      <c r="F5843" s="2" t="str">
        <f>IF(A5843&lt;&gt;"", VLOOKUP(A5843, imdb_netflix_v5!A$2:H$7370, 7, FALSE), "")</f>
        <v>NA</v>
      </c>
    </row>
    <row r="5844" ht="15.75" customHeight="1">
      <c r="A5844" s="1" t="str">
        <f>IFERROR(__xludf.DUMMYFUNCTION("""COMPUTED_VALUE"""),"criminal record")</f>
        <v>criminal record</v>
      </c>
      <c r="B5844" s="1" t="str">
        <f>IF(A5844&lt;&gt;"", VLOOKUP(A5844, imdb_netflix_v5!A$2:H$7370, 2, FALSE), "")</f>
        <v>TV Show</v>
      </c>
      <c r="C5844" s="2" t="str">
        <f>IF(A5844&lt;&gt;"", VLOOKUP(A5844, imdb_netflix_v5!A$2:H$7370, 3, FALSE), "")</f>
        <v>Crime, Drama, Thriller</v>
      </c>
      <c r="D5844" s="2">
        <f>IF(A5844&lt;&gt;"", VLOOKUP(A5844, imdb_netflix_v5!A$2:H$7370, 4, FALSE), "")</f>
        <v>7.1</v>
      </c>
      <c r="E5844" s="2">
        <f>IF(A5844&lt;&gt;"", VLOOKUP(A5844, imdb_netflix_v5!A$2:H$7370, 5, FALSE), "")</f>
        <v>2024</v>
      </c>
      <c r="F5844" s="2" t="str">
        <f>IF(A5844&lt;&gt;"", VLOOKUP(A5844, imdb_netflix_v5!A$2:H$7370, 7, FALSE), "")</f>
        <v>NA</v>
      </c>
    </row>
    <row r="5845" ht="15.75" customHeight="1">
      <c r="A5845" s="1" t="str">
        <f>IFERROR(__xludf.DUMMYFUNCTION("""COMPUTED_VALUE"""),"liar")</f>
        <v>liar</v>
      </c>
      <c r="B5845" s="1" t="str">
        <f>IF(A5845&lt;&gt;"", VLOOKUP(A5845, imdb_netflix_v5!A$2:H$7370, 2, FALSE), "")</f>
        <v>TV Show</v>
      </c>
      <c r="C5845" s="2" t="str">
        <f>IF(A5845&lt;&gt;"", VLOOKUP(A5845, imdb_netflix_v5!A$2:H$7370, 3, FALSE), "")</f>
        <v>Crime, Drama, Thriller</v>
      </c>
      <c r="D5845" s="2">
        <f>IF(A5845&lt;&gt;"", VLOOKUP(A5845, imdb_netflix_v5!A$2:H$7370, 4, FALSE), "")</f>
        <v>7.1</v>
      </c>
      <c r="E5845" s="2">
        <f>IF(A5845&lt;&gt;"", VLOOKUP(A5845, imdb_netflix_v5!A$2:H$7370, 5, FALSE), "")</f>
        <v>2017</v>
      </c>
      <c r="F5845" s="2" t="str">
        <f>IF(A5845&lt;&gt;"", VLOOKUP(A5845, imdb_netflix_v5!A$2:H$7370, 7, FALSE), "")</f>
        <v>NA</v>
      </c>
    </row>
    <row r="5846" ht="15.75" customHeight="1">
      <c r="A5846" s="1" t="str">
        <f>IFERROR(__xludf.DUMMYFUNCTION("""COMPUTED_VALUE"""),"containment")</f>
        <v>containment</v>
      </c>
      <c r="B5846" s="1" t="str">
        <f>IF(A5846&lt;&gt;"", VLOOKUP(A5846, imdb_netflix_v5!A$2:H$7370, 2, FALSE), "")</f>
        <v>TV Show</v>
      </c>
      <c r="C5846" s="2" t="str">
        <f>IF(A5846&lt;&gt;"", VLOOKUP(A5846, imdb_netflix_v5!A$2:H$7370, 3, FALSE), "")</f>
        <v>Drama</v>
      </c>
      <c r="D5846" s="2">
        <f>IF(A5846&lt;&gt;"", VLOOKUP(A5846, imdb_netflix_v5!A$2:H$7370, 4, FALSE), "")</f>
        <v>7.1</v>
      </c>
      <c r="E5846" s="2">
        <f>IF(A5846&lt;&gt;"", VLOOKUP(A5846, imdb_netflix_v5!A$2:H$7370, 5, FALSE), "")</f>
        <v>2016</v>
      </c>
      <c r="F5846" s="2" t="str">
        <f>IF(A5846&lt;&gt;"", VLOOKUP(A5846, imdb_netflix_v5!A$2:H$7370, 7, FALSE), "")</f>
        <v>NA</v>
      </c>
    </row>
    <row r="5847" ht="15.75" customHeight="1">
      <c r="A5847" s="1" t="str">
        <f>IFERROR(__xludf.DUMMYFUNCTION("""COMPUTED_VALUE"""),"what have i done to deserve this?")</f>
        <v>what have i done to deserve this?</v>
      </c>
      <c r="B5847" s="1" t="str">
        <f>IF(A5847&lt;&gt;"", VLOOKUP(A5847, imdb_netflix_v5!A$2:H$7370, 2, FALSE), "")</f>
        <v>Movie</v>
      </c>
      <c r="C5847" s="2" t="str">
        <f>IF(A5847&lt;&gt;"", VLOOKUP(A5847, imdb_netflix_v5!A$2:H$7370, 3, FALSE), "")</f>
        <v>Comedy, Drama</v>
      </c>
      <c r="D5847" s="2">
        <f>IF(A5847&lt;&gt;"", VLOOKUP(A5847, imdb_netflix_v5!A$2:H$7370, 4, FALSE), "")</f>
        <v>7.1</v>
      </c>
      <c r="E5847" s="2">
        <f>IF(A5847&lt;&gt;"", VLOOKUP(A5847, imdb_netflix_v5!A$2:H$7370, 5, FALSE), "")</f>
        <v>1984</v>
      </c>
      <c r="F5847" s="2" t="str">
        <f>IF(A5847&lt;&gt;"", VLOOKUP(A5847, imdb_netflix_v5!A$2:H$7370, 7, FALSE), "")</f>
        <v>NA</v>
      </c>
    </row>
    <row r="5848" ht="15.75" customHeight="1">
      <c r="A5848" s="1" t="str">
        <f>IFERROR(__xludf.DUMMYFUNCTION("""COMPUTED_VALUE"""),"we are the best!")</f>
        <v>we are the best!</v>
      </c>
      <c r="B5848" s="1" t="str">
        <f>IF(A5848&lt;&gt;"", VLOOKUP(A5848, imdb_netflix_v5!A$2:H$7370, 2, FALSE), "")</f>
        <v>Movie</v>
      </c>
      <c r="C5848" s="2" t="str">
        <f>IF(A5848&lt;&gt;"", VLOOKUP(A5848, imdb_netflix_v5!A$2:H$7370, 3, FALSE), "")</f>
        <v>Drama, Music</v>
      </c>
      <c r="D5848" s="2">
        <f>IF(A5848&lt;&gt;"", VLOOKUP(A5848, imdb_netflix_v5!A$2:H$7370, 4, FALSE), "")</f>
        <v>7.1</v>
      </c>
      <c r="E5848" s="2">
        <f>IF(A5848&lt;&gt;"", VLOOKUP(A5848, imdb_netflix_v5!A$2:H$7370, 5, FALSE), "")</f>
        <v>2013</v>
      </c>
      <c r="F5848" s="2" t="str">
        <f>IF(A5848&lt;&gt;"", VLOOKUP(A5848, imdb_netflix_v5!A$2:H$7370, 7, FALSE), "")</f>
        <v>NA</v>
      </c>
    </row>
    <row r="5849" ht="15.75" customHeight="1">
      <c r="A5849" s="1" t="str">
        <f>IFERROR(__xludf.DUMMYFUNCTION("""COMPUTED_VALUE"""),"30 coins")</f>
        <v>30 coins</v>
      </c>
      <c r="B5849" s="1" t="str">
        <f>IF(A5849&lt;&gt;"", VLOOKUP(A5849, imdb_netflix_v5!A$2:H$7370, 2, FALSE), "")</f>
        <v>TV Show</v>
      </c>
      <c r="C5849" s="2" t="str">
        <f>IF(A5849&lt;&gt;"", VLOOKUP(A5849, imdb_netflix_v5!A$2:H$7370, 3, FALSE), "")</f>
        <v>Drama, Fantasy, Horror</v>
      </c>
      <c r="D5849" s="2">
        <f>IF(A5849&lt;&gt;"", VLOOKUP(A5849, imdb_netflix_v5!A$2:H$7370, 4, FALSE), "")</f>
        <v>7.1</v>
      </c>
      <c r="E5849" s="2">
        <f>IF(A5849&lt;&gt;"", VLOOKUP(A5849, imdb_netflix_v5!A$2:H$7370, 5, FALSE), "")</f>
        <v>2020</v>
      </c>
      <c r="F5849" s="2" t="str">
        <f>IF(A5849&lt;&gt;"", VLOOKUP(A5849, imdb_netflix_v5!A$2:H$7370, 7, FALSE), "")</f>
        <v>NA</v>
      </c>
    </row>
    <row r="5850" ht="15.75" customHeight="1">
      <c r="A5850" s="1" t="str">
        <f>IFERROR(__xludf.DUMMYFUNCTION("""COMPUTED_VALUE"""),"barefoot")</f>
        <v>barefoot</v>
      </c>
      <c r="B5850" s="1" t="str">
        <f>IF(A5850&lt;&gt;"", VLOOKUP(A5850, imdb_netflix_v5!A$2:H$7370, 2, FALSE), "")</f>
        <v>Movie</v>
      </c>
      <c r="C5850" s="2" t="str">
        <f>IF(A5850&lt;&gt;"", VLOOKUP(A5850, imdb_netflix_v5!A$2:H$7370, 3, FALSE), "")</f>
        <v>Comedy, Drama, Romance</v>
      </c>
      <c r="D5850" s="2">
        <f>IF(A5850&lt;&gt;"", VLOOKUP(A5850, imdb_netflix_v5!A$2:H$7370, 4, FALSE), "")</f>
        <v>7.1</v>
      </c>
      <c r="E5850" s="2">
        <f>IF(A5850&lt;&gt;"", VLOOKUP(A5850, imdb_netflix_v5!A$2:H$7370, 5, FALSE), "")</f>
        <v>2005</v>
      </c>
      <c r="F5850" s="2" t="str">
        <f>IF(A5850&lt;&gt;"", VLOOKUP(A5850, imdb_netflix_v5!A$2:H$7370, 7, FALSE), "")</f>
        <v>NA</v>
      </c>
    </row>
    <row r="5851" ht="15.75" customHeight="1">
      <c r="A5851" s="1" t="str">
        <f>IFERROR(__xludf.DUMMYFUNCTION("""COMPUTED_VALUE"""),"ill manors")</f>
        <v>ill manors</v>
      </c>
      <c r="B5851" s="1" t="str">
        <f>IF(A5851&lt;&gt;"", VLOOKUP(A5851, imdb_netflix_v5!A$2:H$7370, 2, FALSE), "")</f>
        <v>Movie</v>
      </c>
      <c r="C5851" s="2" t="str">
        <f>IF(A5851&lt;&gt;"", VLOOKUP(A5851, imdb_netflix_v5!A$2:H$7370, 3, FALSE), "")</f>
        <v>Crime, Drama, Music</v>
      </c>
      <c r="D5851" s="2">
        <f>IF(A5851&lt;&gt;"", VLOOKUP(A5851, imdb_netflix_v5!A$2:H$7370, 4, FALSE), "")</f>
        <v>7.1</v>
      </c>
      <c r="E5851" s="2">
        <f>IF(A5851&lt;&gt;"", VLOOKUP(A5851, imdb_netflix_v5!A$2:H$7370, 5, FALSE), "")</f>
        <v>2012</v>
      </c>
      <c r="F5851" s="2" t="str">
        <f>IF(A5851&lt;&gt;"", VLOOKUP(A5851, imdb_netflix_v5!A$2:H$7370, 7, FALSE), "")</f>
        <v>NA</v>
      </c>
    </row>
    <row r="5852" ht="15.75" customHeight="1">
      <c r="A5852" s="1" t="str">
        <f>IFERROR(__xludf.DUMMYFUNCTION("""COMPUTED_VALUE"""),"the age of shadows")</f>
        <v>the age of shadows</v>
      </c>
      <c r="B5852" s="1" t="str">
        <f>IF(A5852&lt;&gt;"", VLOOKUP(A5852, imdb_netflix_v5!A$2:H$7370, 2, FALSE), "")</f>
        <v>Movie</v>
      </c>
      <c r="C5852" s="2" t="str">
        <f>IF(A5852&lt;&gt;"", VLOOKUP(A5852, imdb_netflix_v5!A$2:H$7370, 3, FALSE), "")</f>
        <v>Action, History, Thriller</v>
      </c>
      <c r="D5852" s="2">
        <f>IF(A5852&lt;&gt;"", VLOOKUP(A5852, imdb_netflix_v5!A$2:H$7370, 4, FALSE), "")</f>
        <v>7.1</v>
      </c>
      <c r="E5852" s="2">
        <f>IF(A5852&lt;&gt;"", VLOOKUP(A5852, imdb_netflix_v5!A$2:H$7370, 5, FALSE), "")</f>
        <v>2016</v>
      </c>
      <c r="F5852" s="2" t="str">
        <f>IF(A5852&lt;&gt;"", VLOOKUP(A5852, imdb_netflix_v5!A$2:H$7370, 7, FALSE), "")</f>
        <v>NA</v>
      </c>
    </row>
    <row r="5853" ht="15.75" customHeight="1">
      <c r="A5853" s="1" t="str">
        <f>IFERROR(__xludf.DUMMYFUNCTION("""COMPUTED_VALUE"""),"go for it")</f>
        <v>go for it</v>
      </c>
      <c r="B5853" s="1" t="str">
        <f>IF(A5853&lt;&gt;"", VLOOKUP(A5853, imdb_netflix_v5!A$2:H$7370, 2, FALSE), "")</f>
        <v>Movie</v>
      </c>
      <c r="C5853" s="2" t="str">
        <f>IF(A5853&lt;&gt;"", VLOOKUP(A5853, imdb_netflix_v5!A$2:H$7370, 3, FALSE), "")</f>
        <v>Action, Adventure, Comedy</v>
      </c>
      <c r="D5853" s="2">
        <f>IF(A5853&lt;&gt;"", VLOOKUP(A5853, imdb_netflix_v5!A$2:H$7370, 4, FALSE), "")</f>
        <v>7.1</v>
      </c>
      <c r="E5853" s="2">
        <f>IF(A5853&lt;&gt;"", VLOOKUP(A5853, imdb_netflix_v5!A$2:H$7370, 5, FALSE), "")</f>
        <v>1983</v>
      </c>
      <c r="F5853" s="2" t="str">
        <f>IF(A5853&lt;&gt;"", VLOOKUP(A5853, imdb_netflix_v5!A$2:H$7370, 7, FALSE), "")</f>
        <v>NA</v>
      </c>
    </row>
    <row r="5854" ht="15.75" customHeight="1">
      <c r="A5854" s="1" t="str">
        <f>IFERROR(__xludf.DUMMYFUNCTION("""COMPUTED_VALUE"""),"forever strong")</f>
        <v>forever strong</v>
      </c>
      <c r="B5854" s="1" t="str">
        <f>IF(A5854&lt;&gt;"", VLOOKUP(A5854, imdb_netflix_v5!A$2:H$7370, 2, FALSE), "")</f>
        <v>Movie</v>
      </c>
      <c r="C5854" s="2" t="str">
        <f>IF(A5854&lt;&gt;"", VLOOKUP(A5854, imdb_netflix_v5!A$2:H$7370, 3, FALSE), "")</f>
        <v>Drama, Sport</v>
      </c>
      <c r="D5854" s="2">
        <f>IF(A5854&lt;&gt;"", VLOOKUP(A5854, imdb_netflix_v5!A$2:H$7370, 4, FALSE), "")</f>
        <v>7.1</v>
      </c>
      <c r="E5854" s="2">
        <f>IF(A5854&lt;&gt;"", VLOOKUP(A5854, imdb_netflix_v5!A$2:H$7370, 5, FALSE), "")</f>
        <v>2008</v>
      </c>
      <c r="F5854" s="2" t="str">
        <f>IF(A5854&lt;&gt;"", VLOOKUP(A5854, imdb_netflix_v5!A$2:H$7370, 7, FALSE), "")</f>
        <v>NA</v>
      </c>
    </row>
    <row r="5855" ht="15.75" customHeight="1">
      <c r="A5855" s="1" t="str">
        <f>IFERROR(__xludf.DUMMYFUNCTION("""COMPUTED_VALUE"""),"a small september affair")</f>
        <v>a small september affair</v>
      </c>
      <c r="B5855" s="1" t="str">
        <f>IF(A5855&lt;&gt;"", VLOOKUP(A5855, imdb_netflix_v5!A$2:H$7370, 2, FALSE), "")</f>
        <v>Movie</v>
      </c>
      <c r="C5855" s="2" t="str">
        <f>IF(A5855&lt;&gt;"", VLOOKUP(A5855, imdb_netflix_v5!A$2:H$7370, 3, FALSE), "")</f>
        <v>Drama, Mystery, Romance</v>
      </c>
      <c r="D5855" s="2">
        <f>IF(A5855&lt;&gt;"", VLOOKUP(A5855, imdb_netflix_v5!A$2:H$7370, 4, FALSE), "")</f>
        <v>7.1</v>
      </c>
      <c r="E5855" s="2">
        <f>IF(A5855&lt;&gt;"", VLOOKUP(A5855, imdb_netflix_v5!A$2:H$7370, 5, FALSE), "")</f>
        <v>2014</v>
      </c>
      <c r="F5855" s="2" t="str">
        <f>IF(A5855&lt;&gt;"", VLOOKUP(A5855, imdb_netflix_v5!A$2:H$7370, 7, FALSE), "")</f>
        <v>NA</v>
      </c>
    </row>
    <row r="5856" ht="15.75" customHeight="1">
      <c r="A5856" s="1" t="str">
        <f>IFERROR(__xludf.DUMMYFUNCTION("""COMPUTED_VALUE"""),"drowning by numbers")</f>
        <v>drowning by numbers</v>
      </c>
      <c r="B5856" s="1" t="str">
        <f>IF(A5856&lt;&gt;"", VLOOKUP(A5856, imdb_netflix_v5!A$2:H$7370, 2, FALSE), "")</f>
        <v>Movie</v>
      </c>
      <c r="C5856" s="2" t="str">
        <f>IF(A5856&lt;&gt;"", VLOOKUP(A5856, imdb_netflix_v5!A$2:H$7370, 3, FALSE), "")</f>
        <v>Comedy, Drama</v>
      </c>
      <c r="D5856" s="2">
        <f>IF(A5856&lt;&gt;"", VLOOKUP(A5856, imdb_netflix_v5!A$2:H$7370, 4, FALSE), "")</f>
        <v>7.1</v>
      </c>
      <c r="E5856" s="2">
        <f>IF(A5856&lt;&gt;"", VLOOKUP(A5856, imdb_netflix_v5!A$2:H$7370, 5, FALSE), "")</f>
        <v>1988</v>
      </c>
      <c r="F5856" s="2" t="str">
        <f>IF(A5856&lt;&gt;"", VLOOKUP(A5856, imdb_netflix_v5!A$2:H$7370, 7, FALSE), "")</f>
        <v>NA</v>
      </c>
    </row>
    <row r="5857" ht="15.75" customHeight="1">
      <c r="A5857" s="1" t="str">
        <f>IFERROR(__xludf.DUMMYFUNCTION("""COMPUTED_VALUE"""),"luck by chance")</f>
        <v>luck by chance</v>
      </c>
      <c r="B5857" s="1" t="str">
        <f>IF(A5857&lt;&gt;"", VLOOKUP(A5857, imdb_netflix_v5!A$2:H$7370, 2, FALSE), "")</f>
        <v>Movie</v>
      </c>
      <c r="C5857" s="2" t="str">
        <f>IF(A5857&lt;&gt;"", VLOOKUP(A5857, imdb_netflix_v5!A$2:H$7370, 3, FALSE), "")</f>
        <v>Drama</v>
      </c>
      <c r="D5857" s="2">
        <f>IF(A5857&lt;&gt;"", VLOOKUP(A5857, imdb_netflix_v5!A$2:H$7370, 4, FALSE), "")</f>
        <v>7.1</v>
      </c>
      <c r="E5857" s="2">
        <f>IF(A5857&lt;&gt;"", VLOOKUP(A5857, imdb_netflix_v5!A$2:H$7370, 5, FALSE), "")</f>
        <v>2009</v>
      </c>
      <c r="F5857" s="2" t="str">
        <f>IF(A5857&lt;&gt;"", VLOOKUP(A5857, imdb_netflix_v5!A$2:H$7370, 7, FALSE), "")</f>
        <v>NA</v>
      </c>
    </row>
    <row r="5858" ht="15.75" customHeight="1">
      <c r="A5858" s="1" t="str">
        <f>IFERROR(__xludf.DUMMYFUNCTION("""COMPUTED_VALUE"""),"woman of the year")</f>
        <v>woman of the year</v>
      </c>
      <c r="B5858" s="1" t="str">
        <f>IF(A5858&lt;&gt;"", VLOOKUP(A5858, imdb_netflix_v5!A$2:H$7370, 2, FALSE), "")</f>
        <v>Movie</v>
      </c>
      <c r="C5858" s="2" t="str">
        <f>IF(A5858&lt;&gt;"", VLOOKUP(A5858, imdb_netflix_v5!A$2:H$7370, 3, FALSE), "")</f>
        <v>Comedy, Drama, Romance</v>
      </c>
      <c r="D5858" s="2">
        <f>IF(A5858&lt;&gt;"", VLOOKUP(A5858, imdb_netflix_v5!A$2:H$7370, 4, FALSE), "")</f>
        <v>7.1</v>
      </c>
      <c r="E5858" s="2">
        <f>IF(A5858&lt;&gt;"", VLOOKUP(A5858, imdb_netflix_v5!A$2:H$7370, 5, FALSE), "")</f>
        <v>1942</v>
      </c>
      <c r="F5858" s="2" t="str">
        <f>IF(A5858&lt;&gt;"", VLOOKUP(A5858, imdb_netflix_v5!A$2:H$7370, 7, FALSE), "")</f>
        <v>NA</v>
      </c>
    </row>
    <row r="5859" ht="15.75" customHeight="1">
      <c r="A5859" s="1" t="str">
        <f>IFERROR(__xludf.DUMMYFUNCTION("""COMPUTED_VALUE"""),"priest")</f>
        <v>priest</v>
      </c>
      <c r="B5859" s="1" t="str">
        <f>IF(A5859&lt;&gt;"", VLOOKUP(A5859, imdb_netflix_v5!A$2:H$7370, 2, FALSE), "")</f>
        <v>Movie</v>
      </c>
      <c r="C5859" s="2" t="str">
        <f>IF(A5859&lt;&gt;"", VLOOKUP(A5859, imdb_netflix_v5!A$2:H$7370, 3, FALSE), "")</f>
        <v>Drama, Romance</v>
      </c>
      <c r="D5859" s="2">
        <f>IF(A5859&lt;&gt;"", VLOOKUP(A5859, imdb_netflix_v5!A$2:H$7370, 4, FALSE), "")</f>
        <v>7.1</v>
      </c>
      <c r="E5859" s="2">
        <f>IF(A5859&lt;&gt;"", VLOOKUP(A5859, imdb_netflix_v5!A$2:H$7370, 5, FALSE), "")</f>
        <v>1994</v>
      </c>
      <c r="F5859" s="2" t="str">
        <f>IF(A5859&lt;&gt;"", VLOOKUP(A5859, imdb_netflix_v5!A$2:H$7370, 7, FALSE), "")</f>
        <v>NA</v>
      </c>
    </row>
    <row r="5860" ht="15.75" customHeight="1">
      <c r="A5860" s="1" t="str">
        <f>IFERROR(__xludf.DUMMYFUNCTION("""COMPUTED_VALUE"""),"the ripper")</f>
        <v>the ripper</v>
      </c>
      <c r="B5860" s="1" t="str">
        <f>IF(A5860&lt;&gt;"", VLOOKUP(A5860, imdb_netflix_v5!A$2:H$7370, 2, FALSE), "")</f>
        <v>TV Show</v>
      </c>
      <c r="C5860" s="2" t="str">
        <f>IF(A5860&lt;&gt;"", VLOOKUP(A5860, imdb_netflix_v5!A$2:H$7370, 3, FALSE), "")</f>
        <v>Crime, Documentary</v>
      </c>
      <c r="D5860" s="2">
        <f>IF(A5860&lt;&gt;"", VLOOKUP(A5860, imdb_netflix_v5!A$2:H$7370, 4, FALSE), "")</f>
        <v>7.1</v>
      </c>
      <c r="E5860" s="2">
        <f>IF(A5860&lt;&gt;"", VLOOKUP(A5860, imdb_netflix_v5!A$2:H$7370, 5, FALSE), "")</f>
        <v>2020</v>
      </c>
      <c r="F5860" s="2" t="str">
        <f>IF(A5860&lt;&gt;"", VLOOKUP(A5860, imdb_netflix_v5!A$2:H$7370, 7, FALSE), "")</f>
        <v>NA</v>
      </c>
    </row>
    <row r="5861" ht="15.75" customHeight="1">
      <c r="A5861" s="1" t="str">
        <f>IFERROR(__xludf.DUMMYFUNCTION("""COMPUTED_VALUE"""),"the whispers")</f>
        <v>the whispers</v>
      </c>
      <c r="B5861" s="1" t="str">
        <f>IF(A5861&lt;&gt;"", VLOOKUP(A5861, imdb_netflix_v5!A$2:H$7370, 2, FALSE), "")</f>
        <v>TV Show</v>
      </c>
      <c r="C5861" s="2" t="str">
        <f>IF(A5861&lt;&gt;"", VLOOKUP(A5861, imdb_netflix_v5!A$2:H$7370, 3, FALSE), "")</f>
        <v>Drama, Horror, Mystery</v>
      </c>
      <c r="D5861" s="2">
        <f>IF(A5861&lt;&gt;"", VLOOKUP(A5861, imdb_netflix_v5!A$2:H$7370, 4, FALSE), "")</f>
        <v>7.1</v>
      </c>
      <c r="E5861" s="2">
        <f>IF(A5861&lt;&gt;"", VLOOKUP(A5861, imdb_netflix_v5!A$2:H$7370, 5, FALSE), "")</f>
        <v>2015</v>
      </c>
      <c r="F5861" s="2" t="str">
        <f>IF(A5861&lt;&gt;"", VLOOKUP(A5861, imdb_netflix_v5!A$2:H$7370, 7, FALSE), "")</f>
        <v>NA</v>
      </c>
    </row>
    <row r="5862" ht="15.75" customHeight="1">
      <c r="A5862" s="1" t="str">
        <f>IFERROR(__xludf.DUMMYFUNCTION("""COMPUTED_VALUE"""),"my bodyguard")</f>
        <v>my bodyguard</v>
      </c>
      <c r="B5862" s="1" t="str">
        <f>IF(A5862&lt;&gt;"", VLOOKUP(A5862, imdb_netflix_v5!A$2:H$7370, 2, FALSE), "")</f>
        <v>Movie</v>
      </c>
      <c r="C5862" s="2" t="str">
        <f>IF(A5862&lt;&gt;"", VLOOKUP(A5862, imdb_netflix_v5!A$2:H$7370, 3, FALSE), "")</f>
        <v>Comedy, Drama, Family</v>
      </c>
      <c r="D5862" s="2">
        <f>IF(A5862&lt;&gt;"", VLOOKUP(A5862, imdb_netflix_v5!A$2:H$7370, 4, FALSE), "")</f>
        <v>7.1</v>
      </c>
      <c r="E5862" s="2">
        <f>IF(A5862&lt;&gt;"", VLOOKUP(A5862, imdb_netflix_v5!A$2:H$7370, 5, FALSE), "")</f>
        <v>1980</v>
      </c>
      <c r="F5862" s="2" t="str">
        <f>IF(A5862&lt;&gt;"", VLOOKUP(A5862, imdb_netflix_v5!A$2:H$7370, 7, FALSE), "")</f>
        <v>NA</v>
      </c>
    </row>
    <row r="5863" ht="15.75" customHeight="1">
      <c r="A5863" s="1" t="str">
        <f>IFERROR(__xludf.DUMMYFUNCTION("""COMPUTED_VALUE"""),"bella")</f>
        <v>bella</v>
      </c>
      <c r="B5863" s="1" t="str">
        <f>IF(A5863&lt;&gt;"", VLOOKUP(A5863, imdb_netflix_v5!A$2:H$7370, 2, FALSE), "")</f>
        <v>Movie</v>
      </c>
      <c r="C5863" s="2" t="str">
        <f>IF(A5863&lt;&gt;"", VLOOKUP(A5863, imdb_netflix_v5!A$2:H$7370, 3, FALSE), "")</f>
        <v>Drama, Romance</v>
      </c>
      <c r="D5863" s="2">
        <f>IF(A5863&lt;&gt;"", VLOOKUP(A5863, imdb_netflix_v5!A$2:H$7370, 4, FALSE), "")</f>
        <v>7.1</v>
      </c>
      <c r="E5863" s="2">
        <f>IF(A5863&lt;&gt;"", VLOOKUP(A5863, imdb_netflix_v5!A$2:H$7370, 5, FALSE), "")</f>
        <v>2006</v>
      </c>
      <c r="F5863" s="2" t="str">
        <f>IF(A5863&lt;&gt;"", VLOOKUP(A5863, imdb_netflix_v5!A$2:H$7370, 7, FALSE), "")</f>
        <v>NA</v>
      </c>
    </row>
    <row r="5864" ht="15.75" customHeight="1">
      <c r="A5864" s="1" t="str">
        <f>IFERROR(__xludf.DUMMYFUNCTION("""COMPUTED_VALUE"""),"nitram")</f>
        <v>nitram</v>
      </c>
      <c r="B5864" s="1" t="str">
        <f>IF(A5864&lt;&gt;"", VLOOKUP(A5864, imdb_netflix_v5!A$2:H$7370, 2, FALSE), "")</f>
        <v>Movie</v>
      </c>
      <c r="C5864" s="2" t="str">
        <f>IF(A5864&lt;&gt;"", VLOOKUP(A5864, imdb_netflix_v5!A$2:H$7370, 3, FALSE), "")</f>
        <v>Crime, Drama, Thriller</v>
      </c>
      <c r="D5864" s="2">
        <f>IF(A5864&lt;&gt;"", VLOOKUP(A5864, imdb_netflix_v5!A$2:H$7370, 4, FALSE), "")</f>
        <v>7.1</v>
      </c>
      <c r="E5864" s="2">
        <f>IF(A5864&lt;&gt;"", VLOOKUP(A5864, imdb_netflix_v5!A$2:H$7370, 5, FALSE), "")</f>
        <v>2021</v>
      </c>
      <c r="F5864" s="2" t="str">
        <f>IF(A5864&lt;&gt;"", VLOOKUP(A5864, imdb_netflix_v5!A$2:H$7370, 7, FALSE), "")</f>
        <v>NA</v>
      </c>
    </row>
    <row r="5865" ht="15.75" customHeight="1">
      <c r="A5865" s="1" t="str">
        <f>IFERROR(__xludf.DUMMYFUNCTION("""COMPUTED_VALUE"""),"shootout at lokhandwala")</f>
        <v>shootout at lokhandwala</v>
      </c>
      <c r="B5865" s="1" t="str">
        <f>IF(A5865&lt;&gt;"", VLOOKUP(A5865, imdb_netflix_v5!A$2:H$7370, 2, FALSE), "")</f>
        <v>Movie</v>
      </c>
      <c r="C5865" s="2" t="str">
        <f>IF(A5865&lt;&gt;"", VLOOKUP(A5865, imdb_netflix_v5!A$2:H$7370, 3, FALSE), "")</f>
        <v>Action, Crime, Drama</v>
      </c>
      <c r="D5865" s="2">
        <f>IF(A5865&lt;&gt;"", VLOOKUP(A5865, imdb_netflix_v5!A$2:H$7370, 4, FALSE), "")</f>
        <v>7.1</v>
      </c>
      <c r="E5865" s="2">
        <f>IF(A5865&lt;&gt;"", VLOOKUP(A5865, imdb_netflix_v5!A$2:H$7370, 5, FALSE), "")</f>
        <v>2007</v>
      </c>
      <c r="F5865" s="2" t="str">
        <f>IF(A5865&lt;&gt;"", VLOOKUP(A5865, imdb_netflix_v5!A$2:H$7370, 7, FALSE), "")</f>
        <v>NA</v>
      </c>
    </row>
    <row r="5866" ht="15.75" customHeight="1">
      <c r="A5866" s="1" t="str">
        <f>IFERROR(__xludf.DUMMYFUNCTION("""COMPUTED_VALUE"""),"the heist of the century")</f>
        <v>the heist of the century</v>
      </c>
      <c r="B5866" s="1" t="str">
        <f>IF(A5866&lt;&gt;"", VLOOKUP(A5866, imdb_netflix_v5!A$2:H$7370, 2, FALSE), "")</f>
        <v>Movie</v>
      </c>
      <c r="C5866" s="2" t="str">
        <f>IF(A5866&lt;&gt;"", VLOOKUP(A5866, imdb_netflix_v5!A$2:H$7370, 3, FALSE), "")</f>
        <v>Action, Biography, Comedy</v>
      </c>
      <c r="D5866" s="2">
        <f>IF(A5866&lt;&gt;"", VLOOKUP(A5866, imdb_netflix_v5!A$2:H$7370, 4, FALSE), "")</f>
        <v>7.1</v>
      </c>
      <c r="E5866" s="2">
        <f>IF(A5866&lt;&gt;"", VLOOKUP(A5866, imdb_netflix_v5!A$2:H$7370, 5, FALSE), "")</f>
        <v>2020</v>
      </c>
      <c r="F5866" s="2" t="str">
        <f>IF(A5866&lt;&gt;"", VLOOKUP(A5866, imdb_netflix_v5!A$2:H$7370, 7, FALSE), "")</f>
        <v>NA</v>
      </c>
    </row>
    <row r="5867" ht="15.75" customHeight="1">
      <c r="A5867" s="1" t="str">
        <f>IFERROR(__xludf.DUMMYFUNCTION("""COMPUTED_VALUE"""),"human resources")</f>
        <v>human resources</v>
      </c>
      <c r="B5867" s="1" t="str">
        <f>IF(A5867&lt;&gt;"", VLOOKUP(A5867, imdb_netflix_v5!A$2:H$7370, 2, FALSE), "")</f>
        <v>TV Show</v>
      </c>
      <c r="C5867" s="2" t="str">
        <f>IF(A5867&lt;&gt;"", VLOOKUP(A5867, imdb_netflix_v5!A$2:H$7370, 3, FALSE), "")</f>
        <v>Animation, Comedy, Romance</v>
      </c>
      <c r="D5867" s="2">
        <f>IF(A5867&lt;&gt;"", VLOOKUP(A5867, imdb_netflix_v5!A$2:H$7370, 4, FALSE), "")</f>
        <v>7.1</v>
      </c>
      <c r="E5867" s="2">
        <f>IF(A5867&lt;&gt;"", VLOOKUP(A5867, imdb_netflix_v5!A$2:H$7370, 5, FALSE), "")</f>
        <v>2022</v>
      </c>
      <c r="F5867" s="2">
        <f>IF(A5867&lt;&gt;"", VLOOKUP(A5867, imdb_netflix_v5!A$2:H$7370, 7, FALSE), "")</f>
        <v>16230000</v>
      </c>
    </row>
    <row r="5868" ht="15.75" customHeight="1">
      <c r="A5868" s="1" t="str">
        <f>IFERROR(__xludf.DUMMYFUNCTION("""COMPUTED_VALUE"""),"blue bayou")</f>
        <v>blue bayou</v>
      </c>
      <c r="B5868" s="1" t="str">
        <f>IF(A5868&lt;&gt;"", VLOOKUP(A5868, imdb_netflix_v5!A$2:H$7370, 2, FALSE), "")</f>
        <v>Movie</v>
      </c>
      <c r="C5868" s="2" t="str">
        <f>IF(A5868&lt;&gt;"", VLOOKUP(A5868, imdb_netflix_v5!A$2:H$7370, 3, FALSE), "")</f>
        <v>Drama</v>
      </c>
      <c r="D5868" s="2">
        <f>IF(A5868&lt;&gt;"", VLOOKUP(A5868, imdb_netflix_v5!A$2:H$7370, 4, FALSE), "")</f>
        <v>7.1</v>
      </c>
      <c r="E5868" s="2">
        <f>IF(A5868&lt;&gt;"", VLOOKUP(A5868, imdb_netflix_v5!A$2:H$7370, 5, FALSE), "")</f>
        <v>2021</v>
      </c>
      <c r="F5868" s="2" t="str">
        <f>IF(A5868&lt;&gt;"", VLOOKUP(A5868, imdb_netflix_v5!A$2:H$7370, 7, FALSE), "")</f>
        <v>NA</v>
      </c>
    </row>
    <row r="5869" ht="15.75" customHeight="1">
      <c r="A5869" s="1" t="str">
        <f>IFERROR(__xludf.DUMMYFUNCTION("""COMPUTED_VALUE"""),"ib 71")</f>
        <v>ib 71</v>
      </c>
      <c r="B5869" s="1" t="str">
        <f>IF(A5869&lt;&gt;"", VLOOKUP(A5869, imdb_netflix_v5!A$2:H$7370, 2, FALSE), "")</f>
        <v>Movie</v>
      </c>
      <c r="C5869" s="2" t="str">
        <f>IF(A5869&lt;&gt;"", VLOOKUP(A5869, imdb_netflix_v5!A$2:H$7370, 3, FALSE), "")</f>
        <v>Action, Thriller</v>
      </c>
      <c r="D5869" s="2">
        <f>IF(A5869&lt;&gt;"", VLOOKUP(A5869, imdb_netflix_v5!A$2:H$7370, 4, FALSE), "")</f>
        <v>7.1</v>
      </c>
      <c r="E5869" s="2">
        <f>IF(A5869&lt;&gt;"", VLOOKUP(A5869, imdb_netflix_v5!A$2:H$7370, 5, FALSE), "")</f>
        <v>2023</v>
      </c>
      <c r="F5869" s="2" t="str">
        <f>IF(A5869&lt;&gt;"", VLOOKUP(A5869, imdb_netflix_v5!A$2:H$7370, 7, FALSE), "")</f>
        <v>NA</v>
      </c>
    </row>
    <row r="5870" ht="15.75" customHeight="1">
      <c r="A5870" s="1" t="str">
        <f>IFERROR(__xludf.DUMMYFUNCTION("""COMPUTED_VALUE"""),"female trouble")</f>
        <v>female trouble</v>
      </c>
      <c r="B5870" s="1" t="str">
        <f>IF(A5870&lt;&gt;"", VLOOKUP(A5870, imdb_netflix_v5!A$2:H$7370, 2, FALSE), "")</f>
        <v>Movie</v>
      </c>
      <c r="C5870" s="2" t="str">
        <f>IF(A5870&lt;&gt;"", VLOOKUP(A5870, imdb_netflix_v5!A$2:H$7370, 3, FALSE), "")</f>
        <v>Comedy, Crime</v>
      </c>
      <c r="D5870" s="2">
        <f>IF(A5870&lt;&gt;"", VLOOKUP(A5870, imdb_netflix_v5!A$2:H$7370, 4, FALSE), "")</f>
        <v>7.1</v>
      </c>
      <c r="E5870" s="2">
        <f>IF(A5870&lt;&gt;"", VLOOKUP(A5870, imdb_netflix_v5!A$2:H$7370, 5, FALSE), "")</f>
        <v>1974</v>
      </c>
      <c r="F5870" s="2" t="str">
        <f>IF(A5870&lt;&gt;"", VLOOKUP(A5870, imdb_netflix_v5!A$2:H$7370, 7, FALSE), "")</f>
        <v>NA</v>
      </c>
    </row>
    <row r="5871" ht="15.75" customHeight="1">
      <c r="A5871" s="1" t="str">
        <f>IFERROR(__xludf.DUMMYFUNCTION("""COMPUTED_VALUE"""),"the power of one")</f>
        <v>the power of one</v>
      </c>
      <c r="B5871" s="1" t="str">
        <f>IF(A5871&lt;&gt;"", VLOOKUP(A5871, imdb_netflix_v5!A$2:H$7370, 2, FALSE), "")</f>
        <v>Movie</v>
      </c>
      <c r="C5871" s="2" t="str">
        <f>IF(A5871&lt;&gt;"", VLOOKUP(A5871, imdb_netflix_v5!A$2:H$7370, 3, FALSE), "")</f>
        <v>Drama, Sport</v>
      </c>
      <c r="D5871" s="2">
        <f>IF(A5871&lt;&gt;"", VLOOKUP(A5871, imdb_netflix_v5!A$2:H$7370, 4, FALSE), "")</f>
        <v>7.1</v>
      </c>
      <c r="E5871" s="2">
        <f>IF(A5871&lt;&gt;"", VLOOKUP(A5871, imdb_netflix_v5!A$2:H$7370, 5, FALSE), "")</f>
        <v>1992</v>
      </c>
      <c r="F5871" s="2" t="str">
        <f>IF(A5871&lt;&gt;"", VLOOKUP(A5871, imdb_netflix_v5!A$2:H$7370, 7, FALSE), "")</f>
        <v>NA</v>
      </c>
    </row>
    <row r="5872" ht="15.75" customHeight="1">
      <c r="A5872" s="1" t="str">
        <f>IFERROR(__xludf.DUMMYFUNCTION("""COMPUTED_VALUE"""),"inside")</f>
        <v>inside</v>
      </c>
      <c r="B5872" s="1" t="str">
        <f>IF(A5872&lt;&gt;"", VLOOKUP(A5872, imdb_netflix_v5!A$2:H$7370, 2, FALSE), "")</f>
        <v>Movie</v>
      </c>
      <c r="C5872" s="2" t="str">
        <f>IF(A5872&lt;&gt;"", VLOOKUP(A5872, imdb_netflix_v5!A$2:H$7370, 3, FALSE), "")</f>
        <v>Drama</v>
      </c>
      <c r="D5872" s="2">
        <f>IF(A5872&lt;&gt;"", VLOOKUP(A5872, imdb_netflix_v5!A$2:H$7370, 4, FALSE), "")</f>
        <v>7.1</v>
      </c>
      <c r="E5872" s="2">
        <f>IF(A5872&lt;&gt;"", VLOOKUP(A5872, imdb_netflix_v5!A$2:H$7370, 5, FALSE), "")</f>
        <v>2012</v>
      </c>
      <c r="F5872" s="2" t="str">
        <f>IF(A5872&lt;&gt;"", VLOOKUP(A5872, imdb_netflix_v5!A$2:H$7370, 7, FALSE), "")</f>
        <v>NA</v>
      </c>
    </row>
    <row r="5873" ht="15.75" customHeight="1">
      <c r="A5873" s="1" t="str">
        <f>IFERROR(__xludf.DUMMYFUNCTION("""COMPUTED_VALUE"""),"stage beauty")</f>
        <v>stage beauty</v>
      </c>
      <c r="B5873" s="1" t="str">
        <f>IF(A5873&lt;&gt;"", VLOOKUP(A5873, imdb_netflix_v5!A$2:H$7370, 2, FALSE), "")</f>
        <v>Movie</v>
      </c>
      <c r="C5873" s="2" t="str">
        <f>IF(A5873&lt;&gt;"", VLOOKUP(A5873, imdb_netflix_v5!A$2:H$7370, 3, FALSE), "")</f>
        <v>Drama</v>
      </c>
      <c r="D5873" s="2">
        <f>IF(A5873&lt;&gt;"", VLOOKUP(A5873, imdb_netflix_v5!A$2:H$7370, 4, FALSE), "")</f>
        <v>7.1</v>
      </c>
      <c r="E5873" s="2">
        <f>IF(A5873&lt;&gt;"", VLOOKUP(A5873, imdb_netflix_v5!A$2:H$7370, 5, FALSE), "")</f>
        <v>2004</v>
      </c>
      <c r="F5873" s="2" t="str">
        <f>IF(A5873&lt;&gt;"", VLOOKUP(A5873, imdb_netflix_v5!A$2:H$7370, 7, FALSE), "")</f>
        <v>NA</v>
      </c>
    </row>
    <row r="5874" ht="15.75" customHeight="1">
      <c r="A5874" s="1" t="str">
        <f>IFERROR(__xludf.DUMMYFUNCTION("""COMPUTED_VALUE"""),"nevertheless,")</f>
        <v>nevertheless,</v>
      </c>
      <c r="B5874" s="1" t="str">
        <f>IF(A5874&lt;&gt;"", VLOOKUP(A5874, imdb_netflix_v5!A$2:H$7370, 2, FALSE), "")</f>
        <v>TV Show</v>
      </c>
      <c r="C5874" s="2" t="str">
        <f>IF(A5874&lt;&gt;"", VLOOKUP(A5874, imdb_netflix_v5!A$2:H$7370, 3, FALSE), "")</f>
        <v>Drama, Romance</v>
      </c>
      <c r="D5874" s="2">
        <f>IF(A5874&lt;&gt;"", VLOOKUP(A5874, imdb_netflix_v5!A$2:H$7370, 4, FALSE), "")</f>
        <v>7.1</v>
      </c>
      <c r="E5874" s="2">
        <f>IF(A5874&lt;&gt;"", VLOOKUP(A5874, imdb_netflix_v5!A$2:H$7370, 5, FALSE), "")</f>
        <v>2021</v>
      </c>
      <c r="F5874" s="2">
        <f>IF(A5874&lt;&gt;"", VLOOKUP(A5874, imdb_netflix_v5!A$2:H$7370, 7, FALSE), "")</f>
        <v>10080000</v>
      </c>
    </row>
    <row r="5875" ht="15.75" customHeight="1">
      <c r="A5875" s="1" t="str">
        <f>IFERROR(__xludf.DUMMYFUNCTION("""COMPUTED_VALUE"""),"american me")</f>
        <v>american me</v>
      </c>
      <c r="B5875" s="1" t="str">
        <f>IF(A5875&lt;&gt;"", VLOOKUP(A5875, imdb_netflix_v5!A$2:H$7370, 2, FALSE), "")</f>
        <v>Movie</v>
      </c>
      <c r="C5875" s="2" t="str">
        <f>IF(A5875&lt;&gt;"", VLOOKUP(A5875, imdb_netflix_v5!A$2:H$7370, 3, FALSE), "")</f>
        <v>Biography, Crime, Drama</v>
      </c>
      <c r="D5875" s="2">
        <f>IF(A5875&lt;&gt;"", VLOOKUP(A5875, imdb_netflix_v5!A$2:H$7370, 4, FALSE), "")</f>
        <v>7.1</v>
      </c>
      <c r="E5875" s="2">
        <f>IF(A5875&lt;&gt;"", VLOOKUP(A5875, imdb_netflix_v5!A$2:H$7370, 5, FALSE), "")</f>
        <v>1992</v>
      </c>
      <c r="F5875" s="2" t="str">
        <f>IF(A5875&lt;&gt;"", VLOOKUP(A5875, imdb_netflix_v5!A$2:H$7370, 7, FALSE), "")</f>
        <v>NA</v>
      </c>
    </row>
    <row r="5876" ht="15.75" customHeight="1">
      <c r="A5876" s="1" t="str">
        <f>IFERROR(__xludf.DUMMYFUNCTION("""COMPUTED_VALUE"""),"the women on the 6th floor")</f>
        <v>the women on the 6th floor</v>
      </c>
      <c r="B5876" s="1" t="str">
        <f>IF(A5876&lt;&gt;"", VLOOKUP(A5876, imdb_netflix_v5!A$2:H$7370, 2, FALSE), "")</f>
        <v>Movie</v>
      </c>
      <c r="C5876" s="2" t="str">
        <f>IF(A5876&lt;&gt;"", VLOOKUP(A5876, imdb_netflix_v5!A$2:H$7370, 3, FALSE), "")</f>
        <v>Comedy</v>
      </c>
      <c r="D5876" s="2">
        <f>IF(A5876&lt;&gt;"", VLOOKUP(A5876, imdb_netflix_v5!A$2:H$7370, 4, FALSE), "")</f>
        <v>7.1</v>
      </c>
      <c r="E5876" s="2">
        <f>IF(A5876&lt;&gt;"", VLOOKUP(A5876, imdb_netflix_v5!A$2:H$7370, 5, FALSE), "")</f>
        <v>2010</v>
      </c>
      <c r="F5876" s="2" t="str">
        <f>IF(A5876&lt;&gt;"", VLOOKUP(A5876, imdb_netflix_v5!A$2:H$7370, 7, FALSE), "")</f>
        <v>NA</v>
      </c>
    </row>
    <row r="5877" ht="15.75" customHeight="1">
      <c r="A5877" s="1" t="str">
        <f>IFERROR(__xludf.DUMMYFUNCTION("""COMPUTED_VALUE"""),"l.i.e.")</f>
        <v>l.i.e.</v>
      </c>
      <c r="B5877" s="1" t="str">
        <f>IF(A5877&lt;&gt;"", VLOOKUP(A5877, imdb_netflix_v5!A$2:H$7370, 2, FALSE), "")</f>
        <v>Movie</v>
      </c>
      <c r="C5877" s="2" t="str">
        <f>IF(A5877&lt;&gt;"", VLOOKUP(A5877, imdb_netflix_v5!A$2:H$7370, 3, FALSE), "")</f>
        <v>Crime, Drama</v>
      </c>
      <c r="D5877" s="2">
        <f>IF(A5877&lt;&gt;"", VLOOKUP(A5877, imdb_netflix_v5!A$2:H$7370, 4, FALSE), "")</f>
        <v>7.1</v>
      </c>
      <c r="E5877" s="2">
        <f>IF(A5877&lt;&gt;"", VLOOKUP(A5877, imdb_netflix_v5!A$2:H$7370, 5, FALSE), "")</f>
        <v>2001</v>
      </c>
      <c r="F5877" s="2" t="str">
        <f>IF(A5877&lt;&gt;"", VLOOKUP(A5877, imdb_netflix_v5!A$2:H$7370, 7, FALSE), "")</f>
        <v>NA</v>
      </c>
    </row>
    <row r="5878" ht="15.75" customHeight="1">
      <c r="A5878" s="1" t="str">
        <f>IFERROR(__xludf.DUMMYFUNCTION("""COMPUTED_VALUE"""),"the hairdressers husband")</f>
        <v>the hairdressers husband</v>
      </c>
      <c r="B5878" s="1" t="str">
        <f>IF(A5878&lt;&gt;"", VLOOKUP(A5878, imdb_netflix_v5!A$2:H$7370, 2, FALSE), "")</f>
        <v>Movie</v>
      </c>
      <c r="C5878" s="2" t="str">
        <f>IF(A5878&lt;&gt;"", VLOOKUP(A5878, imdb_netflix_v5!A$2:H$7370, 3, FALSE), "")</f>
        <v>Comedy, Drama, Romance</v>
      </c>
      <c r="D5878" s="2">
        <f>IF(A5878&lt;&gt;"", VLOOKUP(A5878, imdb_netflix_v5!A$2:H$7370, 4, FALSE), "")</f>
        <v>7.1</v>
      </c>
      <c r="E5878" s="2">
        <f>IF(A5878&lt;&gt;"", VLOOKUP(A5878, imdb_netflix_v5!A$2:H$7370, 5, FALSE), "")</f>
        <v>1990</v>
      </c>
      <c r="F5878" s="2" t="str">
        <f>IF(A5878&lt;&gt;"", VLOOKUP(A5878, imdb_netflix_v5!A$2:H$7370, 7, FALSE), "")</f>
        <v>NA</v>
      </c>
    </row>
    <row r="5879" ht="15.75" customHeight="1">
      <c r="A5879" s="1" t="str">
        <f>IFERROR(__xludf.DUMMYFUNCTION("""COMPUTED_VALUE"""),"miss violence")</f>
        <v>miss violence</v>
      </c>
      <c r="B5879" s="1" t="str">
        <f>IF(A5879&lt;&gt;"", VLOOKUP(A5879, imdb_netflix_v5!A$2:H$7370, 2, FALSE), "")</f>
        <v>Movie</v>
      </c>
      <c r="C5879" s="2" t="str">
        <f>IF(A5879&lt;&gt;"", VLOOKUP(A5879, imdb_netflix_v5!A$2:H$7370, 3, FALSE), "")</f>
        <v>Drama, Thriller</v>
      </c>
      <c r="D5879" s="2">
        <f>IF(A5879&lt;&gt;"", VLOOKUP(A5879, imdb_netflix_v5!A$2:H$7370, 4, FALSE), "")</f>
        <v>7.1</v>
      </c>
      <c r="E5879" s="2">
        <f>IF(A5879&lt;&gt;"", VLOOKUP(A5879, imdb_netflix_v5!A$2:H$7370, 5, FALSE), "")</f>
        <v>2013</v>
      </c>
      <c r="F5879" s="2" t="str">
        <f>IF(A5879&lt;&gt;"", VLOOKUP(A5879, imdb_netflix_v5!A$2:H$7370, 7, FALSE), "")</f>
        <v>NA</v>
      </c>
    </row>
    <row r="5880" ht="15.75" customHeight="1">
      <c r="A5880" s="1" t="str">
        <f>IFERROR(__xludf.DUMMYFUNCTION("""COMPUTED_VALUE"""),"whiskey cavalier")</f>
        <v>whiskey cavalier</v>
      </c>
      <c r="B5880" s="1" t="str">
        <f>IF(A5880&lt;&gt;"", VLOOKUP(A5880, imdb_netflix_v5!A$2:H$7370, 2, FALSE), "")</f>
        <v>TV Show</v>
      </c>
      <c r="C5880" s="2" t="str">
        <f>IF(A5880&lt;&gt;"", VLOOKUP(A5880, imdb_netflix_v5!A$2:H$7370, 3, FALSE), "")</f>
        <v>Action, Adventure, Comedy</v>
      </c>
      <c r="D5880" s="2">
        <f>IF(A5880&lt;&gt;"", VLOOKUP(A5880, imdb_netflix_v5!A$2:H$7370, 4, FALSE), "")</f>
        <v>7.1</v>
      </c>
      <c r="E5880" s="2">
        <f>IF(A5880&lt;&gt;"", VLOOKUP(A5880, imdb_netflix_v5!A$2:H$7370, 5, FALSE), "")</f>
        <v>2019</v>
      </c>
      <c r="F5880" s="2" t="str">
        <f>IF(A5880&lt;&gt;"", VLOOKUP(A5880, imdb_netflix_v5!A$2:H$7370, 7, FALSE), "")</f>
        <v>NA</v>
      </c>
    </row>
    <row r="5881" ht="15.75" customHeight="1">
      <c r="A5881" s="1" t="str">
        <f>IFERROR(__xludf.DUMMYFUNCTION("""COMPUTED_VALUE"""),"colossus the forbin project")</f>
        <v>colossus the forbin project</v>
      </c>
      <c r="B5881" s="1" t="str">
        <f>IF(A5881&lt;&gt;"", VLOOKUP(A5881, imdb_netflix_v5!A$2:H$7370, 2, FALSE), "")</f>
        <v>Movie</v>
      </c>
      <c r="C5881" s="2" t="str">
        <f>IF(A5881&lt;&gt;"", VLOOKUP(A5881, imdb_netflix_v5!A$2:H$7370, 3, FALSE), "")</f>
        <v>Sci-Fi, Thriller</v>
      </c>
      <c r="D5881" s="2">
        <f>IF(A5881&lt;&gt;"", VLOOKUP(A5881, imdb_netflix_v5!A$2:H$7370, 4, FALSE), "")</f>
        <v>7.1</v>
      </c>
      <c r="E5881" s="2">
        <f>IF(A5881&lt;&gt;"", VLOOKUP(A5881, imdb_netflix_v5!A$2:H$7370, 5, FALSE), "")</f>
        <v>1970</v>
      </c>
      <c r="F5881" s="2" t="str">
        <f>IF(A5881&lt;&gt;"", VLOOKUP(A5881, imdb_netflix_v5!A$2:H$7370, 7, FALSE), "")</f>
        <v>NA</v>
      </c>
    </row>
    <row r="5882" ht="15.75" customHeight="1">
      <c r="A5882" s="1" t="str">
        <f>IFERROR(__xludf.DUMMYFUNCTION("""COMPUTED_VALUE"""),"like crazy")</f>
        <v>like crazy</v>
      </c>
      <c r="B5882" s="1" t="str">
        <f>IF(A5882&lt;&gt;"", VLOOKUP(A5882, imdb_netflix_v5!A$2:H$7370, 2, FALSE), "")</f>
        <v>Movie</v>
      </c>
      <c r="C5882" s="2" t="str">
        <f>IF(A5882&lt;&gt;"", VLOOKUP(A5882, imdb_netflix_v5!A$2:H$7370, 3, FALSE), "")</f>
        <v>Comedy, Drama</v>
      </c>
      <c r="D5882" s="2">
        <f>IF(A5882&lt;&gt;"", VLOOKUP(A5882, imdb_netflix_v5!A$2:H$7370, 4, FALSE), "")</f>
        <v>7.1</v>
      </c>
      <c r="E5882" s="2">
        <f>IF(A5882&lt;&gt;"", VLOOKUP(A5882, imdb_netflix_v5!A$2:H$7370, 5, FALSE), "")</f>
        <v>2016</v>
      </c>
      <c r="F5882" s="2" t="str">
        <f>IF(A5882&lt;&gt;"", VLOOKUP(A5882, imdb_netflix_v5!A$2:H$7370, 7, FALSE), "")</f>
        <v>NA</v>
      </c>
    </row>
    <row r="5883" ht="15.75" customHeight="1">
      <c r="A5883" s="1" t="str">
        <f>IFERROR(__xludf.DUMMYFUNCTION("""COMPUTED_VALUE"""),"summertime")</f>
        <v>summertime</v>
      </c>
      <c r="B5883" s="1" t="str">
        <f>IF(A5883&lt;&gt;"", VLOOKUP(A5883, imdb_netflix_v5!A$2:H$7370, 2, FALSE), "")</f>
        <v>Movie</v>
      </c>
      <c r="C5883" s="2" t="str">
        <f>IF(A5883&lt;&gt;"", VLOOKUP(A5883, imdb_netflix_v5!A$2:H$7370, 3, FALSE), "")</f>
        <v>Comedy, Drama, Romance</v>
      </c>
      <c r="D5883" s="2">
        <f>IF(A5883&lt;&gt;"", VLOOKUP(A5883, imdb_netflix_v5!A$2:H$7370, 4, FALSE), "")</f>
        <v>7.1</v>
      </c>
      <c r="E5883" s="2">
        <f>IF(A5883&lt;&gt;"", VLOOKUP(A5883, imdb_netflix_v5!A$2:H$7370, 5, FALSE), "")</f>
        <v>1955</v>
      </c>
      <c r="F5883" s="2" t="str">
        <f>IF(A5883&lt;&gt;"", VLOOKUP(A5883, imdb_netflix_v5!A$2:H$7370, 7, FALSE), "")</f>
        <v>NA</v>
      </c>
    </row>
    <row r="5884" ht="15.75" customHeight="1">
      <c r="A5884" s="1" t="str">
        <f>IFERROR(__xludf.DUMMYFUNCTION("""COMPUTED_VALUE"""),"the crossing")</f>
        <v>the crossing</v>
      </c>
      <c r="B5884" s="1" t="str">
        <f>IF(A5884&lt;&gt;"", VLOOKUP(A5884, imdb_netflix_v5!A$2:H$7370, 2, FALSE), "")</f>
        <v>TV Show</v>
      </c>
      <c r="C5884" s="2" t="str">
        <f>IF(A5884&lt;&gt;"", VLOOKUP(A5884, imdb_netflix_v5!A$2:H$7370, 3, FALSE), "")</f>
        <v>Adventure, Drama, Sci-Fi</v>
      </c>
      <c r="D5884" s="2">
        <f>IF(A5884&lt;&gt;"", VLOOKUP(A5884, imdb_netflix_v5!A$2:H$7370, 4, FALSE), "")</f>
        <v>7.1</v>
      </c>
      <c r="E5884" s="2">
        <f>IF(A5884&lt;&gt;"", VLOOKUP(A5884, imdb_netflix_v5!A$2:H$7370, 5, FALSE), "")</f>
        <v>2018</v>
      </c>
      <c r="F5884" s="2" t="str">
        <f>IF(A5884&lt;&gt;"", VLOOKUP(A5884, imdb_netflix_v5!A$2:H$7370, 7, FALSE), "")</f>
        <v>NA</v>
      </c>
    </row>
    <row r="5885" ht="15.75" customHeight="1">
      <c r="A5885" s="1" t="str">
        <f>IFERROR(__xludf.DUMMYFUNCTION("""COMPUTED_VALUE"""),"the kings choice")</f>
        <v>the kings choice</v>
      </c>
      <c r="B5885" s="1" t="str">
        <f>IF(A5885&lt;&gt;"", VLOOKUP(A5885, imdb_netflix_v5!A$2:H$7370, 2, FALSE), "")</f>
        <v>Movie</v>
      </c>
      <c r="C5885" s="2" t="str">
        <f>IF(A5885&lt;&gt;"", VLOOKUP(A5885, imdb_netflix_v5!A$2:H$7370, 3, FALSE), "")</f>
        <v>Biography, Drama, History</v>
      </c>
      <c r="D5885" s="2">
        <f>IF(A5885&lt;&gt;"", VLOOKUP(A5885, imdb_netflix_v5!A$2:H$7370, 4, FALSE), "")</f>
        <v>7.1</v>
      </c>
      <c r="E5885" s="2">
        <f>IF(A5885&lt;&gt;"", VLOOKUP(A5885, imdb_netflix_v5!A$2:H$7370, 5, FALSE), "")</f>
        <v>2016</v>
      </c>
      <c r="F5885" s="2" t="str">
        <f>IF(A5885&lt;&gt;"", VLOOKUP(A5885, imdb_netflix_v5!A$2:H$7370, 7, FALSE), "")</f>
        <v>NA</v>
      </c>
    </row>
    <row r="5886" ht="15.75" customHeight="1">
      <c r="A5886" s="1" t="str">
        <f>IFERROR(__xludf.DUMMYFUNCTION("""COMPUTED_VALUE"""),"happy accidents")</f>
        <v>happy accidents</v>
      </c>
      <c r="B5886" s="1" t="str">
        <f>IF(A5886&lt;&gt;"", VLOOKUP(A5886, imdb_netflix_v5!A$2:H$7370, 2, FALSE), "")</f>
        <v>Movie</v>
      </c>
      <c r="C5886" s="2" t="str">
        <f>IF(A5886&lt;&gt;"", VLOOKUP(A5886, imdb_netflix_v5!A$2:H$7370, 3, FALSE), "")</f>
        <v>Comedy, Romance</v>
      </c>
      <c r="D5886" s="2">
        <f>IF(A5886&lt;&gt;"", VLOOKUP(A5886, imdb_netflix_v5!A$2:H$7370, 4, FALSE), "")</f>
        <v>7.1</v>
      </c>
      <c r="E5886" s="2">
        <f>IF(A5886&lt;&gt;"", VLOOKUP(A5886, imdb_netflix_v5!A$2:H$7370, 5, FALSE), "")</f>
        <v>2000</v>
      </c>
      <c r="F5886" s="2" t="str">
        <f>IF(A5886&lt;&gt;"", VLOOKUP(A5886, imdb_netflix_v5!A$2:H$7370, 7, FALSE), "")</f>
        <v>NA</v>
      </c>
    </row>
    <row r="5887" ht="15.75" customHeight="1">
      <c r="A5887" s="1" t="str">
        <f>IFERROR(__xludf.DUMMYFUNCTION("""COMPUTED_VALUE"""),"odds and evens")</f>
        <v>odds and evens</v>
      </c>
      <c r="B5887" s="1" t="str">
        <f>IF(A5887&lt;&gt;"", VLOOKUP(A5887, imdb_netflix_v5!A$2:H$7370, 2, FALSE), "")</f>
        <v>Movie</v>
      </c>
      <c r="C5887" s="2" t="str">
        <f>IF(A5887&lt;&gt;"", VLOOKUP(A5887, imdb_netflix_v5!A$2:H$7370, 3, FALSE), "")</f>
        <v>Action, Comedy, Crime</v>
      </c>
      <c r="D5887" s="2">
        <f>IF(A5887&lt;&gt;"", VLOOKUP(A5887, imdb_netflix_v5!A$2:H$7370, 4, FALSE), "")</f>
        <v>7.1</v>
      </c>
      <c r="E5887" s="2">
        <f>IF(A5887&lt;&gt;"", VLOOKUP(A5887, imdb_netflix_v5!A$2:H$7370, 5, FALSE), "")</f>
        <v>1978</v>
      </c>
      <c r="F5887" s="2" t="str">
        <f>IF(A5887&lt;&gt;"", VLOOKUP(A5887, imdb_netflix_v5!A$2:H$7370, 7, FALSE), "")</f>
        <v>NA</v>
      </c>
    </row>
    <row r="5888" ht="15.75" customHeight="1">
      <c r="A5888" s="1" t="str">
        <f>IFERROR(__xludf.DUMMYFUNCTION("""COMPUTED_VALUE"""),"maharshi")</f>
        <v>maharshi</v>
      </c>
      <c r="B5888" s="1" t="str">
        <f>IF(A5888&lt;&gt;"", VLOOKUP(A5888, imdb_netflix_v5!A$2:H$7370, 2, FALSE), "")</f>
        <v>Movie</v>
      </c>
      <c r="C5888" s="2" t="str">
        <f>IF(A5888&lt;&gt;"", VLOOKUP(A5888, imdb_netflix_v5!A$2:H$7370, 3, FALSE), "")</f>
        <v>Action, Drama</v>
      </c>
      <c r="D5888" s="2">
        <f>IF(A5888&lt;&gt;"", VLOOKUP(A5888, imdb_netflix_v5!A$2:H$7370, 4, FALSE), "")</f>
        <v>7.1</v>
      </c>
      <c r="E5888" s="2">
        <f>IF(A5888&lt;&gt;"", VLOOKUP(A5888, imdb_netflix_v5!A$2:H$7370, 5, FALSE), "")</f>
        <v>2019</v>
      </c>
      <c r="F5888" s="2" t="str">
        <f>IF(A5888&lt;&gt;"", VLOOKUP(A5888, imdb_netflix_v5!A$2:H$7370, 7, FALSE), "")</f>
        <v>NA</v>
      </c>
    </row>
    <row r="5889" ht="15.75" customHeight="1">
      <c r="A5889" s="1" t="str">
        <f>IFERROR(__xludf.DUMMYFUNCTION("""COMPUTED_VALUE"""),"krisha")</f>
        <v>krisha</v>
      </c>
      <c r="B5889" s="1" t="str">
        <f>IF(A5889&lt;&gt;"", VLOOKUP(A5889, imdb_netflix_v5!A$2:H$7370, 2, FALSE), "")</f>
        <v>Movie</v>
      </c>
      <c r="C5889" s="2" t="str">
        <f>IF(A5889&lt;&gt;"", VLOOKUP(A5889, imdb_netflix_v5!A$2:H$7370, 3, FALSE), "")</f>
        <v>Drama</v>
      </c>
      <c r="D5889" s="2">
        <f>IF(A5889&lt;&gt;"", VLOOKUP(A5889, imdb_netflix_v5!A$2:H$7370, 4, FALSE), "")</f>
        <v>7.1</v>
      </c>
      <c r="E5889" s="2">
        <f>IF(A5889&lt;&gt;"", VLOOKUP(A5889, imdb_netflix_v5!A$2:H$7370, 5, FALSE), "")</f>
        <v>2015</v>
      </c>
      <c r="F5889" s="2" t="str">
        <f>IF(A5889&lt;&gt;"", VLOOKUP(A5889, imdb_netflix_v5!A$2:H$7370, 7, FALSE), "")</f>
        <v>NA</v>
      </c>
    </row>
    <row r="5890" ht="15.75" customHeight="1">
      <c r="A5890" s="1" t="str">
        <f>IFERROR(__xludf.DUMMYFUNCTION("""COMPUTED_VALUE"""),"alrawabi school for girls")</f>
        <v>alrawabi school for girls</v>
      </c>
      <c r="B5890" s="1" t="str">
        <f>IF(A5890&lt;&gt;"", VLOOKUP(A5890, imdb_netflix_v5!A$2:H$7370, 2, FALSE), "")</f>
        <v>TV Show</v>
      </c>
      <c r="C5890" s="2" t="str">
        <f>IF(A5890&lt;&gt;"", VLOOKUP(A5890, imdb_netflix_v5!A$2:H$7370, 3, FALSE), "")</f>
        <v>Drama</v>
      </c>
      <c r="D5890" s="2">
        <f>IF(A5890&lt;&gt;"", VLOOKUP(A5890, imdb_netflix_v5!A$2:H$7370, 4, FALSE), "")</f>
        <v>7.1</v>
      </c>
      <c r="E5890" s="2">
        <f>IF(A5890&lt;&gt;"", VLOOKUP(A5890, imdb_netflix_v5!A$2:H$7370, 5, FALSE), "")</f>
        <v>2021</v>
      </c>
      <c r="F5890" s="2">
        <f>IF(A5890&lt;&gt;"", VLOOKUP(A5890, imdb_netflix_v5!A$2:H$7370, 7, FALSE), "")</f>
        <v>11500000</v>
      </c>
    </row>
    <row r="5891" ht="15.75" customHeight="1">
      <c r="A5891" s="1" t="str">
        <f>IFERROR(__xludf.DUMMYFUNCTION("""COMPUTED_VALUE"""),"propaganda")</f>
        <v>propaganda</v>
      </c>
      <c r="B5891" s="1" t="str">
        <f>IF(A5891&lt;&gt;"", VLOOKUP(A5891, imdb_netflix_v5!A$2:H$7370, 2, FALSE), "")</f>
        <v>Movie</v>
      </c>
      <c r="C5891" s="2" t="str">
        <f>IF(A5891&lt;&gt;"", VLOOKUP(A5891, imdb_netflix_v5!A$2:H$7370, 3, FALSE), "")</f>
        <v>Drama, History</v>
      </c>
      <c r="D5891" s="2">
        <f>IF(A5891&lt;&gt;"", VLOOKUP(A5891, imdb_netflix_v5!A$2:H$7370, 4, FALSE), "")</f>
        <v>7.1</v>
      </c>
      <c r="E5891" s="2">
        <f>IF(A5891&lt;&gt;"", VLOOKUP(A5891, imdb_netflix_v5!A$2:H$7370, 5, FALSE), "")</f>
        <v>1999</v>
      </c>
      <c r="F5891" s="2" t="str">
        <f>IF(A5891&lt;&gt;"", VLOOKUP(A5891, imdb_netflix_v5!A$2:H$7370, 7, FALSE), "")</f>
        <v>NA</v>
      </c>
    </row>
    <row r="5892" ht="15.75" customHeight="1">
      <c r="A5892" s="1" t="str">
        <f>IFERROR(__xludf.DUMMYFUNCTION("""COMPUTED_VALUE"""),"the treatment")</f>
        <v>the treatment</v>
      </c>
      <c r="B5892" s="1" t="str">
        <f>IF(A5892&lt;&gt;"", VLOOKUP(A5892, imdb_netflix_v5!A$2:H$7370, 2, FALSE), "")</f>
        <v>Movie</v>
      </c>
      <c r="C5892" s="2" t="str">
        <f>IF(A5892&lt;&gt;"", VLOOKUP(A5892, imdb_netflix_v5!A$2:H$7370, 3, FALSE), "")</f>
        <v>Crime, Mystery, Thriller</v>
      </c>
      <c r="D5892" s="2">
        <f>IF(A5892&lt;&gt;"", VLOOKUP(A5892, imdb_netflix_v5!A$2:H$7370, 4, FALSE), "")</f>
        <v>7.1</v>
      </c>
      <c r="E5892" s="2">
        <f>IF(A5892&lt;&gt;"", VLOOKUP(A5892, imdb_netflix_v5!A$2:H$7370, 5, FALSE), "")</f>
        <v>2014</v>
      </c>
      <c r="F5892" s="2" t="str">
        <f>IF(A5892&lt;&gt;"", VLOOKUP(A5892, imdb_netflix_v5!A$2:H$7370, 7, FALSE), "")</f>
        <v>NA</v>
      </c>
    </row>
    <row r="5893" ht="15.75" customHeight="1">
      <c r="A5893" s="1" t="str">
        <f>IFERROR(__xludf.DUMMYFUNCTION("""COMPUTED_VALUE"""),"north sea texas")</f>
        <v>north sea texas</v>
      </c>
      <c r="B5893" s="1" t="str">
        <f>IF(A5893&lt;&gt;"", VLOOKUP(A5893, imdb_netflix_v5!A$2:H$7370, 2, FALSE), "")</f>
        <v>Movie</v>
      </c>
      <c r="C5893" s="2" t="str">
        <f>IF(A5893&lt;&gt;"", VLOOKUP(A5893, imdb_netflix_v5!A$2:H$7370, 3, FALSE), "")</f>
        <v>Drama, Romance</v>
      </c>
      <c r="D5893" s="2">
        <f>IF(A5893&lt;&gt;"", VLOOKUP(A5893, imdb_netflix_v5!A$2:H$7370, 4, FALSE), "")</f>
        <v>7.1</v>
      </c>
      <c r="E5893" s="2">
        <f>IF(A5893&lt;&gt;"", VLOOKUP(A5893, imdb_netflix_v5!A$2:H$7370, 5, FALSE), "")</f>
        <v>2011</v>
      </c>
      <c r="F5893" s="2" t="str">
        <f>IF(A5893&lt;&gt;"", VLOOKUP(A5893, imdb_netflix_v5!A$2:H$7370, 7, FALSE), "")</f>
        <v>NA</v>
      </c>
    </row>
    <row r="5894" ht="15.75" customHeight="1">
      <c r="A5894" s="1" t="str">
        <f>IFERROR(__xludf.DUMMYFUNCTION("""COMPUTED_VALUE"""),"last night")</f>
        <v>last night</v>
      </c>
      <c r="B5894" s="1" t="str">
        <f>IF(A5894&lt;&gt;"", VLOOKUP(A5894, imdb_netflix_v5!A$2:H$7370, 2, FALSE), "")</f>
        <v>Movie</v>
      </c>
      <c r="C5894" s="2" t="str">
        <f>IF(A5894&lt;&gt;"", VLOOKUP(A5894, imdb_netflix_v5!A$2:H$7370, 3, FALSE), "")</f>
        <v>Comedy, Drama, Romance</v>
      </c>
      <c r="D5894" s="2">
        <f>IF(A5894&lt;&gt;"", VLOOKUP(A5894, imdb_netflix_v5!A$2:H$7370, 4, FALSE), "")</f>
        <v>7.1</v>
      </c>
      <c r="E5894" s="2">
        <f>IF(A5894&lt;&gt;"", VLOOKUP(A5894, imdb_netflix_v5!A$2:H$7370, 5, FALSE), "")</f>
        <v>1998</v>
      </c>
      <c r="F5894" s="2" t="str">
        <f>IF(A5894&lt;&gt;"", VLOOKUP(A5894, imdb_netflix_v5!A$2:H$7370, 7, FALSE), "")</f>
        <v>NA</v>
      </c>
    </row>
    <row r="5895" ht="15.75" customHeight="1">
      <c r="A5895" s="1" t="str">
        <f>IFERROR(__xludf.DUMMYFUNCTION("""COMPUTED_VALUE"""),"manic")</f>
        <v>manic</v>
      </c>
      <c r="B5895" s="1" t="str">
        <f>IF(A5895&lt;&gt;"", VLOOKUP(A5895, imdb_netflix_v5!A$2:H$7370, 2, FALSE), "")</f>
        <v>Movie</v>
      </c>
      <c r="C5895" s="2" t="str">
        <f>IF(A5895&lt;&gt;"", VLOOKUP(A5895, imdb_netflix_v5!A$2:H$7370, 3, FALSE), "")</f>
        <v>Drama</v>
      </c>
      <c r="D5895" s="2">
        <f>IF(A5895&lt;&gt;"", VLOOKUP(A5895, imdb_netflix_v5!A$2:H$7370, 4, FALSE), "")</f>
        <v>7.1</v>
      </c>
      <c r="E5895" s="2">
        <f>IF(A5895&lt;&gt;"", VLOOKUP(A5895, imdb_netflix_v5!A$2:H$7370, 5, FALSE), "")</f>
        <v>2001</v>
      </c>
      <c r="F5895" s="2" t="str">
        <f>IF(A5895&lt;&gt;"", VLOOKUP(A5895, imdb_netflix_v5!A$2:H$7370, 7, FALSE), "")</f>
        <v>NA</v>
      </c>
    </row>
    <row r="5896" ht="15.75" customHeight="1">
      <c r="A5896" s="1" t="str">
        <f>IFERROR(__xludf.DUMMYFUNCTION("""COMPUTED_VALUE"""),"going places")</f>
        <v>going places</v>
      </c>
      <c r="B5896" s="1" t="str">
        <f>IF(A5896&lt;&gt;"", VLOOKUP(A5896, imdb_netflix_v5!A$2:H$7370, 2, FALSE), "")</f>
        <v>Movie</v>
      </c>
      <c r="C5896" s="2" t="str">
        <f>IF(A5896&lt;&gt;"", VLOOKUP(A5896, imdb_netflix_v5!A$2:H$7370, 3, FALSE), "")</f>
        <v>Action, Comedy, Crime</v>
      </c>
      <c r="D5896" s="2">
        <f>IF(A5896&lt;&gt;"", VLOOKUP(A5896, imdb_netflix_v5!A$2:H$7370, 4, FALSE), "")</f>
        <v>7.1</v>
      </c>
      <c r="E5896" s="2">
        <f>IF(A5896&lt;&gt;"", VLOOKUP(A5896, imdb_netflix_v5!A$2:H$7370, 5, FALSE), "")</f>
        <v>1974</v>
      </c>
      <c r="F5896" s="2" t="str">
        <f>IF(A5896&lt;&gt;"", VLOOKUP(A5896, imdb_netflix_v5!A$2:H$7370, 7, FALSE), "")</f>
        <v>NA</v>
      </c>
    </row>
    <row r="5897" ht="15.75" customHeight="1">
      <c r="A5897" s="1" t="str">
        <f>IFERROR(__xludf.DUMMYFUNCTION("""COMPUTED_VALUE"""),"yours, mine and ours")</f>
        <v>yours, mine and ours</v>
      </c>
      <c r="B5897" s="1" t="str">
        <f>IF(A5897&lt;&gt;"", VLOOKUP(A5897, imdb_netflix_v5!A$2:H$7370, 2, FALSE), "")</f>
        <v>Movie</v>
      </c>
      <c r="C5897" s="2" t="str">
        <f>IF(A5897&lt;&gt;"", VLOOKUP(A5897, imdb_netflix_v5!A$2:H$7370, 3, FALSE), "")</f>
        <v>Comedy, Family</v>
      </c>
      <c r="D5897" s="2">
        <f>IF(A5897&lt;&gt;"", VLOOKUP(A5897, imdb_netflix_v5!A$2:H$7370, 4, FALSE), "")</f>
        <v>7.1</v>
      </c>
      <c r="E5897" s="2">
        <f>IF(A5897&lt;&gt;"", VLOOKUP(A5897, imdb_netflix_v5!A$2:H$7370, 5, FALSE), "")</f>
        <v>1968</v>
      </c>
      <c r="F5897" s="2" t="str">
        <f>IF(A5897&lt;&gt;"", VLOOKUP(A5897, imdb_netflix_v5!A$2:H$7370, 7, FALSE), "")</f>
        <v>NA</v>
      </c>
    </row>
    <row r="5898" ht="15.75" customHeight="1">
      <c r="A5898" s="1" t="str">
        <f>IFERROR(__xludf.DUMMYFUNCTION("""COMPUTED_VALUE"""),"qarib qarib single")</f>
        <v>qarib qarib single</v>
      </c>
      <c r="B5898" s="1" t="str">
        <f>IF(A5898&lt;&gt;"", VLOOKUP(A5898, imdb_netflix_v5!A$2:H$7370, 2, FALSE), "")</f>
        <v>Movie</v>
      </c>
      <c r="C5898" s="2" t="str">
        <f>IF(A5898&lt;&gt;"", VLOOKUP(A5898, imdb_netflix_v5!A$2:H$7370, 3, FALSE), "")</f>
        <v>Comedy, Romance</v>
      </c>
      <c r="D5898" s="2">
        <f>IF(A5898&lt;&gt;"", VLOOKUP(A5898, imdb_netflix_v5!A$2:H$7370, 4, FALSE), "")</f>
        <v>7.1</v>
      </c>
      <c r="E5898" s="2">
        <f>IF(A5898&lt;&gt;"", VLOOKUP(A5898, imdb_netflix_v5!A$2:H$7370, 5, FALSE), "")</f>
        <v>2017</v>
      </c>
      <c r="F5898" s="2" t="str">
        <f>IF(A5898&lt;&gt;"", VLOOKUP(A5898, imdb_netflix_v5!A$2:H$7370, 7, FALSE), "")</f>
        <v>NA</v>
      </c>
    </row>
    <row r="5899" ht="15.75" customHeight="1">
      <c r="A5899" s="1" t="str">
        <f>IFERROR(__xludf.DUMMYFUNCTION("""COMPUTED_VALUE"""),"tell me a story")</f>
        <v>tell me a story</v>
      </c>
      <c r="B5899" s="1" t="str">
        <f>IF(A5899&lt;&gt;"", VLOOKUP(A5899, imdb_netflix_v5!A$2:H$7370, 2, FALSE), "")</f>
        <v>TV Show</v>
      </c>
      <c r="C5899" s="2" t="str">
        <f>IF(A5899&lt;&gt;"", VLOOKUP(A5899, imdb_netflix_v5!A$2:H$7370, 3, FALSE), "")</f>
        <v>Drama, Thriller</v>
      </c>
      <c r="D5899" s="2">
        <f>IF(A5899&lt;&gt;"", VLOOKUP(A5899, imdb_netflix_v5!A$2:H$7370, 4, FALSE), "")</f>
        <v>7.1</v>
      </c>
      <c r="E5899" s="2">
        <f>IF(A5899&lt;&gt;"", VLOOKUP(A5899, imdb_netflix_v5!A$2:H$7370, 5, FALSE), "")</f>
        <v>2018</v>
      </c>
      <c r="F5899" s="2" t="str">
        <f>IF(A5899&lt;&gt;"", VLOOKUP(A5899, imdb_netflix_v5!A$2:H$7370, 7, FALSE), "")</f>
        <v>NA</v>
      </c>
    </row>
    <row r="5900" ht="15.75" customHeight="1">
      <c r="A5900" s="1" t="str">
        <f>IFERROR(__xludf.DUMMYFUNCTION("""COMPUTED_VALUE"""),"a midnight clear")</f>
        <v>a midnight clear</v>
      </c>
      <c r="B5900" s="1" t="str">
        <f>IF(A5900&lt;&gt;"", VLOOKUP(A5900, imdb_netflix_v5!A$2:H$7370, 2, FALSE), "")</f>
        <v>Movie</v>
      </c>
      <c r="C5900" s="2" t="str">
        <f>IF(A5900&lt;&gt;"", VLOOKUP(A5900, imdb_netflix_v5!A$2:H$7370, 3, FALSE), "")</f>
        <v>Drama, War</v>
      </c>
      <c r="D5900" s="2">
        <f>IF(A5900&lt;&gt;"", VLOOKUP(A5900, imdb_netflix_v5!A$2:H$7370, 4, FALSE), "")</f>
        <v>7.1</v>
      </c>
      <c r="E5900" s="2">
        <f>IF(A5900&lt;&gt;"", VLOOKUP(A5900, imdb_netflix_v5!A$2:H$7370, 5, FALSE), "")</f>
        <v>1992</v>
      </c>
      <c r="F5900" s="2" t="str">
        <f>IF(A5900&lt;&gt;"", VLOOKUP(A5900, imdb_netflix_v5!A$2:H$7370, 7, FALSE), "")</f>
        <v>NA</v>
      </c>
    </row>
    <row r="5901" ht="15.75" customHeight="1">
      <c r="A5901" s="1" t="str">
        <f>IFERROR(__xludf.DUMMYFUNCTION("""COMPUTED_VALUE"""),"broken arrow")</f>
        <v>broken arrow</v>
      </c>
      <c r="B5901" s="1" t="str">
        <f>IF(A5901&lt;&gt;"", VLOOKUP(A5901, imdb_netflix_v5!A$2:H$7370, 2, FALSE), "")</f>
        <v>Movie</v>
      </c>
      <c r="C5901" s="2" t="str">
        <f>IF(A5901&lt;&gt;"", VLOOKUP(A5901, imdb_netflix_v5!A$2:H$7370, 3, FALSE), "")</f>
        <v>Drama, Romance, Western</v>
      </c>
      <c r="D5901" s="2">
        <f>IF(A5901&lt;&gt;"", VLOOKUP(A5901, imdb_netflix_v5!A$2:H$7370, 4, FALSE), "")</f>
        <v>7.1</v>
      </c>
      <c r="E5901" s="2">
        <f>IF(A5901&lt;&gt;"", VLOOKUP(A5901, imdb_netflix_v5!A$2:H$7370, 5, FALSE), "")</f>
        <v>1950</v>
      </c>
      <c r="F5901" s="2" t="str">
        <f>IF(A5901&lt;&gt;"", VLOOKUP(A5901, imdb_netflix_v5!A$2:H$7370, 7, FALSE), "")</f>
        <v>NA</v>
      </c>
    </row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</sheetData>
  <autoFilter ref="$A$1:$Y$6401"/>
  <conditionalFormatting sqref="A1:Y6401">
    <cfRule type="colorScale" priority="1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9.57"/>
    <col customWidth="1" min="2" max="2" width="8.43"/>
    <col customWidth="1" min="3" max="3" width="31.86"/>
    <col customWidth="1" min="4" max="4" width="16.86"/>
    <col customWidth="1" min="5" max="5" width="15.14"/>
    <col customWidth="1" min="6" max="6" width="25.29"/>
  </cols>
  <sheetData>
    <row r="1">
      <c r="A1" s="1" t="s">
        <v>6313</v>
      </c>
      <c r="B1" s="1" t="s">
        <v>1</v>
      </c>
      <c r="C1" s="1" t="s">
        <v>2</v>
      </c>
      <c r="D1" s="4" t="s">
        <v>3</v>
      </c>
      <c r="E1" s="2" t="s">
        <v>4</v>
      </c>
      <c r="F1" s="5" t="s">
        <v>6</v>
      </c>
    </row>
    <row r="2" hidden="1">
      <c r="A2" s="1" t="s">
        <v>1390</v>
      </c>
      <c r="B2" s="1" t="str">
        <f>IF(A2&lt;&gt;"", VLOOKUP(A2, imdb_netflix_v5!A$2:H$7370, 2, FALSE), "")</f>
        <v>Movie</v>
      </c>
      <c r="C2" s="2" t="str">
        <f>IF(A2&lt;&gt;"", VLOOKUP(A2, imdb_netflix_v5!A$2:H$7370, 3, FALSE), "")</f>
        <v>Drama, War</v>
      </c>
      <c r="D2" s="2">
        <f>IF(A2&lt;&gt;"", VLOOKUP(A2, imdb_netflix_v5!A$2:H$7370, 4, FALSE), "")</f>
        <v>8.1</v>
      </c>
      <c r="E2" s="2">
        <f>IF(A2&lt;&gt;"", VLOOKUP(A2, imdb_netflix_v5!A$2:H$7370, 5, FALSE), "")</f>
        <v>1930</v>
      </c>
      <c r="F2" s="2">
        <f>IF(A2&lt;&gt;"", VLOOKUP(A2, imdb_netflix_v5!A$2:H$7370, 7, FALSE), "")</f>
        <v>1280000</v>
      </c>
    </row>
    <row r="3" hidden="1">
      <c r="A3" s="1" t="s">
        <v>3298</v>
      </c>
      <c r="B3" s="1" t="str">
        <f>IF(A3&lt;&gt;"", VLOOKUP(A3, imdb_netflix_v5!A$2:H$7370, 2, FALSE), "")</f>
        <v>Movie</v>
      </c>
      <c r="C3" s="2" t="str">
        <f>IF(A3&lt;&gt;"", VLOOKUP(A3, imdb_netflix_v5!A$2:H$7370, 3, FALSE), "")</f>
        <v>Horror, Sci-Fi</v>
      </c>
      <c r="D3" s="2">
        <f>IF(A3&lt;&gt;"", VLOOKUP(A3, imdb_netflix_v5!A$2:H$7370, 4, FALSE), "")</f>
        <v>7.6</v>
      </c>
      <c r="E3" s="2">
        <f>IF(A3&lt;&gt;"", VLOOKUP(A3, imdb_netflix_v5!A$2:H$7370, 5, FALSE), "")</f>
        <v>1933</v>
      </c>
      <c r="F3" s="2">
        <f>IF(A3&lt;&gt;"", VLOOKUP(A3, imdb_netflix_v5!A$2:H$7370, 7, FALSE), "")</f>
        <v>6530000</v>
      </c>
    </row>
    <row r="4" hidden="1">
      <c r="A4" s="1" t="s">
        <v>4935</v>
      </c>
      <c r="B4" s="1" t="str">
        <f>IF(A4&lt;&gt;"", VLOOKUP(A4, imdb_netflix_v5!A$2:H$7370, 2, FALSE), "")</f>
        <v>Movie</v>
      </c>
      <c r="C4" s="2" t="str">
        <f>IF(A4&lt;&gt;"", VLOOKUP(A4, imdb_netflix_v5!A$2:H$7370, 3, FALSE), "")</f>
        <v>Crime, Drama, Film-Noir</v>
      </c>
      <c r="D4" s="2">
        <f>IF(A4&lt;&gt;"", VLOOKUP(A4, imdb_netflix_v5!A$2:H$7370, 4, FALSE), "")</f>
        <v>7.3</v>
      </c>
      <c r="E4" s="2">
        <f>IF(A4&lt;&gt;"", VLOOKUP(A4, imdb_netflix_v5!A$2:H$7370, 5, FALSE), "")</f>
        <v>1946</v>
      </c>
      <c r="F4" s="2">
        <f>IF(A4&lt;&gt;"", VLOOKUP(A4, imdb_netflix_v5!A$2:H$7370, 7, FALSE), "")</f>
        <v>9170000</v>
      </c>
    </row>
    <row r="5" hidden="1">
      <c r="A5" s="1" t="s">
        <v>5089</v>
      </c>
      <c r="B5" s="1" t="str">
        <f>IF(A5&lt;&gt;"", VLOOKUP(A5, imdb_netflix_v5!A$2:H$7370, 2, FALSE), "")</f>
        <v>Movie</v>
      </c>
      <c r="C5" s="2" t="str">
        <f>IF(A5&lt;&gt;"", VLOOKUP(A5, imdb_netflix_v5!A$2:H$7370, 3, FALSE), "")</f>
        <v>Action, Comedy</v>
      </c>
      <c r="D5" s="2">
        <f>IF(A5&lt;&gt;"", VLOOKUP(A5, imdb_netflix_v5!A$2:H$7370, 4, FALSE), "")</f>
        <v>7.3</v>
      </c>
      <c r="E5" s="2">
        <f>IF(A5&lt;&gt;"", VLOOKUP(A5, imdb_netflix_v5!A$2:H$7370, 5, FALSE), "")</f>
        <v>1974</v>
      </c>
      <c r="F5" s="2">
        <f>IF(A5&lt;&gt;"", VLOOKUP(A5, imdb_netflix_v5!A$2:H$7370, 7, FALSE), "")</f>
        <v>2580000</v>
      </c>
    </row>
    <row r="6" hidden="1">
      <c r="A6" s="1" t="s">
        <v>6074</v>
      </c>
      <c r="B6" s="1" t="str">
        <f>IF(A6&lt;&gt;"", VLOOKUP(A6, imdb_netflix_v5!A$2:H$7370, 2, FALSE), "")</f>
        <v>Movie</v>
      </c>
      <c r="C6" s="2" t="str">
        <f>IF(A6&lt;&gt;"", VLOOKUP(A6, imdb_netflix_v5!A$2:H$7370, 3, FALSE), "")</f>
        <v>Comedy, Crime, Drama</v>
      </c>
      <c r="D6" s="2">
        <f>IF(A6&lt;&gt;"", VLOOKUP(A6, imdb_netflix_v5!A$2:H$7370, 4, FALSE), "")</f>
        <v>7.1</v>
      </c>
      <c r="E6" s="2">
        <f>IF(A6&lt;&gt;"", VLOOKUP(A6, imdb_netflix_v5!A$2:H$7370, 5, FALSE), "")</f>
        <v>1974</v>
      </c>
      <c r="F6" s="2">
        <f>IF(A6&lt;&gt;"", VLOOKUP(A6, imdb_netflix_v5!A$2:H$7370, 7, FALSE), "")</f>
        <v>9960000</v>
      </c>
    </row>
    <row r="7" hidden="1">
      <c r="A7" s="1" t="s">
        <v>3039</v>
      </c>
      <c r="B7" s="1" t="str">
        <f>IF(A7&lt;&gt;"", VLOOKUP(A7, imdb_netflix_v5!A$2:H$7370, 2, FALSE), "")</f>
        <v>Movie</v>
      </c>
      <c r="C7" s="2" t="str">
        <f>IF(A7&lt;&gt;"", VLOOKUP(A7, imdb_netflix_v5!A$2:H$7370, 3, FALSE), "")</f>
        <v>Action, Crime, Thriller</v>
      </c>
      <c r="D7" s="2">
        <f>IF(A7&lt;&gt;"", VLOOKUP(A7, imdb_netflix_v5!A$2:H$7370, 4, FALSE), "")</f>
        <v>7.7</v>
      </c>
      <c r="E7" s="2">
        <f>IF(A7&lt;&gt;"", VLOOKUP(A7, imdb_netflix_v5!A$2:H$7370, 5, FALSE), "")</f>
        <v>1978</v>
      </c>
      <c r="F7" s="2">
        <f>IF(A7&lt;&gt;"", VLOOKUP(A7, imdb_netflix_v5!A$2:H$7370, 7, FALSE), "")</f>
        <v>2740000</v>
      </c>
    </row>
    <row r="8" hidden="1">
      <c r="A8" s="1" t="s">
        <v>5527</v>
      </c>
      <c r="B8" s="1" t="str">
        <f>IF(A8&lt;&gt;"", VLOOKUP(A8, imdb_netflix_v5!A$2:H$7370, 2, FALSE), "")</f>
        <v>TV Show</v>
      </c>
      <c r="C8" s="2" t="str">
        <f>IF(A8&lt;&gt;"", VLOOKUP(A8, imdb_netflix_v5!A$2:H$7370, 3, FALSE), "")</f>
        <v>Adventure, Animation, Comedy</v>
      </c>
      <c r="D8" s="4">
        <f>IF(A8&lt;&gt;"", VLOOKUP(A8, imdb_netflix_v5!A$2:H$7370, 4, FALSE), "")</f>
        <v>7.2</v>
      </c>
      <c r="E8" s="2">
        <f>IF(A8&lt;&gt;"", VLOOKUP(A8, imdb_netflix_v5!A$2:H$7370, 5, FALSE), "")</f>
        <v>1981</v>
      </c>
      <c r="F8" s="2">
        <f>IF(A8&lt;&gt;"", VLOOKUP(A8, imdb_netflix_v5!A$2:H$7370, 7, FALSE), "")</f>
        <v>9220000</v>
      </c>
    </row>
    <row r="9" hidden="1">
      <c r="A9" s="1" t="s">
        <v>2926</v>
      </c>
      <c r="B9" s="1" t="str">
        <f>IF(A9&lt;&gt;"", VLOOKUP(A9, imdb_netflix_v5!A$2:H$7370, 2, FALSE), "")</f>
        <v>Movie</v>
      </c>
      <c r="C9" s="2" t="str">
        <f>IF(A9&lt;&gt;"", VLOOKUP(A9, imdb_netflix_v5!A$2:H$7370, 3, FALSE), "")</f>
        <v>Biography, Drama, History</v>
      </c>
      <c r="D9" s="2">
        <f>IF(A9&lt;&gt;"", VLOOKUP(A9, imdb_netflix_v5!A$2:H$7370, 4, FALSE), "")</f>
        <v>7.7</v>
      </c>
      <c r="E9" s="2">
        <f>IF(A9&lt;&gt;"", VLOOKUP(A9, imdb_netflix_v5!A$2:H$7370, 5, FALSE), "")</f>
        <v>1982</v>
      </c>
      <c r="F9" s="2">
        <f>IF(A9&lt;&gt;"", VLOOKUP(A9, imdb_netflix_v5!A$2:H$7370, 7, FALSE), "")</f>
        <v>8080000</v>
      </c>
    </row>
    <row r="10" hidden="1">
      <c r="A10" s="1" t="s">
        <v>3752</v>
      </c>
      <c r="B10" s="1" t="str">
        <f>IF(A10&lt;&gt;"", VLOOKUP(A10, imdb_netflix_v5!A$2:H$7370, 2, FALSE), "")</f>
        <v>Movie</v>
      </c>
      <c r="C10" s="2" t="str">
        <f>IF(A10&lt;&gt;"", VLOOKUP(A10, imdb_netflix_v5!A$2:H$7370, 3, FALSE), "")</f>
        <v>Drama, Romance</v>
      </c>
      <c r="D10" s="2">
        <f>IF(A10&lt;&gt;"", VLOOKUP(A10, imdb_netflix_v5!A$2:H$7370, 4, FALSE), "")</f>
        <v>7.5</v>
      </c>
      <c r="E10" s="2">
        <f>IF(A10&lt;&gt;"", VLOOKUP(A10, imdb_netflix_v5!A$2:H$7370, 5, FALSE), "")</f>
        <v>1988</v>
      </c>
      <c r="F10" s="2">
        <f>IF(A10&lt;&gt;"", VLOOKUP(A10, imdb_netflix_v5!A$2:H$7370, 7, FALSE), "")</f>
        <v>2150000</v>
      </c>
    </row>
    <row r="11" hidden="1">
      <c r="A11" s="1" t="s">
        <v>2852</v>
      </c>
      <c r="B11" s="1" t="str">
        <f>IF(A11&lt;&gt;"", VLOOKUP(A11, imdb_netflix_v5!A$2:H$7370, 2, FALSE), "")</f>
        <v>Movie</v>
      </c>
      <c r="C11" s="2" t="str">
        <f>IF(A11&lt;&gt;"", VLOOKUP(A11, imdb_netflix_v5!A$2:H$7370, 3, FALSE), "")</f>
        <v>Mystery, Thriller</v>
      </c>
      <c r="D11" s="2">
        <f>IF(A11&lt;&gt;"", VLOOKUP(A11, imdb_netflix_v5!A$2:H$7370, 4, FALSE), "")</f>
        <v>7.7</v>
      </c>
      <c r="E11" s="2">
        <f>IF(A11&lt;&gt;"", VLOOKUP(A11, imdb_netflix_v5!A$2:H$7370, 5, FALSE), "")</f>
        <v>1988</v>
      </c>
      <c r="F11" s="2">
        <f>IF(A11&lt;&gt;"", VLOOKUP(A11, imdb_netflix_v5!A$2:H$7370, 7, FALSE), "")</f>
        <v>7030000</v>
      </c>
    </row>
    <row r="12" hidden="1">
      <c r="A12" s="1" t="s">
        <v>2848</v>
      </c>
      <c r="B12" s="1" t="str">
        <f>IF(A12&lt;&gt;"", VLOOKUP(A12, imdb_netflix_v5!A$2:H$7370, 2, FALSE), "")</f>
        <v>Movie</v>
      </c>
      <c r="C12" s="2" t="str">
        <f>IF(A12&lt;&gt;"", VLOOKUP(A12, imdb_netflix_v5!A$2:H$7370, 3, FALSE), "")</f>
        <v>Action, Crime, Drama</v>
      </c>
      <c r="D12" s="2">
        <f>IF(A12&lt;&gt;"", VLOOKUP(A12, imdb_netflix_v5!A$2:H$7370, 4, FALSE), "")</f>
        <v>7.7</v>
      </c>
      <c r="E12" s="2">
        <f>IF(A12&lt;&gt;"", VLOOKUP(A12, imdb_netflix_v5!A$2:H$7370, 5, FALSE), "")</f>
        <v>1989</v>
      </c>
      <c r="F12" s="2">
        <f>IF(A12&lt;&gt;"", VLOOKUP(A12, imdb_netflix_v5!A$2:H$7370, 7, FALSE), "")</f>
        <v>7100000</v>
      </c>
    </row>
    <row r="13" hidden="1">
      <c r="A13" s="1" t="s">
        <v>1636</v>
      </c>
      <c r="B13" s="1" t="str">
        <f>IF(A13&lt;&gt;"", VLOOKUP(A13, imdb_netflix_v5!A$2:H$7370, 2, FALSE), "")</f>
        <v>Movie</v>
      </c>
      <c r="C13" s="2" t="str">
        <f>IF(A13&lt;&gt;"", VLOOKUP(A13, imdb_netflix_v5!A$2:H$7370, 3, FALSE), "")</f>
        <v>Animation, Family, Fantasy</v>
      </c>
      <c r="D13" s="2">
        <f>IF(A13&lt;&gt;"", VLOOKUP(A13, imdb_netflix_v5!A$2:H$7370, 4, FALSE), "")</f>
        <v>8</v>
      </c>
      <c r="E13" s="2">
        <f>IF(A13&lt;&gt;"", VLOOKUP(A13, imdb_netflix_v5!A$2:H$7370, 5, FALSE), "")</f>
        <v>1991</v>
      </c>
      <c r="F13" s="2">
        <f>IF(A13&lt;&gt;"", VLOOKUP(A13, imdb_netflix_v5!A$2:H$7370, 7, FALSE), "")</f>
        <v>1150000</v>
      </c>
    </row>
    <row r="14" hidden="1">
      <c r="A14" s="1" t="s">
        <v>807</v>
      </c>
      <c r="B14" s="1" t="str">
        <f>IF(A14&lt;&gt;"", VLOOKUP(A14, imdb_netflix_v5!A$2:H$7370, 2, FALSE), "")</f>
        <v>Movie</v>
      </c>
      <c r="C14" s="2" t="str">
        <f>IF(A14&lt;&gt;"", VLOOKUP(A14, imdb_netflix_v5!A$2:H$7370, 3, FALSE), "")</f>
        <v>Action, Crime, Drama</v>
      </c>
      <c r="D14" s="2">
        <f>IF(A14&lt;&gt;"", VLOOKUP(A14, imdb_netflix_v5!A$2:H$7370, 4, FALSE), "")</f>
        <v>8.3</v>
      </c>
      <c r="E14" s="2">
        <f>IF(A14&lt;&gt;"", VLOOKUP(A14, imdb_netflix_v5!A$2:H$7370, 5, FALSE), "")</f>
        <v>1995</v>
      </c>
      <c r="F14" s="2">
        <f>IF(A14&lt;&gt;"", VLOOKUP(A14, imdb_netflix_v5!A$2:H$7370, 7, FALSE), "")</f>
        <v>4520000</v>
      </c>
    </row>
    <row r="15" hidden="1">
      <c r="A15" s="1" t="s">
        <v>2812</v>
      </c>
      <c r="B15" s="1" t="str">
        <f>IF(A15&lt;&gt;"", VLOOKUP(A15, imdb_netflix_v5!A$2:H$7370, 2, FALSE), "")</f>
        <v>Movie</v>
      </c>
      <c r="C15" s="2" t="str">
        <f>IF(A15&lt;&gt;"", VLOOKUP(A15, imdb_netflix_v5!A$2:H$7370, 3, FALSE), "")</f>
        <v>Drama, Mystery, Sci-Fi</v>
      </c>
      <c r="D15" s="2">
        <f>IF(A15&lt;&gt;"", VLOOKUP(A15, imdb_netflix_v5!A$2:H$7370, 4, FALSE), "")</f>
        <v>7.7</v>
      </c>
      <c r="E15" s="2">
        <f>IF(A15&lt;&gt;"", VLOOKUP(A15, imdb_netflix_v5!A$2:H$7370, 5, FALSE), "")</f>
        <v>1997</v>
      </c>
      <c r="F15" s="2">
        <f>IF(A15&lt;&gt;"", VLOOKUP(A15, imdb_netflix_v5!A$2:H$7370, 7, FALSE), "")</f>
        <v>8220000</v>
      </c>
    </row>
    <row r="16" hidden="1">
      <c r="A16" s="1" t="s">
        <v>127</v>
      </c>
      <c r="B16" s="1" t="str">
        <f>IF(A16&lt;&gt;"", VLOOKUP(A16, imdb_netflix_v5!A$2:H$7370, 2, FALSE), "")</f>
        <v>TV Show</v>
      </c>
      <c r="C16" s="2" t="str">
        <f>IF(A16&lt;&gt;"", VLOOKUP(A16, imdb_netflix_v5!A$2:H$7370, 3, FALSE), "")</f>
        <v>Action, Adventure, Animation</v>
      </c>
      <c r="D16" s="4">
        <f>IF(A16&lt;&gt;"", VLOOKUP(A16, imdb_netflix_v5!A$2:H$7370, 4, FALSE), "")</f>
        <v>8.9</v>
      </c>
      <c r="E16" s="2">
        <f>IF(A16&lt;&gt;"", VLOOKUP(A16, imdb_netflix_v5!A$2:H$7370, 5, FALSE), "")</f>
        <v>1998</v>
      </c>
      <c r="F16" s="2">
        <f>IF(A16&lt;&gt;"", VLOOKUP(A16, imdb_netflix_v5!A$2:H$7370, 7, FALSE), "")</f>
        <v>15260000</v>
      </c>
    </row>
    <row r="17" hidden="1">
      <c r="A17" s="1" t="s">
        <v>85</v>
      </c>
      <c r="B17" s="1" t="str">
        <f>IF(A17&lt;&gt;"", VLOOKUP(A17, imdb_netflix_v5!A$2:H$7370, 2, FALSE), "")</f>
        <v>TV Show</v>
      </c>
      <c r="C17" s="2" t="str">
        <f>IF(A17&lt;&gt;"", VLOOKUP(A17, imdb_netflix_v5!A$2:H$7370, 3, FALSE), "")</f>
        <v>Action, Adventure, Animation</v>
      </c>
      <c r="D17" s="4">
        <f>IF(A17&lt;&gt;"", VLOOKUP(A17, imdb_netflix_v5!A$2:H$7370, 4, FALSE), "")</f>
        <v>9</v>
      </c>
      <c r="E17" s="2">
        <f>IF(A17&lt;&gt;"", VLOOKUP(A17, imdb_netflix_v5!A$2:H$7370, 5, FALSE), "")</f>
        <v>1999</v>
      </c>
      <c r="F17" s="2">
        <f>IF(A17&lt;&gt;"", VLOOKUP(A17, imdb_netflix_v5!A$2:H$7370, 7, FALSE), "")</f>
        <v>10900000</v>
      </c>
    </row>
    <row r="18" hidden="1">
      <c r="A18" s="1" t="s">
        <v>5755</v>
      </c>
      <c r="B18" s="1" t="str">
        <f>IF(A18&lt;&gt;"", VLOOKUP(A18, imdb_netflix_v5!A$2:H$7370, 2, FALSE), "")</f>
        <v>Movie</v>
      </c>
      <c r="C18" s="2" t="str">
        <f>IF(A18&lt;&gt;"", VLOOKUP(A18, imdb_netflix_v5!A$2:H$7370, 3, FALSE), "")</f>
        <v>Action, Adventure, Fantasy</v>
      </c>
      <c r="D18" s="2">
        <f>IF(A18&lt;&gt;"", VLOOKUP(A18, imdb_netflix_v5!A$2:H$7370, 4, FALSE), "")</f>
        <v>7.1</v>
      </c>
      <c r="E18" s="2">
        <f>IF(A18&lt;&gt;"", VLOOKUP(A18, imdb_netflix_v5!A$2:H$7370, 5, FALSE), "")</f>
        <v>1999</v>
      </c>
      <c r="F18" s="2">
        <f>IF(A18&lt;&gt;"", VLOOKUP(A18, imdb_netflix_v5!A$2:H$7370, 7, FALSE), "")</f>
        <v>11540000</v>
      </c>
    </row>
    <row r="19" ht="15.75" hidden="1" customHeight="1">
      <c r="A19" s="1" t="s">
        <v>1651</v>
      </c>
      <c r="B19" s="1" t="str">
        <f>IF(A19&lt;&gt;"", VLOOKUP(A19, imdb_netflix_v5!A$2:H$7370, 2, FALSE), "")</f>
        <v>Movie</v>
      </c>
      <c r="C19" s="2" t="str">
        <f>IF(A19&lt;&gt;"", VLOOKUP(A19, imdb_netflix_v5!A$2:H$7370, 3, FALSE), "")</f>
        <v>Drama, Thriller</v>
      </c>
      <c r="D19" s="2">
        <f>IF(A19&lt;&gt;"", VLOOKUP(A19, imdb_netflix_v5!A$2:H$7370, 4, FALSE), "")</f>
        <v>8</v>
      </c>
      <c r="E19" s="2">
        <f>IF(A19&lt;&gt;"", VLOOKUP(A19, imdb_netflix_v5!A$2:H$7370, 5, FALSE), "")</f>
        <v>2000</v>
      </c>
      <c r="F19" s="2">
        <f>IF(A19&lt;&gt;"", VLOOKUP(A19, imdb_netflix_v5!A$2:H$7370, 7, FALSE), "")</f>
        <v>1450000</v>
      </c>
    </row>
    <row r="20" ht="15.75" hidden="1" customHeight="1">
      <c r="A20" s="1" t="s">
        <v>1957</v>
      </c>
      <c r="B20" s="1" t="str">
        <f>IF(A20&lt;&gt;"", VLOOKUP(A20, imdb_netflix_v5!A$2:H$7370, 2, FALSE), "")</f>
        <v>Movie</v>
      </c>
      <c r="C20" s="2" t="str">
        <f>IF(A20&lt;&gt;"", VLOOKUP(A20, imdb_netflix_v5!A$2:H$7370, 3, FALSE), "")</f>
        <v>Adventure, Animation, Comedy</v>
      </c>
      <c r="D20" s="2">
        <f>IF(A20&lt;&gt;"", VLOOKUP(A20, imdb_netflix_v5!A$2:H$7370, 4, FALSE), "")</f>
        <v>7.9</v>
      </c>
      <c r="E20" s="2">
        <f>IF(A20&lt;&gt;"", VLOOKUP(A20, imdb_netflix_v5!A$2:H$7370, 5, FALSE), "")</f>
        <v>2001</v>
      </c>
      <c r="F20" s="2">
        <f>IF(A20&lt;&gt;"", VLOOKUP(A20, imdb_netflix_v5!A$2:H$7370, 7, FALSE), "")</f>
        <v>4540000</v>
      </c>
    </row>
    <row r="21" ht="15.75" hidden="1" customHeight="1">
      <c r="A21" s="1" t="s">
        <v>2681</v>
      </c>
      <c r="B21" s="1" t="str">
        <f>IF(A21&lt;&gt;"", VLOOKUP(A21, imdb_netflix_v5!A$2:H$7370, 2, FALSE), "")</f>
        <v>Movie</v>
      </c>
      <c r="C21" s="2" t="str">
        <f>IF(A21&lt;&gt;"", VLOOKUP(A21, imdb_netflix_v5!A$2:H$7370, 3, FALSE), "")</f>
        <v>Adventure, Family, Fantasy</v>
      </c>
      <c r="D21" s="2">
        <f>IF(A21&lt;&gt;"", VLOOKUP(A21, imdb_netflix_v5!A$2:H$7370, 4, FALSE), "")</f>
        <v>7.7</v>
      </c>
      <c r="E21" s="2">
        <f>IF(A21&lt;&gt;"", VLOOKUP(A21, imdb_netflix_v5!A$2:H$7370, 5, FALSE), "")</f>
        <v>2001</v>
      </c>
      <c r="F21" s="2">
        <f>IF(A21&lt;&gt;"", VLOOKUP(A21, imdb_netflix_v5!A$2:H$7370, 7, FALSE), "")</f>
        <v>4790000</v>
      </c>
    </row>
    <row r="22" ht="15.75" hidden="1" customHeight="1">
      <c r="A22" s="1" t="s">
        <v>329</v>
      </c>
      <c r="B22" s="1" t="str">
        <f>IF(A22&lt;&gt;"", VLOOKUP(A22, imdb_netflix_v5!A$2:H$7370, 2, FALSE), "")</f>
        <v>Movie</v>
      </c>
      <c r="C22" s="2" t="str">
        <f>IF(A22&lt;&gt;"", VLOOKUP(A22, imdb_netflix_v5!A$2:H$7370, 3, FALSE), "")</f>
        <v>Crime, Drama</v>
      </c>
      <c r="D22" s="2">
        <f>IF(A22&lt;&gt;"", VLOOKUP(A22, imdb_netflix_v5!A$2:H$7370, 4, FALSE), "")</f>
        <v>8.6</v>
      </c>
      <c r="E22" s="2">
        <f>IF(A22&lt;&gt;"", VLOOKUP(A22, imdb_netflix_v5!A$2:H$7370, 5, FALSE), "")</f>
        <v>2002</v>
      </c>
      <c r="F22" s="2">
        <f>IF(A22&lt;&gt;"", VLOOKUP(A22, imdb_netflix_v5!A$2:H$7370, 7, FALSE), "")</f>
        <v>3050000</v>
      </c>
    </row>
    <row r="23" ht="15.75" hidden="1" customHeight="1">
      <c r="A23" s="1" t="s">
        <v>4127</v>
      </c>
      <c r="B23" s="1" t="str">
        <f>IF(A23&lt;&gt;"", VLOOKUP(A23, imdb_netflix_v5!A$2:H$7370, 2, FALSE), "")</f>
        <v>Movie</v>
      </c>
      <c r="C23" s="2" t="str">
        <f>IF(A23&lt;&gt;"", VLOOKUP(A23, imdb_netflix_v5!A$2:H$7370, 3, FALSE), "")</f>
        <v>Action, Adventure, Sci-Fi</v>
      </c>
      <c r="D23" s="2">
        <f>IF(A23&lt;&gt;"", VLOOKUP(A23, imdb_netflix_v5!A$2:H$7370, 4, FALSE), "")</f>
        <v>7.4</v>
      </c>
      <c r="E23" s="2">
        <f>IF(A23&lt;&gt;"", VLOOKUP(A23, imdb_netflix_v5!A$2:H$7370, 5, FALSE), "")</f>
        <v>2002</v>
      </c>
      <c r="F23" s="2">
        <f>IF(A23&lt;&gt;"", VLOOKUP(A23, imdb_netflix_v5!A$2:H$7370, 7, FALSE), "")</f>
        <v>5430000</v>
      </c>
    </row>
    <row r="24" ht="15.75" hidden="1" customHeight="1">
      <c r="A24" s="1" t="s">
        <v>4121</v>
      </c>
      <c r="B24" s="1" t="str">
        <f>IF(A24&lt;&gt;"", VLOOKUP(A24, imdb_netflix_v5!A$2:H$7370, 2, FALSE), "")</f>
        <v>Movie</v>
      </c>
      <c r="C24" s="2" t="str">
        <f>IF(A24&lt;&gt;"", VLOOKUP(A24, imdb_netflix_v5!A$2:H$7370, 3, FALSE), "")</f>
        <v>Drama, Mystery</v>
      </c>
      <c r="D24" s="2">
        <f>IF(A24&lt;&gt;"", VLOOKUP(A24, imdb_netflix_v5!A$2:H$7370, 4, FALSE), "")</f>
        <v>7.5</v>
      </c>
      <c r="E24" s="2">
        <f>IF(A24&lt;&gt;"", VLOOKUP(A24, imdb_netflix_v5!A$2:H$7370, 5, FALSE), "")</f>
        <v>2002</v>
      </c>
      <c r="F24" s="2">
        <f>IF(A24&lt;&gt;"", VLOOKUP(A24, imdb_netflix_v5!A$2:H$7370, 7, FALSE), "")</f>
        <v>7940000</v>
      </c>
    </row>
    <row r="25" ht="15.75" hidden="1" customHeight="1">
      <c r="A25" s="1" t="s">
        <v>3412</v>
      </c>
      <c r="B25" s="1" t="str">
        <f>IF(A25&lt;&gt;"", VLOOKUP(A25, imdb_netflix_v5!A$2:H$7370, 2, FALSE), "")</f>
        <v>Movie</v>
      </c>
      <c r="C25" s="2" t="str">
        <f>IF(A25&lt;&gt;"", VLOOKUP(A25, imdb_netflix_v5!A$2:H$7370, 3, FALSE), "")</f>
        <v>Crime, Drama</v>
      </c>
      <c r="D25" s="2">
        <f>IF(A25&lt;&gt;"", VLOOKUP(A25, imdb_netflix_v5!A$2:H$7370, 4, FALSE), "")</f>
        <v>7.6</v>
      </c>
      <c r="E25" s="2">
        <f>IF(A25&lt;&gt;"", VLOOKUP(A25, imdb_netflix_v5!A$2:H$7370, 5, FALSE), "")</f>
        <v>2003</v>
      </c>
      <c r="F25" s="2">
        <f>IF(A25&lt;&gt;"", VLOOKUP(A25, imdb_netflix_v5!A$2:H$7370, 7, FALSE), "")</f>
        <v>1760000</v>
      </c>
    </row>
    <row r="26" ht="15.75" hidden="1" customHeight="1">
      <c r="A26" s="1" t="s">
        <v>2761</v>
      </c>
      <c r="B26" s="1" t="str">
        <f>IF(A26&lt;&gt;"", VLOOKUP(A26, imdb_netflix_v5!A$2:H$7370, 2, FALSE), "")</f>
        <v>Movie</v>
      </c>
      <c r="C26" s="2" t="str">
        <f>IF(A26&lt;&gt;"", VLOOKUP(A26, imdb_netflix_v5!A$2:H$7370, 3, FALSE), "")</f>
        <v>Action, Comedy, Fantasy</v>
      </c>
      <c r="D26" s="2">
        <f>IF(A26&lt;&gt;"", VLOOKUP(A26, imdb_netflix_v5!A$2:H$7370, 4, FALSE), "")</f>
        <v>7.7</v>
      </c>
      <c r="E26" s="2">
        <f>IF(A26&lt;&gt;"", VLOOKUP(A26, imdb_netflix_v5!A$2:H$7370, 5, FALSE), "")</f>
        <v>2004</v>
      </c>
      <c r="F26" s="2">
        <f>IF(A26&lt;&gt;"", VLOOKUP(A26, imdb_netflix_v5!A$2:H$7370, 7, FALSE), "")</f>
        <v>1800000</v>
      </c>
    </row>
    <row r="27" ht="15.75" hidden="1" customHeight="1">
      <c r="A27" s="1" t="s">
        <v>3622</v>
      </c>
      <c r="B27" s="1" t="str">
        <f>IF(A27&lt;&gt;"", VLOOKUP(A27, imdb_netflix_v5!A$2:H$7370, 2, FALSE), "")</f>
        <v>Movie</v>
      </c>
      <c r="C27" s="2" t="str">
        <f>IF(A27&lt;&gt;"", VLOOKUP(A27, imdb_netflix_v5!A$2:H$7370, 3, FALSE), "")</f>
        <v>Action, Crime, Drama</v>
      </c>
      <c r="D27" s="2">
        <f>IF(A27&lt;&gt;"", VLOOKUP(A27, imdb_netflix_v5!A$2:H$7370, 4, FALSE), "")</f>
        <v>7.5</v>
      </c>
      <c r="E27" s="2">
        <f>IF(A27&lt;&gt;"", VLOOKUP(A27, imdb_netflix_v5!A$2:H$7370, 5, FALSE), "")</f>
        <v>2004</v>
      </c>
      <c r="F27" s="2">
        <f>IF(A27&lt;&gt;"", VLOOKUP(A27, imdb_netflix_v5!A$2:H$7370, 7, FALSE), "")</f>
        <v>6100000</v>
      </c>
    </row>
    <row r="28" ht="15.75" hidden="1" customHeight="1">
      <c r="A28" s="1" t="s">
        <v>5760</v>
      </c>
      <c r="B28" s="1" t="str">
        <f>IF(A28&lt;&gt;"", VLOOKUP(A28, imdb_netflix_v5!A$2:H$7370, 2, FALSE), "")</f>
        <v>Movie</v>
      </c>
      <c r="C28" s="2" t="str">
        <f>IF(A28&lt;&gt;"", VLOOKUP(A28, imdb_netflix_v5!A$2:H$7370, 3, FALSE), "")</f>
        <v>Comedy</v>
      </c>
      <c r="D28" s="2">
        <f>IF(A28&lt;&gt;"", VLOOKUP(A28, imdb_netflix_v5!A$2:H$7370, 4, FALSE), "")</f>
        <v>7.1</v>
      </c>
      <c r="E28" s="2">
        <f>IF(A28&lt;&gt;"", VLOOKUP(A28, imdb_netflix_v5!A$2:H$7370, 5, FALSE), "")</f>
        <v>2004</v>
      </c>
      <c r="F28" s="2">
        <f>IF(A28&lt;&gt;"", VLOOKUP(A28, imdb_netflix_v5!A$2:H$7370, 7, FALSE), "")</f>
        <v>6300000</v>
      </c>
    </row>
    <row r="29" ht="15.75" hidden="1" customHeight="1">
      <c r="A29" s="1" t="s">
        <v>1173</v>
      </c>
      <c r="B29" s="1" t="str">
        <f>IF(A29&lt;&gt;"", VLOOKUP(A29, imdb_netflix_v5!A$2:H$7370, 2, FALSE), "")</f>
        <v>TV Show</v>
      </c>
      <c r="C29" s="2" t="str">
        <f>IF(A29&lt;&gt;"", VLOOKUP(A29, imdb_netflix_v5!A$2:H$7370, 3, FALSE), "")</f>
        <v>Crime, Drama, Mystery</v>
      </c>
      <c r="D29" s="4">
        <f>IF(A29&lt;&gt;"", VLOOKUP(A29, imdb_netflix_v5!A$2:H$7370, 4, FALSE), "")</f>
        <v>8.2</v>
      </c>
      <c r="E29" s="2">
        <f>IF(A29&lt;&gt;"", VLOOKUP(A29, imdb_netflix_v5!A$2:H$7370, 5, FALSE), "")</f>
        <v>2004</v>
      </c>
      <c r="F29" s="2">
        <f>IF(A29&lt;&gt;"", VLOOKUP(A29, imdb_netflix_v5!A$2:H$7370, 7, FALSE), "")</f>
        <v>6450000</v>
      </c>
    </row>
    <row r="30" ht="15.75" hidden="1" customHeight="1">
      <c r="A30" s="1" t="s">
        <v>4141</v>
      </c>
      <c r="B30" s="1" t="str">
        <f>IF(A30&lt;&gt;"", VLOOKUP(A30, imdb_netflix_v5!A$2:H$7370, 2, FALSE), "")</f>
        <v>Movie</v>
      </c>
      <c r="C30" s="2" t="str">
        <f>IF(A30&lt;&gt;"", VLOOKUP(A30, imdb_netflix_v5!A$2:H$7370, 3, FALSE), "")</f>
        <v>Adventure, Animation, Comedy</v>
      </c>
      <c r="D30" s="2">
        <f>IF(A30&lt;&gt;"", VLOOKUP(A30, imdb_netflix_v5!A$2:H$7370, 4, FALSE), "")</f>
        <v>7.4</v>
      </c>
      <c r="E30" s="2">
        <f>IF(A30&lt;&gt;"", VLOOKUP(A30, imdb_netflix_v5!A$2:H$7370, 5, FALSE), "")</f>
        <v>2004</v>
      </c>
      <c r="F30" s="2">
        <f>IF(A30&lt;&gt;"", VLOOKUP(A30, imdb_netflix_v5!A$2:H$7370, 7, FALSE), "")</f>
        <v>6750000</v>
      </c>
    </row>
    <row r="31" ht="15.75" hidden="1" customHeight="1">
      <c r="A31" s="1" t="s">
        <v>2706</v>
      </c>
      <c r="B31" s="1" t="str">
        <f>IF(A31&lt;&gt;"", VLOOKUP(A31, imdb_netflix_v5!A$2:H$7370, 2, FALSE), "")</f>
        <v>Movie</v>
      </c>
      <c r="C31" s="2" t="str">
        <f>IF(A31&lt;&gt;"", VLOOKUP(A31, imdb_netflix_v5!A$2:H$7370, 3, FALSE), "")</f>
        <v>Crime, Drama, Thriller</v>
      </c>
      <c r="D31" s="2">
        <f>IF(A31&lt;&gt;"", VLOOKUP(A31, imdb_netflix_v5!A$2:H$7370, 4, FALSE), "")</f>
        <v>7.7</v>
      </c>
      <c r="E31" s="2">
        <f>IF(A31&lt;&gt;"", VLOOKUP(A31, imdb_netflix_v5!A$2:H$7370, 5, FALSE), "")</f>
        <v>2004</v>
      </c>
      <c r="F31" s="2">
        <f>IF(A31&lt;&gt;"", VLOOKUP(A31, imdb_netflix_v5!A$2:H$7370, 7, FALSE), "")</f>
        <v>9400000</v>
      </c>
    </row>
    <row r="32" ht="15.75" hidden="1" customHeight="1">
      <c r="A32" s="1" t="s">
        <v>4054</v>
      </c>
      <c r="B32" s="1" t="str">
        <f>IF(A32&lt;&gt;"", VLOOKUP(A32, imdb_netflix_v5!A$2:H$7370, 2, FALSE), "")</f>
        <v>TV Show</v>
      </c>
      <c r="C32" s="2" t="str">
        <f>IF(A32&lt;&gt;"", VLOOKUP(A32, imdb_netflix_v5!A$2:H$7370, 3, FALSE), "")</f>
        <v>Drama, Horror, Mystery</v>
      </c>
      <c r="D32" s="4">
        <f>IF(A32&lt;&gt;"", VLOOKUP(A32, imdb_netflix_v5!A$2:H$7370, 4, FALSE), "")</f>
        <v>7.5</v>
      </c>
      <c r="E32" s="2">
        <f>IF(A32&lt;&gt;"", VLOOKUP(A32, imdb_netflix_v5!A$2:H$7370, 5, FALSE), "")</f>
        <v>2005</v>
      </c>
      <c r="F32" s="2">
        <f>IF(A32&lt;&gt;"", VLOOKUP(A32, imdb_netflix_v5!A$2:H$7370, 7, FALSE), "")</f>
        <v>2990000</v>
      </c>
    </row>
    <row r="33" ht="15.75" hidden="1" customHeight="1">
      <c r="A33" s="1" t="s">
        <v>4741</v>
      </c>
      <c r="B33" s="1" t="str">
        <f>IF(A33&lt;&gt;"", VLOOKUP(A33, imdb_netflix_v5!A$2:H$7370, 2, FALSE), "")</f>
        <v>Movie</v>
      </c>
      <c r="C33" s="2" t="str">
        <f>IF(A33&lt;&gt;"", VLOOKUP(A33, imdb_netflix_v5!A$2:H$7370, 3, FALSE), "")</f>
        <v>Biography, Drama, Sport</v>
      </c>
      <c r="D33" s="2">
        <f>IF(A33&lt;&gt;"", VLOOKUP(A33, imdb_netflix_v5!A$2:H$7370, 4, FALSE), "")</f>
        <v>7.3</v>
      </c>
      <c r="E33" s="2">
        <f>IF(A33&lt;&gt;"", VLOOKUP(A33, imdb_netflix_v5!A$2:H$7370, 5, FALSE), "")</f>
        <v>2005</v>
      </c>
      <c r="F33" s="2">
        <f>IF(A33&lt;&gt;"", VLOOKUP(A33, imdb_netflix_v5!A$2:H$7370, 7, FALSE), "")</f>
        <v>5450000</v>
      </c>
    </row>
    <row r="34" ht="15.75" hidden="1" customHeight="1">
      <c r="A34" s="1" t="s">
        <v>4747</v>
      </c>
      <c r="B34" s="1" t="str">
        <f>IF(A34&lt;&gt;"", VLOOKUP(A34, imdb_netflix_v5!A$2:H$7370, 2, FALSE), "")</f>
        <v>Movie</v>
      </c>
      <c r="C34" s="2" t="str">
        <f>IF(A34&lt;&gt;"", VLOOKUP(A34, imdb_netflix_v5!A$2:H$7370, 3, FALSE), "")</f>
        <v>Drama, Romance</v>
      </c>
      <c r="D34" s="2">
        <f>IF(A34&lt;&gt;"", VLOOKUP(A34, imdb_netflix_v5!A$2:H$7370, 4, FALSE), "")</f>
        <v>7.3</v>
      </c>
      <c r="E34" s="2">
        <f>IF(A34&lt;&gt;"", VLOOKUP(A34, imdb_netflix_v5!A$2:H$7370, 5, FALSE), "")</f>
        <v>2005</v>
      </c>
      <c r="F34" s="2">
        <f>IF(A34&lt;&gt;"", VLOOKUP(A34, imdb_netflix_v5!A$2:H$7370, 7, FALSE), "")</f>
        <v>10200000</v>
      </c>
    </row>
    <row r="35" ht="15.75" hidden="1" customHeight="1">
      <c r="A35" s="1" t="s">
        <v>3142</v>
      </c>
      <c r="B35" s="1" t="str">
        <f>IF(A35&lt;&gt;"", VLOOKUP(A35, imdb_netflix_v5!A$2:H$7370, 2, FALSE), "")</f>
        <v>TV Show</v>
      </c>
      <c r="C35" s="2" t="str">
        <f>IF(A35&lt;&gt;"", VLOOKUP(A35, imdb_netflix_v5!A$2:H$7370, 3, FALSE), "")</f>
        <v>Drama, Romance</v>
      </c>
      <c r="D35" s="4">
        <f>IF(A35&lt;&gt;"", VLOOKUP(A35, imdb_netflix_v5!A$2:H$7370, 4, FALSE), "")</f>
        <v>7.6</v>
      </c>
      <c r="E35" s="2">
        <f>IF(A35&lt;&gt;"", VLOOKUP(A35, imdb_netflix_v5!A$2:H$7370, 5, FALSE), "")</f>
        <v>2005</v>
      </c>
      <c r="F35" s="2">
        <f>IF(A35&lt;&gt;"", VLOOKUP(A35, imdb_netflix_v5!A$2:H$7370, 7, FALSE), "")</f>
        <v>15990000</v>
      </c>
    </row>
    <row r="36" ht="15.75" hidden="1" customHeight="1">
      <c r="A36" s="1" t="s">
        <v>3648</v>
      </c>
      <c r="B36" s="1" t="str">
        <f>IF(A36&lt;&gt;"", VLOOKUP(A36, imdb_netflix_v5!A$2:H$7370, 2, FALSE), "")</f>
        <v>Movie</v>
      </c>
      <c r="C36" s="2" t="str">
        <f>IF(A36&lt;&gt;"", VLOOKUP(A36, imdb_netflix_v5!A$2:H$7370, 3, FALSE), "")</f>
        <v>Crime, Drama, Fantasy</v>
      </c>
      <c r="D36" s="2">
        <f>IF(A36&lt;&gt;"", VLOOKUP(A36, imdb_netflix_v5!A$2:H$7370, 4, FALSE), "")</f>
        <v>7.5</v>
      </c>
      <c r="E36" s="2">
        <f>IF(A36&lt;&gt;"", VLOOKUP(A36, imdb_netflix_v5!A$2:H$7370, 5, FALSE), "")</f>
        <v>2006</v>
      </c>
      <c r="F36" s="2">
        <f>IF(A36&lt;&gt;"", VLOOKUP(A36, imdb_netflix_v5!A$2:H$7370, 7, FALSE), "")</f>
        <v>4450000</v>
      </c>
    </row>
    <row r="37" ht="15.75" hidden="1" customHeight="1">
      <c r="A37" s="1" t="s">
        <v>3136</v>
      </c>
      <c r="B37" s="1" t="str">
        <f>IF(A37&lt;&gt;"", VLOOKUP(A37, imdb_netflix_v5!A$2:H$7370, 2, FALSE), "")</f>
        <v>Movie</v>
      </c>
      <c r="C37" s="2" t="str">
        <f>IF(A37&lt;&gt;"", VLOOKUP(A37, imdb_netflix_v5!A$2:H$7370, 3, FALSE), "")</f>
        <v>Crime, Drama, Mystery</v>
      </c>
      <c r="D37" s="2">
        <f>IF(A37&lt;&gt;"", VLOOKUP(A37, imdb_netflix_v5!A$2:H$7370, 4, FALSE), "")</f>
        <v>7.6</v>
      </c>
      <c r="E37" s="2">
        <f>IF(A37&lt;&gt;"", VLOOKUP(A37, imdb_netflix_v5!A$2:H$7370, 5, FALSE), "")</f>
        <v>2006</v>
      </c>
      <c r="F37" s="2">
        <f>IF(A37&lt;&gt;"", VLOOKUP(A37, imdb_netflix_v5!A$2:H$7370, 7, FALSE), "")</f>
        <v>24970000</v>
      </c>
    </row>
    <row r="38" ht="15.75" hidden="1" customHeight="1">
      <c r="A38" s="1" t="s">
        <v>1689</v>
      </c>
      <c r="B38" s="1" t="str">
        <f>IF(A38&lt;&gt;"", VLOOKUP(A38, imdb_netflix_v5!A$2:H$7370, 2, FALSE), "")</f>
        <v>Movie</v>
      </c>
      <c r="C38" s="2" t="str">
        <f>IF(A38&lt;&gt;"", VLOOKUP(A38, imdb_netflix_v5!A$2:H$7370, 3, FALSE), "")</f>
        <v>Action, Crime, Drama</v>
      </c>
      <c r="D38" s="2">
        <f>IF(A38&lt;&gt;"", VLOOKUP(A38, imdb_netflix_v5!A$2:H$7370, 4, FALSE), "")</f>
        <v>8</v>
      </c>
      <c r="E38" s="2">
        <f>IF(A38&lt;&gt;"", VLOOKUP(A38, imdb_netflix_v5!A$2:H$7370, 5, FALSE), "")</f>
        <v>2007</v>
      </c>
      <c r="F38" s="2">
        <f>IF(A38&lt;&gt;"", VLOOKUP(A38, imdb_netflix_v5!A$2:H$7370, 7, FALSE), "")</f>
        <v>2360000</v>
      </c>
    </row>
    <row r="39" ht="15.75" hidden="1" customHeight="1">
      <c r="A39" s="1" t="s">
        <v>5772</v>
      </c>
      <c r="B39" s="1" t="str">
        <f>IF(A39&lt;&gt;"", VLOOKUP(A39, imdb_netflix_v5!A$2:H$7370, 2, FALSE), "")</f>
        <v>Movie</v>
      </c>
      <c r="C39" s="2" t="str">
        <f>IF(A39&lt;&gt;"", VLOOKUP(A39, imdb_netflix_v5!A$2:H$7370, 3, FALSE), "")</f>
        <v>Horror, Sci-Fi, Thriller</v>
      </c>
      <c r="D39" s="2">
        <f>IF(A39&lt;&gt;"", VLOOKUP(A39, imdb_netflix_v5!A$2:H$7370, 4, FALSE), "")</f>
        <v>7.1</v>
      </c>
      <c r="E39" s="2">
        <f>IF(A39&lt;&gt;"", VLOOKUP(A39, imdb_netflix_v5!A$2:H$7370, 5, FALSE), "")</f>
        <v>2007</v>
      </c>
      <c r="F39" s="2">
        <f>IF(A39&lt;&gt;"", VLOOKUP(A39, imdb_netflix_v5!A$2:H$7370, 7, FALSE), "")</f>
        <v>6230000</v>
      </c>
    </row>
    <row r="40" ht="15.75" hidden="1" customHeight="1">
      <c r="A40" s="1" t="s">
        <v>3753</v>
      </c>
      <c r="B40" s="1" t="str">
        <f>IF(A40&lt;&gt;"", VLOOKUP(A40, imdb_netflix_v5!A$2:H$7370, 2, FALSE), "")</f>
        <v>Movie</v>
      </c>
      <c r="C40" s="2" t="str">
        <f>IF(A40&lt;&gt;"", VLOOKUP(A40, imdb_netflix_v5!A$2:H$7370, 3, FALSE), "")</f>
        <v>Biography, Crime, Drama</v>
      </c>
      <c r="D40" s="2">
        <f>IF(A40&lt;&gt;"", VLOOKUP(A40, imdb_netflix_v5!A$2:H$7370, 4, FALSE), "")</f>
        <v>7.5</v>
      </c>
      <c r="E40" s="2">
        <f>IF(A40&lt;&gt;"", VLOOKUP(A40, imdb_netflix_v5!A$2:H$7370, 5, FALSE), "")</f>
        <v>2008</v>
      </c>
      <c r="F40" s="2">
        <f>IF(A40&lt;&gt;"", VLOOKUP(A40, imdb_netflix_v5!A$2:H$7370, 7, FALSE), "")</f>
        <v>2620000</v>
      </c>
    </row>
    <row r="41" ht="15.75" hidden="1" customHeight="1">
      <c r="A41" s="1" t="s">
        <v>4989</v>
      </c>
      <c r="B41" s="1" t="str">
        <f>IF(A41&lt;&gt;"", VLOOKUP(A41, imdb_netflix_v5!A$2:H$7370, 2, FALSE), "")</f>
        <v>TV Show</v>
      </c>
      <c r="C41" s="2" t="str">
        <f>IF(A41&lt;&gt;"", VLOOKUP(A41, imdb_netflix_v5!A$2:H$7370, 3, FALSE), "")</f>
        <v>Action, Drama, Fantasy</v>
      </c>
      <c r="D41" s="4">
        <f>IF(A41&lt;&gt;"", VLOOKUP(A41, imdb_netflix_v5!A$2:H$7370, 4, FALSE), "")</f>
        <v>7.3</v>
      </c>
      <c r="E41" s="2">
        <f>IF(A41&lt;&gt;"", VLOOKUP(A41, imdb_netflix_v5!A$2:H$7370, 5, FALSE), "")</f>
        <v>2008</v>
      </c>
      <c r="F41" s="2">
        <f>IF(A41&lt;&gt;"", VLOOKUP(A41, imdb_netflix_v5!A$2:H$7370, 7, FALSE), "")</f>
        <v>11250000</v>
      </c>
    </row>
    <row r="42" ht="15.75" hidden="1" customHeight="1">
      <c r="A42" s="1" t="s">
        <v>3858</v>
      </c>
      <c r="B42" s="1" t="str">
        <f>IF(A42&lt;&gt;"", VLOOKUP(A42, imdb_netflix_v5!A$2:H$7370, 2, FALSE), "")</f>
        <v>Movie</v>
      </c>
      <c r="C42" s="2" t="str">
        <f>IF(A42&lt;&gt;"", VLOOKUP(A42, imdb_netflix_v5!A$2:H$7370, 3, FALSE), "")</f>
        <v>Adventure, Crime, Drama</v>
      </c>
      <c r="D42" s="2">
        <f>IF(A42&lt;&gt;"", VLOOKUP(A42, imdb_netflix_v5!A$2:H$7370, 4, FALSE), "")</f>
        <v>7.5</v>
      </c>
      <c r="E42" s="2">
        <f>IF(A42&lt;&gt;"", VLOOKUP(A42, imdb_netflix_v5!A$2:H$7370, 5, FALSE), "")</f>
        <v>2009</v>
      </c>
      <c r="F42" s="2">
        <f>IF(A42&lt;&gt;"", VLOOKUP(A42, imdb_netflix_v5!A$2:H$7370, 7, FALSE), "")</f>
        <v>1830000</v>
      </c>
    </row>
    <row r="43" ht="15.75" hidden="1" customHeight="1">
      <c r="A43" s="1" t="s">
        <v>556</v>
      </c>
      <c r="B43" s="1" t="str">
        <f>IF(A43&lt;&gt;"", VLOOKUP(A43, imdb_netflix_v5!A$2:H$7370, 2, FALSE), "")</f>
        <v>Movie</v>
      </c>
      <c r="C43" s="2" t="str">
        <f>IF(A43&lt;&gt;"", VLOOKUP(A43, imdb_netflix_v5!A$2:H$7370, 3, FALSE), "")</f>
        <v>Documentary, Family</v>
      </c>
      <c r="D43" s="2">
        <f>IF(A43&lt;&gt;"", VLOOKUP(A43, imdb_netflix_v5!A$2:H$7370, 4, FALSE), "")</f>
        <v>8.5</v>
      </c>
      <c r="E43" s="2">
        <f>IF(A43&lt;&gt;"", VLOOKUP(A43, imdb_netflix_v5!A$2:H$7370, 5, FALSE), "")</f>
        <v>2009</v>
      </c>
      <c r="F43" s="2">
        <f>IF(A43&lt;&gt;"", VLOOKUP(A43, imdb_netflix_v5!A$2:H$7370, 7, FALSE), "")</f>
        <v>8070000</v>
      </c>
    </row>
    <row r="44" ht="15.75" hidden="1" customHeight="1">
      <c r="A44" s="1" t="s">
        <v>3139</v>
      </c>
      <c r="B44" s="1" t="str">
        <f>IF(A44&lt;&gt;"", VLOOKUP(A44, imdb_netflix_v5!A$2:H$7370, 2, FALSE), "")</f>
        <v>Movie</v>
      </c>
      <c r="C44" s="2" t="str">
        <f>IF(A44&lt;&gt;"", VLOOKUP(A44, imdb_netflix_v5!A$2:H$7370, 3, FALSE), "")</f>
        <v>Biography, Drama, Sport</v>
      </c>
      <c r="D44" s="2">
        <f>IF(A44&lt;&gt;"", VLOOKUP(A44, imdb_netflix_v5!A$2:H$7370, 4, FALSE), "")</f>
        <v>7.6</v>
      </c>
      <c r="E44" s="2">
        <f>IF(A44&lt;&gt;"", VLOOKUP(A44, imdb_netflix_v5!A$2:H$7370, 5, FALSE), "")</f>
        <v>2009</v>
      </c>
      <c r="F44" s="2">
        <f>IF(A44&lt;&gt;"", VLOOKUP(A44, imdb_netflix_v5!A$2:H$7370, 7, FALSE), "")</f>
        <v>8710000</v>
      </c>
    </row>
    <row r="45" ht="15.75" hidden="1" customHeight="1">
      <c r="A45" s="1" t="s">
        <v>424</v>
      </c>
      <c r="B45" s="1" t="str">
        <f>IF(A45&lt;&gt;"", VLOOKUP(A45, imdb_netflix_v5!A$2:H$7370, 2, FALSE), "")</f>
        <v>TV Show</v>
      </c>
      <c r="C45" s="2" t="str">
        <f>IF(A45&lt;&gt;"", VLOOKUP(A45, imdb_netflix_v5!A$2:H$7370, 3, FALSE), "")</f>
        <v>Game-Show, Reality-TV</v>
      </c>
      <c r="D45" s="4">
        <f>IF(A45&lt;&gt;"", VLOOKUP(A45, imdb_netflix_v5!A$2:H$7370, 4, FALSE), "")</f>
        <v>8.6</v>
      </c>
      <c r="E45" s="2">
        <f>IF(A45&lt;&gt;"", VLOOKUP(A45, imdb_netflix_v5!A$2:H$7370, 5, FALSE), "")</f>
        <v>2010</v>
      </c>
      <c r="F45" s="2">
        <f>IF(A45&lt;&gt;"", VLOOKUP(A45, imdb_netflix_v5!A$2:H$7370, 7, FALSE), "")</f>
        <v>4300000</v>
      </c>
    </row>
    <row r="46" ht="15.75" hidden="1" customHeight="1">
      <c r="A46" s="1" t="s">
        <v>3119</v>
      </c>
      <c r="B46" s="1" t="str">
        <f>IF(A46&lt;&gt;"", VLOOKUP(A46, imdb_netflix_v5!A$2:H$7370, 2, FALSE), "")</f>
        <v>Movie</v>
      </c>
      <c r="C46" s="2" t="str">
        <f>IF(A46&lt;&gt;"", VLOOKUP(A46, imdb_netflix_v5!A$2:H$7370, 3, FALSE), "")</f>
        <v>Adventure, Animation, Comedy</v>
      </c>
      <c r="D46" s="2">
        <f>IF(A46&lt;&gt;"", VLOOKUP(A46, imdb_netflix_v5!A$2:H$7370, 4, FALSE), "")</f>
        <v>7.6</v>
      </c>
      <c r="E46" s="2">
        <f>IF(A46&lt;&gt;"", VLOOKUP(A46, imdb_netflix_v5!A$2:H$7370, 5, FALSE), "")</f>
        <v>2010</v>
      </c>
      <c r="F46" s="2">
        <f>IF(A46&lt;&gt;"", VLOOKUP(A46, imdb_netflix_v5!A$2:H$7370, 7, FALSE), "")</f>
        <v>5590000</v>
      </c>
    </row>
    <row r="47" ht="15.75" hidden="1" customHeight="1">
      <c r="A47" s="1" t="s">
        <v>852</v>
      </c>
      <c r="B47" s="1" t="str">
        <f>IF(A47&lt;&gt;"", VLOOKUP(A47, imdb_netflix_v5!A$2:H$7370, 2, FALSE), "")</f>
        <v>TV Show</v>
      </c>
      <c r="C47" s="2" t="str">
        <f>IF(A47&lt;&gt;"", VLOOKUP(A47, imdb_netflix_v5!A$2:H$7370, 3, FALSE), "")</f>
        <v>Action, Adventure, Drama</v>
      </c>
      <c r="D47" s="4">
        <f>IF(A47&lt;&gt;"", VLOOKUP(A47, imdb_netflix_v5!A$2:H$7370, 4, FALSE), "")</f>
        <v>8.3</v>
      </c>
      <c r="E47" s="2">
        <f>IF(A47&lt;&gt;"", VLOOKUP(A47, imdb_netflix_v5!A$2:H$7370, 5, FALSE), "")</f>
        <v>2010</v>
      </c>
      <c r="F47" s="2">
        <f>IF(A47&lt;&gt;"", VLOOKUP(A47, imdb_netflix_v5!A$2:H$7370, 7, FALSE), "")</f>
        <v>15300000</v>
      </c>
    </row>
    <row r="48" ht="15.75" hidden="1" customHeight="1">
      <c r="A48" s="1" t="s">
        <v>1270</v>
      </c>
      <c r="B48" s="1" t="str">
        <f>IF(A48&lt;&gt;"", VLOOKUP(A48, imdb_netflix_v5!A$2:H$7370, 2, FALSE), "")</f>
        <v>TV Show</v>
      </c>
      <c r="C48" s="2" t="str">
        <f>IF(A48&lt;&gt;"", VLOOKUP(A48, imdb_netflix_v5!A$2:H$7370, 3, FALSE), "")</f>
        <v>Drama, Horror, Thriller</v>
      </c>
      <c r="D48" s="4">
        <f>IF(A48&lt;&gt;"", VLOOKUP(A48, imdb_netflix_v5!A$2:H$7370, 4, FALSE), "")</f>
        <v>8.1</v>
      </c>
      <c r="E48" s="2">
        <f>IF(A48&lt;&gt;"", VLOOKUP(A48, imdb_netflix_v5!A$2:H$7370, 5, FALSE), "")</f>
        <v>2010</v>
      </c>
      <c r="F48" s="2">
        <f>IF(A48&lt;&gt;"", VLOOKUP(A48, imdb_netflix_v5!A$2:H$7370, 7, FALSE), "")</f>
        <v>15940000</v>
      </c>
    </row>
    <row r="49" ht="15.75" hidden="1" customHeight="1">
      <c r="A49" s="1" t="s">
        <v>1106</v>
      </c>
      <c r="B49" s="1" t="str">
        <f>IF(A49&lt;&gt;"", VLOOKUP(A49, imdb_netflix_v5!A$2:H$7370, 2, FALSE), "")</f>
        <v>Movie</v>
      </c>
      <c r="C49" s="2" t="str">
        <f>IF(A49&lt;&gt;"", VLOOKUP(A49, imdb_netflix_v5!A$2:H$7370, 3, FALSE), "")</f>
        <v>Crime, Documentary</v>
      </c>
      <c r="D49" s="2">
        <f>IF(A49&lt;&gt;"", VLOOKUP(A49, imdb_netflix_v5!A$2:H$7370, 4, FALSE), "")</f>
        <v>8.2</v>
      </c>
      <c r="E49" s="2">
        <f>IF(A49&lt;&gt;"", VLOOKUP(A49, imdb_netflix_v5!A$2:H$7370, 5, FALSE), "")</f>
        <v>2010</v>
      </c>
      <c r="F49" s="2">
        <f>IF(A49&lt;&gt;"", VLOOKUP(A49, imdb_netflix_v5!A$2:H$7370, 7, FALSE), "")</f>
        <v>21240000</v>
      </c>
    </row>
    <row r="50" ht="15.75" hidden="1" customHeight="1">
      <c r="A50" s="1" t="s">
        <v>4139</v>
      </c>
      <c r="B50" s="1" t="str">
        <f>IF(A50&lt;&gt;"", VLOOKUP(A50, imdb_netflix_v5!A$2:H$7370, 2, FALSE), "")</f>
        <v>Movie</v>
      </c>
      <c r="C50" s="2" t="str">
        <f>IF(A50&lt;&gt;"", VLOOKUP(A50, imdb_netflix_v5!A$2:H$7370, 3, FALSE), "")</f>
        <v>Action, Adventure, Thriller</v>
      </c>
      <c r="D50" s="2">
        <f>IF(A50&lt;&gt;"", VLOOKUP(A50, imdb_netflix_v5!A$2:H$7370, 4, FALSE), "")</f>
        <v>7.4</v>
      </c>
      <c r="E50" s="2">
        <f>IF(A50&lt;&gt;"", VLOOKUP(A50, imdb_netflix_v5!A$2:H$7370, 5, FALSE), "")</f>
        <v>2011</v>
      </c>
      <c r="F50" s="2">
        <f>IF(A50&lt;&gt;"", VLOOKUP(A50, imdb_netflix_v5!A$2:H$7370, 7, FALSE), "")</f>
        <v>6550000</v>
      </c>
    </row>
    <row r="51" ht="15.75" hidden="1" customHeight="1">
      <c r="A51" s="1" t="s">
        <v>219</v>
      </c>
      <c r="B51" s="1" t="str">
        <f>IF(A51&lt;&gt;"", VLOOKUP(A51, imdb_netflix_v5!A$2:H$7370, 2, FALSE), "")</f>
        <v>TV Show</v>
      </c>
      <c r="C51" s="2" t="str">
        <f>IF(A51&lt;&gt;"", VLOOKUP(A51, imdb_netflix_v5!A$2:H$7370, 3, FALSE), "")</f>
        <v>Crime, Drama, Mystery</v>
      </c>
      <c r="D51" s="4">
        <f>IF(A51&lt;&gt;"", VLOOKUP(A51, imdb_netflix_v5!A$2:H$7370, 4, FALSE), "")</f>
        <v>8.7</v>
      </c>
      <c r="E51" s="2">
        <f>IF(A51&lt;&gt;"", VLOOKUP(A51, imdb_netflix_v5!A$2:H$7370, 5, FALSE), "")</f>
        <v>2011</v>
      </c>
      <c r="F51" s="2">
        <f>IF(A51&lt;&gt;"", VLOOKUP(A51, imdb_netflix_v5!A$2:H$7370, 7, FALSE), "")</f>
        <v>16700000</v>
      </c>
    </row>
    <row r="52" ht="15.75" hidden="1" customHeight="1">
      <c r="A52" s="1" t="s">
        <v>137</v>
      </c>
      <c r="B52" s="1" t="str">
        <f>IF(A52&lt;&gt;"", VLOOKUP(A52, imdb_netflix_v5!A$2:H$7370, 2, FALSE), "")</f>
        <v>TV Show</v>
      </c>
      <c r="C52" s="2" t="str">
        <f>IF(A52&lt;&gt;"", VLOOKUP(A52, imdb_netflix_v5!A$2:H$7370, 3, FALSE), "")</f>
        <v>Action, Crime, Drama</v>
      </c>
      <c r="D52" s="4">
        <f>IF(A52&lt;&gt;"", VLOOKUP(A52, imdb_netflix_v5!A$2:H$7370, 4, FALSE), "")</f>
        <v>8.9</v>
      </c>
      <c r="E52" s="2">
        <f>IF(A52&lt;&gt;"", VLOOKUP(A52, imdb_netflix_v5!A$2:H$7370, 5, FALSE), "")</f>
        <v>2011</v>
      </c>
      <c r="F52" s="2">
        <f>IF(A52&lt;&gt;"", VLOOKUP(A52, imdb_netflix_v5!A$2:H$7370, 7, FALSE), "")</f>
        <v>16830000</v>
      </c>
    </row>
    <row r="53" ht="15.75" hidden="1" customHeight="1">
      <c r="A53" s="1" t="s">
        <v>693</v>
      </c>
      <c r="B53" s="1" t="str">
        <f>IF(A53&lt;&gt;"", VLOOKUP(A53, imdb_netflix_v5!A$2:H$7370, 2, FALSE), "")</f>
        <v>TV Show</v>
      </c>
      <c r="C53" s="2" t="str">
        <f>IF(A53&lt;&gt;"", VLOOKUP(A53, imdb_netflix_v5!A$2:H$7370, 3, FALSE), "")</f>
        <v>Crime, Drama, Thriller</v>
      </c>
      <c r="D53" s="4">
        <f>IF(A53&lt;&gt;"", VLOOKUP(A53, imdb_netflix_v5!A$2:H$7370, 4, FALSE), "")</f>
        <v>8.4</v>
      </c>
      <c r="E53" s="2">
        <f>IF(A53&lt;&gt;"", VLOOKUP(A53, imdb_netflix_v5!A$2:H$7370, 5, FALSE), "")</f>
        <v>2011</v>
      </c>
      <c r="F53" s="2">
        <f>IF(A53&lt;&gt;"", VLOOKUP(A53, imdb_netflix_v5!A$2:H$7370, 7, FALSE), "")</f>
        <v>18600000</v>
      </c>
    </row>
    <row r="54" ht="15.75" hidden="1" customHeight="1">
      <c r="A54" s="1" t="s">
        <v>629</v>
      </c>
      <c r="B54" s="1" t="str">
        <f>IF(A54&lt;&gt;"", VLOOKUP(A54, imdb_netflix_v5!A$2:H$7370, 2, FALSE), "")</f>
        <v>TV Show</v>
      </c>
      <c r="C54" s="2" t="str">
        <f>IF(A54&lt;&gt;"", VLOOKUP(A54, imdb_netflix_v5!A$2:H$7370, 3, FALSE), "")</f>
        <v>Comedy, Drama</v>
      </c>
      <c r="D54" s="4">
        <f>IF(A54&lt;&gt;"", VLOOKUP(A54, imdb_netflix_v5!A$2:H$7370, 4, FALSE), "")</f>
        <v>8.4</v>
      </c>
      <c r="E54" s="2">
        <f>IF(A54&lt;&gt;"", VLOOKUP(A54, imdb_netflix_v5!A$2:H$7370, 5, FALSE), "")</f>
        <v>2011</v>
      </c>
      <c r="F54" s="2">
        <f>IF(A54&lt;&gt;"", VLOOKUP(A54, imdb_netflix_v5!A$2:H$7370, 7, FALSE), "")</f>
        <v>20300000</v>
      </c>
    </row>
    <row r="55" ht="15.75" hidden="1" customHeight="1">
      <c r="A55" s="1" t="s">
        <v>263</v>
      </c>
      <c r="B55" s="1" t="str">
        <f>IF(A55&lt;&gt;"", VLOOKUP(A55, imdb_netflix_v5!A$2:H$7370, 2, FALSE), "")</f>
        <v>TV Show</v>
      </c>
      <c r="C55" s="2" t="str">
        <f>IF(A55&lt;&gt;"", VLOOKUP(A55, imdb_netflix_v5!A$2:H$7370, 3, FALSE), "")</f>
        <v>Crime, Drama, Mystery</v>
      </c>
      <c r="D55" s="4">
        <f>IF(A55&lt;&gt;"", VLOOKUP(A55, imdb_netflix_v5!A$2:H$7370, 4, FALSE), "")</f>
        <v>8.7</v>
      </c>
      <c r="E55" s="2">
        <f>IF(A55&lt;&gt;"", VLOOKUP(A55, imdb_netflix_v5!A$2:H$7370, 5, FALSE), "")</f>
        <v>2012</v>
      </c>
      <c r="F55" s="2">
        <f>IF(A55&lt;&gt;"", VLOOKUP(A55, imdb_netflix_v5!A$2:H$7370, 7, FALSE), "")</f>
        <v>4140000</v>
      </c>
    </row>
    <row r="56" ht="15.75" hidden="1" customHeight="1">
      <c r="A56" s="1" t="s">
        <v>5774</v>
      </c>
      <c r="B56" s="1" t="str">
        <f>IF(A56&lt;&gt;"", VLOOKUP(A56, imdb_netflix_v5!A$2:H$7370, 2, FALSE), "")</f>
        <v>Movie</v>
      </c>
      <c r="C56" s="2" t="str">
        <f>IF(A56&lt;&gt;"", VLOOKUP(A56, imdb_netflix_v5!A$2:H$7370, 3, FALSE), "")</f>
        <v>Comedy, Music, Romance</v>
      </c>
      <c r="D56" s="2">
        <f>IF(A56&lt;&gt;"", VLOOKUP(A56, imdb_netflix_v5!A$2:H$7370, 4, FALSE), "")</f>
        <v>7.1</v>
      </c>
      <c r="E56" s="2">
        <f>IF(A56&lt;&gt;"", VLOOKUP(A56, imdb_netflix_v5!A$2:H$7370, 5, FALSE), "")</f>
        <v>2012</v>
      </c>
      <c r="F56" s="2">
        <f>IF(A56&lt;&gt;"", VLOOKUP(A56, imdb_netflix_v5!A$2:H$7370, 7, FALSE), "")</f>
        <v>4580000</v>
      </c>
    </row>
    <row r="57" ht="15.75" hidden="1" customHeight="1">
      <c r="A57" s="1" t="s">
        <v>5224</v>
      </c>
      <c r="B57" s="1" t="str">
        <f>IF(A57&lt;&gt;"", VLOOKUP(A57, imdb_netflix_v5!A$2:H$7370, 2, FALSE), "")</f>
        <v>Movie</v>
      </c>
      <c r="C57" s="2" t="str">
        <f>IF(A57&lt;&gt;"", VLOOKUP(A57, imdb_netflix_v5!A$2:H$7370, 3, FALSE), "")</f>
        <v>Action, Adventure, Sci-Fi</v>
      </c>
      <c r="D57" s="2">
        <f>IF(A57&lt;&gt;"", VLOOKUP(A57, imdb_netflix_v5!A$2:H$7370, 4, FALSE), "")</f>
        <v>7.2</v>
      </c>
      <c r="E57" s="2">
        <f>IF(A57&lt;&gt;"", VLOOKUP(A57, imdb_netflix_v5!A$2:H$7370, 5, FALSE), "")</f>
        <v>2012</v>
      </c>
      <c r="F57" s="2">
        <f>IF(A57&lt;&gt;"", VLOOKUP(A57, imdb_netflix_v5!A$2:H$7370, 7, FALSE), "")</f>
        <v>4900000</v>
      </c>
    </row>
    <row r="58" ht="15.75" hidden="1" customHeight="1">
      <c r="A58" s="1" t="s">
        <v>610</v>
      </c>
      <c r="B58" s="1" t="str">
        <f>IF(A58&lt;&gt;"", VLOOKUP(A58, imdb_netflix_v5!A$2:H$7370, 2, FALSE), "")</f>
        <v>Movie</v>
      </c>
      <c r="C58" s="2" t="str">
        <f>IF(A58&lt;&gt;"", VLOOKUP(A58, imdb_netflix_v5!A$2:H$7370, 3, FALSE), "")</f>
        <v>Action, Drama, Thriller</v>
      </c>
      <c r="D58" s="2">
        <f>IF(A58&lt;&gt;"", VLOOKUP(A58, imdb_netflix_v5!A$2:H$7370, 4, FALSE), "")</f>
        <v>8.4</v>
      </c>
      <c r="E58" s="2">
        <f>IF(A58&lt;&gt;"", VLOOKUP(A58, imdb_netflix_v5!A$2:H$7370, 5, FALSE), "")</f>
        <v>2012</v>
      </c>
      <c r="F58" s="2">
        <f>IF(A58&lt;&gt;"", VLOOKUP(A58, imdb_netflix_v5!A$2:H$7370, 7, FALSE), "")</f>
        <v>7750000</v>
      </c>
    </row>
    <row r="59" ht="15.75" hidden="1" customHeight="1">
      <c r="A59" s="1" t="s">
        <v>536</v>
      </c>
      <c r="B59" s="1" t="str">
        <f>IF(A59&lt;&gt;"", VLOOKUP(A59, imdb_netflix_v5!A$2:H$7370, 2, FALSE), "")</f>
        <v>TV Show</v>
      </c>
      <c r="C59" s="2" t="str">
        <f>IF(A59&lt;&gt;"", VLOOKUP(A59, imdb_netflix_v5!A$2:H$7370, 3, FALSE), "")</f>
        <v>Action, Adventure, Animation</v>
      </c>
      <c r="D59" s="4">
        <f>IF(A59&lt;&gt;"", VLOOKUP(A59, imdb_netflix_v5!A$2:H$7370, 4, FALSE), "")</f>
        <v>8.5</v>
      </c>
      <c r="E59" s="2">
        <f>IF(A59&lt;&gt;"", VLOOKUP(A59, imdb_netflix_v5!A$2:H$7370, 5, FALSE), "")</f>
        <v>2012</v>
      </c>
      <c r="F59" s="2">
        <f>IF(A59&lt;&gt;"", VLOOKUP(A59, imdb_netflix_v5!A$2:H$7370, 7, FALSE), "")</f>
        <v>8770000</v>
      </c>
    </row>
    <row r="60" ht="15.75" hidden="1" customHeight="1">
      <c r="A60" s="1" t="s">
        <v>4685</v>
      </c>
      <c r="B60" s="1" t="str">
        <f>IF(A60&lt;&gt;"", VLOOKUP(A60, imdb_netflix_v5!A$2:H$7370, 2, FALSE), "")</f>
        <v>Movie</v>
      </c>
      <c r="C60" s="2" t="str">
        <f>IF(A60&lt;&gt;"", VLOOKUP(A60, imdb_netflix_v5!A$2:H$7370, 3, FALSE), "")</f>
        <v>Drama, Thriller</v>
      </c>
      <c r="D60" s="2">
        <f>IF(A60&lt;&gt;"", VLOOKUP(A60, imdb_netflix_v5!A$2:H$7370, 4, FALSE), "")</f>
        <v>7.3</v>
      </c>
      <c r="E60" s="2">
        <f>IF(A60&lt;&gt;"", VLOOKUP(A60, imdb_netflix_v5!A$2:H$7370, 5, FALSE), "")</f>
        <v>2012</v>
      </c>
      <c r="F60" s="2">
        <f>IF(A60&lt;&gt;"", VLOOKUP(A60, imdb_netflix_v5!A$2:H$7370, 7, FALSE), "")</f>
        <v>10710000</v>
      </c>
    </row>
    <row r="61" ht="15.75" hidden="1" customHeight="1">
      <c r="A61" s="1" t="s">
        <v>5231</v>
      </c>
      <c r="B61" s="1" t="str">
        <f>IF(A61&lt;&gt;"", VLOOKUP(A61, imdb_netflix_v5!A$2:H$7370, 2, FALSE), "")</f>
        <v>Movie</v>
      </c>
      <c r="C61" s="2" t="str">
        <f>IF(A61&lt;&gt;"", VLOOKUP(A61, imdb_netflix_v5!A$2:H$7370, 3, FALSE), "")</f>
        <v>Action, Comedy, Crime</v>
      </c>
      <c r="D61" s="2">
        <f>IF(A61&lt;&gt;"", VLOOKUP(A61, imdb_netflix_v5!A$2:H$7370, 4, FALSE), "")</f>
        <v>7.2</v>
      </c>
      <c r="E61" s="2">
        <f>IF(A61&lt;&gt;"", VLOOKUP(A61, imdb_netflix_v5!A$2:H$7370, 5, FALSE), "")</f>
        <v>2012</v>
      </c>
      <c r="F61" s="2">
        <f>IF(A61&lt;&gt;"", VLOOKUP(A61, imdb_netflix_v5!A$2:H$7370, 7, FALSE), "")</f>
        <v>11690000</v>
      </c>
    </row>
    <row r="62" ht="15.75" hidden="1" customHeight="1">
      <c r="A62" s="1" t="s">
        <v>56</v>
      </c>
      <c r="B62" s="1" t="str">
        <f>IF(A62&lt;&gt;"", VLOOKUP(A62, imdb_netflix_v5!A$2:H$7370, 2, FALSE), "")</f>
        <v>TV Show</v>
      </c>
      <c r="C62" s="2" t="str">
        <f>IF(A62&lt;&gt;"", VLOOKUP(A62, imdb_netflix_v5!A$2:H$7370, 3, FALSE), "")</f>
        <v>Action, Adventure, Animation</v>
      </c>
      <c r="D62" s="4">
        <f>IF(A62&lt;&gt;"", VLOOKUP(A62, imdb_netflix_v5!A$2:H$7370, 4, FALSE), "")</f>
        <v>9.1</v>
      </c>
      <c r="E62" s="2">
        <f>IF(A62&lt;&gt;"", VLOOKUP(A62, imdb_netflix_v5!A$2:H$7370, 5, FALSE), "")</f>
        <v>2013</v>
      </c>
      <c r="F62" s="2">
        <f>IF(A62&lt;&gt;"", VLOOKUP(A62, imdb_netflix_v5!A$2:H$7370, 7, FALSE), "")</f>
        <v>4700000</v>
      </c>
    </row>
    <row r="63" ht="15.75" hidden="1" customHeight="1">
      <c r="A63" s="1" t="s">
        <v>3607</v>
      </c>
      <c r="B63" s="1" t="str">
        <f>IF(A63&lt;&gt;"", VLOOKUP(A63, imdb_netflix_v5!A$2:H$7370, 2, FALSE), "")</f>
        <v>Movie</v>
      </c>
      <c r="C63" s="2" t="str">
        <f>IF(A63&lt;&gt;"", VLOOKUP(A63, imdb_netflix_v5!A$2:H$7370, 3, FALSE), "")</f>
        <v>Action, Adventure, Sci-Fi</v>
      </c>
      <c r="D63" s="2">
        <f>IF(A63&lt;&gt;"", VLOOKUP(A63, imdb_netflix_v5!A$2:H$7370, 4, FALSE), "")</f>
        <v>7.5</v>
      </c>
      <c r="E63" s="2">
        <f>IF(A63&lt;&gt;"", VLOOKUP(A63, imdb_netflix_v5!A$2:H$7370, 5, FALSE), "")</f>
        <v>2013</v>
      </c>
      <c r="F63" s="2">
        <f>IF(A63&lt;&gt;"", VLOOKUP(A63, imdb_netflix_v5!A$2:H$7370, 7, FALSE), "")</f>
        <v>5010000</v>
      </c>
    </row>
    <row r="64" ht="15.75" hidden="1" customHeight="1">
      <c r="A64" s="1" t="s">
        <v>1031</v>
      </c>
      <c r="B64" s="1" t="str">
        <f>IF(A64&lt;&gt;"", VLOOKUP(A64, imdb_netflix_v5!A$2:H$7370, 2, FALSE), "")</f>
        <v>Movie</v>
      </c>
      <c r="C64" s="2" t="str">
        <f>IF(A64&lt;&gt;"", VLOOKUP(A64, imdb_netflix_v5!A$2:H$7370, 3, FALSE), "")</f>
        <v>Crime, Drama, Mystery</v>
      </c>
      <c r="D64" s="2">
        <f>IF(A64&lt;&gt;"", VLOOKUP(A64, imdb_netflix_v5!A$2:H$7370, 4, FALSE), "")</f>
        <v>8.2</v>
      </c>
      <c r="E64" s="2">
        <f>IF(A64&lt;&gt;"", VLOOKUP(A64, imdb_netflix_v5!A$2:H$7370, 5, FALSE), "")</f>
        <v>2013</v>
      </c>
      <c r="F64" s="2">
        <f>IF(A64&lt;&gt;"", VLOOKUP(A64, imdb_netflix_v5!A$2:H$7370, 7, FALSE), "")</f>
        <v>5100000</v>
      </c>
    </row>
    <row r="65" ht="15.75" hidden="1" customHeight="1">
      <c r="A65" s="1" t="s">
        <v>5798</v>
      </c>
      <c r="B65" s="1" t="str">
        <f>IF(A65&lt;&gt;"", VLOOKUP(A65, imdb_netflix_v5!A$2:H$7370, 2, FALSE), "")</f>
        <v>Movie</v>
      </c>
      <c r="C65" s="2" t="str">
        <f>IF(A65&lt;&gt;"", VLOOKUP(A65, imdb_netflix_v5!A$2:H$7370, 3, FALSE), "")</f>
        <v>Adventure, Animation, Comedy</v>
      </c>
      <c r="D65" s="2">
        <f>IF(A65&lt;&gt;"", VLOOKUP(A65, imdb_netflix_v5!A$2:H$7370, 4, FALSE), "")</f>
        <v>7.1</v>
      </c>
      <c r="E65" s="2">
        <f>IF(A65&lt;&gt;"", VLOOKUP(A65, imdb_netflix_v5!A$2:H$7370, 5, FALSE), "")</f>
        <v>2013</v>
      </c>
      <c r="F65" s="2">
        <f>IF(A65&lt;&gt;"", VLOOKUP(A65, imdb_netflix_v5!A$2:H$7370, 7, FALSE), "")</f>
        <v>5200000</v>
      </c>
    </row>
    <row r="66" ht="15.75" hidden="1" customHeight="1">
      <c r="A66" s="1" t="s">
        <v>4675</v>
      </c>
      <c r="B66" s="1" t="str">
        <f>IF(A66&lt;&gt;"", VLOOKUP(A66, imdb_netflix_v5!A$2:H$7370, 2, FALSE), "")</f>
        <v>Movie</v>
      </c>
      <c r="C66" s="2" t="str">
        <f>IF(A66&lt;&gt;"", VLOOKUP(A66, imdb_netflix_v5!A$2:H$7370, 3, FALSE), "")</f>
        <v>Adventure, Animation, Comedy</v>
      </c>
      <c r="D66" s="2">
        <f>IF(A66&lt;&gt;"", VLOOKUP(A66, imdb_netflix_v5!A$2:H$7370, 4, FALSE), "")</f>
        <v>7.3</v>
      </c>
      <c r="E66" s="2">
        <f>IF(A66&lt;&gt;"", VLOOKUP(A66, imdb_netflix_v5!A$2:H$7370, 5, FALSE), "")</f>
        <v>2013</v>
      </c>
      <c r="F66" s="2">
        <f>IF(A66&lt;&gt;"", VLOOKUP(A66, imdb_netflix_v5!A$2:H$7370, 7, FALSE), "")</f>
        <v>5500000</v>
      </c>
    </row>
    <row r="67" ht="15.75" hidden="1" customHeight="1">
      <c r="A67" s="1" t="s">
        <v>3641</v>
      </c>
      <c r="B67" s="1" t="str">
        <f>IF(A67&lt;&gt;"", VLOOKUP(A67, imdb_netflix_v5!A$2:H$7370, 2, FALSE), "")</f>
        <v>Movie</v>
      </c>
      <c r="C67" s="2" t="str">
        <f>IF(A67&lt;&gt;"", VLOOKUP(A67, imdb_netflix_v5!A$2:H$7370, 3, FALSE), "")</f>
        <v>Action, Biography, Drama</v>
      </c>
      <c r="D67" s="2">
        <f>IF(A67&lt;&gt;"", VLOOKUP(A67, imdb_netflix_v5!A$2:H$7370, 4, FALSE), "")</f>
        <v>7.5</v>
      </c>
      <c r="E67" s="2">
        <f>IF(A67&lt;&gt;"", VLOOKUP(A67, imdb_netflix_v5!A$2:H$7370, 5, FALSE), "")</f>
        <v>2013</v>
      </c>
      <c r="F67" s="2">
        <f>IF(A67&lt;&gt;"", VLOOKUP(A67, imdb_netflix_v5!A$2:H$7370, 7, FALSE), "")</f>
        <v>5500000</v>
      </c>
    </row>
    <row r="68" ht="15.75" hidden="1" customHeight="1">
      <c r="A68" s="1" t="s">
        <v>1389</v>
      </c>
      <c r="B68" s="1" t="str">
        <f>IF(A68&lt;&gt;"", VLOOKUP(A68, imdb_netflix_v5!A$2:H$7370, 2, FALSE), "")</f>
        <v>Movie</v>
      </c>
      <c r="C68" s="2" t="str">
        <f>IF(A68&lt;&gt;"", VLOOKUP(A68, imdb_netflix_v5!A$2:H$7370, 3, FALSE), "")</f>
        <v>Adventure, Comedy, Drama</v>
      </c>
      <c r="D68" s="2">
        <f>IF(A68&lt;&gt;"", VLOOKUP(A68, imdb_netflix_v5!A$2:H$7370, 4, FALSE), "")</f>
        <v>8.1</v>
      </c>
      <c r="E68" s="2">
        <f>IF(A68&lt;&gt;"", VLOOKUP(A68, imdb_netflix_v5!A$2:H$7370, 5, FALSE), "")</f>
        <v>2013</v>
      </c>
      <c r="F68" s="2">
        <f>IF(A68&lt;&gt;"", VLOOKUP(A68, imdb_netflix_v5!A$2:H$7370, 7, FALSE), "")</f>
        <v>7400000</v>
      </c>
    </row>
    <row r="69" ht="15.75" hidden="1" customHeight="1">
      <c r="A69" s="1" t="s">
        <v>1012</v>
      </c>
      <c r="B69" s="1" t="str">
        <f>IF(A69&lt;&gt;"", VLOOKUP(A69, imdb_netflix_v5!A$2:H$7370, 2, FALSE), "")</f>
        <v>Movie</v>
      </c>
      <c r="C69" s="2" t="str">
        <f>IF(A69&lt;&gt;"", VLOOKUP(A69, imdb_netflix_v5!A$2:H$7370, 3, FALSE), "")</f>
        <v>Biography, Comedy, Crime</v>
      </c>
      <c r="D69" s="2">
        <f>IF(A69&lt;&gt;"", VLOOKUP(A69, imdb_netflix_v5!A$2:H$7370, 4, FALSE), "")</f>
        <v>8.2</v>
      </c>
      <c r="E69" s="2">
        <f>IF(A69&lt;&gt;"", VLOOKUP(A69, imdb_netflix_v5!A$2:H$7370, 5, FALSE), "")</f>
        <v>2013</v>
      </c>
      <c r="F69" s="2">
        <f>IF(A69&lt;&gt;"", VLOOKUP(A69, imdb_netflix_v5!A$2:H$7370, 7, FALSE), "")</f>
        <v>9700000</v>
      </c>
    </row>
    <row r="70" ht="15.75" hidden="1" customHeight="1">
      <c r="A70" s="1" t="s">
        <v>218</v>
      </c>
      <c r="B70" s="1" t="str">
        <f>IF(A70&lt;&gt;"", VLOOKUP(A70, imdb_netflix_v5!A$2:H$7370, 2, FALSE), "")</f>
        <v>TV Show</v>
      </c>
      <c r="C70" s="2" t="str">
        <f>IF(A70&lt;&gt;"", VLOOKUP(A70, imdb_netflix_v5!A$2:H$7370, 3, FALSE), "")</f>
        <v>Crime, Drama</v>
      </c>
      <c r="D70" s="4">
        <f>IF(A70&lt;&gt;"", VLOOKUP(A70, imdb_netflix_v5!A$2:H$7370, 4, FALSE), "")</f>
        <v>8.7</v>
      </c>
      <c r="E70" s="2">
        <f>IF(A70&lt;&gt;"", VLOOKUP(A70, imdb_netflix_v5!A$2:H$7370, 5, FALSE), "")</f>
        <v>2013</v>
      </c>
      <c r="F70" s="2">
        <f>IF(A70&lt;&gt;"", VLOOKUP(A70, imdb_netflix_v5!A$2:H$7370, 7, FALSE), "")</f>
        <v>13060000</v>
      </c>
    </row>
    <row r="71" ht="15.75" hidden="1" customHeight="1">
      <c r="A71" s="1" t="s">
        <v>1986</v>
      </c>
      <c r="B71" s="1" t="str">
        <f>IF(A71&lt;&gt;"", VLOOKUP(A71, imdb_netflix_v5!A$2:H$7370, 2, FALSE), "")</f>
        <v>TV Show</v>
      </c>
      <c r="C71" s="2" t="str">
        <f>IF(A71&lt;&gt;"", VLOOKUP(A71, imdb_netflix_v5!A$2:H$7370, 3, FALSE), "")</f>
        <v>Crime, Drama, Mystery</v>
      </c>
      <c r="D71" s="4">
        <f>IF(A71&lt;&gt;"", VLOOKUP(A71, imdb_netflix_v5!A$2:H$7370, 4, FALSE), "")</f>
        <v>7.9</v>
      </c>
      <c r="E71" s="2">
        <f>IF(A71&lt;&gt;"", VLOOKUP(A71, imdb_netflix_v5!A$2:H$7370, 5, FALSE), "")</f>
        <v>2013</v>
      </c>
      <c r="F71" s="2">
        <f>IF(A71&lt;&gt;"", VLOOKUP(A71, imdb_netflix_v5!A$2:H$7370, 7, FALSE), "")</f>
        <v>17260000</v>
      </c>
    </row>
    <row r="72" ht="15.75" hidden="1" customHeight="1">
      <c r="A72" s="1" t="s">
        <v>5589</v>
      </c>
      <c r="B72" s="1" t="str">
        <f>IF(A72&lt;&gt;"", VLOOKUP(A72, imdb_netflix_v5!A$2:H$7370, 2, FALSE), "")</f>
        <v>Movie</v>
      </c>
      <c r="C72" s="2" t="str">
        <f>IF(A72&lt;&gt;"", VLOOKUP(A72, imdb_netflix_v5!A$2:H$7370, 3, FALSE), "")</f>
        <v>Action, Crime, Thriller</v>
      </c>
      <c r="D72" s="2">
        <f>IF(A72&lt;&gt;"", VLOOKUP(A72, imdb_netflix_v5!A$2:H$7370, 4, FALSE), "")</f>
        <v>7.2</v>
      </c>
      <c r="E72" s="2">
        <f>IF(A72&lt;&gt;"", VLOOKUP(A72, imdb_netflix_v5!A$2:H$7370, 5, FALSE), "")</f>
        <v>2014</v>
      </c>
      <c r="F72" s="2">
        <f>IF(A72&lt;&gt;"", VLOOKUP(A72, imdb_netflix_v5!A$2:H$7370, 7, FALSE), "")</f>
        <v>1260000</v>
      </c>
    </row>
    <row r="73" ht="15.75" hidden="1" customHeight="1">
      <c r="A73" s="1" t="s">
        <v>573</v>
      </c>
      <c r="B73" s="1" t="str">
        <f>IF(A73&lt;&gt;"", VLOOKUP(A73, imdb_netflix_v5!A$2:H$7370, 2, FALSE), "")</f>
        <v>TV Show</v>
      </c>
      <c r="C73" s="2" t="str">
        <f>IF(A73&lt;&gt;"", VLOOKUP(A73, imdb_netflix_v5!A$2:H$7370, 3, FALSE), "")</f>
        <v>Drama, Sport</v>
      </c>
      <c r="D73" s="4">
        <f>IF(A73&lt;&gt;"", VLOOKUP(A73, imdb_netflix_v5!A$2:H$7370, 4, FALSE), "")</f>
        <v>8.5</v>
      </c>
      <c r="E73" s="2">
        <f>IF(A73&lt;&gt;"", VLOOKUP(A73, imdb_netflix_v5!A$2:H$7370, 5, FALSE), "")</f>
        <v>2014</v>
      </c>
      <c r="F73" s="2">
        <f>IF(A73&lt;&gt;"", VLOOKUP(A73, imdb_netflix_v5!A$2:H$7370, 7, FALSE), "")</f>
        <v>3300000</v>
      </c>
    </row>
    <row r="74" ht="15.75" hidden="1" customHeight="1">
      <c r="A74" s="1" t="s">
        <v>2008</v>
      </c>
      <c r="B74" s="1" t="str">
        <f>IF(A74&lt;&gt;"", VLOOKUP(A74, imdb_netflix_v5!A$2:H$7370, 2, FALSE), "")</f>
        <v>Movie</v>
      </c>
      <c r="C74" s="2" t="str">
        <f>IF(A74&lt;&gt;"", VLOOKUP(A74, imdb_netflix_v5!A$2:H$7370, 3, FALSE), "")</f>
        <v>Action, Crime, Thriller</v>
      </c>
      <c r="D74" s="2">
        <f>IF(A74&lt;&gt;"", VLOOKUP(A74, imdb_netflix_v5!A$2:H$7370, 4, FALSE), "")</f>
        <v>7.9</v>
      </c>
      <c r="E74" s="2">
        <f>IF(A74&lt;&gt;"", VLOOKUP(A74, imdb_netflix_v5!A$2:H$7370, 5, FALSE), "")</f>
        <v>2014</v>
      </c>
      <c r="F74" s="2">
        <f>IF(A74&lt;&gt;"", VLOOKUP(A74, imdb_netflix_v5!A$2:H$7370, 7, FALSE), "")</f>
        <v>3840000</v>
      </c>
    </row>
    <row r="75" ht="15.75" hidden="1" customHeight="1">
      <c r="A75" s="1" t="s">
        <v>5328</v>
      </c>
      <c r="B75" s="1" t="str">
        <f>IF(A75&lt;&gt;"", VLOOKUP(A75, imdb_netflix_v5!A$2:H$7370, 2, FALSE), "")</f>
        <v>Movie</v>
      </c>
      <c r="C75" s="2" t="str">
        <f>IF(A75&lt;&gt;"", VLOOKUP(A75, imdb_netflix_v5!A$2:H$7370, 3, FALSE), "")</f>
        <v>Comedy, Drama</v>
      </c>
      <c r="D75" s="2">
        <f>IF(A75&lt;&gt;"", VLOOKUP(A75, imdb_netflix_v5!A$2:H$7370, 4, FALSE), "")</f>
        <v>7.2</v>
      </c>
      <c r="E75" s="2">
        <f>IF(A75&lt;&gt;"", VLOOKUP(A75, imdb_netflix_v5!A$2:H$7370, 5, FALSE), "")</f>
        <v>2014</v>
      </c>
      <c r="F75" s="2">
        <f>IF(A75&lt;&gt;"", VLOOKUP(A75, imdb_netflix_v5!A$2:H$7370, 7, FALSE), "")</f>
        <v>7640000</v>
      </c>
    </row>
    <row r="76" ht="15.75" hidden="1" customHeight="1">
      <c r="A76" s="1" t="s">
        <v>3645</v>
      </c>
      <c r="B76" s="1" t="str">
        <f>IF(A76&lt;&gt;"", VLOOKUP(A76, imdb_netflix_v5!A$2:H$7370, 2, FALSE), "")</f>
        <v>TV Show</v>
      </c>
      <c r="C76" s="2" t="str">
        <f>IF(A76&lt;&gt;"", VLOOKUP(A76, imdb_netflix_v5!A$2:H$7370, 3, FALSE), "")</f>
        <v>Action, Drama, Sci-Fi</v>
      </c>
      <c r="D76" s="4">
        <f>IF(A76&lt;&gt;"", VLOOKUP(A76, imdb_netflix_v5!A$2:H$7370, 4, FALSE), "")</f>
        <v>7.5</v>
      </c>
      <c r="E76" s="2">
        <f>IF(A76&lt;&gt;"", VLOOKUP(A76, imdb_netflix_v5!A$2:H$7370, 5, FALSE), "")</f>
        <v>2014</v>
      </c>
      <c r="F76" s="2">
        <f>IF(A76&lt;&gt;"", VLOOKUP(A76, imdb_netflix_v5!A$2:H$7370, 7, FALSE), "")</f>
        <v>12990000</v>
      </c>
    </row>
    <row r="77" ht="15.75" hidden="1" customHeight="1">
      <c r="A77" s="1" t="s">
        <v>2867</v>
      </c>
      <c r="B77" s="1" t="str">
        <f>IF(A77&lt;&gt;"", VLOOKUP(A77, imdb_netflix_v5!A$2:H$7370, 2, FALSE), "")</f>
        <v>TV Show</v>
      </c>
      <c r="C77" s="2" t="str">
        <f>IF(A77&lt;&gt;"", VLOOKUP(A77, imdb_netflix_v5!A$2:H$7370, 3, FALSE), "")</f>
        <v>Action, Adventure, Animation</v>
      </c>
      <c r="D77" s="4">
        <f>IF(A77&lt;&gt;"", VLOOKUP(A77, imdb_netflix_v5!A$2:H$7370, 4, FALSE), "")</f>
        <v>7.7</v>
      </c>
      <c r="E77" s="2">
        <f>IF(A77&lt;&gt;"", VLOOKUP(A77, imdb_netflix_v5!A$2:H$7370, 5, FALSE), "")</f>
        <v>2014</v>
      </c>
      <c r="F77" s="2">
        <f>IF(A77&lt;&gt;"", VLOOKUP(A77, imdb_netflix_v5!A$2:H$7370, 7, FALSE), "")</f>
        <v>13420000</v>
      </c>
    </row>
    <row r="78" ht="15.75" customHeight="1">
      <c r="A78" s="1" t="s">
        <v>5530</v>
      </c>
      <c r="B78" s="1" t="str">
        <f>IF(A78&lt;&gt;"", VLOOKUP(A78, imdb_netflix_v5!A$2:H$7370, 2, FALSE), "")</f>
        <v>TV Show</v>
      </c>
      <c r="C78" s="2" t="str">
        <f>IF(A78&lt;&gt;"", VLOOKUP(A78, imdb_netflix_v5!A$2:H$7370, 3, FALSE), "")</f>
        <v>Drama, Horror, Sci-Fi</v>
      </c>
      <c r="D78" s="4">
        <f>IF(A78&lt;&gt;"", VLOOKUP(A78, imdb_netflix_v5!A$2:H$7370, 4, FALSE), "")</f>
        <v>7.2</v>
      </c>
      <c r="E78" s="2">
        <f>IF(A78&lt;&gt;"", VLOOKUP(A78, imdb_netflix_v5!A$2:H$7370, 5, FALSE), "")</f>
        <v>2015</v>
      </c>
      <c r="F78" s="2">
        <f>IF(A78&lt;&gt;"", VLOOKUP(A78, imdb_netflix_v5!A$2:H$7370, 7, FALSE), "")</f>
        <v>7440000</v>
      </c>
    </row>
    <row r="79" ht="15.75" hidden="1" customHeight="1">
      <c r="A79" s="1" t="s">
        <v>5274</v>
      </c>
      <c r="B79" s="1" t="str">
        <f>IF(A79&lt;&gt;"", VLOOKUP(A79, imdb_netflix_v5!A$2:H$7370, 2, FALSE), "")</f>
        <v>Movie</v>
      </c>
      <c r="C79" s="2" t="str">
        <f>IF(A79&lt;&gt;"", VLOOKUP(A79, imdb_netflix_v5!A$2:H$7370, 3, FALSE), "")</f>
        <v>Drama, Fantasy, Romance</v>
      </c>
      <c r="D79" s="2">
        <f>IF(A79&lt;&gt;"", VLOOKUP(A79, imdb_netflix_v5!A$2:H$7370, 4, FALSE), "")</f>
        <v>7.2</v>
      </c>
      <c r="E79" s="2">
        <f>IF(A79&lt;&gt;"", VLOOKUP(A79, imdb_netflix_v5!A$2:H$7370, 5, FALSE), "")</f>
        <v>2015</v>
      </c>
      <c r="F79" s="2">
        <f>IF(A79&lt;&gt;"", VLOOKUP(A79, imdb_netflix_v5!A$2:H$7370, 7, FALSE), "")</f>
        <v>9340000</v>
      </c>
    </row>
    <row r="80" ht="15.75" customHeight="1">
      <c r="A80" s="1" t="s">
        <v>2403</v>
      </c>
      <c r="B80" s="1" t="str">
        <f>IF(A80&lt;&gt;"", VLOOKUP(A80, imdb_netflix_v5!A$2:H$7370, 2, FALSE), "")</f>
        <v>TV Show</v>
      </c>
      <c r="C80" s="2" t="str">
        <f>IF(A80&lt;&gt;"", VLOOKUP(A80, imdb_netflix_v5!A$2:H$7370, 3, FALSE), "")</f>
        <v>Comedy, Drama, Sport</v>
      </c>
      <c r="D80" s="4">
        <f>IF(A80&lt;&gt;"", VLOOKUP(A80, imdb_netflix_v5!A$2:H$7370, 4, FALSE), "")</f>
        <v>7.8</v>
      </c>
      <c r="E80" s="2">
        <f>IF(A80&lt;&gt;"", VLOOKUP(A80, imdb_netflix_v5!A$2:H$7370, 5, FALSE), "")</f>
        <v>2015</v>
      </c>
      <c r="F80" s="2">
        <f>IF(A80&lt;&gt;"", VLOOKUP(A80, imdb_netflix_v5!A$2:H$7370, 7, FALSE), "")</f>
        <v>10500000</v>
      </c>
    </row>
    <row r="81" ht="15.75" customHeight="1">
      <c r="A81" s="1" t="s">
        <v>1119</v>
      </c>
      <c r="B81" s="1" t="str">
        <f>IF(A81&lt;&gt;"", VLOOKUP(A81, imdb_netflix_v5!A$2:H$7370, 2, FALSE), "")</f>
        <v>TV Show</v>
      </c>
      <c r="C81" s="2" t="str">
        <f>IF(A81&lt;&gt;"", VLOOKUP(A81, imdb_netflix_v5!A$2:H$7370, 3, FALSE), "")</f>
        <v>Comedy</v>
      </c>
      <c r="D81" s="4">
        <f>IF(A81&lt;&gt;"", VLOOKUP(A81, imdb_netflix_v5!A$2:H$7370, 4, FALSE), "")</f>
        <v>8.2</v>
      </c>
      <c r="E81" s="2">
        <f>IF(A81&lt;&gt;"", VLOOKUP(A81, imdb_netflix_v5!A$2:H$7370, 5, FALSE), "")</f>
        <v>2015</v>
      </c>
      <c r="F81" s="2">
        <f>IF(A81&lt;&gt;"", VLOOKUP(A81, imdb_netflix_v5!A$2:H$7370, 7, FALSE), "")</f>
        <v>12260000</v>
      </c>
    </row>
    <row r="82" ht="15.75" customHeight="1">
      <c r="A82" s="1" t="s">
        <v>490</v>
      </c>
      <c r="B82" s="1" t="str">
        <f>IF(A82&lt;&gt;"", VLOOKUP(A82, imdb_netflix_v5!A$2:H$7370, 2, FALSE), "")</f>
        <v>TV Show</v>
      </c>
      <c r="C82" s="2" t="str">
        <f>IF(A82&lt;&gt;"", VLOOKUP(A82, imdb_netflix_v5!A$2:H$7370, 3, FALSE), "")</f>
        <v>Action, Drama, History</v>
      </c>
      <c r="D82" s="4">
        <f>IF(A82&lt;&gt;"", VLOOKUP(A82, imdb_netflix_v5!A$2:H$7370, 4, FALSE), "")</f>
        <v>8.5</v>
      </c>
      <c r="E82" s="2">
        <f>IF(A82&lt;&gt;"", VLOOKUP(A82, imdb_netflix_v5!A$2:H$7370, 5, FALSE), "")</f>
        <v>2015</v>
      </c>
      <c r="F82" s="2">
        <f>IF(A82&lt;&gt;"", VLOOKUP(A82, imdb_netflix_v5!A$2:H$7370, 7, FALSE), "")</f>
        <v>12970000</v>
      </c>
    </row>
    <row r="83" ht="15.75" customHeight="1">
      <c r="A83" s="1" t="s">
        <v>84</v>
      </c>
      <c r="B83" s="1" t="str">
        <f>IF(A83&lt;&gt;"", VLOOKUP(A83, imdb_netflix_v5!A$2:H$7370, 2, FALSE), "")</f>
        <v>TV Show</v>
      </c>
      <c r="C83" s="2" t="str">
        <f>IF(A83&lt;&gt;"", VLOOKUP(A83, imdb_netflix_v5!A$2:H$7370, 3, FALSE), "")</f>
        <v>Crime, Drama</v>
      </c>
      <c r="D83" s="4">
        <f>IF(A83&lt;&gt;"", VLOOKUP(A83, imdb_netflix_v5!A$2:H$7370, 4, FALSE), "")</f>
        <v>9</v>
      </c>
      <c r="E83" s="2">
        <f>IF(A83&lt;&gt;"", VLOOKUP(A83, imdb_netflix_v5!A$2:H$7370, 5, FALSE), "")</f>
        <v>2015</v>
      </c>
      <c r="F83" s="2">
        <f>IF(A83&lt;&gt;"", VLOOKUP(A83, imdb_netflix_v5!A$2:H$7370, 7, FALSE), "")</f>
        <v>13960000</v>
      </c>
    </row>
    <row r="84" ht="15.75" customHeight="1">
      <c r="A84" s="1" t="s">
        <v>898</v>
      </c>
      <c r="B84" s="1" t="str">
        <f>IF(A84&lt;&gt;"", VLOOKUP(A84, imdb_netflix_v5!A$2:H$7370, 2, FALSE), "")</f>
        <v>TV Show</v>
      </c>
      <c r="C84" s="2" t="str">
        <f>IF(A84&lt;&gt;"", VLOOKUP(A84, imdb_netflix_v5!A$2:H$7370, 3, FALSE), "")</f>
        <v>Action, Drama, Thriller</v>
      </c>
      <c r="D84" s="4">
        <f>IF(A84&lt;&gt;"", VLOOKUP(A84, imdb_netflix_v5!A$2:H$7370, 4, FALSE), "")</f>
        <v>8.3</v>
      </c>
      <c r="E84" s="2">
        <f>IF(A84&lt;&gt;"", VLOOKUP(A84, imdb_netflix_v5!A$2:H$7370, 5, FALSE), "")</f>
        <v>2015</v>
      </c>
      <c r="F84" s="2">
        <f>IF(A84&lt;&gt;"", VLOOKUP(A84, imdb_netflix_v5!A$2:H$7370, 7, FALSE), "")</f>
        <v>19210000</v>
      </c>
    </row>
    <row r="85" ht="15.75" customHeight="1">
      <c r="A85" s="1" t="s">
        <v>3826</v>
      </c>
      <c r="B85" s="1" t="str">
        <f>IF(A85&lt;&gt;"", VLOOKUP(A85, imdb_netflix_v5!A$2:H$7370, 2, FALSE), "")</f>
        <v>TV Show</v>
      </c>
      <c r="C85" s="2" t="str">
        <f>IF(A85&lt;&gt;"", VLOOKUP(A85, imdb_netflix_v5!A$2:H$7370, 3, FALSE), "")</f>
        <v>Action, Drama</v>
      </c>
      <c r="D85" s="4">
        <f>IF(A85&lt;&gt;"", VLOOKUP(A85, imdb_netflix_v5!A$2:H$7370, 4, FALSE), "")</f>
        <v>7.5</v>
      </c>
      <c r="E85" s="2">
        <f>IF(A85&lt;&gt;"", VLOOKUP(A85, imdb_netflix_v5!A$2:H$7370, 5, FALSE), "")</f>
        <v>2016</v>
      </c>
      <c r="F85" s="2">
        <f>IF(A85&lt;&gt;"", VLOOKUP(A85, imdb_netflix_v5!A$2:H$7370, 7, FALSE), "")</f>
        <v>4700000</v>
      </c>
    </row>
    <row r="86" ht="15.75" hidden="1" customHeight="1">
      <c r="A86" s="1" t="s">
        <v>5814</v>
      </c>
      <c r="B86" s="1" t="str">
        <f>IF(A86&lt;&gt;"", VLOOKUP(A86, imdb_netflix_v5!A$2:H$7370, 2, FALSE), "")</f>
        <v>Movie</v>
      </c>
      <c r="C86" s="2" t="str">
        <f>IF(A86&lt;&gt;"", VLOOKUP(A86, imdb_netflix_v5!A$2:H$7370, 3, FALSE), "")</f>
        <v>Action, Adventure, Animation</v>
      </c>
      <c r="D86" s="2">
        <f>IF(A86&lt;&gt;"", VLOOKUP(A86, imdb_netflix_v5!A$2:H$7370, 4, FALSE), "")</f>
        <v>7.1</v>
      </c>
      <c r="E86" s="2">
        <f>IF(A86&lt;&gt;"", VLOOKUP(A86, imdb_netflix_v5!A$2:H$7370, 5, FALSE), "")</f>
        <v>2016</v>
      </c>
      <c r="F86" s="2">
        <f>IF(A86&lt;&gt;"", VLOOKUP(A86, imdb_netflix_v5!A$2:H$7370, 7, FALSE), "")</f>
        <v>5750000</v>
      </c>
    </row>
    <row r="87" ht="15.75" hidden="1" customHeight="1">
      <c r="A87" s="1" t="s">
        <v>5815</v>
      </c>
      <c r="B87" s="1" t="str">
        <f>IF(A87&lt;&gt;"", VLOOKUP(A87, imdb_netflix_v5!A$2:H$7370, 2, FALSE), "")</f>
        <v>Movie</v>
      </c>
      <c r="C87" s="2" t="str">
        <f>IF(A87&lt;&gt;"", VLOOKUP(A87, imdb_netflix_v5!A$2:H$7370, 3, FALSE), "")</f>
        <v>Animation, Comedy, Family</v>
      </c>
      <c r="D87" s="2">
        <f>IF(A87&lt;&gt;"", VLOOKUP(A87, imdb_netflix_v5!A$2:H$7370, 4, FALSE), "")</f>
        <v>7.1</v>
      </c>
      <c r="E87" s="2">
        <f>IF(A87&lt;&gt;"", VLOOKUP(A87, imdb_netflix_v5!A$2:H$7370, 5, FALSE), "")</f>
        <v>2016</v>
      </c>
      <c r="F87" s="2">
        <f>IF(A87&lt;&gt;"", VLOOKUP(A87, imdb_netflix_v5!A$2:H$7370, 7, FALSE), "")</f>
        <v>6500000</v>
      </c>
    </row>
    <row r="88" ht="15.75" customHeight="1">
      <c r="A88" s="1" t="s">
        <v>213</v>
      </c>
      <c r="B88" s="1" t="str">
        <f>IF(A88&lt;&gt;"", VLOOKUP(A88, imdb_netflix_v5!A$2:H$7370, 2, FALSE), "")</f>
        <v>TV Show</v>
      </c>
      <c r="C88" s="2" t="str">
        <f>IF(A88&lt;&gt;"", VLOOKUP(A88, imdb_netflix_v5!A$2:H$7370, 3, FALSE), "")</f>
        <v>Drama, Fantasy, Horror</v>
      </c>
      <c r="D88" s="4">
        <f>IF(A88&lt;&gt;"", VLOOKUP(A88, imdb_netflix_v5!A$2:H$7370, 4, FALSE), "")</f>
        <v>8.7</v>
      </c>
      <c r="E88" s="2">
        <f>IF(A88&lt;&gt;"", VLOOKUP(A88, imdb_netflix_v5!A$2:H$7370, 5, FALSE), "")</f>
        <v>2016</v>
      </c>
      <c r="F88" s="2">
        <f>IF(A88&lt;&gt;"", VLOOKUP(A88, imdb_netflix_v5!A$2:H$7370, 7, FALSE), "")</f>
        <v>9420000</v>
      </c>
    </row>
    <row r="89" ht="15.75" hidden="1" customHeight="1">
      <c r="A89" s="1" t="s">
        <v>4745</v>
      </c>
      <c r="B89" s="1" t="str">
        <f>IF(A89&lt;&gt;"", VLOOKUP(A89, imdb_netflix_v5!A$2:H$7370, 2, FALSE), "")</f>
        <v>Movie</v>
      </c>
      <c r="C89" s="2" t="str">
        <f>IF(A89&lt;&gt;"", VLOOKUP(A89, imdb_netflix_v5!A$2:H$7370, 3, FALSE), "")</f>
        <v>Action, Drama, History</v>
      </c>
      <c r="D89" s="2">
        <f>IF(A89&lt;&gt;"", VLOOKUP(A89, imdb_netflix_v5!A$2:H$7370, 4, FALSE), "")</f>
        <v>7.3</v>
      </c>
      <c r="E89" s="2">
        <f>IF(A89&lt;&gt;"", VLOOKUP(A89, imdb_netflix_v5!A$2:H$7370, 5, FALSE), "")</f>
        <v>2016</v>
      </c>
      <c r="F89" s="2">
        <f>IF(A89&lt;&gt;"", VLOOKUP(A89, imdb_netflix_v5!A$2:H$7370, 7, FALSE), "")</f>
        <v>9900000</v>
      </c>
    </row>
    <row r="90" ht="15.75" customHeight="1">
      <c r="A90" s="1" t="s">
        <v>1795</v>
      </c>
      <c r="B90" s="1" t="str">
        <f>IF(A90&lt;&gt;"", VLOOKUP(A90, imdb_netflix_v5!A$2:H$7370, 2, FALSE), "")</f>
        <v>TV Show</v>
      </c>
      <c r="C90" s="2" t="str">
        <f>IF(A90&lt;&gt;"", VLOOKUP(A90, imdb_netflix_v5!A$2:H$7370, 3, FALSE), "")</f>
        <v>Action, Crime, Drama</v>
      </c>
      <c r="D90" s="4">
        <f>IF(A90&lt;&gt;"", VLOOKUP(A90, imdb_netflix_v5!A$2:H$7370, 4, FALSE), "")</f>
        <v>8</v>
      </c>
      <c r="E90" s="2">
        <f>IF(A90&lt;&gt;"", VLOOKUP(A90, imdb_netflix_v5!A$2:H$7370, 5, FALSE), "")</f>
        <v>2016</v>
      </c>
      <c r="F90" s="2">
        <f>IF(A90&lt;&gt;"", VLOOKUP(A90, imdb_netflix_v5!A$2:H$7370, 7, FALSE), "")</f>
        <v>13100000</v>
      </c>
    </row>
    <row r="91" ht="15.75" customHeight="1">
      <c r="A91" s="1" t="s">
        <v>4221</v>
      </c>
      <c r="B91" s="1" t="str">
        <f>IF(A91&lt;&gt;"", VLOOKUP(A91, imdb_netflix_v5!A$2:H$7370, 2, FALSE), "")</f>
        <v>TV Show</v>
      </c>
      <c r="C91" s="2" t="str">
        <f>IF(A91&lt;&gt;"", VLOOKUP(A91, imdb_netflix_v5!A$2:H$7370, 3, FALSE), "")</f>
        <v>Action, Drama, Mystery</v>
      </c>
      <c r="D91" s="4">
        <f>IF(A91&lt;&gt;"", VLOOKUP(A91, imdb_netflix_v5!A$2:H$7370, 4, FALSE), "")</f>
        <v>7.4</v>
      </c>
      <c r="E91" s="2">
        <f>IF(A91&lt;&gt;"", VLOOKUP(A91, imdb_netflix_v5!A$2:H$7370, 5, FALSE), "")</f>
        <v>2016</v>
      </c>
      <c r="F91" s="2">
        <f>IF(A91&lt;&gt;"", VLOOKUP(A91, imdb_netflix_v5!A$2:H$7370, 7, FALSE), "")</f>
        <v>13110000</v>
      </c>
    </row>
    <row r="92" ht="15.75" customHeight="1">
      <c r="A92" s="1" t="s">
        <v>1643</v>
      </c>
      <c r="B92" s="1" t="str">
        <f>IF(A92&lt;&gt;"", VLOOKUP(A92, imdb_netflix_v5!A$2:H$7370, 2, FALSE), "")</f>
        <v>TV Show</v>
      </c>
      <c r="C92" s="2" t="str">
        <f>IF(A92&lt;&gt;"", VLOOKUP(A92, imdb_netflix_v5!A$2:H$7370, 3, FALSE), "")</f>
        <v>Crime, Drama, Fantasy</v>
      </c>
      <c r="D92" s="4">
        <f>IF(A92&lt;&gt;"", VLOOKUP(A92, imdb_netflix_v5!A$2:H$7370, 4, FALSE), "")</f>
        <v>8</v>
      </c>
      <c r="E92" s="2">
        <f>IF(A92&lt;&gt;"", VLOOKUP(A92, imdb_netflix_v5!A$2:H$7370, 5, FALSE), "")</f>
        <v>2016</v>
      </c>
      <c r="F92" s="2">
        <f>IF(A92&lt;&gt;"", VLOOKUP(A92, imdb_netflix_v5!A$2:H$7370, 7, FALSE), "")</f>
        <v>16730000</v>
      </c>
    </row>
    <row r="93" ht="15.75" customHeight="1">
      <c r="A93" s="1" t="s">
        <v>343</v>
      </c>
      <c r="B93" s="1" t="str">
        <f>IF(A93&lt;&gt;"", VLOOKUP(A93, imdb_netflix_v5!A$2:H$7370, 2, FALSE), "")</f>
        <v>TV Show</v>
      </c>
      <c r="C93" s="2" t="str">
        <f>IF(A93&lt;&gt;"", VLOOKUP(A93, imdb_netflix_v5!A$2:H$7370, 3, FALSE), "")</f>
        <v>Biography, Drama, History</v>
      </c>
      <c r="D93" s="4">
        <f>IF(A93&lt;&gt;"", VLOOKUP(A93, imdb_netflix_v5!A$2:H$7370, 4, FALSE), "")</f>
        <v>8.6</v>
      </c>
      <c r="E93" s="2">
        <f>IF(A93&lt;&gt;"", VLOOKUP(A93, imdb_netflix_v5!A$2:H$7370, 5, FALSE), "")</f>
        <v>2016</v>
      </c>
      <c r="F93" s="2">
        <f>IF(A93&lt;&gt;"", VLOOKUP(A93, imdb_netflix_v5!A$2:H$7370, 7, FALSE), "")</f>
        <v>50900000</v>
      </c>
    </row>
    <row r="94" ht="15.75" hidden="1" customHeight="1">
      <c r="A94" s="1" t="s">
        <v>2279</v>
      </c>
      <c r="B94" s="1" t="str">
        <f>IF(A94&lt;&gt;"", VLOOKUP(A94, imdb_netflix_v5!A$2:H$7370, 2, FALSE), "")</f>
        <v>Movie</v>
      </c>
      <c r="C94" s="2" t="str">
        <f>IF(A94&lt;&gt;"", VLOOKUP(A94, imdb_netflix_v5!A$2:H$7370, 3, FALSE), "")</f>
        <v>Horror, Mystery, Thriller</v>
      </c>
      <c r="D94" s="2">
        <f>IF(A94&lt;&gt;"", VLOOKUP(A94, imdb_netflix_v5!A$2:H$7370, 4, FALSE), "")</f>
        <v>7.8</v>
      </c>
      <c r="E94" s="2">
        <f>IF(A94&lt;&gt;"", VLOOKUP(A94, imdb_netflix_v5!A$2:H$7370, 5, FALSE), "")</f>
        <v>2017</v>
      </c>
      <c r="F94" s="2">
        <f>IF(A94&lt;&gt;"", VLOOKUP(A94, imdb_netflix_v5!A$2:H$7370, 7, FALSE), "")</f>
        <v>5300000</v>
      </c>
    </row>
    <row r="95" ht="15.75" hidden="1" customHeight="1">
      <c r="A95" s="1" t="s">
        <v>4140</v>
      </c>
      <c r="B95" s="1" t="str">
        <f>IF(A95&lt;&gt;"", VLOOKUP(A95, imdb_netflix_v5!A$2:H$7370, 2, FALSE), "")</f>
        <v>Movie</v>
      </c>
      <c r="C95" s="2" t="str">
        <f>IF(A95&lt;&gt;"", VLOOKUP(A95, imdb_netflix_v5!A$2:H$7370, 3, FALSE), "")</f>
        <v>Action, Crime, Thriller</v>
      </c>
      <c r="D95" s="2">
        <f>IF(A95&lt;&gt;"", VLOOKUP(A95, imdb_netflix_v5!A$2:H$7370, 4, FALSE), "")</f>
        <v>7.4</v>
      </c>
      <c r="E95" s="2">
        <f>IF(A95&lt;&gt;"", VLOOKUP(A95, imdb_netflix_v5!A$2:H$7370, 5, FALSE), "")</f>
        <v>2017</v>
      </c>
      <c r="F95" s="2">
        <f>IF(A95&lt;&gt;"", VLOOKUP(A95, imdb_netflix_v5!A$2:H$7370, 7, FALSE), "")</f>
        <v>7800000</v>
      </c>
    </row>
    <row r="96" ht="15.75" hidden="1" customHeight="1">
      <c r="A96" s="1" t="s">
        <v>1625</v>
      </c>
      <c r="B96" s="1" t="str">
        <f>IF(A96&lt;&gt;"", VLOOKUP(A96, imdb_netflix_v5!A$2:H$7370, 2, FALSE), "")</f>
        <v>Movie</v>
      </c>
      <c r="C96" s="2" t="str">
        <f>IF(A96&lt;&gt;"", VLOOKUP(A96, imdb_netflix_v5!A$2:H$7370, 3, FALSE), "")</f>
        <v>Action, Drama, Mystery</v>
      </c>
      <c r="D96" s="2">
        <f>IF(A96&lt;&gt;"", VLOOKUP(A96, imdb_netflix_v5!A$2:H$7370, 4, FALSE), "")</f>
        <v>8</v>
      </c>
      <c r="E96" s="2">
        <f>IF(A96&lt;&gt;"", VLOOKUP(A96, imdb_netflix_v5!A$2:H$7370, 5, FALSE), "")</f>
        <v>2017</v>
      </c>
      <c r="F96" s="2">
        <f>IF(A96&lt;&gt;"", VLOOKUP(A96, imdb_netflix_v5!A$2:H$7370, 7, FALSE), "")</f>
        <v>7850000</v>
      </c>
    </row>
    <row r="97" ht="15.75" customHeight="1">
      <c r="A97" s="1" t="s">
        <v>847</v>
      </c>
      <c r="B97" s="1" t="str">
        <f>IF(A97&lt;&gt;"", VLOOKUP(A97, imdb_netflix_v5!A$2:H$7370, 2, FALSE), "")</f>
        <v>TV Show</v>
      </c>
      <c r="C97" s="2" t="str">
        <f>IF(A97&lt;&gt;"", VLOOKUP(A97, imdb_netflix_v5!A$2:H$7370, 3, FALSE), "")</f>
        <v>Drama, Mystery, Thriller</v>
      </c>
      <c r="D97" s="4">
        <f>IF(A97&lt;&gt;"", VLOOKUP(A97, imdb_netflix_v5!A$2:H$7370, 4, FALSE), "")</f>
        <v>8.3</v>
      </c>
      <c r="E97" s="2">
        <f>IF(A97&lt;&gt;"", VLOOKUP(A97, imdb_netflix_v5!A$2:H$7370, 5, FALSE), "")</f>
        <v>2017</v>
      </c>
      <c r="F97" s="2">
        <f>IF(A97&lt;&gt;"", VLOOKUP(A97, imdb_netflix_v5!A$2:H$7370, 7, FALSE), "")</f>
        <v>8310000</v>
      </c>
    </row>
    <row r="98" ht="15.75" hidden="1" customHeight="1">
      <c r="A98" s="1" t="s">
        <v>4664</v>
      </c>
      <c r="B98" s="1" t="str">
        <f>IF(A98&lt;&gt;"", VLOOKUP(A98, imdb_netflix_v5!A$2:H$7370, 2, FALSE), "")</f>
        <v>Movie</v>
      </c>
      <c r="C98" s="2" t="str">
        <f>IF(A98&lt;&gt;"", VLOOKUP(A98, imdb_netflix_v5!A$2:H$7370, 3, FALSE), "")</f>
        <v>Horror</v>
      </c>
      <c r="D98" s="2">
        <f>IF(A98&lt;&gt;"", VLOOKUP(A98, imdb_netflix_v5!A$2:H$7370, 4, FALSE), "")</f>
        <v>7.3</v>
      </c>
      <c r="E98" s="2">
        <f>IF(A98&lt;&gt;"", VLOOKUP(A98, imdb_netflix_v5!A$2:H$7370, 5, FALSE), "")</f>
        <v>2017</v>
      </c>
      <c r="F98" s="2">
        <f>IF(A98&lt;&gt;"", VLOOKUP(A98, imdb_netflix_v5!A$2:H$7370, 7, FALSE), "")</f>
        <v>8350000</v>
      </c>
    </row>
    <row r="99" ht="15.75" customHeight="1">
      <c r="A99" s="1" t="s">
        <v>1044</v>
      </c>
      <c r="B99" s="1" t="str">
        <f>IF(A99&lt;&gt;"", VLOOKUP(A99, imdb_netflix_v5!A$2:H$7370, 2, FALSE), "")</f>
        <v>TV Show</v>
      </c>
      <c r="C99" s="2" t="str">
        <f>IF(A99&lt;&gt;"", VLOOKUP(A99, imdb_netflix_v5!A$2:H$7370, 3, FALSE), "")</f>
        <v>Action, Crime, Drama</v>
      </c>
      <c r="D99" s="4">
        <f>IF(A99&lt;&gt;"", VLOOKUP(A99, imdb_netflix_v5!A$2:H$7370, 4, FALSE), "")</f>
        <v>8.2</v>
      </c>
      <c r="E99" s="2">
        <f>IF(A99&lt;&gt;"", VLOOKUP(A99, imdb_netflix_v5!A$2:H$7370, 5, FALSE), "")</f>
        <v>2017</v>
      </c>
      <c r="F99" s="2">
        <f>IF(A99&lt;&gt;"", VLOOKUP(A99, imdb_netflix_v5!A$2:H$7370, 7, FALSE), "")</f>
        <v>8570000</v>
      </c>
    </row>
    <row r="100" ht="15.75" hidden="1" customHeight="1">
      <c r="A100" s="1" t="s">
        <v>5808</v>
      </c>
      <c r="B100" s="1" t="str">
        <f>IF(A100&lt;&gt;"", VLOOKUP(A100, imdb_netflix_v5!A$2:H$7370, 2, FALSE), "")</f>
        <v>Movie</v>
      </c>
      <c r="C100" s="2" t="str">
        <f>IF(A100&lt;&gt;"", VLOOKUP(A100, imdb_netflix_v5!A$2:H$7370, 3, FALSE), "")</f>
        <v>Action, Comedy, Crime</v>
      </c>
      <c r="D100" s="2">
        <f>IF(A100&lt;&gt;"", VLOOKUP(A100, imdb_netflix_v5!A$2:H$7370, 4, FALSE), "")</f>
        <v>7.1</v>
      </c>
      <c r="E100" s="2">
        <f>IF(A100&lt;&gt;"", VLOOKUP(A100, imdb_netflix_v5!A$2:H$7370, 5, FALSE), "")</f>
        <v>2017</v>
      </c>
      <c r="F100" s="2">
        <f>IF(A100&lt;&gt;"", VLOOKUP(A100, imdb_netflix_v5!A$2:H$7370, 7, FALSE), "")</f>
        <v>9300000</v>
      </c>
    </row>
    <row r="101" ht="15.75" customHeight="1">
      <c r="A101" s="1" t="s">
        <v>5455</v>
      </c>
      <c r="B101" s="1" t="str">
        <f>IF(A101&lt;&gt;"", VLOOKUP(A101, imdb_netflix_v5!A$2:H$7370, 2, FALSE), "")</f>
        <v>TV Show</v>
      </c>
      <c r="C101" s="2" t="str">
        <f>IF(A101&lt;&gt;"", VLOOKUP(A101, imdb_netflix_v5!A$2:H$7370, 3, FALSE), "")</f>
        <v>Action, Adventure, Crime</v>
      </c>
      <c r="D101" s="4">
        <f>IF(A101&lt;&gt;"", VLOOKUP(A101, imdb_netflix_v5!A$2:H$7370, 4, FALSE), "")</f>
        <v>7.2</v>
      </c>
      <c r="E101" s="2">
        <f>IF(A101&lt;&gt;"", VLOOKUP(A101, imdb_netflix_v5!A$2:H$7370, 5, FALSE), "")</f>
        <v>2017</v>
      </c>
      <c r="F101" s="2">
        <f>IF(A101&lt;&gt;"", VLOOKUP(A101, imdb_netflix_v5!A$2:H$7370, 7, FALSE), "")</f>
        <v>10260000</v>
      </c>
    </row>
    <row r="102" ht="15.75" customHeight="1">
      <c r="A102" s="1" t="s">
        <v>2479</v>
      </c>
      <c r="B102" s="1" t="str">
        <f>IF(A102&lt;&gt;"", VLOOKUP(A102, imdb_netflix_v5!A$2:H$7370, 2, FALSE), "")</f>
        <v>TV Show</v>
      </c>
      <c r="C102" s="2" t="str">
        <f>IF(A102&lt;&gt;"", VLOOKUP(A102, imdb_netflix_v5!A$2:H$7370, 3, FALSE), "")</f>
        <v>Action, Drama, War</v>
      </c>
      <c r="D102" s="4">
        <f>IF(A102&lt;&gt;"", VLOOKUP(A102, imdb_netflix_v5!A$2:H$7370, 4, FALSE), "")</f>
        <v>7.8</v>
      </c>
      <c r="E102" s="2">
        <f>IF(A102&lt;&gt;"", VLOOKUP(A102, imdb_netflix_v5!A$2:H$7370, 5, FALSE), "")</f>
        <v>2017</v>
      </c>
      <c r="F102" s="2">
        <f>IF(A102&lt;&gt;"", VLOOKUP(A102, imdb_netflix_v5!A$2:H$7370, 7, FALSE), "")</f>
        <v>10310000</v>
      </c>
    </row>
    <row r="103" ht="15.75" customHeight="1">
      <c r="A103" s="1" t="s">
        <v>1687</v>
      </c>
      <c r="B103" s="1" t="str">
        <f>IF(A103&lt;&gt;"", VLOOKUP(A103, imdb_netflix_v5!A$2:H$7370, 2, FALSE), "")</f>
        <v>TV Show</v>
      </c>
      <c r="C103" s="2" t="str">
        <f>IF(A103&lt;&gt;"", VLOOKUP(A103, imdb_netflix_v5!A$2:H$7370, 3, FALSE), "")</f>
        <v>Drama</v>
      </c>
      <c r="D103" s="4">
        <f>IF(A103&lt;&gt;"", VLOOKUP(A103, imdb_netflix_v5!A$2:H$7370, 4, FALSE), "")</f>
        <v>8</v>
      </c>
      <c r="E103" s="2">
        <f>IF(A103&lt;&gt;"", VLOOKUP(A103, imdb_netflix_v5!A$2:H$7370, 5, FALSE), "")</f>
        <v>2017</v>
      </c>
      <c r="F103" s="2">
        <f>IF(A103&lt;&gt;"", VLOOKUP(A103, imdb_netflix_v5!A$2:H$7370, 7, FALSE), "")</f>
        <v>10430000</v>
      </c>
    </row>
    <row r="104" ht="15.75" customHeight="1">
      <c r="A104" s="1" t="s">
        <v>2777</v>
      </c>
      <c r="B104" s="1" t="str">
        <f>IF(A104&lt;&gt;"", VLOOKUP(A104, imdb_netflix_v5!A$2:H$7370, 2, FALSE), "")</f>
        <v>TV Show</v>
      </c>
      <c r="C104" s="2" t="str">
        <f>IF(A104&lt;&gt;"", VLOOKUP(A104, imdb_netflix_v5!A$2:H$7370, 3, FALSE), "")</f>
        <v>Comedy</v>
      </c>
      <c r="D104" s="4">
        <f>IF(A104&lt;&gt;"", VLOOKUP(A104, imdb_netflix_v5!A$2:H$7370, 4, FALSE), "")</f>
        <v>7.7</v>
      </c>
      <c r="E104" s="2">
        <f>IF(A104&lt;&gt;"", VLOOKUP(A104, imdb_netflix_v5!A$2:H$7370, 5, FALSE), "")</f>
        <v>2017</v>
      </c>
      <c r="F104" s="2">
        <f>IF(A104&lt;&gt;"", VLOOKUP(A104, imdb_netflix_v5!A$2:H$7370, 7, FALSE), "")</f>
        <v>11600000</v>
      </c>
    </row>
    <row r="105" ht="15.75" customHeight="1">
      <c r="A105" s="1" t="s">
        <v>2387</v>
      </c>
      <c r="B105" s="1" t="str">
        <f>IF(A105&lt;&gt;"", VLOOKUP(A105, imdb_netflix_v5!A$2:H$7370, 2, FALSE), "")</f>
        <v>TV Show</v>
      </c>
      <c r="C105" s="2" t="str">
        <f>IF(A105&lt;&gt;"", VLOOKUP(A105, imdb_netflix_v5!A$2:H$7370, 3, FALSE), "")</f>
        <v>Animation, Comedy, Romance</v>
      </c>
      <c r="D105" s="4">
        <f>IF(A105&lt;&gt;"", VLOOKUP(A105, imdb_netflix_v5!A$2:H$7370, 4, FALSE), "")</f>
        <v>7.8</v>
      </c>
      <c r="E105" s="2">
        <f>IF(A105&lt;&gt;"", VLOOKUP(A105, imdb_netflix_v5!A$2:H$7370, 5, FALSE), "")</f>
        <v>2017</v>
      </c>
      <c r="F105" s="2">
        <f>IF(A105&lt;&gt;"", VLOOKUP(A105, imdb_netflix_v5!A$2:H$7370, 7, FALSE), "")</f>
        <v>12500000</v>
      </c>
    </row>
    <row r="106" ht="15.75" customHeight="1">
      <c r="A106" s="1" t="s">
        <v>5499</v>
      </c>
      <c r="B106" s="1" t="str">
        <f>IF(A106&lt;&gt;"", VLOOKUP(A106, imdb_netflix_v5!A$2:H$7370, 2, FALSE), "")</f>
        <v>TV Show</v>
      </c>
      <c r="C106" s="2" t="str">
        <f>IF(A106&lt;&gt;"", VLOOKUP(A106, imdb_netflix_v5!A$2:H$7370, 3, FALSE), "")</f>
        <v>Drama</v>
      </c>
      <c r="D106" s="4">
        <f>IF(A106&lt;&gt;"", VLOOKUP(A106, imdb_netflix_v5!A$2:H$7370, 4, FALSE), "")</f>
        <v>7.2</v>
      </c>
      <c r="E106" s="2">
        <f>IF(A106&lt;&gt;"", VLOOKUP(A106, imdb_netflix_v5!A$2:H$7370, 5, FALSE), "")</f>
        <v>2017</v>
      </c>
      <c r="F106" s="2">
        <f>IF(A106&lt;&gt;"", VLOOKUP(A106, imdb_netflix_v5!A$2:H$7370, 7, FALSE), "")</f>
        <v>12610000</v>
      </c>
    </row>
    <row r="107" ht="15.75" customHeight="1">
      <c r="A107" s="1" t="s">
        <v>2361</v>
      </c>
      <c r="B107" s="1" t="str">
        <f>IF(A107&lt;&gt;"", VLOOKUP(A107, imdb_netflix_v5!A$2:H$7370, 2, FALSE), "")</f>
        <v>TV Show</v>
      </c>
      <c r="C107" s="2" t="str">
        <f>IF(A107&lt;&gt;"", VLOOKUP(A107, imdb_netflix_v5!A$2:H$7370, 3, FALSE), "")</f>
        <v>Crime, Drama, Mystery</v>
      </c>
      <c r="D107" s="4">
        <f>IF(A107&lt;&gt;"", VLOOKUP(A107, imdb_netflix_v5!A$2:H$7370, 4, FALSE), "")</f>
        <v>7.8</v>
      </c>
      <c r="E107" s="2">
        <f>IF(A107&lt;&gt;"", VLOOKUP(A107, imdb_netflix_v5!A$2:H$7370, 5, FALSE), "")</f>
        <v>2017</v>
      </c>
      <c r="F107" s="2">
        <f>IF(A107&lt;&gt;"", VLOOKUP(A107, imdb_netflix_v5!A$2:H$7370, 7, FALSE), "")</f>
        <v>13240000</v>
      </c>
    </row>
    <row r="108" ht="15.75" hidden="1" customHeight="1">
      <c r="A108" s="1" t="s">
        <v>4130</v>
      </c>
      <c r="B108" s="1" t="str">
        <f>IF(A108&lt;&gt;"", VLOOKUP(A108, imdb_netflix_v5!A$2:H$7370, 2, FALSE), "")</f>
        <v>Movie</v>
      </c>
      <c r="C108" s="2" t="str">
        <f>IF(A108&lt;&gt;"", VLOOKUP(A108, imdb_netflix_v5!A$2:H$7370, 3, FALSE), "")</f>
        <v>Action, Adventure, Sci-Fi</v>
      </c>
      <c r="D108" s="2">
        <f>IF(A108&lt;&gt;"", VLOOKUP(A108, imdb_netflix_v5!A$2:H$7370, 4, FALSE), "")</f>
        <v>7.4</v>
      </c>
      <c r="E108" s="2">
        <f>IF(A108&lt;&gt;"", VLOOKUP(A108, imdb_netflix_v5!A$2:H$7370, 5, FALSE), "")</f>
        <v>2017</v>
      </c>
      <c r="F108" s="2">
        <f>IF(A108&lt;&gt;"", VLOOKUP(A108, imdb_netflix_v5!A$2:H$7370, 7, FALSE), "")</f>
        <v>14180000</v>
      </c>
    </row>
    <row r="109" ht="15.75" customHeight="1">
      <c r="A109" s="1" t="s">
        <v>2529</v>
      </c>
      <c r="B109" s="1" t="str">
        <f>IF(A109&lt;&gt;"", VLOOKUP(A109, imdb_netflix_v5!A$2:H$7370, 2, FALSE), "")</f>
        <v>TV Show</v>
      </c>
      <c r="C109" s="2" t="str">
        <f>IF(A109&lt;&gt;"", VLOOKUP(A109, imdb_netflix_v5!A$2:H$7370, 3, FALSE), "")</f>
        <v>Comedy, Drama</v>
      </c>
      <c r="D109" s="4">
        <f>IF(A109&lt;&gt;"", VLOOKUP(A109, imdb_netflix_v5!A$2:H$7370, 4, FALSE), "")</f>
        <v>7.8</v>
      </c>
      <c r="E109" s="2">
        <f>IF(A109&lt;&gt;"", VLOOKUP(A109, imdb_netflix_v5!A$2:H$7370, 5, FALSE), "")</f>
        <v>2017</v>
      </c>
      <c r="F109" s="2">
        <f>IF(A109&lt;&gt;"", VLOOKUP(A109, imdb_netflix_v5!A$2:H$7370, 7, FALSE), "")</f>
        <v>15110000</v>
      </c>
    </row>
    <row r="110" ht="15.75" customHeight="1">
      <c r="A110" s="1" t="s">
        <v>1086</v>
      </c>
      <c r="B110" s="1" t="str">
        <f>IF(A110&lt;&gt;"", VLOOKUP(A110, imdb_netflix_v5!A$2:H$7370, 2, FALSE), "")</f>
        <v>TV Show</v>
      </c>
      <c r="C110" s="2" t="str">
        <f>IF(A110&lt;&gt;"", VLOOKUP(A110, imdb_netflix_v5!A$2:H$7370, 3, FALSE), "")</f>
        <v>Comedy, Drama</v>
      </c>
      <c r="D110" s="4">
        <f>IF(A110&lt;&gt;"", VLOOKUP(A110, imdb_netflix_v5!A$2:H$7370, 4, FALSE), "")</f>
        <v>8.2</v>
      </c>
      <c r="E110" s="2">
        <f>IF(A110&lt;&gt;"", VLOOKUP(A110, imdb_netflix_v5!A$2:H$7370, 5, FALSE), "")</f>
        <v>2017</v>
      </c>
      <c r="F110" s="2">
        <f>IF(A110&lt;&gt;"", VLOOKUP(A110, imdb_netflix_v5!A$2:H$7370, 7, FALSE), "")</f>
        <v>15920000</v>
      </c>
    </row>
    <row r="111" ht="15.75" customHeight="1">
      <c r="A111" s="1" t="s">
        <v>471</v>
      </c>
      <c r="B111" s="1" t="str">
        <f>IF(A111&lt;&gt;"", VLOOKUP(A111, imdb_netflix_v5!A$2:H$7370, 2, FALSE), "")</f>
        <v>TV Show</v>
      </c>
      <c r="C111" s="2" t="str">
        <f>IF(A111&lt;&gt;"", VLOOKUP(A111, imdb_netflix_v5!A$2:H$7370, 3, FALSE), "")</f>
        <v>Crime, Drama, Thriller</v>
      </c>
      <c r="D111" s="4">
        <f>IF(A111&lt;&gt;"", VLOOKUP(A111, imdb_netflix_v5!A$2:H$7370, 4, FALSE), "")</f>
        <v>8.5</v>
      </c>
      <c r="E111" s="2">
        <f>IF(A111&lt;&gt;"", VLOOKUP(A111, imdb_netflix_v5!A$2:H$7370, 5, FALSE), "")</f>
        <v>2017</v>
      </c>
      <c r="F111" s="2">
        <f>IF(A111&lt;&gt;"", VLOOKUP(A111, imdb_netflix_v5!A$2:H$7370, 7, FALSE), "")</f>
        <v>16770000</v>
      </c>
    </row>
    <row r="112" ht="15.75" hidden="1" customHeight="1">
      <c r="A112" s="1" t="s">
        <v>3767</v>
      </c>
      <c r="B112" s="1" t="str">
        <f>IF(A112&lt;&gt;"", VLOOKUP(A112, imdb_netflix_v5!A$2:H$7370, 2, FALSE), "")</f>
        <v>Movie</v>
      </c>
      <c r="C112" s="2" t="str">
        <f>IF(A112&lt;&gt;"", VLOOKUP(A112, imdb_netflix_v5!A$2:H$7370, 3, FALSE), "")</f>
        <v>Crime, Drama, Thriller</v>
      </c>
      <c r="D112" s="2">
        <f>IF(A112&lt;&gt;"", VLOOKUP(A112, imdb_netflix_v5!A$2:H$7370, 4, FALSE), "")</f>
        <v>7.5</v>
      </c>
      <c r="E112" s="2">
        <f>IF(A112&lt;&gt;"", VLOOKUP(A112, imdb_netflix_v5!A$2:H$7370, 5, FALSE), "")</f>
        <v>2018</v>
      </c>
      <c r="F112" s="2">
        <f>IF(A112&lt;&gt;"", VLOOKUP(A112, imdb_netflix_v5!A$2:H$7370, 7, FALSE), "")</f>
        <v>4400000</v>
      </c>
    </row>
    <row r="113" ht="15.75" hidden="1" customHeight="1">
      <c r="A113" s="1" t="s">
        <v>627</v>
      </c>
      <c r="B113" s="1" t="str">
        <f>IF(A113&lt;&gt;"", VLOOKUP(A113, imdb_netflix_v5!A$2:H$7370, 2, FALSE), "")</f>
        <v>Movie</v>
      </c>
      <c r="C113" s="2" t="str">
        <f>IF(A113&lt;&gt;"", VLOOKUP(A113, imdb_netflix_v5!A$2:H$7370, 3, FALSE), "")</f>
        <v>Action, Adventure, Animation</v>
      </c>
      <c r="D113" s="2">
        <f>IF(A113&lt;&gt;"", VLOOKUP(A113, imdb_netflix_v5!A$2:H$7370, 4, FALSE), "")</f>
        <v>8.4</v>
      </c>
      <c r="E113" s="2">
        <f>IF(A113&lt;&gt;"", VLOOKUP(A113, imdb_netflix_v5!A$2:H$7370, 5, FALSE), "")</f>
        <v>2018</v>
      </c>
      <c r="F113" s="2">
        <f>IF(A113&lt;&gt;"", VLOOKUP(A113, imdb_netflix_v5!A$2:H$7370, 7, FALSE), "")</f>
        <v>5910000</v>
      </c>
    </row>
    <row r="114" ht="15.75" hidden="1" customHeight="1">
      <c r="A114" s="1" t="s">
        <v>2709</v>
      </c>
      <c r="B114" s="1" t="str">
        <f>IF(A114&lt;&gt;"", VLOOKUP(A114, imdb_netflix_v5!A$2:H$7370, 2, FALSE), "")</f>
        <v>Movie</v>
      </c>
      <c r="C114" s="2" t="str">
        <f>IF(A114&lt;&gt;"", VLOOKUP(A114, imdb_netflix_v5!A$2:H$7370, 3, FALSE), "")</f>
        <v>Action, Adventure, Thriller</v>
      </c>
      <c r="D114" s="2">
        <f>IF(A114&lt;&gt;"", VLOOKUP(A114, imdb_netflix_v5!A$2:H$7370, 4, FALSE), "")</f>
        <v>7.7</v>
      </c>
      <c r="E114" s="2">
        <f>IF(A114&lt;&gt;"", VLOOKUP(A114, imdb_netflix_v5!A$2:H$7370, 5, FALSE), "")</f>
        <v>2018</v>
      </c>
      <c r="F114" s="2">
        <f>IF(A114&lt;&gt;"", VLOOKUP(A114, imdb_netflix_v5!A$2:H$7370, 7, FALSE), "")</f>
        <v>6360000</v>
      </c>
    </row>
    <row r="115" ht="15.75" customHeight="1">
      <c r="A115" s="1" t="s">
        <v>5375</v>
      </c>
      <c r="B115" s="1" t="str">
        <f>IF(A115&lt;&gt;"", VLOOKUP(A115, imdb_netflix_v5!A$2:H$7370, 2, FALSE), "")</f>
        <v>TV Show</v>
      </c>
      <c r="C115" s="2" t="str">
        <f>IF(A115&lt;&gt;"", VLOOKUP(A115, imdb_netflix_v5!A$2:H$7370, 3, FALSE), "")</f>
        <v>Action, Adventure, Animation</v>
      </c>
      <c r="D115" s="4">
        <f>IF(A115&lt;&gt;"", VLOOKUP(A115, imdb_netflix_v5!A$2:H$7370, 4, FALSE), "")</f>
        <v>7.2</v>
      </c>
      <c r="E115" s="2">
        <f>IF(A115&lt;&gt;"", VLOOKUP(A115, imdb_netflix_v5!A$2:H$7370, 5, FALSE), "")</f>
        <v>2018</v>
      </c>
      <c r="F115" s="2">
        <f>IF(A115&lt;&gt;"", VLOOKUP(A115, imdb_netflix_v5!A$2:H$7370, 7, FALSE), "")</f>
        <v>10300000</v>
      </c>
    </row>
    <row r="116" ht="15.75" customHeight="1">
      <c r="A116" s="1" t="s">
        <v>3499</v>
      </c>
      <c r="B116" s="1" t="str">
        <f>IF(A116&lt;&gt;"", VLOOKUP(A116, imdb_netflix_v5!A$2:H$7370, 2, FALSE), "")</f>
        <v>TV Show</v>
      </c>
      <c r="C116" s="2" t="str">
        <f>IF(A116&lt;&gt;"", VLOOKUP(A116, imdb_netflix_v5!A$2:H$7370, 3, FALSE), "")</f>
        <v>Drama, Sport</v>
      </c>
      <c r="D116" s="4">
        <f>IF(A116&lt;&gt;"", VLOOKUP(A116, imdb_netflix_v5!A$2:H$7370, 4, FALSE), "")</f>
        <v>7.6</v>
      </c>
      <c r="E116" s="2">
        <f>IF(A116&lt;&gt;"", VLOOKUP(A116, imdb_netflix_v5!A$2:H$7370, 5, FALSE), "")</f>
        <v>2018</v>
      </c>
      <c r="F116" s="2">
        <f>IF(A116&lt;&gt;"", VLOOKUP(A116, imdb_netflix_v5!A$2:H$7370, 7, FALSE), "")</f>
        <v>10830000</v>
      </c>
    </row>
    <row r="117" ht="15.75" customHeight="1">
      <c r="A117" s="1" t="s">
        <v>4797</v>
      </c>
      <c r="B117" s="1" t="str">
        <f>IF(A117&lt;&gt;"", VLOOKUP(A117, imdb_netflix_v5!A$2:H$7370, 2, FALSE), "")</f>
        <v>TV Show</v>
      </c>
      <c r="C117" s="2" t="str">
        <f>IF(A117&lt;&gt;"", VLOOKUP(A117, imdb_netflix_v5!A$2:H$7370, 3, FALSE), "")</f>
        <v>Adventure, Drama, Family</v>
      </c>
      <c r="D117" s="4">
        <f>IF(A117&lt;&gt;"", VLOOKUP(A117, imdb_netflix_v5!A$2:H$7370, 4, FALSE), "")</f>
        <v>7.3</v>
      </c>
      <c r="E117" s="2">
        <f>IF(A117&lt;&gt;"", VLOOKUP(A117, imdb_netflix_v5!A$2:H$7370, 5, FALSE), "")</f>
        <v>2018</v>
      </c>
      <c r="F117" s="2">
        <f>IF(A117&lt;&gt;"", VLOOKUP(A117, imdb_netflix_v5!A$2:H$7370, 7, FALSE), "")</f>
        <v>11650000</v>
      </c>
    </row>
    <row r="118" ht="15.75" customHeight="1">
      <c r="A118" s="1" t="s">
        <v>2720</v>
      </c>
      <c r="B118" s="1" t="str">
        <f>IF(A118&lt;&gt;"", VLOOKUP(A118, imdb_netflix_v5!A$2:H$7370, 2, FALSE), "")</f>
        <v>TV Show</v>
      </c>
      <c r="C118" s="2" t="str">
        <f>IF(A118&lt;&gt;"", VLOOKUP(A118, imdb_netflix_v5!A$2:H$7370, 3, FALSE), "")</f>
        <v>Crime, Drama, Romance</v>
      </c>
      <c r="D118" s="4">
        <f>IF(A118&lt;&gt;"", VLOOKUP(A118, imdb_netflix_v5!A$2:H$7370, 4, FALSE), "")</f>
        <v>7.7</v>
      </c>
      <c r="E118" s="2">
        <f>IF(A118&lt;&gt;"", VLOOKUP(A118, imdb_netflix_v5!A$2:H$7370, 5, FALSE), "")</f>
        <v>2018</v>
      </c>
      <c r="F118" s="2">
        <f>IF(A118&lt;&gt;"", VLOOKUP(A118, imdb_netflix_v5!A$2:H$7370, 7, FALSE), "")</f>
        <v>11890000</v>
      </c>
    </row>
    <row r="119" ht="15.75" customHeight="1">
      <c r="A119" s="1" t="s">
        <v>993</v>
      </c>
      <c r="B119" s="1" t="str">
        <f>IF(A119&lt;&gt;"", VLOOKUP(A119, imdb_netflix_v5!A$2:H$7370, 2, FALSE), "")</f>
        <v>TV Show</v>
      </c>
      <c r="C119" s="2" t="str">
        <f>IF(A119&lt;&gt;"", VLOOKUP(A119, imdb_netflix_v5!A$2:H$7370, 3, FALSE), "")</f>
        <v>Reality-TV</v>
      </c>
      <c r="D119" s="4">
        <f>IF(A119&lt;&gt;"", VLOOKUP(A119, imdb_netflix_v5!A$2:H$7370, 4, FALSE), "")</f>
        <v>8.3</v>
      </c>
      <c r="E119" s="2">
        <f>IF(A119&lt;&gt;"", VLOOKUP(A119, imdb_netflix_v5!A$2:H$7370, 5, FALSE), "")</f>
        <v>2018</v>
      </c>
      <c r="F119" s="2">
        <f>IF(A119&lt;&gt;"", VLOOKUP(A119, imdb_netflix_v5!A$2:H$7370, 7, FALSE), "")</f>
        <v>12900000</v>
      </c>
    </row>
    <row r="120" ht="15.75" customHeight="1">
      <c r="A120" s="1" t="s">
        <v>646</v>
      </c>
      <c r="B120" s="1" t="str">
        <f>IF(A120&lt;&gt;"", VLOOKUP(A120, imdb_netflix_v5!A$2:H$7370, 2, FALSE), "")</f>
        <v>TV Show</v>
      </c>
      <c r="C120" s="2" t="str">
        <f>IF(A120&lt;&gt;"", VLOOKUP(A120, imdb_netflix_v5!A$2:H$7370, 3, FALSE), "")</f>
        <v>Action, Comedy, Drama</v>
      </c>
      <c r="D120" s="4">
        <f>IF(A120&lt;&gt;"", VLOOKUP(A120, imdb_netflix_v5!A$2:H$7370, 4, FALSE), "")</f>
        <v>8.4</v>
      </c>
      <c r="E120" s="2">
        <f>IF(A120&lt;&gt;"", VLOOKUP(A120, imdb_netflix_v5!A$2:H$7370, 5, FALSE), "")</f>
        <v>2018</v>
      </c>
      <c r="F120" s="2">
        <f>IF(A120&lt;&gt;"", VLOOKUP(A120, imdb_netflix_v5!A$2:H$7370, 7, FALSE), "")</f>
        <v>13530000</v>
      </c>
    </row>
    <row r="121" ht="15.75" customHeight="1">
      <c r="A121" s="1" t="s">
        <v>1756</v>
      </c>
      <c r="B121" s="1" t="str">
        <f>IF(A121&lt;&gt;"", VLOOKUP(A121, imdb_netflix_v5!A$2:H$7370, 2, FALSE), "")</f>
        <v>TV Show</v>
      </c>
      <c r="C121" s="2" t="str">
        <f>IF(A121&lt;&gt;"", VLOOKUP(A121, imdb_netflix_v5!A$2:H$7370, 3, FALSE), "")</f>
        <v>Drama</v>
      </c>
      <c r="D121" s="4">
        <f>IF(A121&lt;&gt;"", VLOOKUP(A121, imdb_netflix_v5!A$2:H$7370, 4, FALSE), "")</f>
        <v>8</v>
      </c>
      <c r="E121" s="2">
        <f>IF(A121&lt;&gt;"", VLOOKUP(A121, imdb_netflix_v5!A$2:H$7370, 5, FALSE), "")</f>
        <v>2018</v>
      </c>
      <c r="F121" s="2">
        <f>IF(A121&lt;&gt;"", VLOOKUP(A121, imdb_netflix_v5!A$2:H$7370, 7, FALSE), "")</f>
        <v>15410000</v>
      </c>
    </row>
    <row r="122" ht="15.75" customHeight="1">
      <c r="A122" s="1" t="s">
        <v>2553</v>
      </c>
      <c r="B122" s="1" t="str">
        <f>IF(A122&lt;&gt;"", VLOOKUP(A122, imdb_netflix_v5!A$2:H$7370, 2, FALSE), "")</f>
        <v>TV Show</v>
      </c>
      <c r="C122" s="2" t="str">
        <f>IF(A122&lt;&gt;"", VLOOKUP(A122, imdb_netflix_v5!A$2:H$7370, 3, FALSE), "")</f>
        <v>Comedy, Drama</v>
      </c>
      <c r="D122" s="4">
        <f>IF(A122&lt;&gt;"", VLOOKUP(A122, imdb_netflix_v5!A$2:H$7370, 4, FALSE), "")</f>
        <v>7.8</v>
      </c>
      <c r="E122" s="2">
        <f>IF(A122&lt;&gt;"", VLOOKUP(A122, imdb_netflix_v5!A$2:H$7370, 5, FALSE), "")</f>
        <v>2018</v>
      </c>
      <c r="F122" s="2">
        <f>IF(A122&lt;&gt;"", VLOOKUP(A122, imdb_netflix_v5!A$2:H$7370, 7, FALSE), "")</f>
        <v>17360000</v>
      </c>
    </row>
    <row r="123" ht="15.75" customHeight="1">
      <c r="A123" s="1" t="s">
        <v>865</v>
      </c>
      <c r="B123" s="1" t="str">
        <f>IF(A123&lt;&gt;"", VLOOKUP(A123, imdb_netflix_v5!A$2:H$7370, 2, FALSE), "")</f>
        <v>TV Show</v>
      </c>
      <c r="C123" s="2" t="str">
        <f>IF(A123&lt;&gt;"", VLOOKUP(A123, imdb_netflix_v5!A$2:H$7370, 3, FALSE), "")</f>
        <v>Crime, Drama</v>
      </c>
      <c r="D123" s="4">
        <f>IF(A123&lt;&gt;"", VLOOKUP(A123, imdb_netflix_v5!A$2:H$7370, 4, FALSE), "")</f>
        <v>8.3</v>
      </c>
      <c r="E123" s="2">
        <f>IF(A123&lt;&gt;"", VLOOKUP(A123, imdb_netflix_v5!A$2:H$7370, 5, FALSE), "")</f>
        <v>2018</v>
      </c>
      <c r="F123" s="2">
        <f>IF(A123&lt;&gt;"", VLOOKUP(A123, imdb_netflix_v5!A$2:H$7370, 7, FALSE), "")</f>
        <v>17430000</v>
      </c>
    </row>
    <row r="124" ht="15.75" customHeight="1">
      <c r="A124" s="1" t="s">
        <v>2825</v>
      </c>
      <c r="B124" s="1" t="str">
        <f>IF(A124&lt;&gt;"", VLOOKUP(A124, imdb_netflix_v5!A$2:H$7370, 2, FALSE), "")</f>
        <v>TV Show</v>
      </c>
      <c r="C124" s="2" t="str">
        <f>IF(A124&lt;&gt;"", VLOOKUP(A124, imdb_netflix_v5!A$2:H$7370, 3, FALSE), "")</f>
        <v>Comedy, Crime, Drama</v>
      </c>
      <c r="D124" s="4">
        <f>IF(A124&lt;&gt;"", VLOOKUP(A124, imdb_netflix_v5!A$2:H$7370, 4, FALSE), "")</f>
        <v>7.7</v>
      </c>
      <c r="E124" s="2">
        <f>IF(A124&lt;&gt;"", VLOOKUP(A124, imdb_netflix_v5!A$2:H$7370, 5, FALSE), "")</f>
        <v>2018</v>
      </c>
      <c r="F124" s="2">
        <f>IF(A124&lt;&gt;"", VLOOKUP(A124, imdb_netflix_v5!A$2:H$7370, 7, FALSE), "")</f>
        <v>17490000</v>
      </c>
    </row>
    <row r="125" ht="15.75" customHeight="1">
      <c r="A125" s="1" t="s">
        <v>3716</v>
      </c>
      <c r="B125" s="1" t="str">
        <f>IF(A125&lt;&gt;"", VLOOKUP(A125, imdb_netflix_v5!A$2:H$7370, 2, FALSE), "")</f>
        <v>TV Show</v>
      </c>
      <c r="C125" s="2" t="str">
        <f>IF(A125&lt;&gt;"", VLOOKUP(A125, imdb_netflix_v5!A$2:H$7370, 3, FALSE), "")</f>
        <v>Action, Adventure, Crime</v>
      </c>
      <c r="D125" s="4">
        <f>IF(A125&lt;&gt;"", VLOOKUP(A125, imdb_netflix_v5!A$2:H$7370, 4, FALSE), "")</f>
        <v>7.5</v>
      </c>
      <c r="E125" s="2">
        <f>IF(A125&lt;&gt;"", VLOOKUP(A125, imdb_netflix_v5!A$2:H$7370, 5, FALSE), "")</f>
        <v>2018</v>
      </c>
      <c r="F125" s="2">
        <f>IF(A125&lt;&gt;"", VLOOKUP(A125, imdb_netflix_v5!A$2:H$7370, 7, FALSE), "")</f>
        <v>21400000</v>
      </c>
    </row>
    <row r="126" ht="15.75" customHeight="1">
      <c r="A126" s="1" t="s">
        <v>563</v>
      </c>
      <c r="B126" s="1" t="str">
        <f>IF(A126&lt;&gt;"", VLOOKUP(A126, imdb_netflix_v5!A$2:H$7370, 2, FALSE), "")</f>
        <v>TV Show</v>
      </c>
      <c r="C126" s="2" t="str">
        <f>IF(A126&lt;&gt;"", VLOOKUP(A126, imdb_netflix_v5!A$2:H$7370, 3, FALSE), "")</f>
        <v>Reality-TV</v>
      </c>
      <c r="D126" s="4">
        <f>IF(A126&lt;&gt;"", VLOOKUP(A126, imdb_netflix_v5!A$2:H$7370, 4, FALSE), "")</f>
        <v>8.5</v>
      </c>
      <c r="E126" s="2">
        <f>IF(A126&lt;&gt;"", VLOOKUP(A126, imdb_netflix_v5!A$2:H$7370, 5, FALSE), "")</f>
        <v>2018</v>
      </c>
      <c r="F126" s="2">
        <f>IF(A126&lt;&gt;"", VLOOKUP(A126, imdb_netflix_v5!A$2:H$7370, 7, FALSE), "")</f>
        <v>23060000</v>
      </c>
    </row>
    <row r="127" ht="15.75" hidden="1" customHeight="1">
      <c r="A127" s="1" t="s">
        <v>553</v>
      </c>
      <c r="B127" s="1" t="str">
        <f>IF(A127&lt;&gt;"", VLOOKUP(A127, imdb_netflix_v5!A$2:H$7370, 2, FALSE), "")</f>
        <v>Movie</v>
      </c>
      <c r="C127" s="2" t="str">
        <f>IF(A127&lt;&gt;"", VLOOKUP(A127, imdb_netflix_v5!A$2:H$7370, 3, FALSE), "")</f>
        <v>Drama, Sport</v>
      </c>
      <c r="D127" s="2">
        <f>IF(A127&lt;&gt;"", VLOOKUP(A127, imdb_netflix_v5!A$2:H$7370, 4, FALSE), "")</f>
        <v>8.5</v>
      </c>
      <c r="E127" s="2">
        <f>IF(A127&lt;&gt;"", VLOOKUP(A127, imdb_netflix_v5!A$2:H$7370, 5, FALSE), "")</f>
        <v>2019</v>
      </c>
      <c r="F127" s="2">
        <f>IF(A127&lt;&gt;"", VLOOKUP(A127, imdb_netflix_v5!A$2:H$7370, 7, FALSE), "")</f>
        <v>2110000</v>
      </c>
    </row>
    <row r="128" ht="15.75" hidden="1" customHeight="1">
      <c r="A128" s="1" t="s">
        <v>4378</v>
      </c>
      <c r="B128" s="1" t="str">
        <f>IF(A128&lt;&gt;"", VLOOKUP(A128, imdb_netflix_v5!A$2:H$7370, 2, FALSE), "")</f>
        <v>Movie</v>
      </c>
      <c r="C128" s="2" t="str">
        <f>IF(A128&lt;&gt;"", VLOOKUP(A128, imdb_netflix_v5!A$2:H$7370, 3, FALSE), "")</f>
        <v>Adventure, Comedy, Drama</v>
      </c>
      <c r="D128" s="2">
        <f>IF(A128&lt;&gt;"", VLOOKUP(A128, imdb_netflix_v5!A$2:H$7370, 4, FALSE), "")</f>
        <v>7.4</v>
      </c>
      <c r="E128" s="2">
        <f>IF(A128&lt;&gt;"", VLOOKUP(A128, imdb_netflix_v5!A$2:H$7370, 5, FALSE), "")</f>
        <v>2019</v>
      </c>
      <c r="F128" s="2">
        <f>IF(A128&lt;&gt;"", VLOOKUP(A128, imdb_netflix_v5!A$2:H$7370, 7, FALSE), "")</f>
        <v>5350000</v>
      </c>
    </row>
    <row r="129" ht="15.75" hidden="1" customHeight="1">
      <c r="A129" s="1" t="s">
        <v>2070</v>
      </c>
      <c r="B129" s="1" t="str">
        <f>IF(A129&lt;&gt;"", VLOOKUP(A129, imdb_netflix_v5!A$2:H$7370, 2, FALSE), "")</f>
        <v>Movie</v>
      </c>
      <c r="C129" s="2" t="str">
        <f>IF(A129&lt;&gt;"", VLOOKUP(A129, imdb_netflix_v5!A$2:H$7370, 3, FALSE), "")</f>
        <v>Adventure, Biography, Drama</v>
      </c>
      <c r="D129" s="2">
        <f>IF(A129&lt;&gt;"", VLOOKUP(A129, imdb_netflix_v5!A$2:H$7370, 4, FALSE), "")</f>
        <v>7.9</v>
      </c>
      <c r="E129" s="2">
        <f>IF(A129&lt;&gt;"", VLOOKUP(A129, imdb_netflix_v5!A$2:H$7370, 5, FALSE), "")</f>
        <v>2019</v>
      </c>
      <c r="F129" s="2">
        <f>IF(A129&lt;&gt;"", VLOOKUP(A129, imdb_netflix_v5!A$2:H$7370, 7, FALSE), "")</f>
        <v>6790000</v>
      </c>
    </row>
    <row r="130" ht="15.75" customHeight="1">
      <c r="A130" s="1" t="s">
        <v>350</v>
      </c>
      <c r="B130" s="1" t="str">
        <f>IF(A130&lt;&gt;"", VLOOKUP(A130, imdb_netflix_v5!A$2:H$7370, 2, FALSE), "")</f>
        <v>TV Show</v>
      </c>
      <c r="C130" s="2" t="str">
        <f>IF(A130&lt;&gt;"", VLOOKUP(A130, imdb_netflix_v5!A$2:H$7370, 3, FALSE), "")</f>
        <v>Action, Adventure, Animation</v>
      </c>
      <c r="D130" s="4">
        <f>IF(A130&lt;&gt;"", VLOOKUP(A130, imdb_netflix_v5!A$2:H$7370, 4, FALSE), "")</f>
        <v>8.6</v>
      </c>
      <c r="E130" s="2">
        <f>IF(A130&lt;&gt;"", VLOOKUP(A130, imdb_netflix_v5!A$2:H$7370, 5, FALSE), "")</f>
        <v>2019</v>
      </c>
      <c r="F130" s="2">
        <f>IF(A130&lt;&gt;"", VLOOKUP(A130, imdb_netflix_v5!A$2:H$7370, 7, FALSE), "")</f>
        <v>7100000</v>
      </c>
    </row>
    <row r="131" ht="15.75" customHeight="1">
      <c r="A131" s="1" t="s">
        <v>3290</v>
      </c>
      <c r="B131" s="1" t="str">
        <f>IF(A131&lt;&gt;"", VLOOKUP(A131, imdb_netflix_v5!A$2:H$7370, 2, FALSE), "")</f>
        <v>TV Show</v>
      </c>
      <c r="C131" s="2" t="str">
        <f>IF(A131&lt;&gt;"", VLOOKUP(A131, imdb_netflix_v5!A$2:H$7370, 3, FALSE), "")</f>
        <v>Action, Drama</v>
      </c>
      <c r="D131" s="4">
        <f>IF(A131&lt;&gt;"", VLOOKUP(A131, imdb_netflix_v5!A$2:H$7370, 4, FALSE), "")</f>
        <v>7.6</v>
      </c>
      <c r="E131" s="2">
        <f>IF(A131&lt;&gt;"", VLOOKUP(A131, imdb_netflix_v5!A$2:H$7370, 5, FALSE), "")</f>
        <v>2019</v>
      </c>
      <c r="F131" s="2">
        <f>IF(A131&lt;&gt;"", VLOOKUP(A131, imdb_netflix_v5!A$2:H$7370, 7, FALSE), "")</f>
        <v>7120000</v>
      </c>
    </row>
    <row r="132" ht="15.75" hidden="1" customHeight="1">
      <c r="A132" s="1" t="s">
        <v>1953</v>
      </c>
      <c r="B132" s="1" t="str">
        <f>IF(A132&lt;&gt;"", VLOOKUP(A132, imdb_netflix_v5!A$2:H$7370, 2, FALSE), "")</f>
        <v>Movie</v>
      </c>
      <c r="C132" s="2" t="str">
        <f>IF(A132&lt;&gt;"", VLOOKUP(A132, imdb_netflix_v5!A$2:H$7370, 3, FALSE), "")</f>
        <v>Comedy, Crime, Drama</v>
      </c>
      <c r="D132" s="2">
        <f>IF(A132&lt;&gt;"", VLOOKUP(A132, imdb_netflix_v5!A$2:H$7370, 4, FALSE), "")</f>
        <v>7.9</v>
      </c>
      <c r="E132" s="2">
        <f>IF(A132&lt;&gt;"", VLOOKUP(A132, imdb_netflix_v5!A$2:H$7370, 5, FALSE), "")</f>
        <v>2019</v>
      </c>
      <c r="F132" s="2">
        <f>IF(A132&lt;&gt;"", VLOOKUP(A132, imdb_netflix_v5!A$2:H$7370, 7, FALSE), "")</f>
        <v>7470000</v>
      </c>
    </row>
    <row r="133" ht="15.75" customHeight="1">
      <c r="A133" s="1" t="s">
        <v>2463</v>
      </c>
      <c r="B133" s="1" t="str">
        <f>IF(A133&lt;&gt;"", VLOOKUP(A133, imdb_netflix_v5!A$2:H$7370, 2, FALSE), "")</f>
        <v>TV Show</v>
      </c>
      <c r="C133" s="2" t="str">
        <f>IF(A133&lt;&gt;"", VLOOKUP(A133, imdb_netflix_v5!A$2:H$7370, 3, FALSE), "")</f>
        <v>Comedy, Crime, Drama</v>
      </c>
      <c r="D133" s="4">
        <f>IF(A133&lt;&gt;"", VLOOKUP(A133, imdb_netflix_v5!A$2:H$7370, 4, FALSE), "")</f>
        <v>7.8</v>
      </c>
      <c r="E133" s="2">
        <f>IF(A133&lt;&gt;"", VLOOKUP(A133, imdb_netflix_v5!A$2:H$7370, 5, FALSE), "")</f>
        <v>2019</v>
      </c>
      <c r="F133" s="2">
        <f>IF(A133&lt;&gt;"", VLOOKUP(A133, imdb_netflix_v5!A$2:H$7370, 7, FALSE), "")</f>
        <v>8580000</v>
      </c>
    </row>
    <row r="134" ht="15.75" hidden="1" customHeight="1">
      <c r="A134" s="1" t="s">
        <v>2326</v>
      </c>
      <c r="B134" s="1" t="str">
        <f>IF(A134&lt;&gt;"", VLOOKUP(A134, imdb_netflix_v5!A$2:H$7370, 2, FALSE), "")</f>
        <v>Movie</v>
      </c>
      <c r="C134" s="2" t="str">
        <f>IF(A134&lt;&gt;"", VLOOKUP(A134, imdb_netflix_v5!A$2:H$7370, 3, FALSE), "")</f>
        <v>Drama, Romance</v>
      </c>
      <c r="D134" s="2">
        <f>IF(A134&lt;&gt;"", VLOOKUP(A134, imdb_netflix_v5!A$2:H$7370, 4, FALSE), "")</f>
        <v>7.8</v>
      </c>
      <c r="E134" s="2">
        <f>IF(A134&lt;&gt;"", VLOOKUP(A134, imdb_netflix_v5!A$2:H$7370, 5, FALSE), "")</f>
        <v>2019</v>
      </c>
      <c r="F134" s="2">
        <f>IF(A134&lt;&gt;"", VLOOKUP(A134, imdb_netflix_v5!A$2:H$7370, 7, FALSE), "")</f>
        <v>8590000</v>
      </c>
    </row>
    <row r="135" ht="15.75" hidden="1" customHeight="1">
      <c r="A135" s="1" t="s">
        <v>4148</v>
      </c>
      <c r="B135" s="1" t="str">
        <f>IF(A135&lt;&gt;"", VLOOKUP(A135, imdb_netflix_v5!A$2:H$7370, 2, FALSE), "")</f>
        <v>Movie</v>
      </c>
      <c r="C135" s="2" t="str">
        <f>IF(A135&lt;&gt;"", VLOOKUP(A135, imdb_netflix_v5!A$2:H$7370, 3, FALSE), "")</f>
        <v>Action, Crime, Thriller</v>
      </c>
      <c r="D135" s="2">
        <f>IF(A135&lt;&gt;"", VLOOKUP(A135, imdb_netflix_v5!A$2:H$7370, 4, FALSE), "")</f>
        <v>7.4</v>
      </c>
      <c r="E135" s="2">
        <f>IF(A135&lt;&gt;"", VLOOKUP(A135, imdb_netflix_v5!A$2:H$7370, 5, FALSE), "")</f>
        <v>2019</v>
      </c>
      <c r="F135" s="2">
        <f>IF(A135&lt;&gt;"", VLOOKUP(A135, imdb_netflix_v5!A$2:H$7370, 7, FALSE), "")</f>
        <v>8790000</v>
      </c>
    </row>
    <row r="136" ht="15.75" hidden="1" customHeight="1">
      <c r="A136" s="1" t="s">
        <v>4205</v>
      </c>
      <c r="B136" s="1" t="str">
        <f>IF(A136&lt;&gt;"", VLOOKUP(A136, imdb_netflix_v5!A$2:H$7370, 2, FALSE), "")</f>
        <v>Movie</v>
      </c>
      <c r="C136" s="2" t="str">
        <f>IF(A136&lt;&gt;"", VLOOKUP(A136, imdb_netflix_v5!A$2:H$7370, 3, FALSE), "")</f>
        <v>Action, Adventure, Animation</v>
      </c>
      <c r="D136" s="2">
        <f>IF(A136&lt;&gt;"", VLOOKUP(A136, imdb_netflix_v5!A$2:H$7370, 4, FALSE), "")</f>
        <v>7.4</v>
      </c>
      <c r="E136" s="2">
        <f>IF(A136&lt;&gt;"", VLOOKUP(A136, imdb_netflix_v5!A$2:H$7370, 5, FALSE), "")</f>
        <v>2019</v>
      </c>
      <c r="F136" s="2">
        <f>IF(A136&lt;&gt;"", VLOOKUP(A136, imdb_netflix_v5!A$2:H$7370, 7, FALSE), "")</f>
        <v>9030000</v>
      </c>
    </row>
    <row r="137" ht="15.75" customHeight="1">
      <c r="A137" s="1" t="s">
        <v>42</v>
      </c>
      <c r="B137" s="1" t="str">
        <f>IF(A137&lt;&gt;"", VLOOKUP(A137, imdb_netflix_v5!A$2:H$7370, 2, FALSE), "")</f>
        <v>TV Show</v>
      </c>
      <c r="C137" s="2" t="str">
        <f>IF(A137&lt;&gt;"", VLOOKUP(A137, imdb_netflix_v5!A$2:H$7370, 3, FALSE), "")</f>
        <v>Documentary</v>
      </c>
      <c r="D137" s="4">
        <f>IF(A137&lt;&gt;"", VLOOKUP(A137, imdb_netflix_v5!A$2:H$7370, 4, FALSE), "")</f>
        <v>9.2</v>
      </c>
      <c r="E137" s="2">
        <f>IF(A137&lt;&gt;"", VLOOKUP(A137, imdb_netflix_v5!A$2:H$7370, 5, FALSE), "")</f>
        <v>2019</v>
      </c>
      <c r="F137" s="2">
        <f>IF(A137&lt;&gt;"", VLOOKUP(A137, imdb_netflix_v5!A$2:H$7370, 7, FALSE), "")</f>
        <v>9900000</v>
      </c>
    </row>
    <row r="138" ht="15.75" customHeight="1">
      <c r="A138" s="1" t="s">
        <v>1564</v>
      </c>
      <c r="B138" s="1" t="str">
        <f>IF(A138&lt;&gt;"", VLOOKUP(A138, imdb_netflix_v5!A$2:H$7370, 2, FALSE), "")</f>
        <v>TV Show</v>
      </c>
      <c r="C138" s="2" t="str">
        <f>IF(A138&lt;&gt;"", VLOOKUP(A138, imdb_netflix_v5!A$2:H$7370, 3, FALSE), "")</f>
        <v>Action, Comedy, Drama</v>
      </c>
      <c r="D138" s="4">
        <f>IF(A138&lt;&gt;"", VLOOKUP(A138, imdb_netflix_v5!A$2:H$7370, 4, FALSE), "")</f>
        <v>8.1</v>
      </c>
      <c r="E138" s="2">
        <f>IF(A138&lt;&gt;"", VLOOKUP(A138, imdb_netflix_v5!A$2:H$7370, 5, FALSE), "")</f>
        <v>2019</v>
      </c>
      <c r="F138" s="2">
        <f>IF(A138&lt;&gt;"", VLOOKUP(A138, imdb_netflix_v5!A$2:H$7370, 7, FALSE), "")</f>
        <v>9980000</v>
      </c>
    </row>
    <row r="139" ht="15.75" hidden="1" customHeight="1">
      <c r="A139" s="1">
        <v>1917.0</v>
      </c>
      <c r="B139" s="1" t="str">
        <f>IF(A139&lt;&gt;"", VLOOKUP(A139, imdb_netflix_v5!A$2:H$7370, 2, FALSE), "")</f>
        <v>Movie</v>
      </c>
      <c r="C139" s="2" t="str">
        <f>IF(A139&lt;&gt;"", VLOOKUP(A139, imdb_netflix_v5!A$2:H$7370, 3, FALSE), "")</f>
        <v>Action, Drama, War</v>
      </c>
      <c r="D139" s="2">
        <f>IF(A139&lt;&gt;"", VLOOKUP(A139, imdb_netflix_v5!A$2:H$7370, 4, FALSE), "")</f>
        <v>8.2</v>
      </c>
      <c r="E139" s="2">
        <f>IF(A139&lt;&gt;"", VLOOKUP(A139, imdb_netflix_v5!A$2:H$7370, 5, FALSE), "")</f>
        <v>2019</v>
      </c>
      <c r="F139" s="2">
        <f>IF(A139&lt;&gt;"", VLOOKUP(A139, imdb_netflix_v5!A$2:H$7370, 7, FALSE), "")</f>
        <v>10840000</v>
      </c>
    </row>
    <row r="140" ht="15.75" hidden="1" customHeight="1">
      <c r="A140" s="1" t="s">
        <v>4137</v>
      </c>
      <c r="B140" s="1" t="str">
        <f>IF(A140&lt;&gt;"", VLOOKUP(A140, imdb_netflix_v5!A$2:H$7370, 2, FALSE), "")</f>
        <v>Movie</v>
      </c>
      <c r="C140" s="2" t="str">
        <f>IF(A140&lt;&gt;"", VLOOKUP(A140, imdb_netflix_v5!A$2:H$7370, 3, FALSE), "")</f>
        <v>Action, Adventure, Comedy</v>
      </c>
      <c r="D140" s="2">
        <f>IF(A140&lt;&gt;"", VLOOKUP(A140, imdb_netflix_v5!A$2:H$7370, 4, FALSE), "")</f>
        <v>7.4</v>
      </c>
      <c r="E140" s="2">
        <f>IF(A140&lt;&gt;"", VLOOKUP(A140, imdb_netflix_v5!A$2:H$7370, 5, FALSE), "")</f>
        <v>2019</v>
      </c>
      <c r="F140" s="2">
        <f>IF(A140&lt;&gt;"", VLOOKUP(A140, imdb_netflix_v5!A$2:H$7370, 7, FALSE), "")</f>
        <v>11320000</v>
      </c>
    </row>
    <row r="141" ht="15.75" customHeight="1">
      <c r="A141" s="1" t="s">
        <v>6142</v>
      </c>
      <c r="B141" s="1" t="str">
        <f>IF(A141&lt;&gt;"", VLOOKUP(A141, imdb_netflix_v5!A$2:H$7370, 2, FALSE), "")</f>
        <v>TV Show</v>
      </c>
      <c r="C141" s="2" t="str">
        <f>IF(A141&lt;&gt;"", VLOOKUP(A141, imdb_netflix_v5!A$2:H$7370, 3, FALSE), "")</f>
        <v>Drama, Sci-Fi</v>
      </c>
      <c r="D141" s="4">
        <f>IF(A141&lt;&gt;"", VLOOKUP(A141, imdb_netflix_v5!A$2:H$7370, 4, FALSE), "")</f>
        <v>7.1</v>
      </c>
      <c r="E141" s="2">
        <f>IF(A141&lt;&gt;"", VLOOKUP(A141, imdb_netflix_v5!A$2:H$7370, 5, FALSE), "")</f>
        <v>2019</v>
      </c>
      <c r="F141" s="2">
        <f>IF(A141&lt;&gt;"", VLOOKUP(A141, imdb_netflix_v5!A$2:H$7370, 7, FALSE), "")</f>
        <v>11760000</v>
      </c>
    </row>
    <row r="142" ht="15.75" customHeight="1">
      <c r="A142" s="1" t="s">
        <v>2026</v>
      </c>
      <c r="B142" s="1" t="str">
        <f>IF(A142&lt;&gt;"", VLOOKUP(A142, imdb_netflix_v5!A$2:H$7370, 2, FALSE), "")</f>
        <v>TV Show</v>
      </c>
      <c r="C142" s="2" t="str">
        <f>IF(A142&lt;&gt;"", VLOOKUP(A142, imdb_netflix_v5!A$2:H$7370, 3, FALSE), "")</f>
        <v>Comedy, Crime, Drama</v>
      </c>
      <c r="D142" s="4">
        <f>IF(A142&lt;&gt;"", VLOOKUP(A142, imdb_netflix_v5!A$2:H$7370, 4, FALSE), "")</f>
        <v>7.9</v>
      </c>
      <c r="E142" s="2">
        <f>IF(A142&lt;&gt;"", VLOOKUP(A142, imdb_netflix_v5!A$2:H$7370, 5, FALSE), "")</f>
        <v>2019</v>
      </c>
      <c r="F142" s="2">
        <f>IF(A142&lt;&gt;"", VLOOKUP(A142, imdb_netflix_v5!A$2:H$7370, 7, FALSE), "")</f>
        <v>11900000</v>
      </c>
    </row>
    <row r="143" ht="15.75" customHeight="1">
      <c r="A143" s="1" t="s">
        <v>1051</v>
      </c>
      <c r="B143" s="1" t="str">
        <f>IF(A143&lt;&gt;"", VLOOKUP(A143, imdb_netflix_v5!A$2:H$7370, 2, FALSE), "")</f>
        <v>TV Show</v>
      </c>
      <c r="C143" s="2" t="str">
        <f>IF(A143&lt;&gt;"", VLOOKUP(A143, imdb_netflix_v5!A$2:H$7370, 3, FALSE), "")</f>
        <v>Comedy, Drama, Romance</v>
      </c>
      <c r="D143" s="4">
        <f>IF(A143&lt;&gt;"", VLOOKUP(A143, imdb_netflix_v5!A$2:H$7370, 4, FALSE), "")</f>
        <v>8.2</v>
      </c>
      <c r="E143" s="2">
        <f>IF(A143&lt;&gt;"", VLOOKUP(A143, imdb_netflix_v5!A$2:H$7370, 5, FALSE), "")</f>
        <v>2019</v>
      </c>
      <c r="F143" s="2">
        <f>IF(A143&lt;&gt;"", VLOOKUP(A143, imdb_netflix_v5!A$2:H$7370, 7, FALSE), "")</f>
        <v>13800000</v>
      </c>
    </row>
    <row r="144" ht="15.75" customHeight="1">
      <c r="A144" s="1" t="s">
        <v>1631</v>
      </c>
      <c r="B144" s="1" t="str">
        <f>IF(A144&lt;&gt;"", VLOOKUP(A144, imdb_netflix_v5!A$2:H$7370, 2, FALSE), "")</f>
        <v>TV Show</v>
      </c>
      <c r="C144" s="2" t="str">
        <f>IF(A144&lt;&gt;"", VLOOKUP(A144, imdb_netflix_v5!A$2:H$7370, 3, FALSE), "")</f>
        <v>Action, Adventure, Drama</v>
      </c>
      <c r="D144" s="4">
        <f>IF(A144&lt;&gt;"", VLOOKUP(A144, imdb_netflix_v5!A$2:H$7370, 4, FALSE), "")</f>
        <v>8</v>
      </c>
      <c r="E144" s="2">
        <f>IF(A144&lt;&gt;"", VLOOKUP(A144, imdb_netflix_v5!A$2:H$7370, 5, FALSE), "")</f>
        <v>2019</v>
      </c>
      <c r="F144" s="2">
        <f>IF(A144&lt;&gt;"", VLOOKUP(A144, imdb_netflix_v5!A$2:H$7370, 7, FALSE), "")</f>
        <v>14700000</v>
      </c>
    </row>
    <row r="145" ht="15.75" customHeight="1">
      <c r="A145" s="1" t="s">
        <v>647</v>
      </c>
      <c r="B145" s="1" t="str">
        <f>IF(A145&lt;&gt;"", VLOOKUP(A145, imdb_netflix_v5!A$2:H$7370, 2, FALSE), "")</f>
        <v>TV Show</v>
      </c>
      <c r="C145" s="2" t="str">
        <f>IF(A145&lt;&gt;"", VLOOKUP(A145, imdb_netflix_v5!A$2:H$7370, 3, FALSE), "")</f>
        <v>Action, Adventure, Animation</v>
      </c>
      <c r="D145" s="4">
        <f>IF(A145&lt;&gt;"", VLOOKUP(A145, imdb_netflix_v5!A$2:H$7370, 4, FALSE), "")</f>
        <v>8.4</v>
      </c>
      <c r="E145" s="2">
        <f>IF(A145&lt;&gt;"", VLOOKUP(A145, imdb_netflix_v5!A$2:H$7370, 5, FALSE), "")</f>
        <v>2019</v>
      </c>
      <c r="F145" s="2">
        <f>IF(A145&lt;&gt;"", VLOOKUP(A145, imdb_netflix_v5!A$2:H$7370, 7, FALSE), "")</f>
        <v>15390000</v>
      </c>
    </row>
    <row r="146" ht="15.75" customHeight="1">
      <c r="A146" s="1" t="s">
        <v>2322</v>
      </c>
      <c r="B146" s="1" t="str">
        <f>IF(A146&lt;&gt;"", VLOOKUP(A146, imdb_netflix_v5!A$2:H$7370, 2, FALSE), "")</f>
        <v>TV Show</v>
      </c>
      <c r="C146" s="2" t="str">
        <f>IF(A146&lt;&gt;"", VLOOKUP(A146, imdb_netflix_v5!A$2:H$7370, 3, FALSE), "")</f>
        <v>Action, Adventure, Comedy</v>
      </c>
      <c r="D146" s="4">
        <f>IF(A146&lt;&gt;"", VLOOKUP(A146, imdb_netflix_v5!A$2:H$7370, 4, FALSE), "")</f>
        <v>7.8</v>
      </c>
      <c r="E146" s="2">
        <f>IF(A146&lt;&gt;"", VLOOKUP(A146, imdb_netflix_v5!A$2:H$7370, 5, FALSE), "")</f>
        <v>2019</v>
      </c>
      <c r="F146" s="2">
        <f>IF(A146&lt;&gt;"", VLOOKUP(A146, imdb_netflix_v5!A$2:H$7370, 7, FALSE), "")</f>
        <v>18250000</v>
      </c>
    </row>
    <row r="147" ht="15.75" customHeight="1">
      <c r="A147" s="1" t="s">
        <v>4292</v>
      </c>
      <c r="B147" s="1" t="str">
        <f>IF(A147&lt;&gt;"", VLOOKUP(A147, imdb_netflix_v5!A$2:H$7370, 2, FALSE), "")</f>
        <v>TV Show</v>
      </c>
      <c r="C147" s="2" t="str">
        <f>IF(A147&lt;&gt;"", VLOOKUP(A147, imdb_netflix_v5!A$2:H$7370, 3, FALSE), "")</f>
        <v>Drama, Romance</v>
      </c>
      <c r="D147" s="4">
        <f>IF(A147&lt;&gt;"", VLOOKUP(A147, imdb_netflix_v5!A$2:H$7370, 4, FALSE), "")</f>
        <v>7.4</v>
      </c>
      <c r="E147" s="2">
        <f>IF(A147&lt;&gt;"", VLOOKUP(A147, imdb_netflix_v5!A$2:H$7370, 5, FALSE), "")</f>
        <v>2019</v>
      </c>
      <c r="F147" s="2">
        <f>IF(A147&lt;&gt;"", VLOOKUP(A147, imdb_netflix_v5!A$2:H$7370, 7, FALSE), "")</f>
        <v>20300000</v>
      </c>
    </row>
    <row r="148" ht="15.75" customHeight="1">
      <c r="A148" s="1" t="s">
        <v>523</v>
      </c>
      <c r="B148" s="1" t="str">
        <f>IF(A148&lt;&gt;"", VLOOKUP(A148, imdb_netflix_v5!A$2:H$7370, 2, FALSE), "")</f>
        <v>TV Show</v>
      </c>
      <c r="C148" s="2" t="str">
        <f>IF(A148&lt;&gt;"", VLOOKUP(A148, imdb_netflix_v5!A$2:H$7370, 3, FALSE), "")</f>
        <v>Documentary, Sport</v>
      </c>
      <c r="D148" s="4">
        <f>IF(A148&lt;&gt;"", VLOOKUP(A148, imdb_netflix_v5!A$2:H$7370, 4, FALSE), "")</f>
        <v>8.5</v>
      </c>
      <c r="E148" s="2">
        <f>IF(A148&lt;&gt;"", VLOOKUP(A148, imdb_netflix_v5!A$2:H$7370, 5, FALSE), "")</f>
        <v>2019</v>
      </c>
      <c r="F148" s="2">
        <f>IF(A148&lt;&gt;"", VLOOKUP(A148, imdb_netflix_v5!A$2:H$7370, 7, FALSE), "")</f>
        <v>26230000</v>
      </c>
    </row>
    <row r="149" ht="15.75" hidden="1" customHeight="1">
      <c r="A149" s="1" t="s">
        <v>997</v>
      </c>
      <c r="B149" s="1" t="str">
        <f>IF(A149&lt;&gt;"", VLOOKUP(A149, imdb_netflix_v5!A$2:H$7370, 2, FALSE), "")</f>
        <v>Movie</v>
      </c>
      <c r="C149" s="2" t="str">
        <f>IF(A149&lt;&gt;"", VLOOKUP(A149, imdb_netflix_v5!A$2:H$7370, 3, FALSE), "")</f>
        <v>Animation, Drama, Fantasy</v>
      </c>
      <c r="D149" s="2">
        <f>IF(A149&lt;&gt;"", VLOOKUP(A149, imdb_netflix_v5!A$2:H$7370, 4, FALSE), "")</f>
        <v>8.3</v>
      </c>
      <c r="E149" s="2">
        <f>IF(A149&lt;&gt;"", VLOOKUP(A149, imdb_netflix_v5!A$2:H$7370, 5, FALSE), "")</f>
        <v>2020</v>
      </c>
      <c r="F149" s="2">
        <f>IF(A149&lt;&gt;"", VLOOKUP(A149, imdb_netflix_v5!A$2:H$7370, 7, FALSE), "")</f>
        <v>1800000</v>
      </c>
    </row>
    <row r="150" ht="15.75" hidden="1" customHeight="1">
      <c r="A150" s="1" t="s">
        <v>5981</v>
      </c>
      <c r="B150" s="1" t="str">
        <f>IF(A150&lt;&gt;"", VLOOKUP(A150, imdb_netflix_v5!A$2:H$7370, 2, FALSE), "")</f>
        <v>Movie</v>
      </c>
      <c r="C150" s="2" t="str">
        <f>IF(A150&lt;&gt;"", VLOOKUP(A150, imdb_netflix_v5!A$2:H$7370, 3, FALSE), "")</f>
        <v>Action, Adventure, War</v>
      </c>
      <c r="D150" s="2">
        <f>IF(A150&lt;&gt;"", VLOOKUP(A150, imdb_netflix_v5!A$2:H$7370, 4, FALSE), "")</f>
        <v>7.1</v>
      </c>
      <c r="E150" s="2">
        <f>IF(A150&lt;&gt;"", VLOOKUP(A150, imdb_netflix_v5!A$2:H$7370, 5, FALSE), "")</f>
        <v>2020</v>
      </c>
      <c r="F150" s="2">
        <f>IF(A150&lt;&gt;"", VLOOKUP(A150, imdb_netflix_v5!A$2:H$7370, 7, FALSE), "")</f>
        <v>1940000</v>
      </c>
    </row>
    <row r="151" ht="15.75" customHeight="1">
      <c r="A151" s="1" t="s">
        <v>495</v>
      </c>
      <c r="B151" s="1" t="str">
        <f>IF(A151&lt;&gt;"", VLOOKUP(A151, imdb_netflix_v5!A$2:H$7370, 2, FALSE), "")</f>
        <v>TV Show</v>
      </c>
      <c r="C151" s="2" t="str">
        <f>IF(A151&lt;&gt;"", VLOOKUP(A151, imdb_netflix_v5!A$2:H$7370, 3, FALSE), "")</f>
        <v>Action, Adventure, Animation</v>
      </c>
      <c r="D151" s="4">
        <f>IF(A151&lt;&gt;"", VLOOKUP(A151, imdb_netflix_v5!A$2:H$7370, 4, FALSE), "")</f>
        <v>8.5</v>
      </c>
      <c r="E151" s="2">
        <f>IF(A151&lt;&gt;"", VLOOKUP(A151, imdb_netflix_v5!A$2:H$7370, 5, FALSE), "")</f>
        <v>2020</v>
      </c>
      <c r="F151" s="2">
        <f>IF(A151&lt;&gt;"", VLOOKUP(A151, imdb_netflix_v5!A$2:H$7370, 7, FALSE), "")</f>
        <v>2600000</v>
      </c>
    </row>
    <row r="152" ht="15.75" hidden="1" customHeight="1">
      <c r="A152" s="1" t="s">
        <v>3766</v>
      </c>
      <c r="B152" s="1" t="str">
        <f>IF(A152&lt;&gt;"", VLOOKUP(A152, imdb_netflix_v5!A$2:H$7370, 2, FALSE), "")</f>
        <v>Movie</v>
      </c>
      <c r="C152" s="2" t="str">
        <f>IF(A152&lt;&gt;"", VLOOKUP(A152, imdb_netflix_v5!A$2:H$7370, 3, FALSE), "")</f>
        <v>Action, Comedy, Drama</v>
      </c>
      <c r="D152" s="2">
        <f>IF(A152&lt;&gt;"", VLOOKUP(A152, imdb_netflix_v5!A$2:H$7370, 4, FALSE), "")</f>
        <v>7.5</v>
      </c>
      <c r="E152" s="2">
        <f>IF(A152&lt;&gt;"", VLOOKUP(A152, imdb_netflix_v5!A$2:H$7370, 5, FALSE), "")</f>
        <v>2020</v>
      </c>
      <c r="F152" s="2">
        <f>IF(A152&lt;&gt;"", VLOOKUP(A152, imdb_netflix_v5!A$2:H$7370, 7, FALSE), "")</f>
        <v>3710000</v>
      </c>
    </row>
    <row r="153" ht="15.75" hidden="1" customHeight="1">
      <c r="A153" s="1" t="s">
        <v>1062</v>
      </c>
      <c r="B153" s="1" t="str">
        <f>IF(A153&lt;&gt;"", VLOOKUP(A153, imdb_netflix_v5!A$2:H$7370, 2, FALSE), "")</f>
        <v>Movie</v>
      </c>
      <c r="C153" s="2" t="str">
        <f>IF(A153&lt;&gt;"", VLOOKUP(A153, imdb_netflix_v5!A$2:H$7370, 3, FALSE), "")</f>
        <v>Drama, Mystery</v>
      </c>
      <c r="D153" s="2">
        <f>IF(A153&lt;&gt;"", VLOOKUP(A153, imdb_netflix_v5!A$2:H$7370, 4, FALSE), "")</f>
        <v>8.2</v>
      </c>
      <c r="E153" s="2">
        <f>IF(A153&lt;&gt;"", VLOOKUP(A153, imdb_netflix_v5!A$2:H$7370, 5, FALSE), "")</f>
        <v>2020</v>
      </c>
      <c r="F153" s="2">
        <f>IF(A153&lt;&gt;"", VLOOKUP(A153, imdb_netflix_v5!A$2:H$7370, 7, FALSE), "")</f>
        <v>5070000</v>
      </c>
    </row>
    <row r="154" ht="15.75" customHeight="1">
      <c r="A154" s="1" t="s">
        <v>4861</v>
      </c>
      <c r="B154" s="1" t="str">
        <f>IF(A154&lt;&gt;"", VLOOKUP(A154, imdb_netflix_v5!A$2:H$7370, 2, FALSE), "")</f>
        <v>TV Show</v>
      </c>
      <c r="C154" s="2" t="str">
        <f>IF(A154&lt;&gt;"", VLOOKUP(A154, imdb_netflix_v5!A$2:H$7370, 3, FALSE), "")</f>
        <v>Action, Drama, Fantasy</v>
      </c>
      <c r="D154" s="4">
        <f>IF(A154&lt;&gt;"", VLOOKUP(A154, imdb_netflix_v5!A$2:H$7370, 4, FALSE), "")</f>
        <v>7.3</v>
      </c>
      <c r="E154" s="2">
        <f>IF(A154&lt;&gt;"", VLOOKUP(A154, imdb_netflix_v5!A$2:H$7370, 5, FALSE), "")</f>
        <v>2020</v>
      </c>
      <c r="F154" s="2">
        <f>IF(A154&lt;&gt;"", VLOOKUP(A154, imdb_netflix_v5!A$2:H$7370, 7, FALSE), "")</f>
        <v>5100000</v>
      </c>
    </row>
    <row r="155" ht="15.75" hidden="1" customHeight="1">
      <c r="A155" s="1" t="s">
        <v>5254</v>
      </c>
      <c r="B155" s="1" t="str">
        <f>IF(A155&lt;&gt;"", VLOOKUP(A155, imdb_netflix_v5!A$2:H$7370, 2, FALSE), "")</f>
        <v>Movie</v>
      </c>
      <c r="C155" s="2" t="str">
        <f>IF(A155&lt;&gt;"", VLOOKUP(A155, imdb_netflix_v5!A$2:H$7370, 3, FALSE), "")</f>
        <v>Drama, Horror, Sci-Fi</v>
      </c>
      <c r="D155" s="2">
        <f>IF(A155&lt;&gt;"", VLOOKUP(A155, imdb_netflix_v5!A$2:H$7370, 4, FALSE), "")</f>
        <v>7.2</v>
      </c>
      <c r="E155" s="2">
        <f>IF(A155&lt;&gt;"", VLOOKUP(A155, imdb_netflix_v5!A$2:H$7370, 5, FALSE), "")</f>
        <v>2020</v>
      </c>
      <c r="F155" s="2">
        <f>IF(A155&lt;&gt;"", VLOOKUP(A155, imdb_netflix_v5!A$2:H$7370, 7, FALSE), "")</f>
        <v>5750000</v>
      </c>
    </row>
    <row r="156" ht="15.75" customHeight="1">
      <c r="A156" s="1" t="s">
        <v>432</v>
      </c>
      <c r="B156" s="1" t="str">
        <f>IF(A156&lt;&gt;"", VLOOKUP(A156, imdb_netflix_v5!A$2:H$7370, 2, FALSE), "")</f>
        <v>TV Show</v>
      </c>
      <c r="C156" s="2" t="str">
        <f>IF(A156&lt;&gt;"", VLOOKUP(A156, imdb_netflix_v5!A$2:H$7370, 3, FALSE), "")</f>
        <v>Comedy, Fantasy, Romance</v>
      </c>
      <c r="D156" s="4">
        <f>IF(A156&lt;&gt;"", VLOOKUP(A156, imdb_netflix_v5!A$2:H$7370, 4, FALSE), "")</f>
        <v>8.6</v>
      </c>
      <c r="E156" s="2">
        <f>IF(A156&lt;&gt;"", VLOOKUP(A156, imdb_netflix_v5!A$2:H$7370, 5, FALSE), "")</f>
        <v>2020</v>
      </c>
      <c r="F156" s="2">
        <f>IF(A156&lt;&gt;"", VLOOKUP(A156, imdb_netflix_v5!A$2:H$7370, 7, FALSE), "")</f>
        <v>7620000</v>
      </c>
    </row>
    <row r="157" ht="15.75" hidden="1" customHeight="1">
      <c r="A157" s="1" t="s">
        <v>5946</v>
      </c>
      <c r="B157" s="1" t="str">
        <f>IF(A157&lt;&gt;"", VLOOKUP(A157, imdb_netflix_v5!A$2:H$7370, 2, FALSE), "")</f>
        <v>Movie</v>
      </c>
      <c r="C157" s="2" t="str">
        <f>IF(A157&lt;&gt;"", VLOOKUP(A157, imdb_netflix_v5!A$2:H$7370, 3, FALSE), "")</f>
        <v>Crime, Mystery, Sci-Fi</v>
      </c>
      <c r="D157" s="2">
        <f>IF(A157&lt;&gt;"", VLOOKUP(A157, imdb_netflix_v5!A$2:H$7370, 4, FALSE), "")</f>
        <v>7.1</v>
      </c>
      <c r="E157" s="2">
        <f>IF(A157&lt;&gt;"", VLOOKUP(A157, imdb_netflix_v5!A$2:H$7370, 5, FALSE), "")</f>
        <v>2020</v>
      </c>
      <c r="F157" s="2">
        <f>IF(A157&lt;&gt;"", VLOOKUP(A157, imdb_netflix_v5!A$2:H$7370, 7, FALSE), "")</f>
        <v>7710000</v>
      </c>
    </row>
    <row r="158" ht="15.75" customHeight="1">
      <c r="A158" s="1" t="s">
        <v>5475</v>
      </c>
      <c r="B158" s="1" t="str">
        <f>IF(A158&lt;&gt;"", VLOOKUP(A158, imdb_netflix_v5!A$2:H$7370, 2, FALSE), "")</f>
        <v>TV Show</v>
      </c>
      <c r="C158" s="2" t="str">
        <f>IF(A158&lt;&gt;"", VLOOKUP(A158, imdb_netflix_v5!A$2:H$7370, 3, FALSE), "")</f>
        <v>Action, Adventure, Drama</v>
      </c>
      <c r="D158" s="4">
        <f>IF(A158&lt;&gt;"", VLOOKUP(A158, imdb_netflix_v5!A$2:H$7370, 4, FALSE), "")</f>
        <v>7.2</v>
      </c>
      <c r="E158" s="2">
        <f>IF(A158&lt;&gt;"", VLOOKUP(A158, imdb_netflix_v5!A$2:H$7370, 5, FALSE), "")</f>
        <v>2020</v>
      </c>
      <c r="F158" s="2">
        <f>IF(A158&lt;&gt;"", VLOOKUP(A158, imdb_netflix_v5!A$2:H$7370, 7, FALSE), "")</f>
        <v>9390000</v>
      </c>
    </row>
    <row r="159" ht="15.75" customHeight="1">
      <c r="A159" s="1" t="s">
        <v>5001</v>
      </c>
      <c r="B159" s="1" t="str">
        <f>IF(A159&lt;&gt;"", VLOOKUP(A159, imdb_netflix_v5!A$2:H$7370, 2, FALSE), "")</f>
        <v>TV Show</v>
      </c>
      <c r="C159" s="2" t="str">
        <f>IF(A159&lt;&gt;"", VLOOKUP(A159, imdb_netflix_v5!A$2:H$7370, 3, FALSE), "")</f>
        <v>Comedy, Romance</v>
      </c>
      <c r="D159" s="4">
        <f>IF(A159&lt;&gt;"", VLOOKUP(A159, imdb_netflix_v5!A$2:H$7370, 4, FALSE), "")</f>
        <v>7.3</v>
      </c>
      <c r="E159" s="2">
        <f>IF(A159&lt;&gt;"", VLOOKUP(A159, imdb_netflix_v5!A$2:H$7370, 5, FALSE), "")</f>
        <v>2020</v>
      </c>
      <c r="F159" s="2">
        <f>IF(A159&lt;&gt;"", VLOOKUP(A159, imdb_netflix_v5!A$2:H$7370, 7, FALSE), "")</f>
        <v>10700000</v>
      </c>
    </row>
    <row r="160" ht="15.75" customHeight="1">
      <c r="A160" s="1" t="s">
        <v>3738</v>
      </c>
      <c r="B160" s="1" t="str">
        <f>IF(A160&lt;&gt;"", VLOOKUP(A160, imdb_netflix_v5!A$2:H$7370, 2, FALSE), "")</f>
        <v>TV Show</v>
      </c>
      <c r="C160" s="2" t="str">
        <f>IF(A160&lt;&gt;"", VLOOKUP(A160, imdb_netflix_v5!A$2:H$7370, 3, FALSE), "")</f>
        <v>Action, Crime, Drama</v>
      </c>
      <c r="D160" s="4">
        <f>IF(A160&lt;&gt;"", VLOOKUP(A160, imdb_netflix_v5!A$2:H$7370, 4, FALSE), "")</f>
        <v>7.5</v>
      </c>
      <c r="E160" s="2">
        <f>IF(A160&lt;&gt;"", VLOOKUP(A160, imdb_netflix_v5!A$2:H$7370, 5, FALSE), "")</f>
        <v>2020</v>
      </c>
      <c r="F160" s="2">
        <f>IF(A160&lt;&gt;"", VLOOKUP(A160, imdb_netflix_v5!A$2:H$7370, 7, FALSE), "")</f>
        <v>11310000</v>
      </c>
    </row>
    <row r="161" ht="15.75" customHeight="1">
      <c r="A161" s="1" t="s">
        <v>4185</v>
      </c>
      <c r="B161" s="1" t="str">
        <f>IF(A161&lt;&gt;"", VLOOKUP(A161, imdb_netflix_v5!A$2:H$7370, 2, FALSE), "")</f>
        <v>TV Show</v>
      </c>
      <c r="C161" s="2" t="str">
        <f>IF(A161&lt;&gt;"", VLOOKUP(A161, imdb_netflix_v5!A$2:H$7370, 3, FALSE), "")</f>
        <v>Drama, Romance</v>
      </c>
      <c r="D161" s="4">
        <f>IF(A161&lt;&gt;"", VLOOKUP(A161, imdb_netflix_v5!A$2:H$7370, 4, FALSE), "")</f>
        <v>7.4</v>
      </c>
      <c r="E161" s="2">
        <f>IF(A161&lt;&gt;"", VLOOKUP(A161, imdb_netflix_v5!A$2:H$7370, 5, FALSE), "")</f>
        <v>2020</v>
      </c>
      <c r="F161" s="2">
        <f>IF(A161&lt;&gt;"", VLOOKUP(A161, imdb_netflix_v5!A$2:H$7370, 7, FALSE), "")</f>
        <v>12540000</v>
      </c>
    </row>
    <row r="162" ht="15.75" customHeight="1">
      <c r="A162" s="1" t="s">
        <v>4486</v>
      </c>
      <c r="B162" s="1" t="str">
        <f>IF(A162&lt;&gt;"", VLOOKUP(A162, imdb_netflix_v5!A$2:H$7370, 2, FALSE), "")</f>
        <v>TV Show</v>
      </c>
      <c r="C162" s="2" t="str">
        <f>IF(A162&lt;&gt;"", VLOOKUP(A162, imdb_netflix_v5!A$2:H$7370, 3, FALSE), "")</f>
        <v>Comedy, Drama, Romance</v>
      </c>
      <c r="D162" s="4">
        <f>IF(A162&lt;&gt;"", VLOOKUP(A162, imdb_netflix_v5!A$2:H$7370, 4, FALSE), "")</f>
        <v>7.4</v>
      </c>
      <c r="E162" s="2">
        <f>IF(A162&lt;&gt;"", VLOOKUP(A162, imdb_netflix_v5!A$2:H$7370, 5, FALSE), "")</f>
        <v>2020</v>
      </c>
      <c r="F162" s="2">
        <f>IF(A162&lt;&gt;"", VLOOKUP(A162, imdb_netflix_v5!A$2:H$7370, 7, FALSE), "")</f>
        <v>12600000</v>
      </c>
    </row>
    <row r="163" ht="15.75" customHeight="1">
      <c r="A163" s="1" t="s">
        <v>5109</v>
      </c>
      <c r="B163" s="1" t="str">
        <f>IF(A163&lt;&gt;"", VLOOKUP(A163, imdb_netflix_v5!A$2:H$7370, 2, FALSE), "")</f>
        <v>TV Show</v>
      </c>
      <c r="C163" s="2" t="str">
        <f>IF(A163&lt;&gt;"", VLOOKUP(A163, imdb_netflix_v5!A$2:H$7370, 3, FALSE), "")</f>
        <v>Crime, Documentary, Mystery</v>
      </c>
      <c r="D163" s="4">
        <f>IF(A163&lt;&gt;"", VLOOKUP(A163, imdb_netflix_v5!A$2:H$7370, 4, FALSE), "")</f>
        <v>7.3</v>
      </c>
      <c r="E163" s="2">
        <f>IF(A163&lt;&gt;"", VLOOKUP(A163, imdb_netflix_v5!A$2:H$7370, 5, FALSE), "")</f>
        <v>2020</v>
      </c>
      <c r="F163" s="2">
        <f>IF(A163&lt;&gt;"", VLOOKUP(A163, imdb_netflix_v5!A$2:H$7370, 7, FALSE), "")</f>
        <v>14060000</v>
      </c>
    </row>
    <row r="164" ht="15.75" customHeight="1">
      <c r="A164" s="1" t="s">
        <v>2394</v>
      </c>
      <c r="B164" s="1" t="str">
        <f>IF(A164&lt;&gt;"", VLOOKUP(A164, imdb_netflix_v5!A$2:H$7370, 2, FALSE), "")</f>
        <v>TV Show</v>
      </c>
      <c r="C164" s="2" t="str">
        <f>IF(A164&lt;&gt;"", VLOOKUP(A164, imdb_netflix_v5!A$2:H$7370, 3, FALSE), "")</f>
        <v>Comedy, Drama</v>
      </c>
      <c r="D164" s="4">
        <f>IF(A164&lt;&gt;"", VLOOKUP(A164, imdb_netflix_v5!A$2:H$7370, 4, FALSE), "")</f>
        <v>7.8</v>
      </c>
      <c r="E164" s="2">
        <f>IF(A164&lt;&gt;"", VLOOKUP(A164, imdb_netflix_v5!A$2:H$7370, 5, FALSE), "")</f>
        <v>2020</v>
      </c>
      <c r="F164" s="2">
        <f>IF(A164&lt;&gt;"", VLOOKUP(A164, imdb_netflix_v5!A$2:H$7370, 7, FALSE), "")</f>
        <v>14200000</v>
      </c>
    </row>
    <row r="165" ht="15.75" customHeight="1">
      <c r="A165" s="1" t="s">
        <v>4804</v>
      </c>
      <c r="B165" s="1" t="str">
        <f>IF(A165&lt;&gt;"", VLOOKUP(A165, imdb_netflix_v5!A$2:H$7370, 2, FALSE), "")</f>
        <v>TV Show</v>
      </c>
      <c r="C165" s="2" t="str">
        <f>IF(A165&lt;&gt;"", VLOOKUP(A165, imdb_netflix_v5!A$2:H$7370, 3, FALSE), "")</f>
        <v>Drama, Fantasy, Horror</v>
      </c>
      <c r="D165" s="4">
        <f>IF(A165&lt;&gt;"", VLOOKUP(A165, imdb_netflix_v5!A$2:H$7370, 4, FALSE), "")</f>
        <v>7.3</v>
      </c>
      <c r="E165" s="2">
        <f>IF(A165&lt;&gt;"", VLOOKUP(A165, imdb_netflix_v5!A$2:H$7370, 5, FALSE), "")</f>
        <v>2020</v>
      </c>
      <c r="F165" s="2">
        <f>IF(A165&lt;&gt;"", VLOOKUP(A165, imdb_netflix_v5!A$2:H$7370, 7, FALSE), "")</f>
        <v>14630000</v>
      </c>
    </row>
    <row r="166" ht="15.75" customHeight="1">
      <c r="A166" s="1" t="s">
        <v>1904</v>
      </c>
      <c r="B166" s="1" t="str">
        <f>IF(A166&lt;&gt;"", VLOOKUP(A166, imdb_netflix_v5!A$2:H$7370, 2, FALSE), "")</f>
        <v>TV Show</v>
      </c>
      <c r="C166" s="2" t="str">
        <f>IF(A166&lt;&gt;"", VLOOKUP(A166, imdb_netflix_v5!A$2:H$7370, 3, FALSE), "")</f>
        <v>Action, Fantasy, Horror</v>
      </c>
      <c r="D166" s="4">
        <f>IF(A166&lt;&gt;"", VLOOKUP(A166, imdb_netflix_v5!A$2:H$7370, 4, FALSE), "")</f>
        <v>8</v>
      </c>
      <c r="E166" s="2">
        <f>IF(A166&lt;&gt;"", VLOOKUP(A166, imdb_netflix_v5!A$2:H$7370, 5, FALSE), "")</f>
        <v>2020</v>
      </c>
      <c r="F166" s="2">
        <f>IF(A166&lt;&gt;"", VLOOKUP(A166, imdb_netflix_v5!A$2:H$7370, 7, FALSE), "")</f>
        <v>15200000</v>
      </c>
    </row>
    <row r="167" ht="15.75" customHeight="1">
      <c r="A167" s="1" t="s">
        <v>2790</v>
      </c>
      <c r="B167" s="1" t="str">
        <f>IF(A167&lt;&gt;"", VLOOKUP(A167, imdb_netflix_v5!A$2:H$7370, 2, FALSE), "")</f>
        <v>TV Show</v>
      </c>
      <c r="C167" s="2" t="str">
        <f>IF(A167&lt;&gt;"", VLOOKUP(A167, imdb_netflix_v5!A$2:H$7370, 3, FALSE), "")</f>
        <v>Drama, Horror, Mystery</v>
      </c>
      <c r="D167" s="4">
        <f>IF(A167&lt;&gt;"", VLOOKUP(A167, imdb_netflix_v5!A$2:H$7370, 4, FALSE), "")</f>
        <v>7.7</v>
      </c>
      <c r="E167" s="2">
        <f>IF(A167&lt;&gt;"", VLOOKUP(A167, imdb_netflix_v5!A$2:H$7370, 5, FALSE), "")</f>
        <v>2020</v>
      </c>
      <c r="F167" s="2">
        <f>IF(A167&lt;&gt;"", VLOOKUP(A167, imdb_netflix_v5!A$2:H$7370, 7, FALSE), "")</f>
        <v>15680000</v>
      </c>
    </row>
    <row r="168" ht="15.75" customHeight="1">
      <c r="A168" s="1" t="s">
        <v>4963</v>
      </c>
      <c r="B168" s="1" t="str">
        <f>IF(A168&lt;&gt;"", VLOOKUP(A168, imdb_netflix_v5!A$2:H$7370, 2, FALSE), "")</f>
        <v>TV Show</v>
      </c>
      <c r="C168" s="2" t="str">
        <f>IF(A168&lt;&gt;"", VLOOKUP(A168, imdb_netflix_v5!A$2:H$7370, 3, FALSE), "")</f>
        <v>Drama, Romance</v>
      </c>
      <c r="D168" s="4">
        <f>IF(A168&lt;&gt;"", VLOOKUP(A168, imdb_netflix_v5!A$2:H$7370, 4, FALSE), "")</f>
        <v>7.3</v>
      </c>
      <c r="E168" s="2">
        <f>IF(A168&lt;&gt;"", VLOOKUP(A168, imdb_netflix_v5!A$2:H$7370, 5, FALSE), "")</f>
        <v>2020</v>
      </c>
      <c r="F168" s="2">
        <f>IF(A168&lt;&gt;"", VLOOKUP(A168, imdb_netflix_v5!A$2:H$7370, 7, FALSE), "")</f>
        <v>16200000</v>
      </c>
    </row>
    <row r="169" ht="15.75" customHeight="1">
      <c r="A169" s="1" t="s">
        <v>3741</v>
      </c>
      <c r="B169" s="1" t="str">
        <f>IF(A169&lt;&gt;"", VLOOKUP(A169, imdb_netflix_v5!A$2:H$7370, 2, FALSE), "")</f>
        <v>TV Show</v>
      </c>
      <c r="C169" s="2" t="str">
        <f>IF(A169&lt;&gt;"", VLOOKUP(A169, imdb_netflix_v5!A$2:H$7370, 3, FALSE), "")</f>
        <v>Biography, Crime, Documentary</v>
      </c>
      <c r="D169" s="4">
        <f>IF(A169&lt;&gt;"", VLOOKUP(A169, imdb_netflix_v5!A$2:H$7370, 4, FALSE), "")</f>
        <v>7.5</v>
      </c>
      <c r="E169" s="2">
        <f>IF(A169&lt;&gt;"", VLOOKUP(A169, imdb_netflix_v5!A$2:H$7370, 5, FALSE), "")</f>
        <v>2020</v>
      </c>
      <c r="F169" s="2">
        <f>IF(A169&lt;&gt;"", VLOOKUP(A169, imdb_netflix_v5!A$2:H$7370, 7, FALSE), "")</f>
        <v>16430000</v>
      </c>
    </row>
    <row r="170" ht="15.75" customHeight="1">
      <c r="A170" s="1" t="s">
        <v>4082</v>
      </c>
      <c r="B170" s="1" t="str">
        <f>IF(A170&lt;&gt;"", VLOOKUP(A170, imdb_netflix_v5!A$2:H$7370, 2, FALSE), "")</f>
        <v>TV Show</v>
      </c>
      <c r="C170" s="2" t="str">
        <f>IF(A170&lt;&gt;"", VLOOKUP(A170, imdb_netflix_v5!A$2:H$7370, 3, FALSE), "")</f>
        <v>Action, Adventure, Animation</v>
      </c>
      <c r="D170" s="4">
        <f>IF(A170&lt;&gt;"", VLOOKUP(A170, imdb_netflix_v5!A$2:H$7370, 4, FALSE), "")</f>
        <v>7.5</v>
      </c>
      <c r="E170" s="2">
        <f>IF(A170&lt;&gt;"", VLOOKUP(A170, imdb_netflix_v5!A$2:H$7370, 5, FALSE), "")</f>
        <v>2020</v>
      </c>
      <c r="F170" s="2">
        <f>IF(A170&lt;&gt;"", VLOOKUP(A170, imdb_netflix_v5!A$2:H$7370, 7, FALSE), "")</f>
        <v>17420000</v>
      </c>
    </row>
    <row r="171" ht="15.75" customHeight="1">
      <c r="A171" s="1" t="s">
        <v>5456</v>
      </c>
      <c r="B171" s="1" t="str">
        <f>IF(A171&lt;&gt;"", VLOOKUP(A171, imdb_netflix_v5!A$2:H$7370, 2, FALSE), "")</f>
        <v>TV Show</v>
      </c>
      <c r="C171" s="2" t="str">
        <f>IF(A171&lt;&gt;"", VLOOKUP(A171, imdb_netflix_v5!A$2:H$7370, 3, FALSE), "")</f>
        <v>Drama, Fantasy, Horror</v>
      </c>
      <c r="D171" s="4">
        <f>IF(A171&lt;&gt;"", VLOOKUP(A171, imdb_netflix_v5!A$2:H$7370, 4, FALSE), "")</f>
        <v>7.2</v>
      </c>
      <c r="E171" s="2">
        <f>IF(A171&lt;&gt;"", VLOOKUP(A171, imdb_netflix_v5!A$2:H$7370, 5, FALSE), "")</f>
        <v>2020</v>
      </c>
      <c r="F171" s="2">
        <f>IF(A171&lt;&gt;"", VLOOKUP(A171, imdb_netflix_v5!A$2:H$7370, 7, FALSE), "")</f>
        <v>37100000</v>
      </c>
    </row>
    <row r="172" ht="15.75" customHeight="1">
      <c r="A172" s="1" t="s">
        <v>1856</v>
      </c>
      <c r="B172" s="1" t="str">
        <f>IF(A172&lt;&gt;"", VLOOKUP(A172, imdb_netflix_v5!A$2:H$7370, 2, FALSE), "")</f>
        <v>TV Show</v>
      </c>
      <c r="C172" s="2" t="str">
        <f>IF(A172&lt;&gt;"", VLOOKUP(A172, imdb_netflix_v5!A$2:H$7370, 3, FALSE), "")</f>
        <v>Comedy, Drama, Romance</v>
      </c>
      <c r="D172" s="4">
        <f>IF(A172&lt;&gt;"", VLOOKUP(A172, imdb_netflix_v5!A$2:H$7370, 4, FALSE), "")</f>
        <v>8</v>
      </c>
      <c r="E172" s="2">
        <f>IF(A172&lt;&gt;"", VLOOKUP(A172, imdb_netflix_v5!A$2:H$7370, 5, FALSE), "")</f>
        <v>2020</v>
      </c>
      <c r="F172" s="2">
        <f>IF(A172&lt;&gt;"", VLOOKUP(A172, imdb_netflix_v5!A$2:H$7370, 7, FALSE), "")</f>
        <v>63500000</v>
      </c>
    </row>
    <row r="173" ht="15.75" hidden="1" customHeight="1">
      <c r="A173" s="1" t="s">
        <v>2460</v>
      </c>
      <c r="B173" s="1" t="str">
        <f>IF(A173&lt;&gt;"", VLOOKUP(A173, imdb_netflix_v5!A$2:H$7370, 2, FALSE), "")</f>
        <v>Movie</v>
      </c>
      <c r="C173" s="2" t="str">
        <f>IF(A173&lt;&gt;"", VLOOKUP(A173, imdb_netflix_v5!A$2:H$7370, 3, FALSE), "")</f>
        <v>Comedy, Drama</v>
      </c>
      <c r="D173" s="2">
        <f>IF(A173&lt;&gt;"", VLOOKUP(A173, imdb_netflix_v5!A$2:H$7370, 4, FALSE), "")</f>
        <v>7.8</v>
      </c>
      <c r="E173" s="2">
        <f>IF(A173&lt;&gt;"", VLOOKUP(A173, imdb_netflix_v5!A$2:H$7370, 5, FALSE), "")</f>
        <v>2021</v>
      </c>
      <c r="F173" s="2">
        <f>IF(A173&lt;&gt;"", VLOOKUP(A173, imdb_netflix_v5!A$2:H$7370, 7, FALSE), "")</f>
        <v>1510000</v>
      </c>
    </row>
    <row r="174" ht="15.75" hidden="1" customHeight="1">
      <c r="A174" s="1" t="s">
        <v>2488</v>
      </c>
      <c r="B174" s="1" t="str">
        <f>IF(A174&lt;&gt;"", VLOOKUP(A174, imdb_netflix_v5!A$2:H$7370, 2, FALSE), "")</f>
        <v>Movie</v>
      </c>
      <c r="C174" s="2" t="str">
        <f>IF(A174&lt;&gt;"", VLOOKUP(A174, imdb_netflix_v5!A$2:H$7370, 3, FALSE), "")</f>
        <v>Action, Comedy, Drama</v>
      </c>
      <c r="D174" s="2">
        <f>IF(A174&lt;&gt;"", VLOOKUP(A174, imdb_netflix_v5!A$2:H$7370, 4, FALSE), "")</f>
        <v>7.8</v>
      </c>
      <c r="E174" s="2">
        <f>IF(A174&lt;&gt;"", VLOOKUP(A174, imdb_netflix_v5!A$2:H$7370, 5, FALSE), "")</f>
        <v>2021</v>
      </c>
      <c r="F174" s="2">
        <f>IF(A174&lt;&gt;"", VLOOKUP(A174, imdb_netflix_v5!A$2:H$7370, 7, FALSE), "")</f>
        <v>2510000</v>
      </c>
    </row>
    <row r="175" ht="15.75" hidden="1" customHeight="1">
      <c r="A175" s="1" t="s">
        <v>3487</v>
      </c>
      <c r="B175" s="1" t="str">
        <f>IF(A175&lt;&gt;"", VLOOKUP(A175, imdb_netflix_v5!A$2:H$7370, 2, FALSE), "")</f>
        <v>Movie</v>
      </c>
      <c r="C175" s="2" t="str">
        <f>IF(A175&lt;&gt;"", VLOOKUP(A175, imdb_netflix_v5!A$2:H$7370, 3, FALSE), "")</f>
        <v>Drama, Romance</v>
      </c>
      <c r="D175" s="2">
        <f>IF(A175&lt;&gt;"", VLOOKUP(A175, imdb_netflix_v5!A$2:H$7370, 4, FALSE), "")</f>
        <v>7.6</v>
      </c>
      <c r="E175" s="2">
        <f>IF(A175&lt;&gt;"", VLOOKUP(A175, imdb_netflix_v5!A$2:H$7370, 5, FALSE), "")</f>
        <v>2021</v>
      </c>
      <c r="F175" s="2">
        <f>IF(A175&lt;&gt;"", VLOOKUP(A175, imdb_netflix_v5!A$2:H$7370, 7, FALSE), "")</f>
        <v>2880000</v>
      </c>
    </row>
    <row r="176" ht="15.75" hidden="1" customHeight="1">
      <c r="A176" s="1">
        <v>83.0</v>
      </c>
      <c r="B176" s="1" t="str">
        <f>IF(A176&lt;&gt;"", VLOOKUP(A176, imdb_netflix_v5!A$2:H$7370, 2, FALSE), "")</f>
        <v>Movie</v>
      </c>
      <c r="C176" s="2" t="str">
        <f>IF(A176&lt;&gt;"", VLOOKUP(A176, imdb_netflix_v5!A$2:H$7370, 3, FALSE), "")</f>
        <v>Biography, Drama, History</v>
      </c>
      <c r="D176" s="2">
        <f>IF(A176&lt;&gt;"", VLOOKUP(A176, imdb_netflix_v5!A$2:H$7370, 4, FALSE), "")</f>
        <v>7.5</v>
      </c>
      <c r="E176" s="2">
        <f>IF(A176&lt;&gt;"", VLOOKUP(A176, imdb_netflix_v5!A$2:H$7370, 5, FALSE), "")</f>
        <v>2021</v>
      </c>
      <c r="F176" s="2">
        <f>IF(A176&lt;&gt;"", VLOOKUP(A176, imdb_netflix_v5!A$2:H$7370, 7, FALSE), "")</f>
        <v>3120000</v>
      </c>
    </row>
    <row r="177" ht="15.75" hidden="1" customHeight="1">
      <c r="A177" s="1" t="s">
        <v>4813</v>
      </c>
      <c r="B177" s="1" t="str">
        <f>IF(A177&lt;&gt;"", VLOOKUP(A177, imdb_netflix_v5!A$2:H$7370, 2, FALSE), "")</f>
        <v>Movie</v>
      </c>
      <c r="C177" s="2" t="str">
        <f>IF(A177&lt;&gt;"", VLOOKUP(A177, imdb_netflix_v5!A$2:H$7370, 3, FALSE), "")</f>
        <v>Adventure, Animation, Comedy</v>
      </c>
      <c r="D177" s="2">
        <f>IF(A177&lt;&gt;"", VLOOKUP(A177, imdb_netflix_v5!A$2:H$7370, 4, FALSE), "")</f>
        <v>7.3</v>
      </c>
      <c r="E177" s="2">
        <f>IF(A177&lt;&gt;"", VLOOKUP(A177, imdb_netflix_v5!A$2:H$7370, 5, FALSE), "")</f>
        <v>2021</v>
      </c>
      <c r="F177" s="2">
        <f>IF(A177&lt;&gt;"", VLOOKUP(A177, imdb_netflix_v5!A$2:H$7370, 7, FALSE), "")</f>
        <v>4500000</v>
      </c>
    </row>
    <row r="178" ht="15.75" hidden="1" customHeight="1">
      <c r="A178" s="1" t="s">
        <v>5988</v>
      </c>
      <c r="B178" s="1" t="str">
        <f>IF(A178&lt;&gt;"", VLOOKUP(A178, imdb_netflix_v5!A$2:H$7370, 2, FALSE), "")</f>
        <v>Movie</v>
      </c>
      <c r="C178" s="2" t="str">
        <f>IF(A178&lt;&gt;"", VLOOKUP(A178, imdb_netflix_v5!A$2:H$7370, 3, FALSE), "")</f>
        <v>Drama</v>
      </c>
      <c r="D178" s="2">
        <f>IF(A178&lt;&gt;"", VLOOKUP(A178, imdb_netflix_v5!A$2:H$7370, 4, FALSE), "")</f>
        <v>7.1</v>
      </c>
      <c r="E178" s="2">
        <f>IF(A178&lt;&gt;"", VLOOKUP(A178, imdb_netflix_v5!A$2:H$7370, 5, FALSE), "")</f>
        <v>2021</v>
      </c>
      <c r="F178" s="2">
        <f>IF(A178&lt;&gt;"", VLOOKUP(A178, imdb_netflix_v5!A$2:H$7370, 7, FALSE), "")</f>
        <v>4820000</v>
      </c>
    </row>
    <row r="179" ht="15.75" hidden="1" customHeight="1">
      <c r="A179" s="1" t="s">
        <v>3204</v>
      </c>
      <c r="B179" s="1" t="str">
        <f>IF(A179&lt;&gt;"", VLOOKUP(A179, imdb_netflix_v5!A$2:H$7370, 2, FALSE), "")</f>
        <v>Movie</v>
      </c>
      <c r="C179" s="2" t="str">
        <f>IF(A179&lt;&gt;"", VLOOKUP(A179, imdb_netflix_v5!A$2:H$7370, 3, FALSE), "")</f>
        <v>Adventure, Animation, Comedy</v>
      </c>
      <c r="D179" s="2">
        <f>IF(A179&lt;&gt;"", VLOOKUP(A179, imdb_netflix_v5!A$2:H$7370, 4, FALSE), "")</f>
        <v>7.6</v>
      </c>
      <c r="E179" s="2">
        <f>IF(A179&lt;&gt;"", VLOOKUP(A179, imdb_netflix_v5!A$2:H$7370, 5, FALSE), "")</f>
        <v>2021</v>
      </c>
      <c r="F179" s="2">
        <f>IF(A179&lt;&gt;"", VLOOKUP(A179, imdb_netflix_v5!A$2:H$7370, 7, FALSE), "")</f>
        <v>4890000</v>
      </c>
    </row>
    <row r="180" ht="15.75" hidden="1" customHeight="1">
      <c r="A180" s="1" t="s">
        <v>5458</v>
      </c>
      <c r="B180" s="1" t="str">
        <f>IF(A180&lt;&gt;"", VLOOKUP(A180, imdb_netflix_v5!A$2:H$7370, 2, FALSE), "")</f>
        <v>Movie</v>
      </c>
      <c r="C180" s="2" t="str">
        <f>IF(A180&lt;&gt;"", VLOOKUP(A180, imdb_netflix_v5!A$2:H$7370, 3, FALSE), "")</f>
        <v>Adventure, Animation, Comedy</v>
      </c>
      <c r="D180" s="2">
        <f>IF(A180&lt;&gt;"", VLOOKUP(A180, imdb_netflix_v5!A$2:H$7370, 4, FALSE), "")</f>
        <v>7.2</v>
      </c>
      <c r="E180" s="2">
        <f>IF(A180&lt;&gt;"", VLOOKUP(A180, imdb_netflix_v5!A$2:H$7370, 5, FALSE), "")</f>
        <v>2021</v>
      </c>
      <c r="F180" s="2">
        <f>IF(A180&lt;&gt;"", VLOOKUP(A180, imdb_netflix_v5!A$2:H$7370, 7, FALSE), "")</f>
        <v>5150000</v>
      </c>
    </row>
    <row r="181" ht="15.75" hidden="1" customHeight="1">
      <c r="A181" s="1" t="s">
        <v>5230</v>
      </c>
      <c r="B181" s="1" t="str">
        <f>IF(A181&lt;&gt;"", VLOOKUP(A181, imdb_netflix_v5!A$2:H$7370, 2, FALSE), "")</f>
        <v>Movie</v>
      </c>
      <c r="C181" s="2" t="str">
        <f>IF(A181&lt;&gt;"", VLOOKUP(A181, imdb_netflix_v5!A$2:H$7370, 3, FALSE), "")</f>
        <v>Comedy, Drama, Sci-Fi</v>
      </c>
      <c r="D181" s="2">
        <f>IF(A181&lt;&gt;"", VLOOKUP(A181, imdb_netflix_v5!A$2:H$7370, 4, FALSE), "")</f>
        <v>7.2</v>
      </c>
      <c r="E181" s="2">
        <f>IF(A181&lt;&gt;"", VLOOKUP(A181, imdb_netflix_v5!A$2:H$7370, 5, FALSE), "")</f>
        <v>2021</v>
      </c>
      <c r="F181" s="2">
        <f>IF(A181&lt;&gt;"", VLOOKUP(A181, imdb_netflix_v5!A$2:H$7370, 7, FALSE), "")</f>
        <v>5360000</v>
      </c>
    </row>
    <row r="182" ht="15.75" customHeight="1">
      <c r="A182" s="1" t="s">
        <v>1264</v>
      </c>
      <c r="B182" s="1" t="str">
        <f>IF(A182&lt;&gt;"", VLOOKUP(A182, imdb_netflix_v5!A$2:H$7370, 2, FALSE), "")</f>
        <v>TV Show</v>
      </c>
      <c r="C182" s="2" t="str">
        <f>IF(A182&lt;&gt;"", VLOOKUP(A182, imdb_netflix_v5!A$2:H$7370, 3, FALSE), "")</f>
        <v>Action, Crime, Drama</v>
      </c>
      <c r="D182" s="4">
        <f>IF(A182&lt;&gt;"", VLOOKUP(A182, imdb_netflix_v5!A$2:H$7370, 4, FALSE), "")</f>
        <v>8.2</v>
      </c>
      <c r="E182" s="2">
        <f>IF(A182&lt;&gt;"", VLOOKUP(A182, imdb_netflix_v5!A$2:H$7370, 5, FALSE), "")</f>
        <v>2021</v>
      </c>
      <c r="F182" s="2">
        <f>IF(A182&lt;&gt;"", VLOOKUP(A182, imdb_netflix_v5!A$2:H$7370, 7, FALSE), "")</f>
        <v>6100000</v>
      </c>
    </row>
    <row r="183" ht="15.75" customHeight="1">
      <c r="A183" s="1" t="s">
        <v>1129</v>
      </c>
      <c r="B183" s="1" t="str">
        <f>IF(A183&lt;&gt;"", VLOOKUP(A183, imdb_netflix_v5!A$2:H$7370, 2, FALSE), "")</f>
        <v>TV Show</v>
      </c>
      <c r="C183" s="2" t="str">
        <f>IF(A183&lt;&gt;"", VLOOKUP(A183, imdb_netflix_v5!A$2:H$7370, 3, FALSE), "")</f>
        <v>Drama, Romance</v>
      </c>
      <c r="D183" s="4">
        <f>IF(A183&lt;&gt;"", VLOOKUP(A183, imdb_netflix_v5!A$2:H$7370, 4, FALSE), "")</f>
        <v>8.2</v>
      </c>
      <c r="E183" s="2">
        <f>IF(A183&lt;&gt;"", VLOOKUP(A183, imdb_netflix_v5!A$2:H$7370, 5, FALSE), "")</f>
        <v>2021</v>
      </c>
      <c r="F183" s="2">
        <f>IF(A183&lt;&gt;"", VLOOKUP(A183, imdb_netflix_v5!A$2:H$7370, 7, FALSE), "")</f>
        <v>6290000</v>
      </c>
    </row>
    <row r="184" ht="15.75" customHeight="1">
      <c r="A184" s="1" t="s">
        <v>930</v>
      </c>
      <c r="B184" s="1" t="str">
        <f>IF(A184&lt;&gt;"", VLOOKUP(A184, imdb_netflix_v5!A$2:H$7370, 2, FALSE), "")</f>
        <v>TV Show</v>
      </c>
      <c r="C184" s="2" t="str">
        <f>IF(A184&lt;&gt;"", VLOOKUP(A184, imdb_netflix_v5!A$2:H$7370, 3, FALSE), "")</f>
        <v>Comedy, Drama, Romance</v>
      </c>
      <c r="D184" s="4">
        <f>IF(A184&lt;&gt;"", VLOOKUP(A184, imdb_netflix_v5!A$2:H$7370, 4, FALSE), "")</f>
        <v>8.3</v>
      </c>
      <c r="E184" s="2">
        <f>IF(A184&lt;&gt;"", VLOOKUP(A184, imdb_netflix_v5!A$2:H$7370, 5, FALSE), "")</f>
        <v>2021</v>
      </c>
      <c r="F184" s="2">
        <f>IF(A184&lt;&gt;"", VLOOKUP(A184, imdb_netflix_v5!A$2:H$7370, 7, FALSE), "")</f>
        <v>7520000</v>
      </c>
    </row>
    <row r="185" ht="15.75" customHeight="1">
      <c r="A185" s="1" t="s">
        <v>2645</v>
      </c>
      <c r="B185" s="1" t="str">
        <f>IF(A185&lt;&gt;"", VLOOKUP(A185, imdb_netflix_v5!A$2:H$7370, 2, FALSE), "")</f>
        <v>TV Show</v>
      </c>
      <c r="C185" s="2" t="str">
        <f>IF(A185&lt;&gt;"", VLOOKUP(A185, imdb_netflix_v5!A$2:H$7370, 3, FALSE), "")</f>
        <v>Drama, History</v>
      </c>
      <c r="D185" s="4">
        <f>IF(A185&lt;&gt;"", VLOOKUP(A185, imdb_netflix_v5!A$2:H$7370, 4, FALSE), "")</f>
        <v>7.8</v>
      </c>
      <c r="E185" s="2">
        <f>IF(A185&lt;&gt;"", VLOOKUP(A185, imdb_netflix_v5!A$2:H$7370, 5, FALSE), "")</f>
        <v>2021</v>
      </c>
      <c r="F185" s="2">
        <f>IF(A185&lt;&gt;"", VLOOKUP(A185, imdb_netflix_v5!A$2:H$7370, 7, FALSE), "")</f>
        <v>7860000</v>
      </c>
    </row>
    <row r="186" ht="15.75" hidden="1" customHeight="1">
      <c r="A186" s="1" t="s">
        <v>4405</v>
      </c>
      <c r="B186" s="1" t="str">
        <f>IF(A186&lt;&gt;"", VLOOKUP(A186, imdb_netflix_v5!A$2:H$7370, 2, FALSE), "")</f>
        <v>Movie</v>
      </c>
      <c r="C186" s="2" t="str">
        <f>IF(A186&lt;&gt;"", VLOOKUP(A186, imdb_netflix_v5!A$2:H$7370, 3, FALSE), "")</f>
        <v>Biography, Documentary, Sport</v>
      </c>
      <c r="D186" s="2">
        <f>IF(A186&lt;&gt;"", VLOOKUP(A186, imdb_netflix_v5!A$2:H$7370, 4, FALSE), "")</f>
        <v>7.4</v>
      </c>
      <c r="E186" s="2">
        <f>IF(A186&lt;&gt;"", VLOOKUP(A186, imdb_netflix_v5!A$2:H$7370, 5, FALSE), "")</f>
        <v>2021</v>
      </c>
      <c r="F186" s="2">
        <f>IF(A186&lt;&gt;"", VLOOKUP(A186, imdb_netflix_v5!A$2:H$7370, 7, FALSE), "")</f>
        <v>8040000</v>
      </c>
    </row>
    <row r="187" ht="15.75" hidden="1" customHeight="1">
      <c r="A187" s="1" t="s">
        <v>1028</v>
      </c>
      <c r="B187" s="1" t="str">
        <f>IF(A187&lt;&gt;"", VLOOKUP(A187, imdb_netflix_v5!A$2:H$7370, 2, FALSE), "")</f>
        <v>Movie</v>
      </c>
      <c r="C187" s="2" t="str">
        <f>IF(A187&lt;&gt;"", VLOOKUP(A187, imdb_netflix_v5!A$2:H$7370, 3, FALSE), "")</f>
        <v>Action, Adventure, Fantasy</v>
      </c>
      <c r="D187" s="2">
        <f>IF(A187&lt;&gt;"", VLOOKUP(A187, imdb_netflix_v5!A$2:H$7370, 4, FALSE), "")</f>
        <v>8.2</v>
      </c>
      <c r="E187" s="2">
        <f>IF(A187&lt;&gt;"", VLOOKUP(A187, imdb_netflix_v5!A$2:H$7370, 5, FALSE), "")</f>
        <v>2021</v>
      </c>
      <c r="F187" s="2">
        <f>IF(A187&lt;&gt;"", VLOOKUP(A187, imdb_netflix_v5!A$2:H$7370, 7, FALSE), "")</f>
        <v>8080000</v>
      </c>
    </row>
    <row r="188" ht="15.75" hidden="1" customHeight="1">
      <c r="A188" s="1" t="s">
        <v>4899</v>
      </c>
      <c r="B188" s="1" t="str">
        <f>IF(A188&lt;&gt;"", VLOOKUP(A188, imdb_netflix_v5!A$2:H$7370, 2, FALSE), "")</f>
        <v>Movie</v>
      </c>
      <c r="C188" s="2" t="str">
        <f>IF(A188&lt;&gt;"", VLOOKUP(A188, imdb_netflix_v5!A$2:H$7370, 3, FALSE), "")</f>
        <v>Action, Drama, Western</v>
      </c>
      <c r="D188" s="2">
        <f>IF(A188&lt;&gt;"", VLOOKUP(A188, imdb_netflix_v5!A$2:H$7370, 4, FALSE), "")</f>
        <v>7.3</v>
      </c>
      <c r="E188" s="2">
        <f>IF(A188&lt;&gt;"", VLOOKUP(A188, imdb_netflix_v5!A$2:H$7370, 5, FALSE), "")</f>
        <v>2021</v>
      </c>
      <c r="F188" s="2">
        <f>IF(A188&lt;&gt;"", VLOOKUP(A188, imdb_netflix_v5!A$2:H$7370, 7, FALSE), "")</f>
        <v>8100000</v>
      </c>
    </row>
    <row r="189" ht="15.75" customHeight="1">
      <c r="A189" s="1" t="s">
        <v>3689</v>
      </c>
      <c r="B189" s="1" t="str">
        <f>IF(A189&lt;&gt;"", VLOOKUP(A189, imdb_netflix_v5!A$2:H$7370, 2, FALSE), "")</f>
        <v>TV Show</v>
      </c>
      <c r="C189" s="2" t="str">
        <f>IF(A189&lt;&gt;"", VLOOKUP(A189, imdb_netflix_v5!A$2:H$7370, 3, FALSE), "")</f>
        <v>Action, Crime, Drama</v>
      </c>
      <c r="D189" s="4">
        <f>IF(A189&lt;&gt;"", VLOOKUP(A189, imdb_netflix_v5!A$2:H$7370, 4, FALSE), "")</f>
        <v>7.5</v>
      </c>
      <c r="E189" s="2">
        <f>IF(A189&lt;&gt;"", VLOOKUP(A189, imdb_netflix_v5!A$2:H$7370, 5, FALSE), "")</f>
        <v>2021</v>
      </c>
      <c r="F189" s="2">
        <f>IF(A189&lt;&gt;"", VLOOKUP(A189, imdb_netflix_v5!A$2:H$7370, 7, FALSE), "")</f>
        <v>8500000</v>
      </c>
    </row>
    <row r="190" ht="15.75" customHeight="1">
      <c r="A190" s="1" t="s">
        <v>2837</v>
      </c>
      <c r="B190" s="1" t="str">
        <f>IF(A190&lt;&gt;"", VLOOKUP(A190, imdb_netflix_v5!A$2:H$7370, 2, FALSE), "")</f>
        <v>TV Show</v>
      </c>
      <c r="C190" s="2" t="str">
        <f>IF(A190&lt;&gt;"", VLOOKUP(A190, imdb_netflix_v5!A$2:H$7370, 3, FALSE), "")</f>
        <v>Crime, Drama, Mystery</v>
      </c>
      <c r="D190" s="4">
        <f>IF(A190&lt;&gt;"", VLOOKUP(A190, imdb_netflix_v5!A$2:H$7370, 4, FALSE), "")</f>
        <v>7.7</v>
      </c>
      <c r="E190" s="2">
        <f>IF(A190&lt;&gt;"", VLOOKUP(A190, imdb_netflix_v5!A$2:H$7370, 5, FALSE), "")</f>
        <v>2021</v>
      </c>
      <c r="F190" s="2">
        <f>IF(A190&lt;&gt;"", VLOOKUP(A190, imdb_netflix_v5!A$2:H$7370, 7, FALSE), "")</f>
        <v>8910000</v>
      </c>
    </row>
    <row r="191" ht="15.75" customHeight="1">
      <c r="A191" s="1" t="s">
        <v>4565</v>
      </c>
      <c r="B191" s="1" t="str">
        <f>IF(A191&lt;&gt;"", VLOOKUP(A191, imdb_netflix_v5!A$2:H$7370, 2, FALSE), "")</f>
        <v>TV Show</v>
      </c>
      <c r="C191" s="2" t="str">
        <f>IF(A191&lt;&gt;"", VLOOKUP(A191, imdb_netflix_v5!A$2:H$7370, 3, FALSE), "")</f>
        <v>Crime, Documentary, History</v>
      </c>
      <c r="D191" s="4">
        <f>IF(A191&lt;&gt;"", VLOOKUP(A191, imdb_netflix_v5!A$2:H$7370, 4, FALSE), "")</f>
        <v>7.4</v>
      </c>
      <c r="E191" s="2">
        <f>IF(A191&lt;&gt;"", VLOOKUP(A191, imdb_netflix_v5!A$2:H$7370, 5, FALSE), "")</f>
        <v>2021</v>
      </c>
      <c r="F191" s="2">
        <f>IF(A191&lt;&gt;"", VLOOKUP(A191, imdb_netflix_v5!A$2:H$7370, 7, FALSE), "")</f>
        <v>9220000</v>
      </c>
    </row>
    <row r="192" ht="15.75" customHeight="1">
      <c r="A192" s="1" t="s">
        <v>57</v>
      </c>
      <c r="B192" s="1" t="str">
        <f>IF(A192&lt;&gt;"", VLOOKUP(A192, imdb_netflix_v5!A$2:H$7370, 2, FALSE), "")</f>
        <v>TV Show</v>
      </c>
      <c r="C192" s="2" t="str">
        <f>IF(A192&lt;&gt;"", VLOOKUP(A192, imdb_netflix_v5!A$2:H$7370, 3, FALSE), "")</f>
        <v>Action, Adventure, Animation</v>
      </c>
      <c r="D192" s="4">
        <f>IF(A192&lt;&gt;"", VLOOKUP(A192, imdb_netflix_v5!A$2:H$7370, 4, FALSE), "")</f>
        <v>9.1</v>
      </c>
      <c r="E192" s="2">
        <f>IF(A192&lt;&gt;"", VLOOKUP(A192, imdb_netflix_v5!A$2:H$7370, 5, FALSE), "")</f>
        <v>2021</v>
      </c>
      <c r="F192" s="2">
        <f>IF(A192&lt;&gt;"", VLOOKUP(A192, imdb_netflix_v5!A$2:H$7370, 7, FALSE), "")</f>
        <v>10010000</v>
      </c>
    </row>
    <row r="193" ht="15.75" customHeight="1">
      <c r="A193" s="1" t="s">
        <v>6285</v>
      </c>
      <c r="B193" s="1" t="str">
        <f>IF(A193&lt;&gt;"", VLOOKUP(A193, imdb_netflix_v5!A$2:H$7370, 2, FALSE), "")</f>
        <v>TV Show</v>
      </c>
      <c r="C193" s="2" t="str">
        <f>IF(A193&lt;&gt;"", VLOOKUP(A193, imdb_netflix_v5!A$2:H$7370, 3, FALSE), "")</f>
        <v>Drama, Romance</v>
      </c>
      <c r="D193" s="4">
        <f>IF(A193&lt;&gt;"", VLOOKUP(A193, imdb_netflix_v5!A$2:H$7370, 4, FALSE), "")</f>
        <v>7.1</v>
      </c>
      <c r="E193" s="2">
        <f>IF(A193&lt;&gt;"", VLOOKUP(A193, imdb_netflix_v5!A$2:H$7370, 5, FALSE), "")</f>
        <v>2021</v>
      </c>
      <c r="F193" s="2">
        <f>IF(A193&lt;&gt;"", VLOOKUP(A193, imdb_netflix_v5!A$2:H$7370, 7, FALSE), "")</f>
        <v>10080000</v>
      </c>
    </row>
    <row r="194" ht="15.75" customHeight="1">
      <c r="A194" s="1" t="s">
        <v>3069</v>
      </c>
      <c r="B194" s="1" t="str">
        <f>IF(A194&lt;&gt;"", VLOOKUP(A194, imdb_netflix_v5!A$2:H$7370, 2, FALSE), "")</f>
        <v>TV Show</v>
      </c>
      <c r="C194" s="2" t="str">
        <f>IF(A194&lt;&gt;"", VLOOKUP(A194, imdb_netflix_v5!A$2:H$7370, 3, FALSE), "")</f>
        <v>Crime, Drama, Mystery</v>
      </c>
      <c r="D194" s="4">
        <f>IF(A194&lt;&gt;"", VLOOKUP(A194, imdb_netflix_v5!A$2:H$7370, 4, FALSE), "")</f>
        <v>7.7</v>
      </c>
      <c r="E194" s="2">
        <f>IF(A194&lt;&gt;"", VLOOKUP(A194, imdb_netflix_v5!A$2:H$7370, 5, FALSE), "")</f>
        <v>2021</v>
      </c>
      <c r="F194" s="2">
        <f>IF(A194&lt;&gt;"", VLOOKUP(A194, imdb_netflix_v5!A$2:H$7370, 7, FALSE), "")</f>
        <v>10360000</v>
      </c>
    </row>
    <row r="195" ht="15.75" hidden="1" customHeight="1">
      <c r="A195" s="1" t="s">
        <v>4156</v>
      </c>
      <c r="B195" s="1" t="str">
        <f>IF(A195&lt;&gt;"", VLOOKUP(A195, imdb_netflix_v5!A$2:H$7370, 2, FALSE), "")</f>
        <v>Movie</v>
      </c>
      <c r="C195" s="2" t="str">
        <f>IF(A195&lt;&gt;"", VLOOKUP(A195, imdb_netflix_v5!A$2:H$7370, 3, FALSE), "")</f>
        <v>Action, Crime, Drama</v>
      </c>
      <c r="D195" s="2">
        <f>IF(A195&lt;&gt;"", VLOOKUP(A195, imdb_netflix_v5!A$2:H$7370, 4, FALSE), "")</f>
        <v>7.4</v>
      </c>
      <c r="E195" s="2">
        <f>IF(A195&lt;&gt;"", VLOOKUP(A195, imdb_netflix_v5!A$2:H$7370, 5, FALSE), "")</f>
        <v>2021</v>
      </c>
      <c r="F195" s="2">
        <f>IF(A195&lt;&gt;"", VLOOKUP(A195, imdb_netflix_v5!A$2:H$7370, 7, FALSE), "")</f>
        <v>10600000</v>
      </c>
    </row>
    <row r="196" ht="15.75" customHeight="1">
      <c r="A196" s="1" t="s">
        <v>2481</v>
      </c>
      <c r="B196" s="1" t="str">
        <f>IF(A196&lt;&gt;"", VLOOKUP(A196, imdb_netflix_v5!A$2:H$7370, 2, FALSE), "")</f>
        <v>TV Show</v>
      </c>
      <c r="C196" s="2" t="str">
        <f>IF(A196&lt;&gt;"", VLOOKUP(A196, imdb_netflix_v5!A$2:H$7370, 3, FALSE), "")</f>
        <v>Action, Crime, Drama</v>
      </c>
      <c r="D196" s="4">
        <f>IF(A196&lt;&gt;"", VLOOKUP(A196, imdb_netflix_v5!A$2:H$7370, 4, FALSE), "")</f>
        <v>7.8</v>
      </c>
      <c r="E196" s="2">
        <f>IF(A196&lt;&gt;"", VLOOKUP(A196, imdb_netflix_v5!A$2:H$7370, 5, FALSE), "")</f>
        <v>2021</v>
      </c>
      <c r="F196" s="2">
        <f>IF(A196&lt;&gt;"", VLOOKUP(A196, imdb_netflix_v5!A$2:H$7370, 7, FALSE), "")</f>
        <v>10820000</v>
      </c>
    </row>
    <row r="197" ht="15.75" customHeight="1">
      <c r="A197" s="1" t="s">
        <v>2651</v>
      </c>
      <c r="B197" s="1" t="str">
        <f>IF(A197&lt;&gt;"", VLOOKUP(A197, imdb_netflix_v5!A$2:H$7370, 2, FALSE), "")</f>
        <v>TV Show</v>
      </c>
      <c r="C197" s="2" t="str">
        <f>IF(A197&lt;&gt;"", VLOOKUP(A197, imdb_netflix_v5!A$2:H$7370, 3, FALSE), "")</f>
        <v>Action, Fantasy, Horror</v>
      </c>
      <c r="D197" s="4">
        <f>IF(A197&lt;&gt;"", VLOOKUP(A197, imdb_netflix_v5!A$2:H$7370, 4, FALSE), "")</f>
        <v>7.8</v>
      </c>
      <c r="E197" s="2">
        <f>IF(A197&lt;&gt;"", VLOOKUP(A197, imdb_netflix_v5!A$2:H$7370, 5, FALSE), "")</f>
        <v>2021</v>
      </c>
      <c r="F197" s="2">
        <f>IF(A197&lt;&gt;"", VLOOKUP(A197, imdb_netflix_v5!A$2:H$7370, 7, FALSE), "")</f>
        <v>10820000</v>
      </c>
    </row>
    <row r="198" ht="15.75" customHeight="1">
      <c r="A198" s="1" t="s">
        <v>6095</v>
      </c>
      <c r="B198" s="1" t="str">
        <f>IF(A198&lt;&gt;"", VLOOKUP(A198, imdb_netflix_v5!A$2:H$7370, 2, FALSE), "")</f>
        <v>TV Show</v>
      </c>
      <c r="C198" s="2" t="str">
        <f>IF(A198&lt;&gt;"", VLOOKUP(A198, imdb_netflix_v5!A$2:H$7370, 3, FALSE), "")</f>
        <v>Drama, Horror, Mystery</v>
      </c>
      <c r="D198" s="4">
        <f>IF(A198&lt;&gt;"", VLOOKUP(A198, imdb_netflix_v5!A$2:H$7370, 4, FALSE), "")</f>
        <v>7.1</v>
      </c>
      <c r="E198" s="2">
        <f>IF(A198&lt;&gt;"", VLOOKUP(A198, imdb_netflix_v5!A$2:H$7370, 5, FALSE), "")</f>
        <v>2021</v>
      </c>
      <c r="F198" s="2">
        <f>IF(A198&lt;&gt;"", VLOOKUP(A198, imdb_netflix_v5!A$2:H$7370, 7, FALSE), "")</f>
        <v>11140000</v>
      </c>
    </row>
    <row r="199" ht="15.75" hidden="1" customHeight="1">
      <c r="A199" s="1" t="s">
        <v>5857</v>
      </c>
      <c r="B199" s="1" t="str">
        <f>IF(A199&lt;&gt;"", VLOOKUP(A199, imdb_netflix_v5!A$2:H$7370, 2, FALSE), "")</f>
        <v>Movie</v>
      </c>
      <c r="C199" s="2" t="str">
        <f>IF(A199&lt;&gt;"", VLOOKUP(A199, imdb_netflix_v5!A$2:H$7370, 3, FALSE), "")</f>
        <v>Crime, Drama, Mystery</v>
      </c>
      <c r="D199" s="2">
        <f>IF(A199&lt;&gt;"", VLOOKUP(A199, imdb_netflix_v5!A$2:H$7370, 4, FALSE), "")</f>
        <v>7.1</v>
      </c>
      <c r="E199" s="2">
        <f>IF(A199&lt;&gt;"", VLOOKUP(A199, imdb_netflix_v5!A$2:H$7370, 5, FALSE), "")</f>
        <v>2021</v>
      </c>
      <c r="F199" s="2">
        <f>IF(A199&lt;&gt;"", VLOOKUP(A199, imdb_netflix_v5!A$2:H$7370, 7, FALSE), "")</f>
        <v>11340000</v>
      </c>
    </row>
    <row r="200" ht="15.75" customHeight="1">
      <c r="A200" s="1" t="s">
        <v>6301</v>
      </c>
      <c r="B200" s="1" t="str">
        <f>IF(A200&lt;&gt;"", VLOOKUP(A200, imdb_netflix_v5!A$2:H$7370, 2, FALSE), "")</f>
        <v>TV Show</v>
      </c>
      <c r="C200" s="2" t="str">
        <f>IF(A200&lt;&gt;"", VLOOKUP(A200, imdb_netflix_v5!A$2:H$7370, 3, FALSE), "")</f>
        <v>Drama</v>
      </c>
      <c r="D200" s="4">
        <f>IF(A200&lt;&gt;"", VLOOKUP(A200, imdb_netflix_v5!A$2:H$7370, 4, FALSE), "")</f>
        <v>7.1</v>
      </c>
      <c r="E200" s="2">
        <f>IF(A200&lt;&gt;"", VLOOKUP(A200, imdb_netflix_v5!A$2:H$7370, 5, FALSE), "")</f>
        <v>2021</v>
      </c>
      <c r="F200" s="2">
        <f>IF(A200&lt;&gt;"", VLOOKUP(A200, imdb_netflix_v5!A$2:H$7370, 7, FALSE), "")</f>
        <v>11500000</v>
      </c>
    </row>
    <row r="201" ht="15.75" customHeight="1">
      <c r="A201" s="1" t="s">
        <v>3712</v>
      </c>
      <c r="B201" s="1" t="str">
        <f>IF(A201&lt;&gt;"", VLOOKUP(A201, imdb_netflix_v5!A$2:H$7370, 2, FALSE), "")</f>
        <v>TV Show</v>
      </c>
      <c r="C201" s="2" t="str">
        <f>IF(A201&lt;&gt;"", VLOOKUP(A201, imdb_netflix_v5!A$2:H$7370, 3, FALSE), "")</f>
        <v>Action, Adventure, Drama</v>
      </c>
      <c r="D201" s="4">
        <f>IF(A201&lt;&gt;"", VLOOKUP(A201, imdb_netflix_v5!A$2:H$7370, 4, FALSE), "")</f>
        <v>7.5</v>
      </c>
      <c r="E201" s="2">
        <f>IF(A201&lt;&gt;"", VLOOKUP(A201, imdb_netflix_v5!A$2:H$7370, 5, FALSE), "")</f>
        <v>2021</v>
      </c>
      <c r="F201" s="2">
        <f>IF(A201&lt;&gt;"", VLOOKUP(A201, imdb_netflix_v5!A$2:H$7370, 7, FALSE), "")</f>
        <v>11620000</v>
      </c>
    </row>
    <row r="202" ht="15.75" customHeight="1">
      <c r="A202" s="1" t="s">
        <v>2870</v>
      </c>
      <c r="B202" s="1" t="str">
        <f>IF(A202&lt;&gt;"", VLOOKUP(A202, imdb_netflix_v5!A$2:H$7370, 2, FALSE), "")</f>
        <v>TV Show</v>
      </c>
      <c r="C202" s="2" t="str">
        <f>IF(A202&lt;&gt;"", VLOOKUP(A202, imdb_netflix_v5!A$2:H$7370, 3, FALSE), "")</f>
        <v>Drama, Romance</v>
      </c>
      <c r="D202" s="4">
        <f>IF(A202&lt;&gt;"", VLOOKUP(A202, imdb_netflix_v5!A$2:H$7370, 4, FALSE), "")</f>
        <v>7.7</v>
      </c>
      <c r="E202" s="2">
        <f>IF(A202&lt;&gt;"", VLOOKUP(A202, imdb_netflix_v5!A$2:H$7370, 5, FALSE), "")</f>
        <v>2021</v>
      </c>
      <c r="F202" s="2">
        <f>IF(A202&lt;&gt;"", VLOOKUP(A202, imdb_netflix_v5!A$2:H$7370, 7, FALSE), "")</f>
        <v>11800000</v>
      </c>
    </row>
    <row r="203" ht="15.75" customHeight="1">
      <c r="A203" s="1" t="s">
        <v>1252</v>
      </c>
      <c r="B203" s="1" t="str">
        <f>IF(A203&lt;&gt;"", VLOOKUP(A203, imdb_netflix_v5!A$2:H$7370, 2, FALSE), "")</f>
        <v>TV Show</v>
      </c>
      <c r="C203" s="2" t="str">
        <f>IF(A203&lt;&gt;"", VLOOKUP(A203, imdb_netflix_v5!A$2:H$7370, 3, FALSE), "")</f>
        <v>Drama, Romance</v>
      </c>
      <c r="D203" s="4">
        <f>IF(A203&lt;&gt;"", VLOOKUP(A203, imdb_netflix_v5!A$2:H$7370, 4, FALSE), "")</f>
        <v>8.2</v>
      </c>
      <c r="E203" s="2">
        <f>IF(A203&lt;&gt;"", VLOOKUP(A203, imdb_netflix_v5!A$2:H$7370, 5, FALSE), "")</f>
        <v>2021</v>
      </c>
      <c r="F203" s="2">
        <f>IF(A203&lt;&gt;"", VLOOKUP(A203, imdb_netflix_v5!A$2:H$7370, 7, FALSE), "")</f>
        <v>11910000</v>
      </c>
    </row>
    <row r="204" ht="15.75" customHeight="1">
      <c r="A204" s="1" t="s">
        <v>4449</v>
      </c>
      <c r="B204" s="1" t="str">
        <f>IF(A204&lt;&gt;"", VLOOKUP(A204, imdb_netflix_v5!A$2:H$7370, 2, FALSE), "")</f>
        <v>TV Show</v>
      </c>
      <c r="C204" s="2" t="str">
        <f>IF(A204&lt;&gt;"", VLOOKUP(A204, imdb_netflix_v5!A$2:H$7370, 3, FALSE), "")</f>
        <v>Crime, Drama, Thriller</v>
      </c>
      <c r="D204" s="4">
        <f>IF(A204&lt;&gt;"", VLOOKUP(A204, imdb_netflix_v5!A$2:H$7370, 4, FALSE), "")</f>
        <v>7.4</v>
      </c>
      <c r="E204" s="2">
        <f>IF(A204&lt;&gt;"", VLOOKUP(A204, imdb_netflix_v5!A$2:H$7370, 5, FALSE), "")</f>
        <v>2021</v>
      </c>
      <c r="F204" s="2">
        <f>IF(A204&lt;&gt;"", VLOOKUP(A204, imdb_netflix_v5!A$2:H$7370, 7, FALSE), "")</f>
        <v>12160000</v>
      </c>
    </row>
    <row r="205" ht="15.75" hidden="1" customHeight="1">
      <c r="A205" s="1" t="s">
        <v>2891</v>
      </c>
      <c r="B205" s="1" t="str">
        <f>IF(A205&lt;&gt;"", VLOOKUP(A205, imdb_netflix_v5!A$2:H$7370, 2, FALSE), "")</f>
        <v>Movie</v>
      </c>
      <c r="C205" s="2" t="str">
        <f>IF(A205&lt;&gt;"", VLOOKUP(A205, imdb_netflix_v5!A$2:H$7370, 3, FALSE), "")</f>
        <v>Adventure, Documentary, Sport</v>
      </c>
      <c r="D205" s="2">
        <f>IF(A205&lt;&gt;"", VLOOKUP(A205, imdb_netflix_v5!A$2:H$7370, 4, FALSE), "")</f>
        <v>7.7</v>
      </c>
      <c r="E205" s="2">
        <f>IF(A205&lt;&gt;"", VLOOKUP(A205, imdb_netflix_v5!A$2:H$7370, 5, FALSE), "")</f>
        <v>2021</v>
      </c>
      <c r="F205" s="2">
        <f>IF(A205&lt;&gt;"", VLOOKUP(A205, imdb_netflix_v5!A$2:H$7370, 7, FALSE), "")</f>
        <v>12170000</v>
      </c>
    </row>
    <row r="206" ht="15.75" customHeight="1">
      <c r="A206" s="1" t="s">
        <v>1632</v>
      </c>
      <c r="B206" s="1" t="str">
        <f>IF(A206&lt;&gt;"", VLOOKUP(A206, imdb_netflix_v5!A$2:H$7370, 2, FALSE), "")</f>
        <v>TV Show</v>
      </c>
      <c r="C206" s="2" t="str">
        <f>IF(A206&lt;&gt;"", VLOOKUP(A206, imdb_netflix_v5!A$2:H$7370, 3, FALSE), "")</f>
        <v>Action, Drama, Mystery</v>
      </c>
      <c r="D206" s="4">
        <f>IF(A206&lt;&gt;"", VLOOKUP(A206, imdb_netflix_v5!A$2:H$7370, 4, FALSE), "")</f>
        <v>8</v>
      </c>
      <c r="E206" s="2">
        <f>IF(A206&lt;&gt;"", VLOOKUP(A206, imdb_netflix_v5!A$2:H$7370, 5, FALSE), "")</f>
        <v>2021</v>
      </c>
      <c r="F206" s="2">
        <f>IF(A206&lt;&gt;"", VLOOKUP(A206, imdb_netflix_v5!A$2:H$7370, 7, FALSE), "")</f>
        <v>12700000</v>
      </c>
    </row>
    <row r="207" ht="15.75" customHeight="1">
      <c r="A207" s="1" t="s">
        <v>5395</v>
      </c>
      <c r="B207" s="1" t="str">
        <f>IF(A207&lt;&gt;"", VLOOKUP(A207, imdb_netflix_v5!A$2:H$7370, 2, FALSE), "")</f>
        <v>TV Show</v>
      </c>
      <c r="C207" s="2" t="str">
        <f>IF(A207&lt;&gt;"", VLOOKUP(A207, imdb_netflix_v5!A$2:H$7370, 3, FALSE), "")</f>
        <v>Crime, Drama, Mystery</v>
      </c>
      <c r="D207" s="4">
        <f>IF(A207&lt;&gt;"", VLOOKUP(A207, imdb_netflix_v5!A$2:H$7370, 4, FALSE), "")</f>
        <v>7.2</v>
      </c>
      <c r="E207" s="2">
        <f>IF(A207&lt;&gt;"", VLOOKUP(A207, imdb_netflix_v5!A$2:H$7370, 5, FALSE), "")</f>
        <v>2021</v>
      </c>
      <c r="F207" s="2">
        <f>IF(A207&lt;&gt;"", VLOOKUP(A207, imdb_netflix_v5!A$2:H$7370, 7, FALSE), "")</f>
        <v>13210000</v>
      </c>
    </row>
    <row r="208" ht="15.75" hidden="1" customHeight="1">
      <c r="A208" s="1" t="s">
        <v>5412</v>
      </c>
      <c r="B208" s="1" t="str">
        <f>IF(A208&lt;&gt;"", VLOOKUP(A208, imdb_netflix_v5!A$2:H$7370, 2, FALSE), "")</f>
        <v>Movie</v>
      </c>
      <c r="C208" s="2" t="str">
        <f>IF(A208&lt;&gt;"", VLOOKUP(A208, imdb_netflix_v5!A$2:H$7370, 3, FALSE), "")</f>
        <v>Action, Adventure, Animation</v>
      </c>
      <c r="D208" s="2">
        <f>IF(A208&lt;&gt;"", VLOOKUP(A208, imdb_netflix_v5!A$2:H$7370, 4, FALSE), "")</f>
        <v>7.2</v>
      </c>
      <c r="E208" s="2">
        <f>IF(A208&lt;&gt;"", VLOOKUP(A208, imdb_netflix_v5!A$2:H$7370, 5, FALSE), "")</f>
        <v>2021</v>
      </c>
      <c r="F208" s="2">
        <f>IF(A208&lt;&gt;"", VLOOKUP(A208, imdb_netflix_v5!A$2:H$7370, 7, FALSE), "")</f>
        <v>13300000</v>
      </c>
    </row>
    <row r="209" ht="15.75" customHeight="1">
      <c r="A209" s="1" t="s">
        <v>861</v>
      </c>
      <c r="B209" s="1" t="str">
        <f>IF(A209&lt;&gt;"", VLOOKUP(A209, imdb_netflix_v5!A$2:H$7370, 2, FALSE), "")</f>
        <v>TV Show</v>
      </c>
      <c r="C209" s="2" t="str">
        <f>IF(A209&lt;&gt;"", VLOOKUP(A209, imdb_netflix_v5!A$2:H$7370, 3, FALSE), "")</f>
        <v>Drama</v>
      </c>
      <c r="D209" s="4">
        <f>IF(A209&lt;&gt;"", VLOOKUP(A209, imdb_netflix_v5!A$2:H$7370, 4, FALSE), "")</f>
        <v>8.3</v>
      </c>
      <c r="E209" s="2">
        <f>IF(A209&lt;&gt;"", VLOOKUP(A209, imdb_netflix_v5!A$2:H$7370, 5, FALSE), "")</f>
        <v>2021</v>
      </c>
      <c r="F209" s="2">
        <f>IF(A209&lt;&gt;"", VLOOKUP(A209, imdb_netflix_v5!A$2:H$7370, 7, FALSE), "")</f>
        <v>13960000</v>
      </c>
    </row>
    <row r="210" ht="15.75" customHeight="1">
      <c r="A210" s="1" t="s">
        <v>5562</v>
      </c>
      <c r="B210" s="1" t="str">
        <f>IF(A210&lt;&gt;"", VLOOKUP(A210, imdb_netflix_v5!A$2:H$7370, 2, FALSE), "")</f>
        <v>TV Show</v>
      </c>
      <c r="C210" s="2" t="str">
        <f>IF(A210&lt;&gt;"", VLOOKUP(A210, imdb_netflix_v5!A$2:H$7370, 3, FALSE), "")</f>
        <v>Comedy, Drama</v>
      </c>
      <c r="D210" s="4">
        <f>IF(A210&lt;&gt;"", VLOOKUP(A210, imdb_netflix_v5!A$2:H$7370, 4, FALSE), "")</f>
        <v>7.2</v>
      </c>
      <c r="E210" s="2">
        <f>IF(A210&lt;&gt;"", VLOOKUP(A210, imdb_netflix_v5!A$2:H$7370, 5, FALSE), "")</f>
        <v>2021</v>
      </c>
      <c r="F210" s="2">
        <f>IF(A210&lt;&gt;"", VLOOKUP(A210, imdb_netflix_v5!A$2:H$7370, 7, FALSE), "")</f>
        <v>14020000</v>
      </c>
    </row>
    <row r="211" ht="15.75" customHeight="1">
      <c r="A211" s="1" t="s">
        <v>2811</v>
      </c>
      <c r="B211" s="1" t="str">
        <f>IF(A211&lt;&gt;"", VLOOKUP(A211, imdb_netflix_v5!A$2:H$7370, 2, FALSE), "")</f>
        <v>TV Show</v>
      </c>
      <c r="C211" s="2" t="str">
        <f>IF(A211&lt;&gt;"", VLOOKUP(A211, imdb_netflix_v5!A$2:H$7370, 3, FALSE), "")</f>
        <v>Action, Adventure, Drama</v>
      </c>
      <c r="D211" s="4">
        <f>IF(A211&lt;&gt;"", VLOOKUP(A211, imdb_netflix_v5!A$2:H$7370, 4, FALSE), "")</f>
        <v>7.7</v>
      </c>
      <c r="E211" s="2">
        <f>IF(A211&lt;&gt;"", VLOOKUP(A211, imdb_netflix_v5!A$2:H$7370, 5, FALSE), "")</f>
        <v>2021</v>
      </c>
      <c r="F211" s="2">
        <f>IF(A211&lt;&gt;"", VLOOKUP(A211, imdb_netflix_v5!A$2:H$7370, 7, FALSE), "")</f>
        <v>16660000</v>
      </c>
    </row>
    <row r="212" ht="15.75" customHeight="1">
      <c r="A212" s="1" t="s">
        <v>3744</v>
      </c>
      <c r="B212" s="1" t="str">
        <f>IF(A212&lt;&gt;"", VLOOKUP(A212, imdb_netflix_v5!A$2:H$7370, 2, FALSE), "")</f>
        <v>TV Show</v>
      </c>
      <c r="C212" s="2" t="str">
        <f>IF(A212&lt;&gt;"", VLOOKUP(A212, imdb_netflix_v5!A$2:H$7370, 3, FALSE), "")</f>
        <v>Comedy, Drama</v>
      </c>
      <c r="D212" s="4">
        <f>IF(A212&lt;&gt;"", VLOOKUP(A212, imdb_netflix_v5!A$2:H$7370, 4, FALSE), "")</f>
        <v>7.5</v>
      </c>
      <c r="E212" s="2">
        <f>IF(A212&lt;&gt;"", VLOOKUP(A212, imdb_netflix_v5!A$2:H$7370, 5, FALSE), "")</f>
        <v>2021</v>
      </c>
      <c r="F212" s="2">
        <f>IF(A212&lt;&gt;"", VLOOKUP(A212, imdb_netflix_v5!A$2:H$7370, 7, FALSE), "")</f>
        <v>18510000</v>
      </c>
    </row>
    <row r="213" ht="15.75" customHeight="1">
      <c r="A213" s="1" t="s">
        <v>2238</v>
      </c>
      <c r="B213" s="1" t="str">
        <f>IF(A213&lt;&gt;"", VLOOKUP(A213, imdb_netflix_v5!A$2:H$7370, 2, FALSE), "")</f>
        <v>TV Show</v>
      </c>
      <c r="C213" s="2" t="str">
        <f>IF(A213&lt;&gt;"", VLOOKUP(A213, imdb_netflix_v5!A$2:H$7370, 3, FALSE), "")</f>
        <v>Documentary, History, War</v>
      </c>
      <c r="D213" s="4">
        <f>IF(A213&lt;&gt;"", VLOOKUP(A213, imdb_netflix_v5!A$2:H$7370, 4, FALSE), "")</f>
        <v>7.9</v>
      </c>
      <c r="E213" s="2">
        <f>IF(A213&lt;&gt;"", VLOOKUP(A213, imdb_netflix_v5!A$2:H$7370, 5, FALSE), "")</f>
        <v>2021</v>
      </c>
      <c r="F213" s="2">
        <f>IF(A213&lt;&gt;"", VLOOKUP(A213, imdb_netflix_v5!A$2:H$7370, 7, FALSE), "")</f>
        <v>18720000</v>
      </c>
    </row>
    <row r="214" ht="15.75" customHeight="1">
      <c r="A214" s="1" t="s">
        <v>2762</v>
      </c>
      <c r="B214" s="1" t="str">
        <f>IF(A214&lt;&gt;"", VLOOKUP(A214, imdb_netflix_v5!A$2:H$7370, 2, FALSE), "")</f>
        <v>TV Show</v>
      </c>
      <c r="C214" s="2" t="str">
        <f>IF(A214&lt;&gt;"", VLOOKUP(A214, imdb_netflix_v5!A$2:H$7370, 3, FALSE), "")</f>
        <v>Drama, Fantasy, Horror</v>
      </c>
      <c r="D214" s="4">
        <f>IF(A214&lt;&gt;"", VLOOKUP(A214, imdb_netflix_v5!A$2:H$7370, 4, FALSE), "")</f>
        <v>7.7</v>
      </c>
      <c r="E214" s="2">
        <f>IF(A214&lt;&gt;"", VLOOKUP(A214, imdb_netflix_v5!A$2:H$7370, 5, FALSE), "")</f>
        <v>2021</v>
      </c>
      <c r="F214" s="2">
        <f>IF(A214&lt;&gt;"", VLOOKUP(A214, imdb_netflix_v5!A$2:H$7370, 7, FALSE), "")</f>
        <v>20940000</v>
      </c>
    </row>
    <row r="215" ht="15.75" customHeight="1">
      <c r="A215" s="1" t="s">
        <v>891</v>
      </c>
      <c r="B215" s="1" t="str">
        <f>IF(A215&lt;&gt;"", VLOOKUP(A215, imdb_netflix_v5!A$2:H$7370, 2, FALSE), "")</f>
        <v>TV Show</v>
      </c>
      <c r="C215" s="2" t="str">
        <f>IF(A215&lt;&gt;"", VLOOKUP(A215, imdb_netflix_v5!A$2:H$7370, 3, FALSE), "")</f>
        <v>Action, Animation, Comedy</v>
      </c>
      <c r="D215" s="4">
        <f>IF(A215&lt;&gt;"", VLOOKUP(A215, imdb_netflix_v5!A$2:H$7370, 4, FALSE), "")</f>
        <v>8.3</v>
      </c>
      <c r="E215" s="2">
        <f>IF(A215&lt;&gt;"", VLOOKUP(A215, imdb_netflix_v5!A$2:H$7370, 5, FALSE), "")</f>
        <v>2022</v>
      </c>
      <c r="F215" s="2">
        <f>IF(A215&lt;&gt;"", VLOOKUP(A215, imdb_netflix_v5!A$2:H$7370, 7, FALSE), "")</f>
        <v>1200000</v>
      </c>
    </row>
    <row r="216" ht="15.75" hidden="1" customHeight="1">
      <c r="A216" s="1" t="s">
        <v>4282</v>
      </c>
      <c r="B216" s="1" t="str">
        <f>IF(A216&lt;&gt;"", VLOOKUP(A216, imdb_netflix_v5!A$2:H$7370, 2, FALSE), "")</f>
        <v>Movie</v>
      </c>
      <c r="C216" s="2" t="str">
        <f>IF(A216&lt;&gt;"", VLOOKUP(A216, imdb_netflix_v5!A$2:H$7370, 3, FALSE), "")</f>
        <v>Comedy, Drama</v>
      </c>
      <c r="D216" s="2">
        <f>IF(A216&lt;&gt;"", VLOOKUP(A216, imdb_netflix_v5!A$2:H$7370, 4, FALSE), "")</f>
        <v>7.4</v>
      </c>
      <c r="E216" s="2">
        <f>IF(A216&lt;&gt;"", VLOOKUP(A216, imdb_netflix_v5!A$2:H$7370, 5, FALSE), "")</f>
        <v>2022</v>
      </c>
      <c r="F216" s="2">
        <f>IF(A216&lt;&gt;"", VLOOKUP(A216, imdb_netflix_v5!A$2:H$7370, 7, FALSE), "")</f>
        <v>1620000</v>
      </c>
    </row>
    <row r="217" ht="15.75" hidden="1" customHeight="1">
      <c r="A217" s="1" t="s">
        <v>954</v>
      </c>
      <c r="B217" s="1" t="str">
        <f>IF(A217&lt;&gt;"", VLOOKUP(A217, imdb_netflix_v5!A$2:H$7370, 2, FALSE), "")</f>
        <v>Movie</v>
      </c>
      <c r="C217" s="2" t="str">
        <f>IF(A217&lt;&gt;"", VLOOKUP(A217, imdb_netflix_v5!A$2:H$7370, 3, FALSE), "")</f>
        <v>Drama</v>
      </c>
      <c r="D217" s="2">
        <f>IF(A217&lt;&gt;"", VLOOKUP(A217, imdb_netflix_v5!A$2:H$7370, 4, FALSE), "")</f>
        <v>8.3</v>
      </c>
      <c r="E217" s="2">
        <f>IF(A217&lt;&gt;"", VLOOKUP(A217, imdb_netflix_v5!A$2:H$7370, 5, FALSE), "")</f>
        <v>2022</v>
      </c>
      <c r="F217" s="2">
        <f>IF(A217&lt;&gt;"", VLOOKUP(A217, imdb_netflix_v5!A$2:H$7370, 7, FALSE), "")</f>
        <v>2230000</v>
      </c>
    </row>
    <row r="218" ht="15.75" hidden="1" customHeight="1">
      <c r="A218" s="1" t="s">
        <v>5797</v>
      </c>
      <c r="B218" s="1" t="str">
        <f>IF(A218&lt;&gt;"", VLOOKUP(A218, imdb_netflix_v5!A$2:H$7370, 2, FALSE), "")</f>
        <v>Movie</v>
      </c>
      <c r="C218" s="2" t="str">
        <f>IF(A218&lt;&gt;"", VLOOKUP(A218, imdb_netflix_v5!A$2:H$7370, 3, FALSE), "")</f>
        <v>Action, Adventure, Horror</v>
      </c>
      <c r="D218" s="2">
        <f>IF(A218&lt;&gt;"", VLOOKUP(A218, imdb_netflix_v5!A$2:H$7370, 4, FALSE), "")</f>
        <v>7.1</v>
      </c>
      <c r="E218" s="2">
        <f>IF(A218&lt;&gt;"", VLOOKUP(A218, imdb_netflix_v5!A$2:H$7370, 5, FALSE), "")</f>
        <v>2022</v>
      </c>
      <c r="F218" s="2">
        <f>IF(A218&lt;&gt;"", VLOOKUP(A218, imdb_netflix_v5!A$2:H$7370, 7, FALSE), "")</f>
        <v>2330000</v>
      </c>
    </row>
    <row r="219" ht="15.75" hidden="1" customHeight="1">
      <c r="A219" s="1" t="s">
        <v>2424</v>
      </c>
      <c r="B219" s="1" t="str">
        <f>IF(A219&lt;&gt;"", VLOOKUP(A219, imdb_netflix_v5!A$2:H$7370, 2, FALSE), "")</f>
        <v>Movie</v>
      </c>
      <c r="C219" s="2" t="str">
        <f>IF(A219&lt;&gt;"", VLOOKUP(A219, imdb_netflix_v5!A$2:H$7370, 3, FALSE), "")</f>
        <v>Biography, Crime, Drama</v>
      </c>
      <c r="D219" s="2">
        <f>IF(A219&lt;&gt;"", VLOOKUP(A219, imdb_netflix_v5!A$2:H$7370, 4, FALSE), "")</f>
        <v>7.8</v>
      </c>
      <c r="E219" s="2">
        <f>IF(A219&lt;&gt;"", VLOOKUP(A219, imdb_netflix_v5!A$2:H$7370, 5, FALSE), "")</f>
        <v>2022</v>
      </c>
      <c r="F219" s="2">
        <f>IF(A219&lt;&gt;"", VLOOKUP(A219, imdb_netflix_v5!A$2:H$7370, 7, FALSE), "")</f>
        <v>2840000</v>
      </c>
    </row>
    <row r="220" ht="15.75" hidden="1" customHeight="1">
      <c r="A220" s="1" t="s">
        <v>4633</v>
      </c>
      <c r="B220" s="1" t="str">
        <f>IF(A220&lt;&gt;"", VLOOKUP(A220, imdb_netflix_v5!A$2:H$7370, 2, FALSE), "")</f>
        <v>Movie</v>
      </c>
      <c r="C220" s="2" t="str">
        <f>IF(A220&lt;&gt;"", VLOOKUP(A220, imdb_netflix_v5!A$2:H$7370, 3, FALSE), "")</f>
        <v>Drama, Romance</v>
      </c>
      <c r="D220" s="2">
        <f>IF(A220&lt;&gt;"", VLOOKUP(A220, imdb_netflix_v5!A$2:H$7370, 4, FALSE), "")</f>
        <v>7.4</v>
      </c>
      <c r="E220" s="2">
        <f>IF(A220&lt;&gt;"", VLOOKUP(A220, imdb_netflix_v5!A$2:H$7370, 5, FALSE), "")</f>
        <v>2022</v>
      </c>
      <c r="F220" s="2">
        <f>IF(A220&lt;&gt;"", VLOOKUP(A220, imdb_netflix_v5!A$2:H$7370, 7, FALSE), "")</f>
        <v>3060000</v>
      </c>
    </row>
    <row r="221" ht="15.75" hidden="1" customHeight="1">
      <c r="A221" s="1" t="s">
        <v>6054</v>
      </c>
      <c r="B221" s="1" t="str">
        <f>IF(A221&lt;&gt;"", VLOOKUP(A221, imdb_netflix_v5!A$2:H$7370, 2, FALSE), "")</f>
        <v>Movie</v>
      </c>
      <c r="C221" s="2" t="str">
        <f>IF(A221&lt;&gt;"", VLOOKUP(A221, imdb_netflix_v5!A$2:H$7370, 3, FALSE), "")</f>
        <v>Drama, Mystery, Thriller</v>
      </c>
      <c r="D221" s="2">
        <f>IF(A221&lt;&gt;"", VLOOKUP(A221, imdb_netflix_v5!A$2:H$7370, 4, FALSE), "")</f>
        <v>7.1</v>
      </c>
      <c r="E221" s="2">
        <f>IF(A221&lt;&gt;"", VLOOKUP(A221, imdb_netflix_v5!A$2:H$7370, 5, FALSE), "")</f>
        <v>2022</v>
      </c>
      <c r="F221" s="2">
        <f>IF(A221&lt;&gt;"", VLOOKUP(A221, imdb_netflix_v5!A$2:H$7370, 7, FALSE), "")</f>
        <v>3450000</v>
      </c>
    </row>
    <row r="222" ht="15.75" hidden="1" customHeight="1">
      <c r="A222" s="1" t="s">
        <v>3676</v>
      </c>
      <c r="B222" s="1" t="str">
        <f>IF(A222&lt;&gt;"", VLOOKUP(A222, imdb_netflix_v5!A$2:H$7370, 2, FALSE), "")</f>
        <v>Movie</v>
      </c>
      <c r="C222" s="2" t="str">
        <f>IF(A222&lt;&gt;"", VLOOKUP(A222, imdb_netflix_v5!A$2:H$7370, 3, FALSE), "")</f>
        <v>Comedy, Drama</v>
      </c>
      <c r="D222" s="2">
        <f>IF(A222&lt;&gt;"", VLOOKUP(A222, imdb_netflix_v5!A$2:H$7370, 4, FALSE), "")</f>
        <v>7.5</v>
      </c>
      <c r="E222" s="2">
        <f>IF(A222&lt;&gt;"", VLOOKUP(A222, imdb_netflix_v5!A$2:H$7370, 5, FALSE), "")</f>
        <v>2022</v>
      </c>
      <c r="F222" s="2">
        <f>IF(A222&lt;&gt;"", VLOOKUP(A222, imdb_netflix_v5!A$2:H$7370, 7, FALSE), "")</f>
        <v>5350000</v>
      </c>
    </row>
    <row r="223" ht="15.75" hidden="1" customHeight="1">
      <c r="A223" s="1" t="s">
        <v>6123</v>
      </c>
      <c r="B223" s="1" t="str">
        <f>IF(A223&lt;&gt;"", VLOOKUP(A223, imdb_netflix_v5!A$2:H$7370, 2, FALSE), "")</f>
        <v>Movie</v>
      </c>
      <c r="C223" s="2" t="str">
        <f>IF(A223&lt;&gt;"", VLOOKUP(A223, imdb_netflix_v5!A$2:H$7370, 3, FALSE), "")</f>
        <v>Drama</v>
      </c>
      <c r="D223" s="2">
        <f>IF(A223&lt;&gt;"", VLOOKUP(A223, imdb_netflix_v5!A$2:H$7370, 4, FALSE), "")</f>
        <v>7.1</v>
      </c>
      <c r="E223" s="2">
        <f>IF(A223&lt;&gt;"", VLOOKUP(A223, imdb_netflix_v5!A$2:H$7370, 5, FALSE), "")</f>
        <v>2022</v>
      </c>
      <c r="F223" s="2">
        <f>IF(A223&lt;&gt;"", VLOOKUP(A223, imdb_netflix_v5!A$2:H$7370, 7, FALSE), "")</f>
        <v>5370000</v>
      </c>
    </row>
    <row r="224" ht="15.75" customHeight="1">
      <c r="A224" s="1" t="s">
        <v>388</v>
      </c>
      <c r="B224" s="1" t="str">
        <f>IF(A224&lt;&gt;"", VLOOKUP(A224, imdb_netflix_v5!A$2:H$7370, 2, FALSE), "")</f>
        <v>TV Show</v>
      </c>
      <c r="C224" s="2" t="str">
        <f>IF(A224&lt;&gt;"", VLOOKUP(A224, imdb_netflix_v5!A$2:H$7370, 3, FALSE), "")</f>
        <v>Drama</v>
      </c>
      <c r="D224" s="4">
        <f>IF(A224&lt;&gt;"", VLOOKUP(A224, imdb_netflix_v5!A$2:H$7370, 4, FALSE), "")</f>
        <v>8.6</v>
      </c>
      <c r="E224" s="2">
        <f>IF(A224&lt;&gt;"", VLOOKUP(A224, imdb_netflix_v5!A$2:H$7370, 5, FALSE), "")</f>
        <v>2022</v>
      </c>
      <c r="F224" s="2">
        <f>IF(A224&lt;&gt;"", VLOOKUP(A224, imdb_netflix_v5!A$2:H$7370, 7, FALSE), "")</f>
        <v>5500000</v>
      </c>
    </row>
    <row r="225" ht="15.75" customHeight="1">
      <c r="A225" s="1" t="s">
        <v>286</v>
      </c>
      <c r="B225" s="1" t="str">
        <f>IF(A225&lt;&gt;"", VLOOKUP(A225, imdb_netflix_v5!A$2:H$7370, 2, FALSE), "")</f>
        <v>TV Show</v>
      </c>
      <c r="C225" s="2" t="str">
        <f>IF(A225&lt;&gt;"", VLOOKUP(A225, imdb_netflix_v5!A$2:H$7370, 3, FALSE), "")</f>
        <v>Action, Drama, Fantasy</v>
      </c>
      <c r="D225" s="4">
        <f>IF(A225&lt;&gt;"", VLOOKUP(A225, imdb_netflix_v5!A$2:H$7370, 4, FALSE), "")</f>
        <v>8.7</v>
      </c>
      <c r="E225" s="2">
        <f>IF(A225&lt;&gt;"", VLOOKUP(A225, imdb_netflix_v5!A$2:H$7370, 5, FALSE), "")</f>
        <v>2022</v>
      </c>
      <c r="F225" s="2">
        <f>IF(A225&lt;&gt;"", VLOOKUP(A225, imdb_netflix_v5!A$2:H$7370, 7, FALSE), "")</f>
        <v>5800000</v>
      </c>
    </row>
    <row r="226" ht="15.75" hidden="1" customHeight="1">
      <c r="A226" s="1" t="s">
        <v>4437</v>
      </c>
      <c r="B226" s="1" t="str">
        <f>IF(A226&lt;&gt;"", VLOOKUP(A226, imdb_netflix_v5!A$2:H$7370, 2, FALSE), "")</f>
        <v>Movie</v>
      </c>
      <c r="C226" s="2" t="str">
        <f>IF(A226&lt;&gt;"", VLOOKUP(A226, imdb_netflix_v5!A$2:H$7370, 3, FALSE), "")</f>
        <v>Comedy, Crime, Drama</v>
      </c>
      <c r="D226" s="2">
        <f>IF(A226&lt;&gt;"", VLOOKUP(A226, imdb_netflix_v5!A$2:H$7370, 4, FALSE), "")</f>
        <v>7.4</v>
      </c>
      <c r="E226" s="2">
        <f>IF(A226&lt;&gt;"", VLOOKUP(A226, imdb_netflix_v5!A$2:H$7370, 5, FALSE), "")</f>
        <v>2022</v>
      </c>
      <c r="F226" s="2">
        <f>IF(A226&lt;&gt;"", VLOOKUP(A226, imdb_netflix_v5!A$2:H$7370, 7, FALSE), "")</f>
        <v>5840000</v>
      </c>
    </row>
    <row r="227" ht="15.75" hidden="1" customHeight="1">
      <c r="A227" s="1" t="s">
        <v>5705</v>
      </c>
      <c r="B227" s="1" t="str">
        <f>IF(A227&lt;&gt;"", VLOOKUP(A227, imdb_netflix_v5!A$2:H$7370, 2, FALSE), "")</f>
        <v>Movie</v>
      </c>
      <c r="C227" s="2" t="str">
        <f>IF(A227&lt;&gt;"", VLOOKUP(A227, imdb_netflix_v5!A$2:H$7370, 3, FALSE), "")</f>
        <v>Biography, Drama, Family</v>
      </c>
      <c r="D227" s="2">
        <f>IF(A227&lt;&gt;"", VLOOKUP(A227, imdb_netflix_v5!A$2:H$7370, 4, FALSE), "")</f>
        <v>7.2</v>
      </c>
      <c r="E227" s="2">
        <f>IF(A227&lt;&gt;"", VLOOKUP(A227, imdb_netflix_v5!A$2:H$7370, 5, FALSE), "")</f>
        <v>2022</v>
      </c>
      <c r="F227" s="2">
        <f>IF(A227&lt;&gt;"", VLOOKUP(A227, imdb_netflix_v5!A$2:H$7370, 7, FALSE), "")</f>
        <v>6380000</v>
      </c>
    </row>
    <row r="228" ht="15.75" hidden="1" customHeight="1">
      <c r="A228" s="1" t="s">
        <v>4671</v>
      </c>
      <c r="B228" s="1" t="str">
        <f>IF(A228&lt;&gt;"", VLOOKUP(A228, imdb_netflix_v5!A$2:H$7370, 2, FALSE), "")</f>
        <v>Movie</v>
      </c>
      <c r="C228" s="2" t="str">
        <f>IF(A228&lt;&gt;"", VLOOKUP(A228, imdb_netflix_v5!A$2:H$7370, 3, FALSE), "")</f>
        <v>Action, Comedy, Thriller</v>
      </c>
      <c r="D228" s="2">
        <f>IF(A228&lt;&gt;"", VLOOKUP(A228, imdb_netflix_v5!A$2:H$7370, 4, FALSE), "")</f>
        <v>7.3</v>
      </c>
      <c r="E228" s="2">
        <f>IF(A228&lt;&gt;"", VLOOKUP(A228, imdb_netflix_v5!A$2:H$7370, 5, FALSE), "")</f>
        <v>2022</v>
      </c>
      <c r="F228" s="2">
        <f>IF(A228&lt;&gt;"", VLOOKUP(A228, imdb_netflix_v5!A$2:H$7370, 7, FALSE), "")</f>
        <v>6940000</v>
      </c>
    </row>
    <row r="229" ht="15.75" hidden="1" customHeight="1">
      <c r="A229" s="1" t="s">
        <v>2340</v>
      </c>
      <c r="B229" s="1" t="str">
        <f>IF(A229&lt;&gt;"", VLOOKUP(A229, imdb_netflix_v5!A$2:H$7370, 2, FALSE), "")</f>
        <v>Movie</v>
      </c>
      <c r="C229" s="2" t="str">
        <f>IF(A229&lt;&gt;"", VLOOKUP(A229, imdb_netflix_v5!A$2:H$7370, 3, FALSE), "")</f>
        <v>Action, Adventure, Animation</v>
      </c>
      <c r="D229" s="2">
        <f>IF(A229&lt;&gt;"", VLOOKUP(A229, imdb_netflix_v5!A$2:H$7370, 4, FALSE), "")</f>
        <v>7.8</v>
      </c>
      <c r="E229" s="2">
        <f>IF(A229&lt;&gt;"", VLOOKUP(A229, imdb_netflix_v5!A$2:H$7370, 5, FALSE), "")</f>
        <v>2022</v>
      </c>
      <c r="F229" s="2">
        <f>IF(A229&lt;&gt;"", VLOOKUP(A229, imdb_netflix_v5!A$2:H$7370, 7, FALSE), "")</f>
        <v>7200000</v>
      </c>
    </row>
    <row r="230" ht="15.75" hidden="1" customHeight="1">
      <c r="A230" s="1" t="s">
        <v>4991</v>
      </c>
      <c r="B230" s="1" t="str">
        <f>IF(A230&lt;&gt;"", VLOOKUP(A230, imdb_netflix_v5!A$2:H$7370, 2, FALSE), "")</f>
        <v>Movie</v>
      </c>
      <c r="C230" s="2" t="str">
        <f>IF(A230&lt;&gt;"", VLOOKUP(A230, imdb_netflix_v5!A$2:H$7370, 3, FALSE), "")</f>
        <v>Crime, Documentary, Mystery</v>
      </c>
      <c r="D230" s="2">
        <f>IF(A230&lt;&gt;"", VLOOKUP(A230, imdb_netflix_v5!A$2:H$7370, 4, FALSE), "")</f>
        <v>7.3</v>
      </c>
      <c r="E230" s="2">
        <f>IF(A230&lt;&gt;"", VLOOKUP(A230, imdb_netflix_v5!A$2:H$7370, 5, FALSE), "")</f>
        <v>2022</v>
      </c>
      <c r="F230" s="2">
        <f>IF(A230&lt;&gt;"", VLOOKUP(A230, imdb_netflix_v5!A$2:H$7370, 7, FALSE), "")</f>
        <v>7360000</v>
      </c>
    </row>
    <row r="231" ht="15.75" customHeight="1">
      <c r="A231" s="1" t="s">
        <v>1460</v>
      </c>
      <c r="B231" s="1" t="str">
        <f>IF(A231&lt;&gt;"", VLOOKUP(A231, imdb_netflix_v5!A$2:H$7370, 2, FALSE), "")</f>
        <v>TV Show</v>
      </c>
      <c r="C231" s="2" t="str">
        <f>IF(A231&lt;&gt;"", VLOOKUP(A231, imdb_netflix_v5!A$2:H$7370, 3, FALSE), "")</f>
        <v>Drama, Mystery, Thriller</v>
      </c>
      <c r="D231" s="4">
        <f>IF(A231&lt;&gt;"", VLOOKUP(A231, imdb_netflix_v5!A$2:H$7370, 4, FALSE), "")</f>
        <v>8.1</v>
      </c>
      <c r="E231" s="2">
        <f>IF(A231&lt;&gt;"", VLOOKUP(A231, imdb_netflix_v5!A$2:H$7370, 5, FALSE), "")</f>
        <v>2022</v>
      </c>
      <c r="F231" s="2">
        <f>IF(A231&lt;&gt;"", VLOOKUP(A231, imdb_netflix_v5!A$2:H$7370, 7, FALSE), "")</f>
        <v>7680000</v>
      </c>
    </row>
    <row r="232" ht="15.75" customHeight="1">
      <c r="A232" s="1" t="s">
        <v>868</v>
      </c>
      <c r="B232" s="1" t="str">
        <f>IF(A232&lt;&gt;"", VLOOKUP(A232, imdb_netflix_v5!A$2:H$7370, 2, FALSE), "")</f>
        <v>TV Show</v>
      </c>
      <c r="C232" s="2" t="str">
        <f>IF(A232&lt;&gt;"", VLOOKUP(A232, imdb_netflix_v5!A$2:H$7370, 3, FALSE), "")</f>
        <v>Action, Adventure, Animation</v>
      </c>
      <c r="D232" s="4">
        <f>IF(A232&lt;&gt;"", VLOOKUP(A232, imdb_netflix_v5!A$2:H$7370, 4, FALSE), "")</f>
        <v>8.3</v>
      </c>
      <c r="E232" s="2">
        <f>IF(A232&lt;&gt;"", VLOOKUP(A232, imdb_netflix_v5!A$2:H$7370, 5, FALSE), "")</f>
        <v>2022</v>
      </c>
      <c r="F232" s="2">
        <f>IF(A232&lt;&gt;"", VLOOKUP(A232, imdb_netflix_v5!A$2:H$7370, 7, FALSE), "")</f>
        <v>8020000</v>
      </c>
    </row>
    <row r="233" ht="15.75" customHeight="1">
      <c r="A233" s="1" t="s">
        <v>3759</v>
      </c>
      <c r="B233" s="1" t="str">
        <f>IF(A233&lt;&gt;"", VLOOKUP(A233, imdb_netflix_v5!A$2:H$7370, 2, FALSE), "")</f>
        <v>TV Show</v>
      </c>
      <c r="C233" s="2" t="str">
        <f>IF(A233&lt;&gt;"", VLOOKUP(A233, imdb_netflix_v5!A$2:H$7370, 3, FALSE), "")</f>
        <v>Action, Drama, Fantasy</v>
      </c>
      <c r="D233" s="4">
        <f>IF(A233&lt;&gt;"", VLOOKUP(A233, imdb_netflix_v5!A$2:H$7370, 4, FALSE), "")</f>
        <v>7.5</v>
      </c>
      <c r="E233" s="2">
        <f>IF(A233&lt;&gt;"", VLOOKUP(A233, imdb_netflix_v5!A$2:H$7370, 5, FALSE), "")</f>
        <v>2022</v>
      </c>
      <c r="F233" s="2">
        <f>IF(A233&lt;&gt;"", VLOOKUP(A233, imdb_netflix_v5!A$2:H$7370, 7, FALSE), "")</f>
        <v>8130000</v>
      </c>
    </row>
    <row r="234" ht="15.75" customHeight="1">
      <c r="A234" s="1" t="s">
        <v>1477</v>
      </c>
      <c r="B234" s="1" t="str">
        <f>IF(A234&lt;&gt;"", VLOOKUP(A234, imdb_netflix_v5!A$2:H$7370, 2, FALSE), "")</f>
        <v>TV Show</v>
      </c>
      <c r="C234" s="2" t="str">
        <f>IF(A234&lt;&gt;"", VLOOKUP(A234, imdb_netflix_v5!A$2:H$7370, 3, FALSE), "")</f>
        <v>Comedy, Drama, Romance</v>
      </c>
      <c r="D234" s="4">
        <f>IF(A234&lt;&gt;"", VLOOKUP(A234, imdb_netflix_v5!A$2:H$7370, 4, FALSE), "")</f>
        <v>8.1</v>
      </c>
      <c r="E234" s="2">
        <f>IF(A234&lt;&gt;"", VLOOKUP(A234, imdb_netflix_v5!A$2:H$7370, 5, FALSE), "")</f>
        <v>2022</v>
      </c>
      <c r="F234" s="2">
        <f>IF(A234&lt;&gt;"", VLOOKUP(A234, imdb_netflix_v5!A$2:H$7370, 7, FALSE), "")</f>
        <v>8270000</v>
      </c>
    </row>
    <row r="235" ht="15.75" customHeight="1">
      <c r="A235" s="1" t="s">
        <v>501</v>
      </c>
      <c r="B235" s="1" t="str">
        <f>IF(A235&lt;&gt;"", VLOOKUP(A235, imdb_netflix_v5!A$2:H$7370, 2, FALSE), "")</f>
        <v>TV Show</v>
      </c>
      <c r="C235" s="2" t="str">
        <f>IF(A235&lt;&gt;"", VLOOKUP(A235, imdb_netflix_v5!A$2:H$7370, 3, FALSE), "")</f>
        <v>Drama, Romance</v>
      </c>
      <c r="D235" s="4">
        <f>IF(A235&lt;&gt;"", VLOOKUP(A235, imdb_netflix_v5!A$2:H$7370, 4, FALSE), "")</f>
        <v>8.5</v>
      </c>
      <c r="E235" s="2">
        <f>IF(A235&lt;&gt;"", VLOOKUP(A235, imdb_netflix_v5!A$2:H$7370, 5, FALSE), "")</f>
        <v>2022</v>
      </c>
      <c r="F235" s="2">
        <f>IF(A235&lt;&gt;"", VLOOKUP(A235, imdb_netflix_v5!A$2:H$7370, 7, FALSE), "")</f>
        <v>8300000</v>
      </c>
    </row>
    <row r="236" ht="15.75" customHeight="1">
      <c r="A236" s="1" t="s">
        <v>6198</v>
      </c>
      <c r="B236" s="1" t="str">
        <f>IF(A236&lt;&gt;"", VLOOKUP(A236, imdb_netflix_v5!A$2:H$7370, 2, FALSE), "")</f>
        <v>TV Show</v>
      </c>
      <c r="C236" s="2" t="str">
        <f>IF(A236&lt;&gt;"", VLOOKUP(A236, imdb_netflix_v5!A$2:H$7370, 3, FALSE), "")</f>
        <v>Biography, Crime, Documentary</v>
      </c>
      <c r="D236" s="4">
        <f>IF(A236&lt;&gt;"", VLOOKUP(A236, imdb_netflix_v5!A$2:H$7370, 4, FALSE), "")</f>
        <v>7.1</v>
      </c>
      <c r="E236" s="2">
        <f>IF(A236&lt;&gt;"", VLOOKUP(A236, imdb_netflix_v5!A$2:H$7370, 5, FALSE), "")</f>
        <v>2022</v>
      </c>
      <c r="F236" s="2">
        <f>IF(A236&lt;&gt;"", VLOOKUP(A236, imdb_netflix_v5!A$2:H$7370, 7, FALSE), "")</f>
        <v>8860000</v>
      </c>
    </row>
    <row r="237" ht="15.75" customHeight="1">
      <c r="A237" s="1" t="s">
        <v>3023</v>
      </c>
      <c r="B237" s="1" t="str">
        <f>IF(A237&lt;&gt;"", VLOOKUP(A237, imdb_netflix_v5!A$2:H$7370, 2, FALSE), "")</f>
        <v>TV Show</v>
      </c>
      <c r="C237" s="2" t="str">
        <f>IF(A237&lt;&gt;"", VLOOKUP(A237, imdb_netflix_v5!A$2:H$7370, 3, FALSE), "")</f>
        <v>Drama, Romance</v>
      </c>
      <c r="D237" s="4">
        <f>IF(A237&lt;&gt;"", VLOOKUP(A237, imdb_netflix_v5!A$2:H$7370, 4, FALSE), "")</f>
        <v>7.7</v>
      </c>
      <c r="E237" s="2">
        <f>IF(A237&lt;&gt;"", VLOOKUP(A237, imdb_netflix_v5!A$2:H$7370, 5, FALSE), "")</f>
        <v>2022</v>
      </c>
      <c r="F237" s="2">
        <f>IF(A237&lt;&gt;"", VLOOKUP(A237, imdb_netflix_v5!A$2:H$7370, 7, FALSE), "")</f>
        <v>9480000</v>
      </c>
    </row>
    <row r="238" ht="15.75" customHeight="1">
      <c r="A238" s="1" t="s">
        <v>1307</v>
      </c>
      <c r="B238" s="1" t="str">
        <f>IF(A238&lt;&gt;"", VLOOKUP(A238, imdb_netflix_v5!A$2:H$7370, 2, FALSE), "")</f>
        <v>TV Show</v>
      </c>
      <c r="C238" s="2" t="str">
        <f>IF(A238&lt;&gt;"", VLOOKUP(A238, imdb_netflix_v5!A$2:H$7370, 3, FALSE), "")</f>
        <v>Comedy, Crime, Fantasy</v>
      </c>
      <c r="D238" s="4">
        <f>IF(A238&lt;&gt;"", VLOOKUP(A238, imdb_netflix_v5!A$2:H$7370, 4, FALSE), "")</f>
        <v>8.1</v>
      </c>
      <c r="E238" s="2">
        <f>IF(A238&lt;&gt;"", VLOOKUP(A238, imdb_netflix_v5!A$2:H$7370, 5, FALSE), "")</f>
        <v>2022</v>
      </c>
      <c r="F238" s="2">
        <f>IF(A238&lt;&gt;"", VLOOKUP(A238, imdb_netflix_v5!A$2:H$7370, 7, FALSE), "")</f>
        <v>9500000</v>
      </c>
    </row>
    <row r="239" ht="15.75" hidden="1" customHeight="1">
      <c r="A239" s="1" t="s">
        <v>5897</v>
      </c>
      <c r="B239" s="1" t="str">
        <f>IF(A239&lt;&gt;"", VLOOKUP(A239, imdb_netflix_v5!A$2:H$7370, 2, FALSE), "")</f>
        <v>Movie</v>
      </c>
      <c r="C239" s="2" t="str">
        <f>IF(A239&lt;&gt;"", VLOOKUP(A239, imdb_netflix_v5!A$2:H$7370, 3, FALSE), "")</f>
        <v>Crime, Documentary</v>
      </c>
      <c r="D239" s="2">
        <f>IF(A239&lt;&gt;"", VLOOKUP(A239, imdb_netflix_v5!A$2:H$7370, 4, FALSE), "")</f>
        <v>7.1</v>
      </c>
      <c r="E239" s="2">
        <f>IF(A239&lt;&gt;"", VLOOKUP(A239, imdb_netflix_v5!A$2:H$7370, 5, FALSE), "")</f>
        <v>2022</v>
      </c>
      <c r="F239" s="2">
        <f>IF(A239&lt;&gt;"", VLOOKUP(A239, imdb_netflix_v5!A$2:H$7370, 7, FALSE), "")</f>
        <v>9510000</v>
      </c>
    </row>
    <row r="240" ht="15.75" customHeight="1">
      <c r="A240" s="1" t="s">
        <v>420</v>
      </c>
      <c r="B240" s="1" t="str">
        <f>IF(A240&lt;&gt;"", VLOOKUP(A240, imdb_netflix_v5!A$2:H$7370, 2, FALSE), "")</f>
        <v>TV Show</v>
      </c>
      <c r="C240" s="2" t="str">
        <f>IF(A240&lt;&gt;"", VLOOKUP(A240, imdb_netflix_v5!A$2:H$7370, 3, FALSE), "")</f>
        <v>Drama, Romance</v>
      </c>
      <c r="D240" s="4">
        <f>IF(A240&lt;&gt;"", VLOOKUP(A240, imdb_netflix_v5!A$2:H$7370, 4, FALSE), "")</f>
        <v>8.6</v>
      </c>
      <c r="E240" s="2">
        <f>IF(A240&lt;&gt;"", VLOOKUP(A240, imdb_netflix_v5!A$2:H$7370, 5, FALSE), "")</f>
        <v>2022</v>
      </c>
      <c r="F240" s="2">
        <f>IF(A240&lt;&gt;"", VLOOKUP(A240, imdb_netflix_v5!A$2:H$7370, 7, FALSE), "")</f>
        <v>9580000</v>
      </c>
    </row>
    <row r="241" ht="15.75" hidden="1" customHeight="1">
      <c r="A241" s="1" t="s">
        <v>5308</v>
      </c>
      <c r="B241" s="1" t="str">
        <f>IF(A241&lt;&gt;"", VLOOKUP(A241, imdb_netflix_v5!A$2:H$7370, 2, FALSE), "")</f>
        <v>Movie</v>
      </c>
      <c r="C241" s="2" t="str">
        <f>IF(A241&lt;&gt;"", VLOOKUP(A241, imdb_netflix_v5!A$2:H$7370, 3, FALSE), "")</f>
        <v>Drama, Mystery, Romance</v>
      </c>
      <c r="D241" s="2">
        <f>IF(A241&lt;&gt;"", VLOOKUP(A241, imdb_netflix_v5!A$2:H$7370, 4, FALSE), "")</f>
        <v>7.2</v>
      </c>
      <c r="E241" s="2">
        <f>IF(A241&lt;&gt;"", VLOOKUP(A241, imdb_netflix_v5!A$2:H$7370, 5, FALSE), "")</f>
        <v>2022</v>
      </c>
      <c r="F241" s="2">
        <f>IF(A241&lt;&gt;"", VLOOKUP(A241, imdb_netflix_v5!A$2:H$7370, 7, FALSE), "")</f>
        <v>9640000</v>
      </c>
    </row>
    <row r="242" ht="15.75" hidden="1" customHeight="1">
      <c r="A242" s="1" t="s">
        <v>4553</v>
      </c>
      <c r="B242" s="1" t="str">
        <f>IF(A242&lt;&gt;"", VLOOKUP(A242, imdb_netflix_v5!A$2:H$7370, 2, FALSE), "")</f>
        <v>Movie</v>
      </c>
      <c r="C242" s="2" t="str">
        <f>IF(A242&lt;&gt;"", VLOOKUP(A242, imdb_netflix_v5!A$2:H$7370, 3, FALSE), "")</f>
        <v>Documentary</v>
      </c>
      <c r="D242" s="2">
        <f>IF(A242&lt;&gt;"", VLOOKUP(A242, imdb_netflix_v5!A$2:H$7370, 4, FALSE), "")</f>
        <v>7.4</v>
      </c>
      <c r="E242" s="2">
        <f>IF(A242&lt;&gt;"", VLOOKUP(A242, imdb_netflix_v5!A$2:H$7370, 5, FALSE), "")</f>
        <v>2022</v>
      </c>
      <c r="F242" s="2">
        <f>IF(A242&lt;&gt;"", VLOOKUP(A242, imdb_netflix_v5!A$2:H$7370, 7, FALSE), "")</f>
        <v>9910000</v>
      </c>
    </row>
    <row r="243" ht="15.75" customHeight="1">
      <c r="A243" s="1" t="s">
        <v>2578</v>
      </c>
      <c r="B243" s="1" t="str">
        <f>IF(A243&lt;&gt;"", VLOOKUP(A243, imdb_netflix_v5!A$2:H$7370, 2, FALSE), "")</f>
        <v>TV Show</v>
      </c>
      <c r="C243" s="2" t="str">
        <f>IF(A243&lt;&gt;"", VLOOKUP(A243, imdb_netflix_v5!A$2:H$7370, 3, FALSE), "")</f>
        <v>Drama, History, Romance</v>
      </c>
      <c r="D243" s="4">
        <f>IF(A243&lt;&gt;"", VLOOKUP(A243, imdb_netflix_v5!A$2:H$7370, 4, FALSE), "")</f>
        <v>7.8</v>
      </c>
      <c r="E243" s="2">
        <f>IF(A243&lt;&gt;"", VLOOKUP(A243, imdb_netflix_v5!A$2:H$7370, 5, FALSE), "")</f>
        <v>2022</v>
      </c>
      <c r="F243" s="2">
        <f>IF(A243&lt;&gt;"", VLOOKUP(A243, imdb_netflix_v5!A$2:H$7370, 7, FALSE), "")</f>
        <v>9990000</v>
      </c>
    </row>
    <row r="244" ht="15.75" hidden="1" customHeight="1">
      <c r="A244" s="1" t="s">
        <v>4611</v>
      </c>
      <c r="B244" s="1" t="str">
        <f>IF(A244&lt;&gt;"", VLOOKUP(A244, imdb_netflix_v5!A$2:H$7370, 2, FALSE), "")</f>
        <v>Movie</v>
      </c>
      <c r="C244" s="2" t="str">
        <f>IF(A244&lt;&gt;"", VLOOKUP(A244, imdb_netflix_v5!A$2:H$7370, 3, FALSE), "")</f>
        <v>Documentary, History, Sport</v>
      </c>
      <c r="D244" s="2">
        <f>IF(A244&lt;&gt;"", VLOOKUP(A244, imdb_netflix_v5!A$2:H$7370, 4, FALSE), "")</f>
        <v>7.4</v>
      </c>
      <c r="E244" s="2">
        <f>IF(A244&lt;&gt;"", VLOOKUP(A244, imdb_netflix_v5!A$2:H$7370, 5, FALSE), "")</f>
        <v>2022</v>
      </c>
      <c r="F244" s="2">
        <f>IF(A244&lt;&gt;"", VLOOKUP(A244, imdb_netflix_v5!A$2:H$7370, 7, FALSE), "")</f>
        <v>10290000</v>
      </c>
    </row>
    <row r="245" ht="15.75" customHeight="1">
      <c r="A245" s="1" t="s">
        <v>5084</v>
      </c>
      <c r="B245" s="1" t="str">
        <f>IF(A245&lt;&gt;"", VLOOKUP(A245, imdb_netflix_v5!A$2:H$7370, 2, FALSE), "")</f>
        <v>TV Show</v>
      </c>
      <c r="C245" s="2" t="str">
        <f>IF(A245&lt;&gt;"", VLOOKUP(A245, imdb_netflix_v5!A$2:H$7370, 3, FALSE), "")</f>
        <v>Action, Comedy, Crime</v>
      </c>
      <c r="D245" s="4">
        <f>IF(A245&lt;&gt;"", VLOOKUP(A245, imdb_netflix_v5!A$2:H$7370, 4, FALSE), "")</f>
        <v>7.3</v>
      </c>
      <c r="E245" s="2">
        <f>IF(A245&lt;&gt;"", VLOOKUP(A245, imdb_netflix_v5!A$2:H$7370, 5, FALSE), "")</f>
        <v>2022</v>
      </c>
      <c r="F245" s="2">
        <f>IF(A245&lt;&gt;"", VLOOKUP(A245, imdb_netflix_v5!A$2:H$7370, 7, FALSE), "")</f>
        <v>10480000</v>
      </c>
    </row>
    <row r="246" ht="15.75" customHeight="1">
      <c r="A246" s="1" t="s">
        <v>4518</v>
      </c>
      <c r="B246" s="1" t="str">
        <f>IF(A246&lt;&gt;"", VLOOKUP(A246, imdb_netflix_v5!A$2:H$7370, 2, FALSE), "")</f>
        <v>TV Show</v>
      </c>
      <c r="C246" s="2" t="str">
        <f>IF(A246&lt;&gt;"", VLOOKUP(A246, imdb_netflix_v5!A$2:H$7370, 3, FALSE), "")</f>
        <v>Biography, Drama, Music</v>
      </c>
      <c r="D246" s="4">
        <f>IF(A246&lt;&gt;"", VLOOKUP(A246, imdb_netflix_v5!A$2:H$7370, 4, FALSE), "")</f>
        <v>7.4</v>
      </c>
      <c r="E246" s="2">
        <f>IF(A246&lt;&gt;"", VLOOKUP(A246, imdb_netflix_v5!A$2:H$7370, 5, FALSE), "")</f>
        <v>2022</v>
      </c>
      <c r="F246" s="2">
        <f>IF(A246&lt;&gt;"", VLOOKUP(A246, imdb_netflix_v5!A$2:H$7370, 7, FALSE), "")</f>
        <v>10920000</v>
      </c>
    </row>
    <row r="247" ht="15.75" customHeight="1">
      <c r="A247" s="1" t="s">
        <v>1889</v>
      </c>
      <c r="B247" s="1" t="str">
        <f>IF(A247&lt;&gt;"", VLOOKUP(A247, imdb_netflix_v5!A$2:H$7370, 2, FALSE), "")</f>
        <v>TV Show</v>
      </c>
      <c r="C247" s="2" t="str">
        <f>IF(A247&lt;&gt;"", VLOOKUP(A247, imdb_netflix_v5!A$2:H$7370, 3, FALSE), "")</f>
        <v>Action, Comedy, Drama</v>
      </c>
      <c r="D247" s="4">
        <f>IF(A247&lt;&gt;"", VLOOKUP(A247, imdb_netflix_v5!A$2:H$7370, 4, FALSE), "")</f>
        <v>8</v>
      </c>
      <c r="E247" s="2">
        <f>IF(A247&lt;&gt;"", VLOOKUP(A247, imdb_netflix_v5!A$2:H$7370, 5, FALSE), "")</f>
        <v>2022</v>
      </c>
      <c r="F247" s="2">
        <f>IF(A247&lt;&gt;"", VLOOKUP(A247, imdb_netflix_v5!A$2:H$7370, 7, FALSE), "")</f>
        <v>11120000</v>
      </c>
    </row>
    <row r="248" ht="15.75" customHeight="1">
      <c r="A248" s="1" t="s">
        <v>1589</v>
      </c>
      <c r="B248" s="1" t="str">
        <f>IF(A248&lt;&gt;"", VLOOKUP(A248, imdb_netflix_v5!A$2:H$7370, 2, FALSE), "")</f>
        <v>TV Show</v>
      </c>
      <c r="C248" s="2" t="str">
        <f>IF(A248&lt;&gt;"", VLOOKUP(A248, imdb_netflix_v5!A$2:H$7370, 3, FALSE), "")</f>
        <v>Crime, Drama</v>
      </c>
      <c r="D248" s="4">
        <f>IF(A248&lt;&gt;"", VLOOKUP(A248, imdb_netflix_v5!A$2:H$7370, 4, FALSE), "")</f>
        <v>8.1</v>
      </c>
      <c r="E248" s="2">
        <f>IF(A248&lt;&gt;"", VLOOKUP(A248, imdb_netflix_v5!A$2:H$7370, 5, FALSE), "")</f>
        <v>2022</v>
      </c>
      <c r="F248" s="2">
        <f>IF(A248&lt;&gt;"", VLOOKUP(A248, imdb_netflix_v5!A$2:H$7370, 7, FALSE), "")</f>
        <v>11270000</v>
      </c>
    </row>
    <row r="249" ht="15.75" hidden="1" customHeight="1">
      <c r="A249" s="1" t="s">
        <v>4340</v>
      </c>
      <c r="B249" s="1" t="str">
        <f>IF(A249&lt;&gt;"", VLOOKUP(A249, imdb_netflix_v5!A$2:H$7370, 2, FALSE), "")</f>
        <v>Movie</v>
      </c>
      <c r="C249" s="2" t="str">
        <f>IF(A249&lt;&gt;"", VLOOKUP(A249, imdb_netflix_v5!A$2:H$7370, 3, FALSE), "")</f>
        <v>Biography, Drama, Sport</v>
      </c>
      <c r="D249" s="2">
        <f>IF(A249&lt;&gt;"", VLOOKUP(A249, imdb_netflix_v5!A$2:H$7370, 4, FALSE), "")</f>
        <v>7.4</v>
      </c>
      <c r="E249" s="2">
        <f>IF(A249&lt;&gt;"", VLOOKUP(A249, imdb_netflix_v5!A$2:H$7370, 5, FALSE), "")</f>
        <v>2022</v>
      </c>
      <c r="F249" s="2">
        <f>IF(A249&lt;&gt;"", VLOOKUP(A249, imdb_netflix_v5!A$2:H$7370, 7, FALSE), "")</f>
        <v>11720000</v>
      </c>
    </row>
    <row r="250" ht="15.75" customHeight="1">
      <c r="A250" s="1" t="s">
        <v>4646</v>
      </c>
      <c r="B250" s="1" t="str">
        <f>IF(A250&lt;&gt;"", VLOOKUP(A250, imdb_netflix_v5!A$2:H$7370, 2, FALSE), "")</f>
        <v>TV Show</v>
      </c>
      <c r="C250" s="2" t="str">
        <f>IF(A250&lt;&gt;"", VLOOKUP(A250, imdb_netflix_v5!A$2:H$7370, 3, FALSE), "")</f>
        <v>Action, Adventure, Animation</v>
      </c>
      <c r="D250" s="4">
        <f>IF(A250&lt;&gt;"", VLOOKUP(A250, imdb_netflix_v5!A$2:H$7370, 4, FALSE), "")</f>
        <v>7.4</v>
      </c>
      <c r="E250" s="2">
        <f>IF(A250&lt;&gt;"", VLOOKUP(A250, imdb_netflix_v5!A$2:H$7370, 5, FALSE), "")</f>
        <v>2022</v>
      </c>
      <c r="F250" s="2">
        <f>IF(A250&lt;&gt;"", VLOOKUP(A250, imdb_netflix_v5!A$2:H$7370, 7, FALSE), "")</f>
        <v>11810000</v>
      </c>
    </row>
    <row r="251" ht="15.75" customHeight="1">
      <c r="A251" s="1" t="s">
        <v>1922</v>
      </c>
      <c r="B251" s="1" t="str">
        <f>IF(A251&lt;&gt;"", VLOOKUP(A251, imdb_netflix_v5!A$2:H$7370, 2, FALSE), "")</f>
        <v>TV Show</v>
      </c>
      <c r="C251" s="2" t="str">
        <f>IF(A251&lt;&gt;"", VLOOKUP(A251, imdb_netflix_v5!A$2:H$7370, 3, FALSE), "")</f>
        <v>Documentary, Music</v>
      </c>
      <c r="D251" s="4">
        <f>IF(A251&lt;&gt;"", VLOOKUP(A251, imdb_netflix_v5!A$2:H$7370, 4, FALSE), "")</f>
        <v>8</v>
      </c>
      <c r="E251" s="2">
        <f>IF(A251&lt;&gt;"", VLOOKUP(A251, imdb_netflix_v5!A$2:H$7370, 5, FALSE), "")</f>
        <v>2022</v>
      </c>
      <c r="F251" s="2">
        <f>IF(A251&lt;&gt;"", VLOOKUP(A251, imdb_netflix_v5!A$2:H$7370, 7, FALSE), "")</f>
        <v>12200000</v>
      </c>
    </row>
    <row r="252" ht="15.75" customHeight="1">
      <c r="A252" s="1" t="s">
        <v>2748</v>
      </c>
      <c r="B252" s="1" t="str">
        <f>IF(A252&lt;&gt;"", VLOOKUP(A252, imdb_netflix_v5!A$2:H$7370, 2, FALSE), "")</f>
        <v>TV Show</v>
      </c>
      <c r="C252" s="2" t="str">
        <f>IF(A252&lt;&gt;"", VLOOKUP(A252, imdb_netflix_v5!A$2:H$7370, 3, FALSE), "")</f>
        <v>Drama, Fantasy, Horror</v>
      </c>
      <c r="D252" s="4">
        <f>IF(A252&lt;&gt;"", VLOOKUP(A252, imdb_netflix_v5!A$2:H$7370, 4, FALSE), "")</f>
        <v>7.7</v>
      </c>
      <c r="E252" s="2">
        <f>IF(A252&lt;&gt;"", VLOOKUP(A252, imdb_netflix_v5!A$2:H$7370, 5, FALSE), "")</f>
        <v>2022</v>
      </c>
      <c r="F252" s="2">
        <f>IF(A252&lt;&gt;"", VLOOKUP(A252, imdb_netflix_v5!A$2:H$7370, 7, FALSE), "")</f>
        <v>12220000</v>
      </c>
    </row>
    <row r="253" ht="15.75" customHeight="1">
      <c r="A253" s="1" t="s">
        <v>3992</v>
      </c>
      <c r="B253" s="1" t="str">
        <f>IF(A253&lt;&gt;"", VLOOKUP(A253, imdb_netflix_v5!A$2:H$7370, 2, FALSE), "")</f>
        <v>TV Show</v>
      </c>
      <c r="C253" s="2" t="str">
        <f>IF(A253&lt;&gt;"", VLOOKUP(A253, imdb_netflix_v5!A$2:H$7370, 3, FALSE), "")</f>
        <v>Action, Crime, Drama</v>
      </c>
      <c r="D253" s="4">
        <f>IF(A253&lt;&gt;"", VLOOKUP(A253, imdb_netflix_v5!A$2:H$7370, 4, FALSE), "")</f>
        <v>7.5</v>
      </c>
      <c r="E253" s="2">
        <f>IF(A253&lt;&gt;"", VLOOKUP(A253, imdb_netflix_v5!A$2:H$7370, 5, FALSE), "")</f>
        <v>2022</v>
      </c>
      <c r="F253" s="2">
        <f>IF(A253&lt;&gt;"", VLOOKUP(A253, imdb_netflix_v5!A$2:H$7370, 7, FALSE), "")</f>
        <v>12760000</v>
      </c>
    </row>
    <row r="254" ht="15.75" customHeight="1">
      <c r="A254" s="1" t="s">
        <v>4302</v>
      </c>
      <c r="B254" s="1" t="str">
        <f>IF(A254&lt;&gt;"", VLOOKUP(A254, imdb_netflix_v5!A$2:H$7370, 2, FALSE), "")</f>
        <v>TV Show</v>
      </c>
      <c r="C254" s="2" t="str">
        <f>IF(A254&lt;&gt;"", VLOOKUP(A254, imdb_netflix_v5!A$2:H$7370, 3, FALSE), "")</f>
        <v>Action, Adventure, Crime</v>
      </c>
      <c r="D254" s="4">
        <f>IF(A254&lt;&gt;"", VLOOKUP(A254, imdb_netflix_v5!A$2:H$7370, 4, FALSE), "")</f>
        <v>7.4</v>
      </c>
      <c r="E254" s="2">
        <f>IF(A254&lt;&gt;"", VLOOKUP(A254, imdb_netflix_v5!A$2:H$7370, 5, FALSE), "")</f>
        <v>2022</v>
      </c>
      <c r="F254" s="2">
        <f>IF(A254&lt;&gt;"", VLOOKUP(A254, imdb_netflix_v5!A$2:H$7370, 7, FALSE), "")</f>
        <v>13430000</v>
      </c>
    </row>
    <row r="255" ht="15.75" customHeight="1">
      <c r="A255" s="1" t="s">
        <v>4275</v>
      </c>
      <c r="B255" s="1" t="str">
        <f>IF(A255&lt;&gt;"", VLOOKUP(A255, imdb_netflix_v5!A$2:H$7370, 2, FALSE), "")</f>
        <v>TV Show</v>
      </c>
      <c r="C255" s="2" t="str">
        <f>IF(A255&lt;&gt;"", VLOOKUP(A255, imdb_netflix_v5!A$2:H$7370, 3, FALSE), "")</f>
        <v>Action, Adventure, Drama</v>
      </c>
      <c r="D255" s="4">
        <f>IF(A255&lt;&gt;"", VLOOKUP(A255, imdb_netflix_v5!A$2:H$7370, 4, FALSE), "")</f>
        <v>7.4</v>
      </c>
      <c r="E255" s="2">
        <f>IF(A255&lt;&gt;"", VLOOKUP(A255, imdb_netflix_v5!A$2:H$7370, 5, FALSE), "")</f>
        <v>2022</v>
      </c>
      <c r="F255" s="2">
        <f>IF(A255&lt;&gt;"", VLOOKUP(A255, imdb_netflix_v5!A$2:H$7370, 7, FALSE), "")</f>
        <v>14840000</v>
      </c>
    </row>
    <row r="256" ht="15.75" customHeight="1">
      <c r="A256" s="1" t="s">
        <v>2404</v>
      </c>
      <c r="B256" s="1" t="str">
        <f>IF(A256&lt;&gt;"", VLOOKUP(A256, imdb_netflix_v5!A$2:H$7370, 2, FALSE), "")</f>
        <v>TV Show</v>
      </c>
      <c r="C256" s="2" t="str">
        <f>IF(A256&lt;&gt;"", VLOOKUP(A256, imdb_netflix_v5!A$2:H$7370, 3, FALSE), "")</f>
        <v>Crime, Drama, Mystery</v>
      </c>
      <c r="D256" s="4">
        <f>IF(A256&lt;&gt;"", VLOOKUP(A256, imdb_netflix_v5!A$2:H$7370, 4, FALSE), "")</f>
        <v>7.8</v>
      </c>
      <c r="E256" s="2">
        <f>IF(A256&lt;&gt;"", VLOOKUP(A256, imdb_netflix_v5!A$2:H$7370, 5, FALSE), "")</f>
        <v>2022</v>
      </c>
      <c r="F256" s="2">
        <f>IF(A256&lt;&gt;"", VLOOKUP(A256, imdb_netflix_v5!A$2:H$7370, 7, FALSE), "")</f>
        <v>15300000</v>
      </c>
    </row>
    <row r="257" ht="15.75" customHeight="1">
      <c r="A257" s="1" t="s">
        <v>6278</v>
      </c>
      <c r="B257" s="1" t="str">
        <f>IF(A257&lt;&gt;"", VLOOKUP(A257, imdb_netflix_v5!A$2:H$7370, 2, FALSE), "")</f>
        <v>TV Show</v>
      </c>
      <c r="C257" s="2" t="str">
        <f>IF(A257&lt;&gt;"", VLOOKUP(A257, imdb_netflix_v5!A$2:H$7370, 3, FALSE), "")</f>
        <v>Animation, Comedy, Romance</v>
      </c>
      <c r="D257" s="4">
        <f>IF(A257&lt;&gt;"", VLOOKUP(A257, imdb_netflix_v5!A$2:H$7370, 4, FALSE), "")</f>
        <v>7.1</v>
      </c>
      <c r="E257" s="2">
        <f>IF(A257&lt;&gt;"", VLOOKUP(A257, imdb_netflix_v5!A$2:H$7370, 5, FALSE), "")</f>
        <v>2022</v>
      </c>
      <c r="F257" s="2">
        <f>IF(A257&lt;&gt;"", VLOOKUP(A257, imdb_netflix_v5!A$2:H$7370, 7, FALSE), "")</f>
        <v>16230000</v>
      </c>
    </row>
    <row r="258" ht="15.75" customHeight="1">
      <c r="A258" s="1">
        <v>1899.0</v>
      </c>
      <c r="B258" s="1" t="str">
        <f>IF(A258&lt;&gt;"", VLOOKUP(A258, imdb_netflix_v5!A$2:H$7370, 2, FALSE), "")</f>
        <v>TV Show</v>
      </c>
      <c r="C258" s="2" t="str">
        <f>IF(A258&lt;&gt;"", VLOOKUP(A258, imdb_netflix_v5!A$2:H$7370, 3, FALSE), "")</f>
        <v>Drama, Horror, Mystery</v>
      </c>
      <c r="D258" s="4">
        <f>IF(A258&lt;&gt;"", VLOOKUP(A258, imdb_netflix_v5!A$2:H$7370, 4, FALSE), "")</f>
        <v>7.3</v>
      </c>
      <c r="E258" s="2">
        <f>IF(A258&lt;&gt;"", VLOOKUP(A258, imdb_netflix_v5!A$2:H$7370, 5, FALSE), "")</f>
        <v>2022</v>
      </c>
      <c r="F258" s="2">
        <f>IF(A258&lt;&gt;"", VLOOKUP(A258, imdb_netflix_v5!A$2:H$7370, 7, FALSE), "")</f>
        <v>17850000</v>
      </c>
    </row>
    <row r="259" ht="15.75" customHeight="1">
      <c r="A259" s="1" t="s">
        <v>2176</v>
      </c>
      <c r="B259" s="1" t="str">
        <f>IF(A259&lt;&gt;"", VLOOKUP(A259, imdb_netflix_v5!A$2:H$7370, 2, FALSE), "")</f>
        <v>TV Show</v>
      </c>
      <c r="C259" s="2" t="str">
        <f>IF(A259&lt;&gt;"", VLOOKUP(A259, imdb_netflix_v5!A$2:H$7370, 3, FALSE), "")</f>
        <v>Drama, Romance</v>
      </c>
      <c r="D259" s="4">
        <f>IF(A259&lt;&gt;"", VLOOKUP(A259, imdb_netflix_v5!A$2:H$7370, 4, FALSE), "")</f>
        <v>7.9</v>
      </c>
      <c r="E259" s="2">
        <f>IF(A259&lt;&gt;"", VLOOKUP(A259, imdb_netflix_v5!A$2:H$7370, 5, FALSE), "")</f>
        <v>2022</v>
      </c>
      <c r="F259" s="2">
        <f>IF(A259&lt;&gt;"", VLOOKUP(A259, imdb_netflix_v5!A$2:H$7370, 7, FALSE), "")</f>
        <v>19880000</v>
      </c>
    </row>
    <row r="260" ht="15.75" customHeight="1">
      <c r="A260" s="1" t="s">
        <v>5162</v>
      </c>
      <c r="B260" s="1" t="str">
        <f>IF(A260&lt;&gt;"", VLOOKUP(A260, imdb_netflix_v5!A$2:H$7370, 2, FALSE), "")</f>
        <v>TV Show</v>
      </c>
      <c r="C260" s="2" t="str">
        <f>IF(A260&lt;&gt;"", VLOOKUP(A260, imdb_netflix_v5!A$2:H$7370, 3, FALSE), "")</f>
        <v>Documentary, History</v>
      </c>
      <c r="D260" s="4">
        <f>IF(A260&lt;&gt;"", VLOOKUP(A260, imdb_netflix_v5!A$2:H$7370, 4, FALSE), "")</f>
        <v>7.3</v>
      </c>
      <c r="E260" s="2">
        <f>IF(A260&lt;&gt;"", VLOOKUP(A260, imdb_netflix_v5!A$2:H$7370, 5, FALSE), "")</f>
        <v>2022</v>
      </c>
      <c r="F260" s="2">
        <f>IF(A260&lt;&gt;"", VLOOKUP(A260, imdb_netflix_v5!A$2:H$7370, 7, FALSE), "")</f>
        <v>24620000</v>
      </c>
    </row>
    <row r="261" ht="15.75" customHeight="1">
      <c r="A261" s="1" t="s">
        <v>6247</v>
      </c>
      <c r="B261" s="1" t="str">
        <f>IF(A261&lt;&gt;"", VLOOKUP(A261, imdb_netflix_v5!A$2:H$7370, 2, FALSE), "")</f>
        <v>TV Show</v>
      </c>
      <c r="C261" s="2" t="str">
        <f>IF(A261&lt;&gt;"", VLOOKUP(A261, imdb_netflix_v5!A$2:H$7370, 3, FALSE), "")</f>
        <v>Crime, Documentary, Thriller</v>
      </c>
      <c r="D261" s="4">
        <f>IF(A261&lt;&gt;"", VLOOKUP(A261, imdb_netflix_v5!A$2:H$7370, 4, FALSE), "")</f>
        <v>7.1</v>
      </c>
      <c r="E261" s="2">
        <f>IF(A261&lt;&gt;"", VLOOKUP(A261, imdb_netflix_v5!A$2:H$7370, 5, FALSE), "")</f>
        <v>2022</v>
      </c>
      <c r="F261" s="2">
        <f>IF(A261&lt;&gt;"", VLOOKUP(A261, imdb_netflix_v5!A$2:H$7370, 7, FALSE), "")</f>
        <v>26290000</v>
      </c>
    </row>
    <row r="262" ht="15.75" customHeight="1">
      <c r="A262" s="1" t="s">
        <v>5054</v>
      </c>
      <c r="B262" s="1" t="str">
        <f>IF(A262&lt;&gt;"", VLOOKUP(A262, imdb_netflix_v5!A$2:H$7370, 2, FALSE), "")</f>
        <v>TV Show</v>
      </c>
      <c r="C262" s="2" t="str">
        <f>IF(A262&lt;&gt;"", VLOOKUP(A262, imdb_netflix_v5!A$2:H$7370, 3, FALSE), "")</f>
        <v>Crime, Documentary</v>
      </c>
      <c r="D262" s="4">
        <f>IF(A262&lt;&gt;"", VLOOKUP(A262, imdb_netflix_v5!A$2:H$7370, 4, FALSE), "")</f>
        <v>7.3</v>
      </c>
      <c r="E262" s="2">
        <f>IF(A262&lt;&gt;"", VLOOKUP(A262, imdb_netflix_v5!A$2:H$7370, 5, FALSE), "")</f>
        <v>2022</v>
      </c>
      <c r="F262" s="2">
        <f>IF(A262&lt;&gt;"", VLOOKUP(A262, imdb_netflix_v5!A$2:H$7370, 7, FALSE), "")</f>
        <v>27640000</v>
      </c>
    </row>
    <row r="263" ht="15.75" customHeight="1">
      <c r="A263" s="1" t="s">
        <v>5216</v>
      </c>
      <c r="B263" s="1" t="str">
        <f>IF(A263&lt;&gt;"", VLOOKUP(A263, imdb_netflix_v5!A$2:H$7370, 2, FALSE), "")</f>
        <v>TV Show</v>
      </c>
      <c r="C263" s="2" t="str">
        <f>IF(A263&lt;&gt;"", VLOOKUP(A263, imdb_netflix_v5!A$2:H$7370, 3, FALSE), "")</f>
        <v>Biography, Crime, Documentary</v>
      </c>
      <c r="D263" s="4">
        <f>IF(A263&lt;&gt;"", VLOOKUP(A263, imdb_netflix_v5!A$2:H$7370, 4, FALSE), "")</f>
        <v>7.3</v>
      </c>
      <c r="E263" s="2">
        <f>IF(A263&lt;&gt;"", VLOOKUP(A263, imdb_netflix_v5!A$2:H$7370, 5, FALSE), "")</f>
        <v>2022</v>
      </c>
      <c r="F263" s="2">
        <f>IF(A263&lt;&gt;"", VLOOKUP(A263, imdb_netflix_v5!A$2:H$7370, 7, FALSE), "")</f>
        <v>27710000</v>
      </c>
    </row>
    <row r="264" ht="15.75" customHeight="1">
      <c r="A264" s="1" t="s">
        <v>4843</v>
      </c>
      <c r="B264" s="1" t="str">
        <f>IF(A264&lt;&gt;"", VLOOKUP(A264, imdb_netflix_v5!A$2:H$7370, 2, FALSE), "")</f>
        <v>TV Show</v>
      </c>
      <c r="C264" s="2" t="str">
        <f>IF(A264&lt;&gt;"", VLOOKUP(A264, imdb_netflix_v5!A$2:H$7370, 3, FALSE), "")</f>
        <v>Drama, Horror, Mystery</v>
      </c>
      <c r="D264" s="4">
        <f>IF(A264&lt;&gt;"", VLOOKUP(A264, imdb_netflix_v5!A$2:H$7370, 4, FALSE), "")</f>
        <v>7.3</v>
      </c>
      <c r="E264" s="2">
        <f>IF(A264&lt;&gt;"", VLOOKUP(A264, imdb_netflix_v5!A$2:H$7370, 5, FALSE), "")</f>
        <v>2022</v>
      </c>
      <c r="F264" s="2">
        <f>IF(A264&lt;&gt;"", VLOOKUP(A264, imdb_netflix_v5!A$2:H$7370, 7, FALSE), "")</f>
        <v>36270000</v>
      </c>
    </row>
    <row r="265" ht="15.75" hidden="1" customHeight="1">
      <c r="A265" s="1" t="s">
        <v>5406</v>
      </c>
      <c r="B265" s="1" t="str">
        <f>IF(A265&lt;&gt;"", VLOOKUP(A265, imdb_netflix_v5!A$2:H$7370, 2, FALSE), "")</f>
        <v>Movie</v>
      </c>
      <c r="C265" s="2" t="str">
        <f>IF(A265&lt;&gt;"", VLOOKUP(A265, imdb_netflix_v5!A$2:H$7370, 3, FALSE), "")</f>
        <v>Crime, Drama, Thriller</v>
      </c>
      <c r="D265" s="2">
        <f>IF(A265&lt;&gt;"", VLOOKUP(A265, imdb_netflix_v5!A$2:H$7370, 4, FALSE), "")</f>
        <v>7.2</v>
      </c>
      <c r="E265" s="2">
        <f>IF(A265&lt;&gt;"", VLOOKUP(A265, imdb_netflix_v5!A$2:H$7370, 5, FALSE), "")</f>
        <v>2023</v>
      </c>
      <c r="F265" s="2">
        <f>IF(A265&lt;&gt;"", VLOOKUP(A265, imdb_netflix_v5!A$2:H$7370, 7, FALSE), "")</f>
        <v>1790000</v>
      </c>
    </row>
    <row r="266" ht="15.75" hidden="1" customHeight="1">
      <c r="A266" s="1" t="s">
        <v>4081</v>
      </c>
      <c r="B266" s="1" t="str">
        <f>IF(A266&lt;&gt;"", VLOOKUP(A266, imdb_netflix_v5!A$2:H$7370, 2, FALSE), "")</f>
        <v>Movie</v>
      </c>
      <c r="C266" s="2" t="str">
        <f>IF(A266&lt;&gt;"", VLOOKUP(A266, imdb_netflix_v5!A$2:H$7370, 3, FALSE), "")</f>
        <v>Drama, Romance</v>
      </c>
      <c r="D266" s="2">
        <f>IF(A266&lt;&gt;"", VLOOKUP(A266, imdb_netflix_v5!A$2:H$7370, 4, FALSE), "")</f>
        <v>7.5</v>
      </c>
      <c r="E266" s="2">
        <f>IF(A266&lt;&gt;"", VLOOKUP(A266, imdb_netflix_v5!A$2:H$7370, 5, FALSE), "")</f>
        <v>2023</v>
      </c>
      <c r="F266" s="2">
        <f>IF(A266&lt;&gt;"", VLOOKUP(A266, imdb_netflix_v5!A$2:H$7370, 7, FALSE), "")</f>
        <v>2300000</v>
      </c>
    </row>
    <row r="267" ht="15.75" hidden="1" customHeight="1">
      <c r="A267" s="1" t="s">
        <v>5174</v>
      </c>
      <c r="B267" s="1" t="str">
        <f>IF(A267&lt;&gt;"", VLOOKUP(A267, imdb_netflix_v5!A$2:H$7370, 2, FALSE), "")</f>
        <v>Movie</v>
      </c>
      <c r="C267" s="2" t="str">
        <f>IF(A267&lt;&gt;"", VLOOKUP(A267, imdb_netflix_v5!A$2:H$7370, 3, FALSE), "")</f>
        <v>Action, Drama</v>
      </c>
      <c r="D267" s="2">
        <f>IF(A267&lt;&gt;"", VLOOKUP(A267, imdb_netflix_v5!A$2:H$7370, 4, FALSE), "")</f>
        <v>7.3</v>
      </c>
      <c r="E267" s="2">
        <f>IF(A267&lt;&gt;"", VLOOKUP(A267, imdb_netflix_v5!A$2:H$7370, 5, FALSE), "")</f>
        <v>2023</v>
      </c>
      <c r="F267" s="2">
        <f>IF(A267&lt;&gt;"", VLOOKUP(A267, imdb_netflix_v5!A$2:H$7370, 7, FALSE), "")</f>
        <v>2430000</v>
      </c>
    </row>
    <row r="268" ht="15.75" hidden="1" customHeight="1">
      <c r="A268" s="1" t="s">
        <v>3821</v>
      </c>
      <c r="B268" s="1" t="str">
        <f>IF(A268&lt;&gt;"", VLOOKUP(A268, imdb_netflix_v5!A$2:H$7370, 2, FALSE), "")</f>
        <v>Movie</v>
      </c>
      <c r="C268" s="2" t="str">
        <f>IF(A268&lt;&gt;"", VLOOKUP(A268, imdb_netflix_v5!A$2:H$7370, 3, FALSE), "")</f>
        <v>Comedy, Drama</v>
      </c>
      <c r="D268" s="2">
        <f>IF(A268&lt;&gt;"", VLOOKUP(A268, imdb_netflix_v5!A$2:H$7370, 4, FALSE), "")</f>
        <v>7.5</v>
      </c>
      <c r="E268" s="2">
        <f>IF(A268&lt;&gt;"", VLOOKUP(A268, imdb_netflix_v5!A$2:H$7370, 5, FALSE), "")</f>
        <v>2023</v>
      </c>
      <c r="F268" s="2">
        <f>IF(A268&lt;&gt;"", VLOOKUP(A268, imdb_netflix_v5!A$2:H$7370, 7, FALSE), "")</f>
        <v>3500000</v>
      </c>
    </row>
    <row r="269" ht="15.75" hidden="1" customHeight="1">
      <c r="A269" s="1" t="s">
        <v>3796</v>
      </c>
      <c r="B269" s="1" t="str">
        <f>IF(A269&lt;&gt;"", VLOOKUP(A269, imdb_netflix_v5!A$2:H$7370, 2, FALSE), "")</f>
        <v>Movie</v>
      </c>
      <c r="C269" s="2" t="str">
        <f>IF(A269&lt;&gt;"", VLOOKUP(A269, imdb_netflix_v5!A$2:H$7370, 3, FALSE), "")</f>
        <v>Action, Adventure, Animation</v>
      </c>
      <c r="D269" s="2">
        <f>IF(A269&lt;&gt;"", VLOOKUP(A269, imdb_netflix_v5!A$2:H$7370, 4, FALSE), "")</f>
        <v>7.5</v>
      </c>
      <c r="E269" s="2">
        <f>IF(A269&lt;&gt;"", VLOOKUP(A269, imdb_netflix_v5!A$2:H$7370, 5, FALSE), "")</f>
        <v>2023</v>
      </c>
      <c r="F269" s="2">
        <f>IF(A269&lt;&gt;"", VLOOKUP(A269, imdb_netflix_v5!A$2:H$7370, 7, FALSE), "")</f>
        <v>5900000</v>
      </c>
    </row>
    <row r="270" ht="15.75" hidden="1" customHeight="1">
      <c r="A270" s="1" t="s">
        <v>3010</v>
      </c>
      <c r="B270" s="1" t="str">
        <f>IF(A270&lt;&gt;"", VLOOKUP(A270, imdb_netflix_v5!A$2:H$7370, 2, FALSE), "")</f>
        <v>Movie</v>
      </c>
      <c r="C270" s="2" t="str">
        <f>IF(A270&lt;&gt;"", VLOOKUP(A270, imdb_netflix_v5!A$2:H$7370, 3, FALSE), "")</f>
        <v>Adventure, Documentary, Sport</v>
      </c>
      <c r="D270" s="2">
        <f>IF(A270&lt;&gt;"", VLOOKUP(A270, imdb_netflix_v5!A$2:H$7370, 4, FALSE), "")</f>
        <v>7.7</v>
      </c>
      <c r="E270" s="2">
        <f>IF(A270&lt;&gt;"", VLOOKUP(A270, imdb_netflix_v5!A$2:H$7370, 5, FALSE), "")</f>
        <v>2023</v>
      </c>
      <c r="F270" s="2">
        <f>IF(A270&lt;&gt;"", VLOOKUP(A270, imdb_netflix_v5!A$2:H$7370, 7, FALSE), "")</f>
        <v>6500000</v>
      </c>
    </row>
    <row r="271" ht="15.75" customHeight="1">
      <c r="A271" s="1" t="s">
        <v>4503</v>
      </c>
      <c r="B271" s="1" t="str">
        <f>IF(A271&lt;&gt;"", VLOOKUP(A271, imdb_netflix_v5!A$2:H$7370, 2, FALSE), "")</f>
        <v>TV Show</v>
      </c>
      <c r="C271" s="2" t="str">
        <f>IF(A271&lt;&gt;"", VLOOKUP(A271, imdb_netflix_v5!A$2:H$7370, 3, FALSE), "")</f>
        <v>Action, Adventure, Animation</v>
      </c>
      <c r="D271" s="4">
        <f>IF(A271&lt;&gt;"", VLOOKUP(A271, imdb_netflix_v5!A$2:H$7370, 4, FALSE), "")</f>
        <v>7.4</v>
      </c>
      <c r="E271" s="2">
        <f>IF(A271&lt;&gt;"", VLOOKUP(A271, imdb_netflix_v5!A$2:H$7370, 5, FALSE), "")</f>
        <v>2023</v>
      </c>
      <c r="F271" s="2">
        <f>IF(A271&lt;&gt;"", VLOOKUP(A271, imdb_netflix_v5!A$2:H$7370, 7, FALSE), "")</f>
        <v>6800000</v>
      </c>
    </row>
    <row r="272" ht="15.75" customHeight="1">
      <c r="A272" s="1" t="s">
        <v>2955</v>
      </c>
      <c r="B272" s="1" t="str">
        <f>IF(A272&lt;&gt;"", VLOOKUP(A272, imdb_netflix_v5!A$2:H$7370, 2, FALSE), "")</f>
        <v>TV Show</v>
      </c>
      <c r="C272" s="2" t="str">
        <f>IF(A272&lt;&gt;"", VLOOKUP(A272, imdb_netflix_v5!A$2:H$7370, 3, FALSE), "")</f>
        <v>Action, Adventure, Animation</v>
      </c>
      <c r="D272" s="4">
        <f>IF(A272&lt;&gt;"", VLOOKUP(A272, imdb_netflix_v5!A$2:H$7370, 4, FALSE), "")</f>
        <v>7.7</v>
      </c>
      <c r="E272" s="2">
        <f>IF(A272&lt;&gt;"", VLOOKUP(A272, imdb_netflix_v5!A$2:H$7370, 5, FALSE), "")</f>
        <v>2023</v>
      </c>
      <c r="F272" s="2">
        <f>IF(A272&lt;&gt;"", VLOOKUP(A272, imdb_netflix_v5!A$2:H$7370, 7, FALSE), "")</f>
        <v>7400000</v>
      </c>
    </row>
    <row r="273" ht="15.75" customHeight="1">
      <c r="A273" s="1" t="s">
        <v>3806</v>
      </c>
      <c r="B273" s="1" t="str">
        <f>IF(A273&lt;&gt;"", VLOOKUP(A273, imdb_netflix_v5!A$2:H$7370, 2, FALSE), "")</f>
        <v>TV Show</v>
      </c>
      <c r="C273" s="2" t="str">
        <f>IF(A273&lt;&gt;"", VLOOKUP(A273, imdb_netflix_v5!A$2:H$7370, 3, FALSE), "")</f>
        <v>Drama, History, War</v>
      </c>
      <c r="D273" s="4">
        <f>IF(A273&lt;&gt;"", VLOOKUP(A273, imdb_netflix_v5!A$2:H$7370, 4, FALSE), "")</f>
        <v>7.5</v>
      </c>
      <c r="E273" s="2">
        <f>IF(A273&lt;&gt;"", VLOOKUP(A273, imdb_netflix_v5!A$2:H$7370, 5, FALSE), "")</f>
        <v>2023</v>
      </c>
      <c r="F273" s="2">
        <f>IF(A273&lt;&gt;"", VLOOKUP(A273, imdb_netflix_v5!A$2:H$7370, 7, FALSE), "")</f>
        <v>7600000</v>
      </c>
    </row>
    <row r="274" ht="15.75" customHeight="1">
      <c r="A274" s="1" t="s">
        <v>1830</v>
      </c>
      <c r="B274" s="1" t="str">
        <f>IF(A274&lt;&gt;"", VLOOKUP(A274, imdb_netflix_v5!A$2:H$7370, 2, FALSE), "")</f>
        <v>TV Show</v>
      </c>
      <c r="C274" s="2" t="str">
        <f>IF(A274&lt;&gt;"", VLOOKUP(A274, imdb_netflix_v5!A$2:H$7370, 3, FALSE), "")</f>
        <v>Biography, Documentary</v>
      </c>
      <c r="D274" s="4">
        <f>IF(A274&lt;&gt;"", VLOOKUP(A274, imdb_netflix_v5!A$2:H$7370, 4, FALSE), "")</f>
        <v>8</v>
      </c>
      <c r="E274" s="2">
        <f>IF(A274&lt;&gt;"", VLOOKUP(A274, imdb_netflix_v5!A$2:H$7370, 5, FALSE), "")</f>
        <v>2023</v>
      </c>
      <c r="F274" s="2">
        <f>IF(A274&lt;&gt;"", VLOOKUP(A274, imdb_netflix_v5!A$2:H$7370, 7, FALSE), "")</f>
        <v>7800000</v>
      </c>
    </row>
    <row r="275" ht="15.75" hidden="1" customHeight="1">
      <c r="A275" s="1" t="s">
        <v>2666</v>
      </c>
      <c r="B275" s="1" t="str">
        <f>IF(A275&lt;&gt;"", VLOOKUP(A275, imdb_netflix_v5!A$2:H$7370, 2, FALSE), "")</f>
        <v>Movie</v>
      </c>
      <c r="C275" s="2" t="str">
        <f>IF(A275&lt;&gt;"", VLOOKUP(A275, imdb_netflix_v5!A$2:H$7370, 3, FALSE), "")</f>
        <v>Documentary</v>
      </c>
      <c r="D275" s="2">
        <f>IF(A275&lt;&gt;"", VLOOKUP(A275, imdb_netflix_v5!A$2:H$7370, 4, FALSE), "")</f>
        <v>7.8</v>
      </c>
      <c r="E275" s="2">
        <f>IF(A275&lt;&gt;"", VLOOKUP(A275, imdb_netflix_v5!A$2:H$7370, 5, FALSE), "")</f>
        <v>2023</v>
      </c>
      <c r="F275" s="2">
        <f>IF(A275&lt;&gt;"", VLOOKUP(A275, imdb_netflix_v5!A$2:H$7370, 7, FALSE), "")</f>
        <v>7900000</v>
      </c>
    </row>
    <row r="276" ht="15.75" customHeight="1">
      <c r="A276" s="1" t="s">
        <v>4933</v>
      </c>
      <c r="B276" s="1" t="str">
        <f>IF(A276&lt;&gt;"", VLOOKUP(A276, imdb_netflix_v5!A$2:H$7370, 2, FALSE), "")</f>
        <v>TV Show</v>
      </c>
      <c r="C276" s="2" t="str">
        <f>IF(A276&lt;&gt;"", VLOOKUP(A276, imdb_netflix_v5!A$2:H$7370, 3, FALSE), "")</f>
        <v>Crime, Drama, Mystery</v>
      </c>
      <c r="D276" s="4">
        <f>IF(A276&lt;&gt;"", VLOOKUP(A276, imdb_netflix_v5!A$2:H$7370, 4, FALSE), "")</f>
        <v>7.3</v>
      </c>
      <c r="E276" s="2">
        <f>IF(A276&lt;&gt;"", VLOOKUP(A276, imdb_netflix_v5!A$2:H$7370, 5, FALSE), "")</f>
        <v>2023</v>
      </c>
      <c r="F276" s="2">
        <f>IF(A276&lt;&gt;"", VLOOKUP(A276, imdb_netflix_v5!A$2:H$7370, 7, FALSE), "")</f>
        <v>8400000</v>
      </c>
    </row>
    <row r="277" ht="15.75" customHeight="1">
      <c r="A277" s="1" t="s">
        <v>3570</v>
      </c>
      <c r="B277" s="1" t="str">
        <f>IF(A277&lt;&gt;"", VLOOKUP(A277, imdb_netflix_v5!A$2:H$7370, 2, FALSE), "")</f>
        <v>TV Show</v>
      </c>
      <c r="C277" s="2" t="str">
        <f>IF(A277&lt;&gt;"", VLOOKUP(A277, imdb_netflix_v5!A$2:H$7370, 3, FALSE), "")</f>
        <v>Drama, Fantasy, Mystery</v>
      </c>
      <c r="D277" s="4">
        <f>IF(A277&lt;&gt;"", VLOOKUP(A277, imdb_netflix_v5!A$2:H$7370, 4, FALSE), "")</f>
        <v>7.6</v>
      </c>
      <c r="E277" s="2">
        <f>IF(A277&lt;&gt;"", VLOOKUP(A277, imdb_netflix_v5!A$2:H$7370, 5, FALSE), "")</f>
        <v>2023</v>
      </c>
      <c r="F277" s="2">
        <f>IF(A277&lt;&gt;"", VLOOKUP(A277, imdb_netflix_v5!A$2:H$7370, 7, FALSE), "")</f>
        <v>8900000</v>
      </c>
    </row>
    <row r="278" ht="15.75" customHeight="1">
      <c r="A278" s="1" t="s">
        <v>4365</v>
      </c>
      <c r="B278" s="1" t="str">
        <f>IF(A278&lt;&gt;"", VLOOKUP(A278, imdb_netflix_v5!A$2:H$7370, 2, FALSE), "")</f>
        <v>TV Show</v>
      </c>
      <c r="C278" s="2" t="str">
        <f>IF(A278&lt;&gt;"", VLOOKUP(A278, imdb_netflix_v5!A$2:H$7370, 3, FALSE), "")</f>
        <v>Crime, Drama</v>
      </c>
      <c r="D278" s="4">
        <f>IF(A278&lt;&gt;"", VLOOKUP(A278, imdb_netflix_v5!A$2:H$7370, 4, FALSE), "")</f>
        <v>7.4</v>
      </c>
      <c r="E278" s="2">
        <f>IF(A278&lt;&gt;"", VLOOKUP(A278, imdb_netflix_v5!A$2:H$7370, 5, FALSE), "")</f>
        <v>2023</v>
      </c>
      <c r="F278" s="2">
        <f>IF(A278&lt;&gt;"", VLOOKUP(A278, imdb_netflix_v5!A$2:H$7370, 7, FALSE), "")</f>
        <v>10100000</v>
      </c>
    </row>
    <row r="279" ht="15.75" hidden="1" customHeight="1">
      <c r="A279" s="1" t="s">
        <v>337</v>
      </c>
      <c r="B279" s="1" t="str">
        <f>IF(A279&lt;&gt;"", VLOOKUP(A279, imdb_netflix_v5!A$2:H$7370, 2, FALSE), "")</f>
        <v>Movie</v>
      </c>
      <c r="C279" s="2" t="str">
        <f>IF(A279&lt;&gt;"", VLOOKUP(A279, imdb_netflix_v5!A$2:H$7370, 3, FALSE), "")</f>
        <v>Action, Adventure, Animation</v>
      </c>
      <c r="D279" s="2">
        <f>IF(A279&lt;&gt;"", VLOOKUP(A279, imdb_netflix_v5!A$2:H$7370, 4, FALSE), "")</f>
        <v>8.6</v>
      </c>
      <c r="E279" s="2">
        <f>IF(A279&lt;&gt;"", VLOOKUP(A279, imdb_netflix_v5!A$2:H$7370, 5, FALSE), "")</f>
        <v>2023</v>
      </c>
      <c r="F279" s="2">
        <f>IF(A279&lt;&gt;"", VLOOKUP(A279, imdb_netflix_v5!A$2:H$7370, 7, FALSE), "")</f>
        <v>10200000</v>
      </c>
    </row>
    <row r="280" ht="15.75" customHeight="1">
      <c r="A280" s="1" t="s">
        <v>1935</v>
      </c>
      <c r="B280" s="1" t="str">
        <f>IF(A280&lt;&gt;"", VLOOKUP(A280, imdb_netflix_v5!A$2:H$7370, 2, FALSE), "")</f>
        <v>TV Show</v>
      </c>
      <c r="C280" s="2" t="str">
        <f>IF(A280&lt;&gt;"", VLOOKUP(A280, imdb_netflix_v5!A$2:H$7370, 3, FALSE), "")</f>
        <v>Drama, Thriller</v>
      </c>
      <c r="D280" s="4">
        <f>IF(A280&lt;&gt;"", VLOOKUP(A280, imdb_netflix_v5!A$2:H$7370, 4, FALSE), "")</f>
        <v>8</v>
      </c>
      <c r="E280" s="2">
        <f>IF(A280&lt;&gt;"", VLOOKUP(A280, imdb_netflix_v5!A$2:H$7370, 5, FALSE), "")</f>
        <v>2023</v>
      </c>
      <c r="F280" s="2">
        <f>IF(A280&lt;&gt;"", VLOOKUP(A280, imdb_netflix_v5!A$2:H$7370, 7, FALSE), "")</f>
        <v>11100000</v>
      </c>
    </row>
    <row r="281" ht="15.75" hidden="1" customHeight="1">
      <c r="A281" s="1" t="s">
        <v>5967</v>
      </c>
      <c r="B281" s="1" t="str">
        <f>IF(A281&lt;&gt;"", VLOOKUP(A281, imdb_netflix_v5!A$2:H$7370, 2, FALSE), "")</f>
        <v>Movie</v>
      </c>
      <c r="C281" s="2" t="str">
        <f>IF(A281&lt;&gt;"", VLOOKUP(A281, imdb_netflix_v5!A$2:H$7370, 3, FALSE), "")</f>
        <v>Biography, Drama, Sport</v>
      </c>
      <c r="D281" s="2">
        <f>IF(A281&lt;&gt;"", VLOOKUP(A281, imdb_netflix_v5!A$2:H$7370, 4, FALSE), "")</f>
        <v>7.1</v>
      </c>
      <c r="E281" s="2">
        <f>IF(A281&lt;&gt;"", VLOOKUP(A281, imdb_netflix_v5!A$2:H$7370, 5, FALSE), "")</f>
        <v>2023</v>
      </c>
      <c r="F281" s="2">
        <f>IF(A281&lt;&gt;"", VLOOKUP(A281, imdb_netflix_v5!A$2:H$7370, 7, FALSE), "")</f>
        <v>11700000</v>
      </c>
    </row>
    <row r="282" ht="15.75" customHeight="1">
      <c r="A282" s="1" t="s">
        <v>259</v>
      </c>
      <c r="B282" s="1" t="str">
        <f>IF(A282&lt;&gt;"", VLOOKUP(A282, imdb_netflix_v5!A$2:H$7370, 2, FALSE), "")</f>
        <v>TV Show</v>
      </c>
      <c r="C282" s="2" t="str">
        <f>IF(A282&lt;&gt;"", VLOOKUP(A282, imdb_netflix_v5!A$2:H$7370, 3, FALSE), "")</f>
        <v>Action, Adventure, Animation</v>
      </c>
      <c r="D282" s="4">
        <f>IF(A282&lt;&gt;"", VLOOKUP(A282, imdb_netflix_v5!A$2:H$7370, 4, FALSE), "")</f>
        <v>8.7</v>
      </c>
      <c r="E282" s="2">
        <f>IF(A282&lt;&gt;"", VLOOKUP(A282, imdb_netflix_v5!A$2:H$7370, 5, FALSE), "")</f>
        <v>2023</v>
      </c>
      <c r="F282" s="2">
        <f>IF(A282&lt;&gt;"", VLOOKUP(A282, imdb_netflix_v5!A$2:H$7370, 7, FALSE), "")</f>
        <v>12300000</v>
      </c>
    </row>
    <row r="283" ht="15.75" customHeight="1">
      <c r="A283" s="1" t="s">
        <v>3711</v>
      </c>
      <c r="B283" s="1" t="str">
        <f>IF(A283&lt;&gt;"", VLOOKUP(A283, imdb_netflix_v5!A$2:H$7370, 2, FALSE), "")</f>
        <v>TV Show</v>
      </c>
      <c r="C283" s="2" t="str">
        <f>IF(A283&lt;&gt;"", VLOOKUP(A283, imdb_netflix_v5!A$2:H$7370, 3, FALSE), "")</f>
        <v>Action, Drama, Thriller</v>
      </c>
      <c r="D283" s="4">
        <f>IF(A283&lt;&gt;"", VLOOKUP(A283, imdb_netflix_v5!A$2:H$7370, 4, FALSE), "")</f>
        <v>7.5</v>
      </c>
      <c r="E283" s="2">
        <f>IF(A283&lt;&gt;"", VLOOKUP(A283, imdb_netflix_v5!A$2:H$7370, 5, FALSE), "")</f>
        <v>2023</v>
      </c>
      <c r="F283" s="2">
        <f>IF(A283&lt;&gt;"", VLOOKUP(A283, imdb_netflix_v5!A$2:H$7370, 7, FALSE), "")</f>
        <v>12650000</v>
      </c>
    </row>
    <row r="284" ht="15.75" customHeight="1">
      <c r="A284" s="1" t="s">
        <v>1558</v>
      </c>
      <c r="B284" s="1" t="str">
        <f>IF(A284&lt;&gt;"", VLOOKUP(A284, imdb_netflix_v5!A$2:H$7370, 2, FALSE), "")</f>
        <v>TV Show</v>
      </c>
      <c r="C284" s="2" t="str">
        <f>IF(A284&lt;&gt;"", VLOOKUP(A284, imdb_netflix_v5!A$2:H$7370, 3, FALSE), "")</f>
        <v>Action, Crime, Drama</v>
      </c>
      <c r="D284" s="4">
        <f>IF(A284&lt;&gt;"", VLOOKUP(A284, imdb_netflix_v5!A$2:H$7370, 4, FALSE), "")</f>
        <v>8.1</v>
      </c>
      <c r="E284" s="2">
        <f>IF(A284&lt;&gt;"", VLOOKUP(A284, imdb_netflix_v5!A$2:H$7370, 5, FALSE), "")</f>
        <v>2023</v>
      </c>
      <c r="F284" s="2">
        <f>IF(A284&lt;&gt;"", VLOOKUP(A284, imdb_netflix_v5!A$2:H$7370, 7, FALSE), "")</f>
        <v>12800000</v>
      </c>
    </row>
    <row r="285" ht="15.75" customHeight="1">
      <c r="A285" s="1" t="s">
        <v>2977</v>
      </c>
      <c r="B285" s="1" t="str">
        <f>IF(A285&lt;&gt;"", VLOOKUP(A285, imdb_netflix_v5!A$2:H$7370, 2, FALSE), "")</f>
        <v>TV Show</v>
      </c>
      <c r="C285" s="2" t="str">
        <f>IF(A285&lt;&gt;"", VLOOKUP(A285, imdb_netflix_v5!A$2:H$7370, 3, FALSE), "")</f>
        <v>Comedy, Crime, Romance</v>
      </c>
      <c r="D285" s="4">
        <f>IF(A285&lt;&gt;"", VLOOKUP(A285, imdb_netflix_v5!A$2:H$7370, 4, FALSE), "")</f>
        <v>7.7</v>
      </c>
      <c r="E285" s="2">
        <f>IF(A285&lt;&gt;"", VLOOKUP(A285, imdb_netflix_v5!A$2:H$7370, 5, FALSE), "")</f>
        <v>2023</v>
      </c>
      <c r="F285" s="2">
        <f>IF(A285&lt;&gt;"", VLOOKUP(A285, imdb_netflix_v5!A$2:H$7370, 7, FALSE), "")</f>
        <v>13300000</v>
      </c>
    </row>
    <row r="286" ht="15.75" customHeight="1">
      <c r="A286" s="1" t="s">
        <v>3068</v>
      </c>
      <c r="B286" s="1" t="str">
        <f>IF(A286&lt;&gt;"", VLOOKUP(A286, imdb_netflix_v5!A$2:H$7370, 2, FALSE), "")</f>
        <v>TV Show</v>
      </c>
      <c r="C286" s="2" t="str">
        <f>IF(A286&lt;&gt;"", VLOOKUP(A286, imdb_netflix_v5!A$2:H$7370, 3, FALSE), "")</f>
        <v>Game-Show, Reality-TV</v>
      </c>
      <c r="D286" s="4">
        <f>IF(A286&lt;&gt;"", VLOOKUP(A286, imdb_netflix_v5!A$2:H$7370, 4, FALSE), "")</f>
        <v>7.7</v>
      </c>
      <c r="E286" s="2">
        <f>IF(A286&lt;&gt;"", VLOOKUP(A286, imdb_netflix_v5!A$2:H$7370, 5, FALSE), "")</f>
        <v>2023</v>
      </c>
      <c r="F286" s="2">
        <f>IF(A286&lt;&gt;"", VLOOKUP(A286, imdb_netflix_v5!A$2:H$7370, 7, FALSE), "")</f>
        <v>14370000</v>
      </c>
    </row>
    <row r="287" ht="15.75" customHeight="1">
      <c r="A287" s="1" t="s">
        <v>1679</v>
      </c>
      <c r="B287" s="1" t="str">
        <f>IF(A287&lt;&gt;"", VLOOKUP(A287, imdb_netflix_v5!A$2:H$7370, 2, FALSE), "")</f>
        <v>TV Show</v>
      </c>
      <c r="C287" s="2" t="str">
        <f>IF(A287&lt;&gt;"", VLOOKUP(A287, imdb_netflix_v5!A$2:H$7370, 3, FALSE), "")</f>
        <v>Comedy, Drama</v>
      </c>
      <c r="D287" s="4">
        <f>IF(A287&lt;&gt;"", VLOOKUP(A287, imdb_netflix_v5!A$2:H$7370, 4, FALSE), "")</f>
        <v>8</v>
      </c>
      <c r="E287" s="2">
        <f>IF(A287&lt;&gt;"", VLOOKUP(A287, imdb_netflix_v5!A$2:H$7370, 5, FALSE), "")</f>
        <v>2023</v>
      </c>
      <c r="F287" s="2">
        <f>IF(A287&lt;&gt;"", VLOOKUP(A287, imdb_netflix_v5!A$2:H$7370, 7, FALSE), "")</f>
        <v>14790000</v>
      </c>
    </row>
    <row r="288" ht="15.75" customHeight="1">
      <c r="A288" s="1" t="s">
        <v>4393</v>
      </c>
      <c r="B288" s="1" t="str">
        <f>IF(A288&lt;&gt;"", VLOOKUP(A288, imdb_netflix_v5!A$2:H$7370, 2, FALSE), "")</f>
        <v>TV Show</v>
      </c>
      <c r="C288" s="2" t="str">
        <f>IF(A288&lt;&gt;"", VLOOKUP(A288, imdb_netflix_v5!A$2:H$7370, 3, FALSE), "")</f>
        <v>Action, Adventure, Drama</v>
      </c>
      <c r="D288" s="4">
        <f>IF(A288&lt;&gt;"", VLOOKUP(A288, imdb_netflix_v5!A$2:H$7370, 4, FALSE), "")</f>
        <v>7.4</v>
      </c>
      <c r="E288" s="2">
        <f>IF(A288&lt;&gt;"", VLOOKUP(A288, imdb_netflix_v5!A$2:H$7370, 5, FALSE), "")</f>
        <v>2023</v>
      </c>
      <c r="F288" s="2">
        <f>IF(A288&lt;&gt;"", VLOOKUP(A288, imdb_netflix_v5!A$2:H$7370, 7, FALSE), "")</f>
        <v>15370000</v>
      </c>
    </row>
    <row r="289" ht="15.75" customHeight="1">
      <c r="A289" s="1" t="s">
        <v>3251</v>
      </c>
      <c r="B289" s="1" t="str">
        <f>IF(A289&lt;&gt;"", VLOOKUP(A289, imdb_netflix_v5!A$2:H$7370, 2, FALSE), "")</f>
        <v>TV Show</v>
      </c>
      <c r="C289" s="2" t="str">
        <f>IF(A289&lt;&gt;"", VLOOKUP(A289, imdb_netflix_v5!A$2:H$7370, 3, FALSE), "")</f>
        <v>Drama, History, Romance</v>
      </c>
      <c r="D289" s="4">
        <f>IF(A289&lt;&gt;"", VLOOKUP(A289, imdb_netflix_v5!A$2:H$7370, 4, FALSE), "")</f>
        <v>7.6</v>
      </c>
      <c r="E289" s="2">
        <f>IF(A289&lt;&gt;"", VLOOKUP(A289, imdb_netflix_v5!A$2:H$7370, 5, FALSE), "")</f>
        <v>2023</v>
      </c>
      <c r="F289" s="2">
        <f>IF(A289&lt;&gt;"", VLOOKUP(A289, imdb_netflix_v5!A$2:H$7370, 7, FALSE), "")</f>
        <v>16710000</v>
      </c>
    </row>
    <row r="290" ht="15.75" hidden="1" customHeight="1">
      <c r="A290" s="1" t="s">
        <v>5392</v>
      </c>
      <c r="B290" s="1" t="str">
        <f>IF(A290&lt;&gt;"", VLOOKUP(A290, imdb_netflix_v5!A$2:H$7370, 2, FALSE), "")</f>
        <v>Movie</v>
      </c>
      <c r="C290" s="2" t="str">
        <f>IF(A290&lt;&gt;"", VLOOKUP(A290, imdb_netflix_v5!A$2:H$7370, 3, FALSE), "")</f>
        <v>Action, Crime, Drama</v>
      </c>
      <c r="D290" s="2">
        <f>IF(A290&lt;&gt;"", VLOOKUP(A290, imdb_netflix_v5!A$2:H$7370, 4, FALSE), "")</f>
        <v>7.2</v>
      </c>
      <c r="E290" s="2">
        <f>IF(A290&lt;&gt;"", VLOOKUP(A290, imdb_netflix_v5!A$2:H$7370, 5, FALSE), "")</f>
        <v>2023</v>
      </c>
      <c r="F290" s="2">
        <f>IF(A290&lt;&gt;"", VLOOKUP(A290, imdb_netflix_v5!A$2:H$7370, 7, FALSE), "")</f>
        <v>16800000</v>
      </c>
    </row>
    <row r="291" ht="15.75" customHeight="1">
      <c r="A291" s="1" t="s">
        <v>1721</v>
      </c>
      <c r="B291" s="1" t="str">
        <f>IF(A291&lt;&gt;"", VLOOKUP(A291, imdb_netflix_v5!A$2:H$7370, 2, FALSE), "")</f>
        <v>TV Show</v>
      </c>
      <c r="C291" s="2" t="str">
        <f>IF(A291&lt;&gt;"", VLOOKUP(A291, imdb_netflix_v5!A$2:H$7370, 3, FALSE), "")</f>
        <v>Drama, Thriller</v>
      </c>
      <c r="D291" s="4">
        <f>IF(A291&lt;&gt;"", VLOOKUP(A291, imdb_netflix_v5!A$2:H$7370, 4, FALSE), "")</f>
        <v>8</v>
      </c>
      <c r="E291" s="2">
        <f>IF(A291&lt;&gt;"", VLOOKUP(A291, imdb_netflix_v5!A$2:H$7370, 5, FALSE), "")</f>
        <v>2023</v>
      </c>
      <c r="F291" s="2">
        <f>IF(A291&lt;&gt;"", VLOOKUP(A291, imdb_netflix_v5!A$2:H$7370, 7, FALSE), "")</f>
        <v>18370000</v>
      </c>
    </row>
    <row r="292" ht="15.75" customHeight="1">
      <c r="A292" s="1" t="s">
        <v>4847</v>
      </c>
      <c r="B292" s="1" t="str">
        <f>IF(A292&lt;&gt;"", VLOOKUP(A292, imdb_netflix_v5!A$2:H$7370, 2, FALSE), "")</f>
        <v>TV Show</v>
      </c>
      <c r="C292" s="2" t="str">
        <f>IF(A292&lt;&gt;"", VLOOKUP(A292, imdb_netflix_v5!A$2:H$7370, 3, FALSE), "")</f>
        <v>Crime, Drama, Sci-Fi</v>
      </c>
      <c r="D292" s="4">
        <f>IF(A292&lt;&gt;"", VLOOKUP(A292, imdb_netflix_v5!A$2:H$7370, 4, FALSE), "")</f>
        <v>7.3</v>
      </c>
      <c r="E292" s="2">
        <f>IF(A292&lt;&gt;"", VLOOKUP(A292, imdb_netflix_v5!A$2:H$7370, 5, FALSE), "")</f>
        <v>2023</v>
      </c>
      <c r="F292" s="2">
        <f>IF(A292&lt;&gt;"", VLOOKUP(A292, imdb_netflix_v5!A$2:H$7370, 7, FALSE), "")</f>
        <v>19600000</v>
      </c>
    </row>
    <row r="293" ht="15.75" customHeight="1">
      <c r="A293" s="1" t="s">
        <v>2011</v>
      </c>
      <c r="B293" s="1" t="str">
        <f>IF(A293&lt;&gt;"", VLOOKUP(A293, imdb_netflix_v5!A$2:H$7370, 2, FALSE), "")</f>
        <v>TV Show</v>
      </c>
      <c r="C293" s="2" t="str">
        <f>IF(A293&lt;&gt;"", VLOOKUP(A293, imdb_netflix_v5!A$2:H$7370, 3, FALSE), "")</f>
        <v>Drama, Horror, Mystery</v>
      </c>
      <c r="D293" s="4">
        <f>IF(A293&lt;&gt;"", VLOOKUP(A293, imdb_netflix_v5!A$2:H$7370, 4, FALSE), "")</f>
        <v>7.9</v>
      </c>
      <c r="E293" s="2">
        <f>IF(A293&lt;&gt;"", VLOOKUP(A293, imdb_netflix_v5!A$2:H$7370, 5, FALSE), "")</f>
        <v>2023</v>
      </c>
      <c r="F293" s="2">
        <f>IF(A293&lt;&gt;"", VLOOKUP(A293, imdb_netflix_v5!A$2:H$7370, 7, FALSE), "")</f>
        <v>23400000</v>
      </c>
    </row>
    <row r="294" ht="15.75" customHeight="1">
      <c r="A294" s="1" t="s">
        <v>3037</v>
      </c>
      <c r="B294" s="1" t="str">
        <f>IF(A294&lt;&gt;"", VLOOKUP(A294, imdb_netflix_v5!A$2:H$7370, 2, FALSE), "")</f>
        <v>TV Show</v>
      </c>
      <c r="C294" s="2" t="str">
        <f>IF(A294&lt;&gt;"", VLOOKUP(A294, imdb_netflix_v5!A$2:H$7370, 3, FALSE), "")</f>
        <v>Comedy, Drama, Fantasy</v>
      </c>
      <c r="D294" s="4">
        <f>IF(A294&lt;&gt;"", VLOOKUP(A294, imdb_netflix_v5!A$2:H$7370, 4, FALSE), "")</f>
        <v>7.7</v>
      </c>
      <c r="E294" s="2">
        <f>IF(A294&lt;&gt;"", VLOOKUP(A294, imdb_netflix_v5!A$2:H$7370, 5, FALSE), "")</f>
        <v>2023</v>
      </c>
      <c r="F294" s="2">
        <f>IF(A294&lt;&gt;"", VLOOKUP(A294, imdb_netflix_v5!A$2:H$7370, 7, FALSE), "")</f>
        <v>33600000</v>
      </c>
    </row>
    <row r="295" ht="15.75" customHeight="1">
      <c r="A295" s="1" t="s">
        <v>2119</v>
      </c>
      <c r="B295" s="1" t="str">
        <f>IF(A295&lt;&gt;"", VLOOKUP(A295, imdb_netflix_v5!A$2:H$7370, 2, FALSE), "")</f>
        <v>TV Show</v>
      </c>
      <c r="C295" s="2" t="str">
        <f>IF(A295&lt;&gt;"", VLOOKUP(A295, imdb_netflix_v5!A$2:H$7370, 3, FALSE), "")</f>
        <v>Comedy</v>
      </c>
      <c r="D295" s="4">
        <f>IF(A295&lt;&gt;"", VLOOKUP(A295, imdb_netflix_v5!A$2:H$7370, 4, FALSE), "")</f>
        <v>7.9</v>
      </c>
      <c r="E295" s="2">
        <f>IF(A295&lt;&gt;"", VLOOKUP(A295, imdb_netflix_v5!A$2:H$7370, 5, FALSE), "")</f>
        <v>2024</v>
      </c>
      <c r="F295" s="2">
        <f>IF(A295&lt;&gt;"", VLOOKUP(A295, imdb_netflix_v5!A$2:H$7370, 7, FALSE), "")</f>
        <v>5750000</v>
      </c>
    </row>
    <row r="296" ht="15.75" customHeight="1">
      <c r="A296" s="1" t="s">
        <v>1678</v>
      </c>
      <c r="B296" s="1" t="str">
        <f>IF(A296&lt;&gt;"", VLOOKUP(A296, imdb_netflix_v5!A$2:H$7370, 2, FALSE), "")</f>
        <v>TV Show</v>
      </c>
      <c r="C296" s="2" t="str">
        <f>IF(A296&lt;&gt;"", VLOOKUP(A296, imdb_netflix_v5!A$2:H$7370, 3, FALSE), "")</f>
        <v>Action, Comedy, Crime</v>
      </c>
      <c r="D296" s="4">
        <f>IF(A296&lt;&gt;"", VLOOKUP(A296, imdb_netflix_v5!A$2:H$7370, 4, FALSE), "")</f>
        <v>8</v>
      </c>
      <c r="E296" s="2">
        <f>IF(A296&lt;&gt;"", VLOOKUP(A296, imdb_netflix_v5!A$2:H$7370, 5, FALSE), "")</f>
        <v>2024</v>
      </c>
      <c r="F296" s="2">
        <f>IF(A296&lt;&gt;"", VLOOKUP(A296, imdb_netflix_v5!A$2:H$7370, 7, FALSE), "")</f>
        <v>8610000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</sheetData>
  <autoFilter ref="$A$1:$Y$6395">
    <filterColumn colId="1">
      <filters blank="1">
        <filter val="TV Show"/>
      </filters>
    </filterColumn>
    <filterColumn colId="4">
      <filters blank="1">
        <filter val="2009"/>
        <filter val="1997"/>
        <filter val="1930"/>
        <filter val="1974"/>
        <filter val="2007"/>
        <filter val="1995"/>
        <filter val="2006"/>
        <filter val="2003"/>
        <filter val="1991"/>
        <filter val="2002"/>
        <filter val="2024"/>
        <filter val="1978"/>
        <filter val="1933"/>
        <filter val="2001"/>
        <filter val="2023"/>
        <filter val="2000"/>
        <filter val="2022"/>
        <filter val="2021"/>
        <filter val="2020"/>
        <filter val="2019"/>
        <filter val="2018"/>
        <filter val="2017"/>
        <filter val="2016"/>
        <filter val="1982"/>
        <filter val="2015"/>
        <filter val="1946"/>
        <filter val="1989"/>
        <filter val="1988"/>
      </filters>
    </filterColumn>
    <sortState ref="A1:Y6395">
      <sortCondition ref="E1:E6395"/>
      <sortCondition ref="F1:F6395"/>
      <sortCondition ref="D1:D6395"/>
    </sortState>
  </autoFilter>
  <conditionalFormatting sqref="A1:Y6395">
    <cfRule type="colorScale" priority="1">
      <colorScale>
        <cfvo type="min"/>
        <cfvo type="max"/>
        <color rgb="FFFFFFFF"/>
        <color rgb="FF57BB8A"/>
      </colorScale>
    </cfRule>
  </conditionalFormatting>
  <conditionalFormatting sqref="D1:D6395">
    <cfRule type="colorScale" priority="2">
      <colorScale>
        <cfvo type="min"/>
        <cfvo type="max"/>
        <color rgb="FFFFFFFF"/>
        <color rgb="FF57BB8A"/>
      </colorScale>
    </cfRule>
  </conditionalFormatting>
  <conditionalFormatting sqref="D1:D639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:F6395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26.86"/>
  </cols>
  <sheetData>
    <row r="1"/>
    <row r="2" hidden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</sheetData>
  <autoFilter ref="$B$1:$B$1000">
    <filterColumn colId="0">
      <filters blank="1">
        <filter val="53000000"/>
        <filter val="8040000"/>
        <filter val="13190000"/>
        <filter val="9700000"/>
        <filter val="26020000"/>
        <filter val="11650000"/>
        <filter val="12990000"/>
        <filter val="10920000"/>
        <filter val="26290000"/>
        <filter val="22870000"/>
        <filter val="155380000"/>
        <filter val="41630000"/>
        <filter val="1150000"/>
        <filter val="39610000"/>
        <filter val="7800000"/>
        <filter val="1800000"/>
        <filter val="4580000"/>
        <filter val="1280000"/>
        <filter val="6790000"/>
        <filter val="5300000"/>
        <filter val="7030000"/>
        <filter val="2580000"/>
        <filter val="1940000"/>
        <filter val="15940000"/>
        <filter val="5500000"/>
        <filter val="16240000"/>
        <filter val="27710000"/>
        <filter val="63120000"/>
        <filter val="11890000"/>
        <filter val="6380000"/>
        <filter val="9170000"/>
        <filter val="8100000"/>
        <filter val="29570000"/>
        <filter val="30280000"/>
        <filter val="12910000"/>
        <filter val="9340000"/>
        <filter val="37580000"/>
        <filter val="1830000"/>
        <filter val="35910000"/>
        <filter val="18720000"/>
        <filter val="61240000"/>
        <filter val="9640000"/>
        <filter val="11760000"/>
        <filter val="6500000"/>
        <filter val="21180000"/>
        <filter val="81830000"/>
        <filter val="10290000"/>
        <filter val="40080000"/>
        <filter val="40850000"/>
        <filter val="33600000"/>
        <filter val="12200000"/>
        <filter val="5460000"/>
        <filter val="21150000"/>
        <filter val="10500000"/>
        <filter val="13010000"/>
        <filter val="94310000"/>
        <filter val="18670000"/>
        <filter val="8900000"/>
        <filter val="62100000"/>
        <filter val="14250000"/>
        <filter val="5360000"/>
        <filter val="6940000"/>
        <filter val="29520000"/>
        <filter val="24430000"/>
        <filter val="19440000"/>
        <filter val="35960000"/>
        <filter val="3099400000"/>
        <filter val="1200000"/>
        <filter val="6530000"/>
        <filter val="28730000"/>
        <filter val="19620000"/>
        <filter val="26700000"/>
        <filter val="6230000"/>
        <filter val="7620000"/>
        <filter val="70630000"/>
        <filter val="45090000"/>
        <filter val="24620000"/>
        <filter val="13300000"/>
        <filter val="26230000"/>
        <filter val="97880000"/>
        <filter val="181530000"/>
        <filter val="7710000"/>
        <filter val="33660000"/>
        <filter val="4790000"/>
        <filter val="12750000"/>
        <filter val="9220000"/>
        <filter val="51340000"/>
        <filter val="148270000"/>
        <filter val="8070000"/>
        <filter val="19600000"/>
        <filter val="7860000"/>
        <filter val="105690000"/>
        <filter val="10700000"/>
        <filter val="21420000"/>
        <filter val="7600000"/>
        <filter val="107330000"/>
        <filter val="219490000"/>
        <filter val="2330000"/>
        <filter val="58390000"/>
        <filter val="9500000"/>
        <filter val="8220000"/>
        <filter val="149830000"/>
        <filter val="8350000"/>
      </filters>
    </filterColumn>
    <sortState ref="B1:B1000">
      <sortCondition ref="B1:B1000"/>
    </sortState>
  </autoFilter>
  <drawing r:id="rId2"/>
</worksheet>
</file>